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seattlegov-my.sharepoint.com/personal/moon_callison_seattle_gov/Documents/Desktop/"/>
    </mc:Choice>
  </mc:AlternateContent>
  <xr:revisionPtr revIDLastSave="17" documentId="8_{24F68A59-FAC7-45AB-BAF8-9D282FFA951B}" xr6:coauthVersionLast="47" xr6:coauthVersionMax="47" xr10:uidLastSave="{03FCF4DD-24F3-486F-A2C8-5D968AD5DBBC}"/>
  <bookViews>
    <workbookView xWindow="28680" yWindow="-120" windowWidth="29040" windowHeight="17520" tabRatio="655" xr2:uid="{BD4A5822-4C71-44F0-B014-5D452669D3CD}"/>
  </bookViews>
  <sheets>
    <sheet name="Existing Trees Form" sheetId="3" r:id="rId1"/>
    <sheet name="Tree Plantings Form" sheetId="15" r:id="rId2"/>
    <sheet name="PIL Summary" sheetId="14" r:id="rId3"/>
    <sheet name="Existing Trees Form Help" sheetId="35" r:id="rId4"/>
    <sheet name="Tree Plantings Form Help" sheetId="36" r:id="rId5"/>
    <sheet name="Print or Export" sheetId="27" r:id="rId6"/>
    <sheet name="Tree List" sheetId="22" state="hidden" r:id="rId7"/>
    <sheet name="Tree List2" sheetId="28" state="hidden" r:id="rId8"/>
    <sheet name="Tables" sheetId="1" state="hidden" r:id="rId9"/>
    <sheet name="Tables2" sheetId="16" state="hidden" r:id="rId10"/>
    <sheet name="Error" sheetId="17" state="hidden" r:id="rId11"/>
  </sheets>
  <definedNames>
    <definedName name="_xlnm._FilterDatabase" localSheetId="0" hidden="1">'Existing Trees Form'!$A$10:$A$810</definedName>
    <definedName name="_xlnm._FilterDatabase" localSheetId="6" hidden="1">'Tree List'!$A$1:$H$601</definedName>
    <definedName name="L1List">MultiSelect[TreeCategory]</definedName>
    <definedName name="L1Listb">MultiSelect2[ProposedLocation]</definedName>
    <definedName name="L1Listc">MultiSelect3[SpeciesSize]</definedName>
    <definedName name="L1Listd">MultiSelect4[SpeciesSize]</definedName>
    <definedName name="L2List">_xlfn.XLOOKUP('Existing Trees Form'!XFD1,MultiSelect[TreeCategory],MultiSelect[TreeStatus]) : _xlfn.XLOOKUP('Existing Trees Form'!XFD1,MultiSelect[TreeCategory],MultiSelect[TreeStatus],,,-1)</definedName>
    <definedName name="L2Listb">_xlfn.XLOOKUP('Tree Plantings Form'!XFD1,MultiSelect2[ProposedLocation],MultiSelect2[TreeMitigation]) : _xlfn.XLOOKUP('Tree Plantings Form'!XFD1,MultiSelect2[ProposedLocation],MultiSelect2[TreeMitigation],,,-1)</definedName>
    <definedName name="L2Listc">_xlfn.XLOOKUP('Existing Trees Form'!XFD1,MultiSelect3[SpeciesSize],MultiSelect3[Points]) : _xlfn.XLOOKUP('Existing Trees Form'!XFD1,MultiSelect3[SpeciesSize],MultiSelect3[Points],,,-1)</definedName>
    <definedName name="L2Listd">_xlfn.XLOOKUP('Tree Plantings Form'!XFD1,MultiSelect4[SpeciesSize],MultiSelect4[Points]) : _xlfn.XLOOKUP('Tree Plantings Form'!XFD1, MultiSelect4[SpeciesSize],MultiSelect4[Points],,,-1)</definedName>
    <definedName name="L3List">_xlfn.XLOOKUP('Existing Trees Form'!XEY9&amp;'Existing Trees Form'!XEZ9,MultiSelect[TreeCategory]&amp;MultiSelect[TreeStatus],MultiSelect[CodeReference]):_xlfn.XLOOKUP('Existing Trees Form'!XEY9&amp;'Existing Trees Form'!XEZ9,MultiSelect[TreeCategory]&amp;MultiSelect[TreeStatus],MultiSelect[CodeReference],,,-1)</definedName>
    <definedName name="L3Listb">_xlfn.XLOOKUP('Tree Plantings Form'!XFC1&amp;'Tree Plantings Form'!XFD1,MultiSelect2[ProposedLocation]&amp;MultiSelect2[TreeMitigation],MultiSelect2[CodeReference]):_xlfn.XLOOKUP('Tree Plantings Form'!XFC1&amp;'Tree Plantings Form'!XFD1,MultiSelect2[ProposedLocation]&amp;MultiSelect2[TreeMitigation],MultiSelect2[CodeReference],,,-1)</definedName>
    <definedName name="L4List">_xlfn.XLOOKUP('Existing Trees Form'!XFB1&amp;'Existing Trees Form'!XFC1&amp;'Existing Trees Form'!XFD1,MultiSelect[TreeCategory]&amp;MultiSelect[TreeStatus]&amp;MultiSelect[[ ]],MultiSelect[CodeReference]):_xlfn.XLOOKUP('Existing Trees Form'!XFB1&amp;'Existing Trees Form'!XFC1&amp;'Existing Trees Form'!XFD1,MultiSelect[TreeCategory]&amp;MultiSelect[TreeStatus]&amp;MultiSelect[[ ]],MultiSelect[CodeReference],,,-1)</definedName>
    <definedName name="L5List">_xlfn.XLOOKUP('Existing Trees Form'!XFA1&amp;'Existing Trees Form'!XFB1&amp;'Existing Trees Form'!XFC1&amp;'Existing Trees Form'!XFD1,MultiSelect[TreeCategory]&amp;MultiSelect[TreeStatus]&amp;MultiSelect[[ ]]&amp;MultiSelect[CodeReference],MultiSelect[TreeMitigation]):_xlfn.XLOOKUP('Existing Trees Form'!XFA1&amp;'Existing Trees Form'!XFB1&amp;'Existing Trees Form'!XFC1&amp;'Existing Trees Form'!XFD1,MultiSelect[TreeCategory]&amp;MultiSelect[TreeStatus]&amp;MultiSelect[[ ]]&amp;MultiSelect[CodeReference],MultiSelect[TreeMitigation],,,-1)</definedName>
    <definedName name="_xlnm.Print_Area" localSheetId="0">'Existing Trees Form'!$A:$M</definedName>
    <definedName name="_xlnm.Print_Area" localSheetId="5">'Print or Export'!$A:$M,'Print or Export'!$O:$AB</definedName>
    <definedName name="_xlnm.Print_Area" localSheetId="1">'Tree Plantings Form'!$A:$N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2" i="15" l="1"/>
  <c r="B120" i="15"/>
  <c r="D120" i="15"/>
  <c r="E120" i="15"/>
  <c r="K11" i="15"/>
  <c r="L11" i="15" s="1" a="1"/>
  <c r="L11" i="15" s="1"/>
  <c r="G807" i="3"/>
  <c r="G803" i="3"/>
  <c r="G799" i="3"/>
  <c r="G795" i="3"/>
  <c r="G791" i="3"/>
  <c r="G787" i="3"/>
  <c r="G783" i="3"/>
  <c r="G779" i="3"/>
  <c r="G775" i="3"/>
  <c r="G771" i="3"/>
  <c r="G767" i="3"/>
  <c r="G763" i="3"/>
  <c r="G759" i="3"/>
  <c r="G755" i="3"/>
  <c r="G751" i="3"/>
  <c r="G747" i="3"/>
  <c r="G743" i="3"/>
  <c r="G739" i="3"/>
  <c r="G735" i="3"/>
  <c r="G731" i="3"/>
  <c r="G727" i="3"/>
  <c r="G723" i="3"/>
  <c r="G719" i="3"/>
  <c r="G715" i="3"/>
  <c r="G711" i="3"/>
  <c r="G707" i="3"/>
  <c r="G703" i="3"/>
  <c r="G699" i="3"/>
  <c r="G695" i="3"/>
  <c r="G691" i="3"/>
  <c r="G687" i="3"/>
  <c r="G683" i="3"/>
  <c r="G679" i="3"/>
  <c r="G675" i="3"/>
  <c r="G671" i="3"/>
  <c r="G667" i="3"/>
  <c r="G663" i="3"/>
  <c r="G659" i="3"/>
  <c r="G655" i="3"/>
  <c r="G651" i="3"/>
  <c r="G647" i="3"/>
  <c r="G643" i="3"/>
  <c r="G639" i="3"/>
  <c r="G635" i="3"/>
  <c r="G631" i="3"/>
  <c r="G627" i="3"/>
  <c r="G623" i="3"/>
  <c r="G619" i="3"/>
  <c r="G615" i="3"/>
  <c r="G611" i="3"/>
  <c r="G607" i="3"/>
  <c r="G603" i="3"/>
  <c r="G599" i="3"/>
  <c r="G595" i="3"/>
  <c r="G591" i="3"/>
  <c r="G587" i="3"/>
  <c r="G583" i="3"/>
  <c r="G579" i="3"/>
  <c r="G575" i="3"/>
  <c r="G571" i="3"/>
  <c r="G567" i="3"/>
  <c r="G563" i="3"/>
  <c r="G559" i="3"/>
  <c r="G555" i="3"/>
  <c r="G551" i="3"/>
  <c r="G547" i="3"/>
  <c r="G543" i="3"/>
  <c r="G539" i="3"/>
  <c r="G535" i="3"/>
  <c r="G531" i="3"/>
  <c r="G527" i="3"/>
  <c r="G523" i="3"/>
  <c r="G519" i="3"/>
  <c r="G515" i="3"/>
  <c r="G511" i="3"/>
  <c r="G507" i="3"/>
  <c r="G503" i="3"/>
  <c r="G499" i="3"/>
  <c r="G495" i="3"/>
  <c r="G491" i="3"/>
  <c r="G487" i="3"/>
  <c r="G483" i="3"/>
  <c r="G479" i="3"/>
  <c r="G475" i="3"/>
  <c r="G471" i="3"/>
  <c r="G467" i="3"/>
  <c r="G463" i="3"/>
  <c r="G459" i="3"/>
  <c r="G455" i="3"/>
  <c r="G451" i="3"/>
  <c r="G447" i="3"/>
  <c r="G443" i="3"/>
  <c r="G439" i="3"/>
  <c r="G435" i="3"/>
  <c r="G431" i="3"/>
  <c r="G427" i="3"/>
  <c r="G423" i="3"/>
  <c r="G419" i="3"/>
  <c r="G415" i="3"/>
  <c r="G411" i="3"/>
  <c r="G407" i="3"/>
  <c r="G403" i="3"/>
  <c r="G399" i="3"/>
  <c r="G395" i="3"/>
  <c r="G391" i="3"/>
  <c r="G387" i="3"/>
  <c r="G383" i="3"/>
  <c r="G379" i="3"/>
  <c r="G375" i="3"/>
  <c r="G371" i="3"/>
  <c r="G367" i="3"/>
  <c r="G363" i="3"/>
  <c r="G359" i="3"/>
  <c r="G355" i="3"/>
  <c r="G351" i="3"/>
  <c r="G347" i="3"/>
  <c r="G343" i="3"/>
  <c r="G339" i="3"/>
  <c r="G335" i="3"/>
  <c r="G331" i="3"/>
  <c r="G327" i="3"/>
  <c r="G323" i="3"/>
  <c r="G319" i="3"/>
  <c r="G315" i="3"/>
  <c r="G311" i="3"/>
  <c r="G307" i="3"/>
  <c r="G303" i="3"/>
  <c r="G299" i="3"/>
  <c r="G295" i="3"/>
  <c r="G291" i="3"/>
  <c r="G287" i="3"/>
  <c r="G283" i="3"/>
  <c r="G279" i="3"/>
  <c r="G275" i="3"/>
  <c r="G271" i="3"/>
  <c r="G267" i="3"/>
  <c r="G263" i="3"/>
  <c r="G259" i="3"/>
  <c r="G255" i="3"/>
  <c r="G251" i="3"/>
  <c r="G247" i="3"/>
  <c r="G243" i="3"/>
  <c r="G239" i="3"/>
  <c r="G235" i="3"/>
  <c r="G231" i="3"/>
  <c r="G227" i="3"/>
  <c r="G223" i="3"/>
  <c r="G219" i="3"/>
  <c r="G215" i="3"/>
  <c r="G211" i="3"/>
  <c r="G207" i="3"/>
  <c r="G203" i="3"/>
  <c r="G199" i="3"/>
  <c r="G195" i="3"/>
  <c r="G191" i="3"/>
  <c r="G187" i="3"/>
  <c r="G183" i="3"/>
  <c r="G179" i="3"/>
  <c r="G175" i="3"/>
  <c r="G171" i="3"/>
  <c r="G167" i="3"/>
  <c r="G163" i="3"/>
  <c r="G159" i="3"/>
  <c r="G155" i="3"/>
  <c r="G151" i="3"/>
  <c r="G147" i="3"/>
  <c r="G143" i="3"/>
  <c r="G139" i="3"/>
  <c r="G135" i="3"/>
  <c r="G131" i="3"/>
  <c r="G127" i="3"/>
  <c r="G123" i="3"/>
  <c r="G119" i="3"/>
  <c r="G115" i="3"/>
  <c r="G111" i="3"/>
  <c r="G107" i="3"/>
  <c r="G103" i="3"/>
  <c r="G99" i="3"/>
  <c r="G95" i="3"/>
  <c r="G91" i="3"/>
  <c r="G87" i="3"/>
  <c r="G83" i="3"/>
  <c r="G79" i="3"/>
  <c r="G75" i="3"/>
  <c r="G71" i="3"/>
  <c r="G67" i="3"/>
  <c r="G63" i="3"/>
  <c r="G59" i="3"/>
  <c r="G55" i="3"/>
  <c r="G51" i="3"/>
  <c r="G47" i="3"/>
  <c r="G43" i="3"/>
  <c r="G39" i="3"/>
  <c r="G35" i="3"/>
  <c r="G31" i="3"/>
  <c r="G27" i="3"/>
  <c r="G23" i="3"/>
  <c r="G19" i="3"/>
  <c r="G15" i="3"/>
  <c r="G11" i="3"/>
  <c r="M4" i="27"/>
  <c r="K11" i="3"/>
  <c r="L11" i="3" s="1" a="1"/>
  <c r="L11" i="3" s="1"/>
  <c r="K130" i="15"/>
  <c r="L130" i="15" s="1" a="1"/>
  <c r="L130" i="15" s="1"/>
  <c r="K129" i="15"/>
  <c r="L129" i="15" s="1" a="1"/>
  <c r="L129" i="15" s="1"/>
  <c r="K128" i="15"/>
  <c r="L128" i="15" s="1" a="1"/>
  <c r="L128" i="15" s="1"/>
  <c r="K127" i="15"/>
  <c r="L127" i="15" s="1" a="1"/>
  <c r="L127" i="15" s="1"/>
  <c r="K126" i="15"/>
  <c r="L126" i="15" s="1" a="1"/>
  <c r="L126" i="15" s="1"/>
  <c r="K125" i="15"/>
  <c r="L125" i="15" s="1" a="1"/>
  <c r="L125" i="15" s="1"/>
  <c r="K124" i="15"/>
  <c r="L124" i="15" s="1" a="1"/>
  <c r="L124" i="15" s="1"/>
  <c r="K123" i="15"/>
  <c r="L123" i="15" s="1" a="1"/>
  <c r="L123" i="15" s="1"/>
  <c r="K122" i="15"/>
  <c r="L122" i="15" s="1" a="1"/>
  <c r="L122" i="15" s="1"/>
  <c r="K121" i="15"/>
  <c r="L121" i="15" s="1" a="1"/>
  <c r="L121" i="15" s="1"/>
  <c r="K120" i="15"/>
  <c r="L120" i="15" s="1" a="1"/>
  <c r="L120" i="15" s="1"/>
  <c r="K119" i="15"/>
  <c r="L119" i="15" s="1" a="1"/>
  <c r="L119" i="15" s="1"/>
  <c r="K118" i="15"/>
  <c r="L118" i="15" s="1" a="1"/>
  <c r="L118" i="15" s="1"/>
  <c r="K117" i="15"/>
  <c r="L117" i="15" s="1" a="1"/>
  <c r="L117" i="15" s="1"/>
  <c r="K116" i="15"/>
  <c r="L116" i="15" s="1" a="1"/>
  <c r="L116" i="15" s="1"/>
  <c r="K115" i="15"/>
  <c r="L115" i="15" s="1" a="1"/>
  <c r="L115" i="15" s="1"/>
  <c r="K114" i="15"/>
  <c r="L114" i="15" s="1" a="1"/>
  <c r="L114" i="15" s="1"/>
  <c r="K113" i="15"/>
  <c r="L113" i="15" s="1" a="1"/>
  <c r="L113" i="15" s="1"/>
  <c r="K112" i="15"/>
  <c r="L112" i="15" s="1" a="1"/>
  <c r="L112" i="15" s="1"/>
  <c r="K111" i="15"/>
  <c r="L111" i="15" s="1" a="1"/>
  <c r="L111" i="15" s="1"/>
  <c r="K110" i="15"/>
  <c r="L110" i="15" s="1" a="1"/>
  <c r="L110" i="15" s="1"/>
  <c r="K109" i="15"/>
  <c r="L109" i="15" s="1" a="1"/>
  <c r="L109" i="15" s="1"/>
  <c r="K108" i="15"/>
  <c r="L108" i="15" s="1" a="1"/>
  <c r="L108" i="15" s="1"/>
  <c r="K107" i="15"/>
  <c r="L107" i="15" s="1" a="1"/>
  <c r="L107" i="15" s="1"/>
  <c r="K106" i="15"/>
  <c r="L106" i="15" s="1" a="1"/>
  <c r="L106" i="15" s="1"/>
  <c r="K105" i="15"/>
  <c r="L105" i="15" s="1" a="1"/>
  <c r="L105" i="15" s="1"/>
  <c r="K104" i="15"/>
  <c r="L104" i="15" s="1" a="1"/>
  <c r="L104" i="15" s="1"/>
  <c r="K103" i="15"/>
  <c r="L103" i="15" s="1" a="1"/>
  <c r="L103" i="15" s="1"/>
  <c r="K102" i="15"/>
  <c r="L102" i="15" s="1" a="1"/>
  <c r="L102" i="15" s="1"/>
  <c r="K101" i="15"/>
  <c r="L101" i="15" s="1" a="1"/>
  <c r="L101" i="15" s="1"/>
  <c r="K100" i="15"/>
  <c r="L100" i="15" s="1" a="1"/>
  <c r="L100" i="15" s="1"/>
  <c r="K99" i="15"/>
  <c r="L99" i="15" s="1" a="1"/>
  <c r="L99" i="15" s="1"/>
  <c r="K98" i="15"/>
  <c r="L98" i="15" s="1" a="1"/>
  <c r="L98" i="15" s="1"/>
  <c r="K97" i="15"/>
  <c r="L97" i="15" s="1" a="1"/>
  <c r="L97" i="15" s="1"/>
  <c r="K96" i="15"/>
  <c r="L96" i="15" s="1" a="1"/>
  <c r="L96" i="15" s="1"/>
  <c r="K95" i="15"/>
  <c r="L95" i="15" s="1" a="1"/>
  <c r="L95" i="15" s="1"/>
  <c r="K94" i="15"/>
  <c r="L94" i="15" s="1" a="1"/>
  <c r="L94" i="15" s="1"/>
  <c r="K93" i="15"/>
  <c r="L93" i="15" s="1" a="1"/>
  <c r="L93" i="15" s="1"/>
  <c r="K92" i="15"/>
  <c r="L92" i="15" s="1" a="1"/>
  <c r="L92" i="15" s="1"/>
  <c r="K91" i="15"/>
  <c r="L91" i="15" s="1" a="1"/>
  <c r="L91" i="15" s="1"/>
  <c r="K90" i="15"/>
  <c r="L90" i="15" s="1" a="1"/>
  <c r="L90" i="15" s="1"/>
  <c r="K89" i="15"/>
  <c r="L89" i="15" s="1" a="1"/>
  <c r="L89" i="15" s="1"/>
  <c r="K88" i="15"/>
  <c r="L88" i="15" s="1" a="1"/>
  <c r="L88" i="15" s="1"/>
  <c r="K87" i="15"/>
  <c r="L87" i="15" s="1" a="1"/>
  <c r="L87" i="15" s="1"/>
  <c r="K86" i="15"/>
  <c r="L86" i="15" s="1" a="1"/>
  <c r="L86" i="15" s="1"/>
  <c r="K85" i="15"/>
  <c r="L85" i="15" s="1" a="1"/>
  <c r="L85" i="15" s="1"/>
  <c r="K84" i="15"/>
  <c r="L84" i="15" s="1" a="1"/>
  <c r="L84" i="15" s="1"/>
  <c r="K83" i="15"/>
  <c r="L83" i="15" s="1" a="1"/>
  <c r="L83" i="15" s="1"/>
  <c r="K82" i="15"/>
  <c r="L82" i="15" s="1" a="1"/>
  <c r="L82" i="15" s="1"/>
  <c r="K81" i="15"/>
  <c r="L81" i="15" s="1" a="1"/>
  <c r="L81" i="15" s="1"/>
  <c r="K80" i="15"/>
  <c r="L80" i="15" s="1" a="1"/>
  <c r="L80" i="15" s="1"/>
  <c r="K79" i="15"/>
  <c r="L79" i="15" s="1" a="1"/>
  <c r="L79" i="15" s="1"/>
  <c r="K78" i="15"/>
  <c r="L78" i="15" s="1" a="1"/>
  <c r="L78" i="15" s="1"/>
  <c r="K77" i="15"/>
  <c r="L77" i="15" s="1" a="1"/>
  <c r="L77" i="15" s="1"/>
  <c r="K76" i="15"/>
  <c r="L76" i="15" s="1" a="1"/>
  <c r="L76" i="15" s="1"/>
  <c r="K75" i="15"/>
  <c r="L75" i="15" s="1" a="1"/>
  <c r="L75" i="15" s="1"/>
  <c r="K74" i="15"/>
  <c r="L74" i="15" s="1" a="1"/>
  <c r="L74" i="15" s="1"/>
  <c r="K73" i="15"/>
  <c r="L73" i="15" s="1" a="1"/>
  <c r="L73" i="15" s="1"/>
  <c r="K72" i="15"/>
  <c r="L72" i="15" s="1" a="1"/>
  <c r="L72" i="15" s="1"/>
  <c r="K71" i="15"/>
  <c r="L71" i="15" s="1" a="1"/>
  <c r="L71" i="15" s="1"/>
  <c r="K70" i="15"/>
  <c r="L70" i="15" s="1" a="1"/>
  <c r="L70" i="15" s="1"/>
  <c r="K69" i="15"/>
  <c r="L69" i="15" s="1" a="1"/>
  <c r="L69" i="15" s="1"/>
  <c r="K68" i="15"/>
  <c r="L68" i="15" s="1" a="1"/>
  <c r="L68" i="15" s="1"/>
  <c r="K67" i="15"/>
  <c r="L67" i="15" s="1" a="1"/>
  <c r="L67" i="15" s="1"/>
  <c r="K66" i="15"/>
  <c r="L66" i="15" s="1" a="1"/>
  <c r="L66" i="15" s="1"/>
  <c r="K65" i="15"/>
  <c r="L65" i="15" s="1" a="1"/>
  <c r="L65" i="15" s="1"/>
  <c r="K64" i="15"/>
  <c r="L64" i="15" s="1" a="1"/>
  <c r="L64" i="15" s="1"/>
  <c r="K63" i="15"/>
  <c r="L63" i="15" s="1" a="1"/>
  <c r="L63" i="15" s="1"/>
  <c r="K62" i="15"/>
  <c r="L62" i="15" s="1" a="1"/>
  <c r="L62" i="15" s="1"/>
  <c r="K61" i="15"/>
  <c r="L61" i="15" s="1" a="1"/>
  <c r="L61" i="15" s="1"/>
  <c r="K60" i="15"/>
  <c r="L60" i="15" s="1" a="1"/>
  <c r="L60" i="15" s="1"/>
  <c r="K59" i="15"/>
  <c r="L59" i="15" s="1" a="1"/>
  <c r="L59" i="15" s="1"/>
  <c r="K58" i="15"/>
  <c r="L58" i="15" s="1" a="1"/>
  <c r="L58" i="15" s="1"/>
  <c r="K57" i="15"/>
  <c r="L57" i="15" s="1" a="1"/>
  <c r="L57" i="15" s="1"/>
  <c r="K56" i="15"/>
  <c r="L56" i="15" s="1" a="1"/>
  <c r="L56" i="15" s="1"/>
  <c r="K55" i="15"/>
  <c r="L55" i="15" s="1" a="1"/>
  <c r="L55" i="15" s="1"/>
  <c r="K54" i="15"/>
  <c r="L54" i="15" s="1" a="1"/>
  <c r="L54" i="15" s="1"/>
  <c r="K53" i="15"/>
  <c r="L53" i="15" s="1" a="1"/>
  <c r="L53" i="15" s="1"/>
  <c r="K52" i="15"/>
  <c r="L52" i="15" s="1" a="1"/>
  <c r="L52" i="15" s="1"/>
  <c r="K51" i="15"/>
  <c r="L51" i="15" s="1" a="1"/>
  <c r="L51" i="15" s="1"/>
  <c r="K50" i="15"/>
  <c r="L50" i="15" s="1" a="1"/>
  <c r="L50" i="15" s="1"/>
  <c r="K49" i="15"/>
  <c r="L49" i="15" s="1" a="1"/>
  <c r="L49" i="15" s="1"/>
  <c r="K48" i="15"/>
  <c r="L48" i="15" s="1" a="1"/>
  <c r="L48" i="15" s="1"/>
  <c r="K47" i="15"/>
  <c r="L47" i="15" s="1" a="1"/>
  <c r="L47" i="15" s="1"/>
  <c r="K46" i="15"/>
  <c r="L46" i="15" s="1" a="1"/>
  <c r="L46" i="15" s="1"/>
  <c r="K45" i="15"/>
  <c r="L45" i="15" s="1" a="1"/>
  <c r="L45" i="15" s="1"/>
  <c r="K44" i="15"/>
  <c r="L44" i="15" s="1" a="1"/>
  <c r="L44" i="15" s="1"/>
  <c r="K43" i="15"/>
  <c r="L43" i="15" s="1" a="1"/>
  <c r="L43" i="15" s="1"/>
  <c r="K42" i="15"/>
  <c r="L42" i="15" s="1" a="1"/>
  <c r="L42" i="15" s="1"/>
  <c r="K41" i="15"/>
  <c r="L41" i="15" s="1" a="1"/>
  <c r="L41" i="15" s="1"/>
  <c r="K40" i="15"/>
  <c r="L40" i="15" s="1" a="1"/>
  <c r="L40" i="15" s="1"/>
  <c r="K39" i="15"/>
  <c r="L39" i="15" s="1" a="1"/>
  <c r="L39" i="15" s="1"/>
  <c r="K38" i="15"/>
  <c r="L38" i="15" s="1" a="1"/>
  <c r="L38" i="15" s="1"/>
  <c r="K37" i="15"/>
  <c r="L37" i="15" s="1" a="1"/>
  <c r="L37" i="15" s="1"/>
  <c r="K36" i="15"/>
  <c r="L36" i="15" s="1" a="1"/>
  <c r="L36" i="15" s="1"/>
  <c r="K35" i="15"/>
  <c r="L35" i="15" s="1" a="1"/>
  <c r="L35" i="15" s="1"/>
  <c r="K34" i="15"/>
  <c r="L34" i="15" s="1" a="1"/>
  <c r="L34" i="15" s="1"/>
  <c r="K33" i="15"/>
  <c r="L33" i="15" s="1" a="1"/>
  <c r="L33" i="15" s="1"/>
  <c r="K32" i="15"/>
  <c r="L32" i="15" s="1" a="1"/>
  <c r="L32" i="15" s="1"/>
  <c r="K31" i="15"/>
  <c r="L31" i="15" s="1" a="1"/>
  <c r="L31" i="15" s="1"/>
  <c r="K30" i="15"/>
  <c r="L30" i="15" s="1" a="1"/>
  <c r="L30" i="15" s="1"/>
  <c r="K29" i="15"/>
  <c r="L29" i="15" s="1" a="1"/>
  <c r="L29" i="15" s="1"/>
  <c r="K28" i="15"/>
  <c r="L28" i="15" s="1" a="1"/>
  <c r="L28" i="15" s="1"/>
  <c r="K27" i="15"/>
  <c r="L27" i="15" s="1" a="1"/>
  <c r="L27" i="15" s="1"/>
  <c r="K26" i="15"/>
  <c r="L26" i="15" s="1" a="1"/>
  <c r="L26" i="15" s="1"/>
  <c r="K25" i="15"/>
  <c r="L25" i="15" s="1" a="1"/>
  <c r="L25" i="15" s="1"/>
  <c r="K24" i="15"/>
  <c r="L24" i="15" s="1" a="1"/>
  <c r="L24" i="15" s="1"/>
  <c r="K23" i="15"/>
  <c r="L23" i="15" s="1" a="1"/>
  <c r="L23" i="15" s="1"/>
  <c r="K22" i="15"/>
  <c r="L22" i="15" s="1" a="1"/>
  <c r="L22" i="15" s="1"/>
  <c r="K21" i="15"/>
  <c r="L21" i="15" s="1" a="1"/>
  <c r="L21" i="15" s="1"/>
  <c r="K20" i="15"/>
  <c r="L20" i="15" s="1" a="1"/>
  <c r="L20" i="15" s="1"/>
  <c r="K19" i="15"/>
  <c r="L19" i="15" s="1" a="1"/>
  <c r="L19" i="15" s="1"/>
  <c r="K18" i="15"/>
  <c r="L18" i="15" s="1" a="1"/>
  <c r="L18" i="15" s="1"/>
  <c r="K17" i="15"/>
  <c r="L17" i="15" s="1" a="1"/>
  <c r="L17" i="15" s="1"/>
  <c r="K16" i="15"/>
  <c r="L16" i="15" s="1" a="1"/>
  <c r="L16" i="15" s="1"/>
  <c r="K15" i="15"/>
  <c r="L15" i="15" s="1" a="1"/>
  <c r="L15" i="15" s="1"/>
  <c r="K14" i="15"/>
  <c r="L14" i="15" s="1" a="1"/>
  <c r="L14" i="15" s="1"/>
  <c r="K13" i="15"/>
  <c r="L13" i="15" s="1" a="1"/>
  <c r="L13" i="15" s="1"/>
  <c r="K12" i="15"/>
  <c r="L12" i="15" s="1" a="1"/>
  <c r="L12" i="15" s="1"/>
  <c r="L810" i="3" a="1"/>
  <c r="L810" i="3" s="1"/>
  <c r="K810" i="3"/>
  <c r="L807" i="3" a="1"/>
  <c r="L807" i="3" s="1"/>
  <c r="K807" i="3"/>
  <c r="L803" i="3" a="1"/>
  <c r="L803" i="3" s="1"/>
  <c r="K803" i="3"/>
  <c r="L799" i="3" a="1"/>
  <c r="L799" i="3" s="1"/>
  <c r="K799" i="3"/>
  <c r="L795" i="3" a="1"/>
  <c r="L795" i="3" s="1"/>
  <c r="K795" i="3"/>
  <c r="L791" i="3" a="1"/>
  <c r="L791" i="3" s="1"/>
  <c r="K791" i="3"/>
  <c r="L787" i="3" a="1"/>
  <c r="L787" i="3" s="1"/>
  <c r="K787" i="3"/>
  <c r="L783" i="3" a="1"/>
  <c r="L783" i="3" s="1"/>
  <c r="K783" i="3"/>
  <c r="L779" i="3" a="1"/>
  <c r="L779" i="3" s="1"/>
  <c r="K779" i="3"/>
  <c r="L775" i="3" a="1"/>
  <c r="L775" i="3" s="1"/>
  <c r="K775" i="3"/>
  <c r="L771" i="3" a="1"/>
  <c r="L771" i="3" s="1"/>
  <c r="K771" i="3"/>
  <c r="L767" i="3" a="1"/>
  <c r="L767" i="3" s="1"/>
  <c r="K767" i="3"/>
  <c r="L763" i="3" a="1"/>
  <c r="L763" i="3" s="1"/>
  <c r="K763" i="3"/>
  <c r="L759" i="3" a="1"/>
  <c r="L759" i="3" s="1"/>
  <c r="K759" i="3"/>
  <c r="L755" i="3" a="1"/>
  <c r="L755" i="3" s="1"/>
  <c r="K755" i="3"/>
  <c r="L751" i="3" a="1"/>
  <c r="L751" i="3" s="1"/>
  <c r="K751" i="3"/>
  <c r="L747" i="3" a="1"/>
  <c r="L747" i="3" s="1"/>
  <c r="K747" i="3"/>
  <c r="L743" i="3" a="1"/>
  <c r="L743" i="3" s="1"/>
  <c r="K743" i="3"/>
  <c r="L739" i="3" a="1"/>
  <c r="L739" i="3" s="1"/>
  <c r="K739" i="3"/>
  <c r="L735" i="3" a="1"/>
  <c r="L735" i="3" s="1"/>
  <c r="K735" i="3"/>
  <c r="L731" i="3" a="1"/>
  <c r="L731" i="3" s="1"/>
  <c r="K731" i="3"/>
  <c r="L727" i="3" a="1"/>
  <c r="L727" i="3" s="1"/>
  <c r="K727" i="3"/>
  <c r="L723" i="3" a="1"/>
  <c r="L723" i="3" s="1"/>
  <c r="K723" i="3"/>
  <c r="L719" i="3" a="1"/>
  <c r="L719" i="3" s="1"/>
  <c r="K719" i="3"/>
  <c r="L715" i="3" a="1"/>
  <c r="L715" i="3" s="1"/>
  <c r="K715" i="3"/>
  <c r="L711" i="3" a="1"/>
  <c r="L711" i="3" s="1"/>
  <c r="K711" i="3"/>
  <c r="L707" i="3" a="1"/>
  <c r="L707" i="3" s="1"/>
  <c r="K707" i="3"/>
  <c r="L703" i="3" a="1"/>
  <c r="L703" i="3" s="1"/>
  <c r="K703" i="3"/>
  <c r="L699" i="3" a="1"/>
  <c r="L699" i="3" s="1"/>
  <c r="K699" i="3"/>
  <c r="L695" i="3" a="1"/>
  <c r="L695" i="3" s="1"/>
  <c r="K695" i="3"/>
  <c r="L691" i="3" a="1"/>
  <c r="L691" i="3" s="1"/>
  <c r="K691" i="3"/>
  <c r="L687" i="3" a="1"/>
  <c r="L687" i="3" s="1"/>
  <c r="K687" i="3"/>
  <c r="L683" i="3" a="1"/>
  <c r="L683" i="3" s="1"/>
  <c r="K683" i="3"/>
  <c r="L679" i="3" a="1"/>
  <c r="L679" i="3" s="1"/>
  <c r="K679" i="3"/>
  <c r="L675" i="3" a="1"/>
  <c r="L675" i="3" s="1"/>
  <c r="K675" i="3"/>
  <c r="L671" i="3" a="1"/>
  <c r="L671" i="3" s="1"/>
  <c r="K671" i="3"/>
  <c r="L667" i="3" a="1"/>
  <c r="L667" i="3" s="1"/>
  <c r="K667" i="3"/>
  <c r="L663" i="3" a="1"/>
  <c r="L663" i="3" s="1"/>
  <c r="K663" i="3"/>
  <c r="L659" i="3" a="1"/>
  <c r="L659" i="3" s="1"/>
  <c r="K659" i="3"/>
  <c r="L655" i="3" a="1"/>
  <c r="L655" i="3" s="1"/>
  <c r="K655" i="3"/>
  <c r="L651" i="3" a="1"/>
  <c r="L651" i="3" s="1"/>
  <c r="K651" i="3"/>
  <c r="L647" i="3" a="1"/>
  <c r="L647" i="3" s="1"/>
  <c r="K647" i="3"/>
  <c r="L643" i="3" a="1"/>
  <c r="L643" i="3" s="1"/>
  <c r="K643" i="3"/>
  <c r="L639" i="3" a="1"/>
  <c r="L639" i="3" s="1"/>
  <c r="K639" i="3"/>
  <c r="L635" i="3" a="1"/>
  <c r="L635" i="3" s="1"/>
  <c r="K635" i="3"/>
  <c r="L631" i="3" a="1"/>
  <c r="L631" i="3" s="1"/>
  <c r="K631" i="3"/>
  <c r="L627" i="3" a="1"/>
  <c r="L627" i="3" s="1"/>
  <c r="K627" i="3"/>
  <c r="L623" i="3" a="1"/>
  <c r="L623" i="3" s="1"/>
  <c r="K623" i="3"/>
  <c r="L619" i="3" a="1"/>
  <c r="L619" i="3" s="1"/>
  <c r="K619" i="3"/>
  <c r="L615" i="3" a="1"/>
  <c r="L615" i="3" s="1"/>
  <c r="K615" i="3"/>
  <c r="L611" i="3" a="1"/>
  <c r="L611" i="3" s="1"/>
  <c r="K611" i="3"/>
  <c r="L607" i="3" a="1"/>
  <c r="L607" i="3" s="1"/>
  <c r="K607" i="3"/>
  <c r="L603" i="3" a="1"/>
  <c r="L603" i="3" s="1"/>
  <c r="K603" i="3"/>
  <c r="L599" i="3" a="1"/>
  <c r="L599" i="3" s="1"/>
  <c r="K599" i="3"/>
  <c r="L595" i="3" a="1"/>
  <c r="L595" i="3" s="1"/>
  <c r="K595" i="3"/>
  <c r="L591" i="3" a="1"/>
  <c r="L591" i="3" s="1"/>
  <c r="K591" i="3"/>
  <c r="L587" i="3" a="1"/>
  <c r="L587" i="3" s="1"/>
  <c r="K587" i="3"/>
  <c r="L583" i="3" a="1"/>
  <c r="L583" i="3" s="1"/>
  <c r="K583" i="3"/>
  <c r="L579" i="3" a="1"/>
  <c r="L579" i="3" s="1"/>
  <c r="K579" i="3"/>
  <c r="L575" i="3" a="1"/>
  <c r="L575" i="3" s="1"/>
  <c r="K575" i="3"/>
  <c r="L571" i="3" a="1"/>
  <c r="L571" i="3" s="1"/>
  <c r="K571" i="3"/>
  <c r="L567" i="3" a="1"/>
  <c r="L567" i="3" s="1"/>
  <c r="K567" i="3"/>
  <c r="L563" i="3" a="1"/>
  <c r="L563" i="3" s="1"/>
  <c r="K563" i="3"/>
  <c r="L559" i="3" a="1"/>
  <c r="L559" i="3" s="1"/>
  <c r="K559" i="3"/>
  <c r="L555" i="3" a="1"/>
  <c r="L555" i="3" s="1"/>
  <c r="K555" i="3"/>
  <c r="L551" i="3" a="1"/>
  <c r="L551" i="3" s="1"/>
  <c r="K551" i="3"/>
  <c r="L547" i="3" a="1"/>
  <c r="L547" i="3" s="1"/>
  <c r="K547" i="3"/>
  <c r="L543" i="3" a="1"/>
  <c r="L543" i="3" s="1"/>
  <c r="K543" i="3"/>
  <c r="L539" i="3" a="1"/>
  <c r="L539" i="3" s="1"/>
  <c r="K539" i="3"/>
  <c r="L535" i="3" a="1"/>
  <c r="L535" i="3" s="1"/>
  <c r="K535" i="3"/>
  <c r="L531" i="3" a="1"/>
  <c r="L531" i="3" s="1"/>
  <c r="K531" i="3"/>
  <c r="L527" i="3" a="1"/>
  <c r="L527" i="3" s="1"/>
  <c r="K527" i="3"/>
  <c r="L523" i="3" a="1"/>
  <c r="L523" i="3" s="1"/>
  <c r="K523" i="3"/>
  <c r="L519" i="3" a="1"/>
  <c r="L519" i="3" s="1"/>
  <c r="K519" i="3"/>
  <c r="L515" i="3" a="1"/>
  <c r="L515" i="3" s="1"/>
  <c r="K515" i="3"/>
  <c r="L511" i="3" a="1"/>
  <c r="L511" i="3" s="1"/>
  <c r="K511" i="3"/>
  <c r="L507" i="3" a="1"/>
  <c r="L507" i="3" s="1"/>
  <c r="K507" i="3"/>
  <c r="L503" i="3" a="1"/>
  <c r="L503" i="3" s="1"/>
  <c r="K503" i="3"/>
  <c r="L499" i="3" a="1"/>
  <c r="L499" i="3" s="1"/>
  <c r="K499" i="3"/>
  <c r="L495" i="3" a="1"/>
  <c r="L495" i="3" s="1"/>
  <c r="K495" i="3"/>
  <c r="L491" i="3" a="1"/>
  <c r="L491" i="3" s="1"/>
  <c r="K491" i="3"/>
  <c r="L487" i="3" a="1"/>
  <c r="L487" i="3" s="1"/>
  <c r="K487" i="3"/>
  <c r="L483" i="3" a="1"/>
  <c r="L483" i="3" s="1"/>
  <c r="K483" i="3"/>
  <c r="L479" i="3" a="1"/>
  <c r="L479" i="3" s="1"/>
  <c r="K479" i="3"/>
  <c r="L475" i="3" a="1"/>
  <c r="L475" i="3" s="1"/>
  <c r="K475" i="3"/>
  <c r="L471" i="3" a="1"/>
  <c r="L471" i="3" s="1"/>
  <c r="K471" i="3"/>
  <c r="L467" i="3" a="1"/>
  <c r="L467" i="3" s="1"/>
  <c r="K467" i="3"/>
  <c r="L463" i="3" a="1"/>
  <c r="L463" i="3" s="1"/>
  <c r="K463" i="3"/>
  <c r="L459" i="3" a="1"/>
  <c r="L459" i="3" s="1"/>
  <c r="K459" i="3"/>
  <c r="L455" i="3" a="1"/>
  <c r="L455" i="3" s="1"/>
  <c r="K455" i="3"/>
  <c r="L451" i="3" a="1"/>
  <c r="L451" i="3" s="1"/>
  <c r="K451" i="3"/>
  <c r="L447" i="3" a="1"/>
  <c r="L447" i="3" s="1"/>
  <c r="K447" i="3"/>
  <c r="L443" i="3" a="1"/>
  <c r="L443" i="3" s="1"/>
  <c r="K443" i="3"/>
  <c r="L439" i="3" a="1"/>
  <c r="L439" i="3" s="1"/>
  <c r="K439" i="3"/>
  <c r="L435" i="3" a="1"/>
  <c r="L435" i="3" s="1"/>
  <c r="K435" i="3"/>
  <c r="L431" i="3" a="1"/>
  <c r="L431" i="3" s="1"/>
  <c r="K431" i="3"/>
  <c r="L427" i="3" a="1"/>
  <c r="L427" i="3" s="1"/>
  <c r="K427" i="3"/>
  <c r="L423" i="3" a="1"/>
  <c r="L423" i="3" s="1"/>
  <c r="K423" i="3"/>
  <c r="L419" i="3" a="1"/>
  <c r="L419" i="3" s="1"/>
  <c r="K419" i="3"/>
  <c r="L415" i="3" a="1"/>
  <c r="L415" i="3" s="1"/>
  <c r="K415" i="3"/>
  <c r="L411" i="3" a="1"/>
  <c r="L411" i="3" s="1"/>
  <c r="K411" i="3"/>
  <c r="L407" i="3" a="1"/>
  <c r="L407" i="3" s="1"/>
  <c r="K407" i="3"/>
  <c r="L403" i="3" a="1"/>
  <c r="L403" i="3" s="1"/>
  <c r="K403" i="3"/>
  <c r="L399" i="3" a="1"/>
  <c r="L399" i="3" s="1"/>
  <c r="K399" i="3"/>
  <c r="L395" i="3" a="1"/>
  <c r="L395" i="3" s="1"/>
  <c r="K395" i="3"/>
  <c r="L391" i="3" a="1"/>
  <c r="L391" i="3" s="1"/>
  <c r="K391" i="3"/>
  <c r="L387" i="3" a="1"/>
  <c r="L387" i="3" s="1"/>
  <c r="K387" i="3"/>
  <c r="L383" i="3" a="1"/>
  <c r="L383" i="3" s="1"/>
  <c r="K383" i="3"/>
  <c r="L379" i="3" a="1"/>
  <c r="L379" i="3" s="1"/>
  <c r="K379" i="3"/>
  <c r="L375" i="3" a="1"/>
  <c r="L375" i="3" s="1"/>
  <c r="K375" i="3"/>
  <c r="L371" i="3" a="1"/>
  <c r="L371" i="3" s="1"/>
  <c r="K371" i="3"/>
  <c r="L367" i="3" a="1"/>
  <c r="L367" i="3" s="1"/>
  <c r="K367" i="3"/>
  <c r="L363" i="3" a="1"/>
  <c r="L363" i="3" s="1"/>
  <c r="K363" i="3"/>
  <c r="L359" i="3" a="1"/>
  <c r="L359" i="3" s="1"/>
  <c r="K359" i="3"/>
  <c r="L355" i="3" a="1"/>
  <c r="L355" i="3" s="1"/>
  <c r="K355" i="3"/>
  <c r="L351" i="3" a="1"/>
  <c r="L351" i="3" s="1"/>
  <c r="K351" i="3"/>
  <c r="L347" i="3" a="1"/>
  <c r="L347" i="3" s="1"/>
  <c r="K347" i="3"/>
  <c r="L343" i="3" a="1"/>
  <c r="L343" i="3" s="1"/>
  <c r="K343" i="3"/>
  <c r="L339" i="3" a="1"/>
  <c r="L339" i="3" s="1"/>
  <c r="K339" i="3"/>
  <c r="L335" i="3" a="1"/>
  <c r="L335" i="3" s="1"/>
  <c r="K335" i="3"/>
  <c r="L331" i="3" a="1"/>
  <c r="L331" i="3" s="1"/>
  <c r="K331" i="3"/>
  <c r="L327" i="3" a="1"/>
  <c r="L327" i="3" s="1"/>
  <c r="K327" i="3"/>
  <c r="L323" i="3" a="1"/>
  <c r="L323" i="3" s="1"/>
  <c r="K323" i="3"/>
  <c r="L319" i="3" a="1"/>
  <c r="L319" i="3" s="1"/>
  <c r="K319" i="3"/>
  <c r="L315" i="3" a="1"/>
  <c r="L315" i="3" s="1"/>
  <c r="K315" i="3"/>
  <c r="L311" i="3" a="1"/>
  <c r="L311" i="3" s="1"/>
  <c r="K311" i="3"/>
  <c r="L307" i="3" a="1"/>
  <c r="L307" i="3" s="1"/>
  <c r="K307" i="3"/>
  <c r="L303" i="3" a="1"/>
  <c r="L303" i="3" s="1"/>
  <c r="K303" i="3"/>
  <c r="L299" i="3" a="1"/>
  <c r="L299" i="3" s="1"/>
  <c r="K299" i="3"/>
  <c r="L295" i="3" a="1"/>
  <c r="L295" i="3" s="1"/>
  <c r="K295" i="3"/>
  <c r="L291" i="3" a="1"/>
  <c r="L291" i="3" s="1"/>
  <c r="K291" i="3"/>
  <c r="L287" i="3" a="1"/>
  <c r="L287" i="3" s="1"/>
  <c r="K287" i="3"/>
  <c r="L283" i="3" a="1"/>
  <c r="L283" i="3" s="1"/>
  <c r="K283" i="3"/>
  <c r="L279" i="3" a="1"/>
  <c r="L279" i="3" s="1"/>
  <c r="K279" i="3"/>
  <c r="L275" i="3" a="1"/>
  <c r="L275" i="3" s="1"/>
  <c r="K275" i="3"/>
  <c r="L271" i="3" a="1"/>
  <c r="L271" i="3" s="1"/>
  <c r="K271" i="3"/>
  <c r="L267" i="3" a="1"/>
  <c r="L267" i="3" s="1"/>
  <c r="K267" i="3"/>
  <c r="L263" i="3" a="1"/>
  <c r="L263" i="3" s="1"/>
  <c r="K263" i="3"/>
  <c r="L259" i="3" a="1"/>
  <c r="L259" i="3" s="1"/>
  <c r="K259" i="3"/>
  <c r="L255" i="3" a="1"/>
  <c r="L255" i="3" s="1"/>
  <c r="K255" i="3"/>
  <c r="L251" i="3" a="1"/>
  <c r="L251" i="3" s="1"/>
  <c r="K251" i="3"/>
  <c r="L247" i="3" a="1"/>
  <c r="L247" i="3" s="1"/>
  <c r="K247" i="3"/>
  <c r="L243" i="3" a="1"/>
  <c r="L243" i="3" s="1"/>
  <c r="K243" i="3"/>
  <c r="L239" i="3" a="1"/>
  <c r="L239" i="3" s="1"/>
  <c r="K239" i="3"/>
  <c r="L235" i="3" a="1"/>
  <c r="L235" i="3" s="1"/>
  <c r="K235" i="3"/>
  <c r="L231" i="3" a="1"/>
  <c r="L231" i="3" s="1"/>
  <c r="K231" i="3"/>
  <c r="L227" i="3" a="1"/>
  <c r="L227" i="3" s="1"/>
  <c r="K227" i="3"/>
  <c r="L223" i="3" a="1"/>
  <c r="L223" i="3" s="1"/>
  <c r="K223" i="3"/>
  <c r="L219" i="3" a="1"/>
  <c r="L219" i="3" s="1"/>
  <c r="K219" i="3"/>
  <c r="L215" i="3" a="1"/>
  <c r="L215" i="3" s="1"/>
  <c r="K215" i="3"/>
  <c r="L211" i="3" a="1"/>
  <c r="L211" i="3" s="1"/>
  <c r="K211" i="3"/>
  <c r="L207" i="3" a="1"/>
  <c r="L207" i="3" s="1"/>
  <c r="K207" i="3"/>
  <c r="L203" i="3" a="1"/>
  <c r="L203" i="3" s="1"/>
  <c r="K203" i="3"/>
  <c r="L199" i="3" a="1"/>
  <c r="L199" i="3" s="1"/>
  <c r="K199" i="3"/>
  <c r="L195" i="3" a="1"/>
  <c r="L195" i="3" s="1"/>
  <c r="K195" i="3"/>
  <c r="L191" i="3" a="1"/>
  <c r="L191" i="3" s="1"/>
  <c r="K191" i="3"/>
  <c r="L187" i="3" a="1"/>
  <c r="L187" i="3" s="1"/>
  <c r="K187" i="3"/>
  <c r="L183" i="3" a="1"/>
  <c r="L183" i="3" s="1"/>
  <c r="K183" i="3"/>
  <c r="L179" i="3" a="1"/>
  <c r="L179" i="3" s="1"/>
  <c r="K179" i="3"/>
  <c r="L175" i="3" a="1"/>
  <c r="L175" i="3" s="1"/>
  <c r="K175" i="3"/>
  <c r="L171" i="3" a="1"/>
  <c r="L171" i="3" s="1"/>
  <c r="K171" i="3"/>
  <c r="L167" i="3" a="1"/>
  <c r="L167" i="3" s="1"/>
  <c r="K167" i="3"/>
  <c r="L163" i="3" a="1"/>
  <c r="L163" i="3" s="1"/>
  <c r="K163" i="3"/>
  <c r="L159" i="3" a="1"/>
  <c r="L159" i="3" s="1"/>
  <c r="K159" i="3"/>
  <c r="L155" i="3" a="1"/>
  <c r="L155" i="3" s="1"/>
  <c r="K155" i="3"/>
  <c r="L151" i="3" a="1"/>
  <c r="L151" i="3" s="1"/>
  <c r="K151" i="3"/>
  <c r="L147" i="3" a="1"/>
  <c r="L147" i="3" s="1"/>
  <c r="K147" i="3"/>
  <c r="L143" i="3" a="1"/>
  <c r="L143" i="3" s="1"/>
  <c r="K143" i="3"/>
  <c r="L139" i="3" a="1"/>
  <c r="L139" i="3" s="1"/>
  <c r="K139" i="3"/>
  <c r="L135" i="3" a="1"/>
  <c r="L135" i="3" s="1"/>
  <c r="K135" i="3"/>
  <c r="L131" i="3" a="1"/>
  <c r="L131" i="3" s="1"/>
  <c r="K131" i="3"/>
  <c r="L127" i="3" a="1"/>
  <c r="L127" i="3" s="1"/>
  <c r="K127" i="3"/>
  <c r="L123" i="3" a="1"/>
  <c r="L123" i="3" s="1"/>
  <c r="K123" i="3"/>
  <c r="L119" i="3" a="1"/>
  <c r="L119" i="3" s="1"/>
  <c r="K119" i="3"/>
  <c r="L115" i="3" a="1"/>
  <c r="L115" i="3" s="1"/>
  <c r="K115" i="3"/>
  <c r="L111" i="3" a="1"/>
  <c r="L111" i="3" s="1"/>
  <c r="K111" i="3"/>
  <c r="L107" i="3" a="1"/>
  <c r="L107" i="3" s="1"/>
  <c r="K107" i="3"/>
  <c r="L103" i="3" a="1"/>
  <c r="L103" i="3" s="1"/>
  <c r="K103" i="3"/>
  <c r="L99" i="3" a="1"/>
  <c r="L99" i="3" s="1"/>
  <c r="K99" i="3"/>
  <c r="L95" i="3" a="1"/>
  <c r="L95" i="3" s="1"/>
  <c r="K95" i="3"/>
  <c r="L91" i="3" a="1"/>
  <c r="L91" i="3" s="1"/>
  <c r="K91" i="3"/>
  <c r="L87" i="3" a="1"/>
  <c r="L87" i="3" s="1"/>
  <c r="K87" i="3"/>
  <c r="L83" i="3" a="1"/>
  <c r="L83" i="3" s="1"/>
  <c r="K83" i="3"/>
  <c r="L79" i="3" a="1"/>
  <c r="L79" i="3" s="1"/>
  <c r="K79" i="3"/>
  <c r="L75" i="3" a="1"/>
  <c r="L75" i="3" s="1"/>
  <c r="K75" i="3"/>
  <c r="L71" i="3" a="1"/>
  <c r="L71" i="3" s="1"/>
  <c r="K71" i="3"/>
  <c r="L67" i="3" a="1"/>
  <c r="L67" i="3" s="1"/>
  <c r="K67" i="3"/>
  <c r="L63" i="3" a="1"/>
  <c r="L63" i="3" s="1"/>
  <c r="K63" i="3"/>
  <c r="L59" i="3" a="1"/>
  <c r="L59" i="3" s="1"/>
  <c r="K59" i="3"/>
  <c r="L55" i="3" a="1"/>
  <c r="L55" i="3" s="1"/>
  <c r="K55" i="3"/>
  <c r="L51" i="3" a="1"/>
  <c r="L51" i="3" s="1"/>
  <c r="K51" i="3"/>
  <c r="L47" i="3" a="1"/>
  <c r="L47" i="3" s="1"/>
  <c r="K47" i="3"/>
  <c r="L43" i="3" a="1"/>
  <c r="L43" i="3" s="1"/>
  <c r="K43" i="3"/>
  <c r="L39" i="3" a="1"/>
  <c r="L39" i="3" s="1"/>
  <c r="K39" i="3"/>
  <c r="L35" i="3" a="1"/>
  <c r="L35" i="3" s="1"/>
  <c r="K35" i="3"/>
  <c r="L31" i="3" a="1"/>
  <c r="L31" i="3" s="1"/>
  <c r="K31" i="3"/>
  <c r="L27" i="3" a="1"/>
  <c r="L27" i="3" s="1"/>
  <c r="K27" i="3"/>
  <c r="K23" i="3"/>
  <c r="L23" i="3" s="1" a="1"/>
  <c r="L23" i="3" s="1"/>
  <c r="L19" i="3" a="1"/>
  <c r="L19" i="3" s="1"/>
  <c r="K19" i="3"/>
  <c r="L15" i="3" a="1"/>
  <c r="L15" i="3" s="1"/>
  <c r="K15" i="3"/>
  <c r="J5" i="15" a="1"/>
  <c r="J5" i="15" s="1"/>
  <c r="J6" i="3" s="1"/>
  <c r="E104" i="3"/>
  <c r="F104" i="3"/>
  <c r="G104" i="3" s="1"/>
  <c r="D12" i="15"/>
  <c r="P123" i="15" a="1"/>
  <c r="C773" i="16" a="1"/>
  <c r="P64" i="15" a="1"/>
  <c r="C688" i="16" a="1"/>
  <c r="P41" i="15" a="1"/>
  <c r="P103" i="15" a="1"/>
  <c r="P105" i="15" a="1"/>
  <c r="C750" i="16" a="1"/>
  <c r="C798" i="16" a="1"/>
  <c r="C713" i="16" a="1"/>
  <c r="P17" i="15" a="1"/>
  <c r="C810" i="16" a="1"/>
  <c r="P47" i="15" a="1"/>
  <c r="P42" i="15" a="1"/>
  <c r="P25" i="15" a="1"/>
  <c r="C687" i="16" a="1"/>
  <c r="C707" i="16" a="1"/>
  <c r="C785" i="16" a="1"/>
  <c r="P124" i="15" a="1"/>
  <c r="P91" i="15" a="1"/>
  <c r="C815" i="16" a="1"/>
  <c r="C747" i="16" a="1"/>
  <c r="C715" i="16" a="1"/>
  <c r="P16" i="15" a="1"/>
  <c r="P84" i="15" a="1"/>
  <c r="C784" i="16" a="1"/>
  <c r="P89" i="15" a="1"/>
  <c r="C691" i="16" a="1"/>
  <c r="C769" i="16" a="1"/>
  <c r="C800" i="16" a="1"/>
  <c r="C791" i="16" a="1"/>
  <c r="C681" i="16" a="1"/>
  <c r="P58" i="15" a="1"/>
  <c r="P71" i="15" a="1"/>
  <c r="P26" i="15" a="1"/>
  <c r="P74" i="15" a="1"/>
  <c r="P75" i="15" a="1"/>
  <c r="P66" i="15" a="1"/>
  <c r="C684" i="16" a="1"/>
  <c r="C770" i="16" a="1"/>
  <c r="P82" i="15" a="1"/>
  <c r="P19" i="15" a="1"/>
  <c r="C782" i="16" a="1"/>
  <c r="C700" i="16" a="1"/>
  <c r="C787" i="16" a="1"/>
  <c r="P67" i="15" a="1"/>
  <c r="C824" i="16" a="1"/>
  <c r="C797" i="16" a="1"/>
  <c r="C721" i="16" a="1"/>
  <c r="C807" i="16" a="1"/>
  <c r="C789" i="16" a="1"/>
  <c r="P97" i="15" a="1"/>
  <c r="C717" i="16" a="1"/>
  <c r="C739" i="16" a="1"/>
  <c r="P56" i="15" a="1"/>
  <c r="P63" i="15" a="1"/>
  <c r="P125" i="15" a="1"/>
  <c r="C821" i="16" a="1"/>
  <c r="C778" i="16" a="1"/>
  <c r="C740" i="16" a="1"/>
  <c r="P92" i="15" a="1"/>
  <c r="C811" i="16" a="1"/>
  <c r="C804" i="16" a="1"/>
  <c r="P51" i="15" a="1"/>
  <c r="C708" i="16" a="1"/>
  <c r="P116" i="15" a="1"/>
  <c r="P101" i="15" a="1"/>
  <c r="C693" i="16" a="1"/>
  <c r="P122" i="15" a="1"/>
  <c r="C725" i="16" a="1"/>
  <c r="C817" i="16" a="1"/>
  <c r="C755" i="16" a="1"/>
  <c r="C823" i="16" a="1"/>
  <c r="C760" i="16" a="1"/>
  <c r="C802" i="16" a="1"/>
  <c r="P98" i="15" a="1"/>
  <c r="P15" i="15" a="1"/>
  <c r="P112" i="15" a="1"/>
  <c r="C737" i="16" a="1"/>
  <c r="C711" i="16" a="1"/>
  <c r="C792" i="16" a="1"/>
  <c r="C813" i="16" a="1"/>
  <c r="P36" i="15" a="1"/>
  <c r="C767" i="16" a="1"/>
  <c r="P31" i="15" a="1"/>
  <c r="P78" i="15" a="1"/>
  <c r="C748" i="16" a="1"/>
  <c r="C727" i="16" a="1"/>
  <c r="P54" i="15" a="1"/>
  <c r="C779" i="16" a="1"/>
  <c r="C732" i="16" a="1"/>
  <c r="C736" i="16" a="1"/>
  <c r="C820" i="16" a="1"/>
  <c r="C680" i="16" a="1"/>
  <c r="P95" i="15" a="1"/>
  <c r="C724" i="16" a="1"/>
  <c r="C761" i="16" a="1"/>
  <c r="P27" i="15" a="1"/>
  <c r="P102" i="15" a="1"/>
  <c r="P13" i="15" a="1"/>
  <c r="C786" i="16" a="1"/>
  <c r="C774" i="16" a="1"/>
  <c r="C696" i="16" a="1"/>
  <c r="C772" i="16" a="1"/>
  <c r="P115" i="15" a="1"/>
  <c r="P70" i="15" a="1"/>
  <c r="P118" i="15" a="1"/>
  <c r="P38" i="15" a="1"/>
  <c r="P119" i="15" a="1"/>
  <c r="C781" i="16" a="1"/>
  <c r="C752" i="16" a="1"/>
  <c r="C686" i="16" a="1"/>
  <c r="C806" i="16" a="1"/>
  <c r="C771" i="16" a="1"/>
  <c r="P110" i="15" a="1"/>
  <c r="P68" i="15" a="1"/>
  <c r="C780" i="16" a="1"/>
  <c r="C794" i="16" a="1"/>
  <c r="C731" i="16" a="1"/>
  <c r="C705" i="16" a="1"/>
  <c r="C759" i="16" a="1"/>
  <c r="C692" i="16" a="1"/>
  <c r="C733" i="16" a="1"/>
  <c r="C679" i="16" a="1"/>
  <c r="C678" i="16" a="1"/>
  <c r="P59" i="15" a="1"/>
  <c r="C788" i="16" a="1"/>
  <c r="C762" i="16" a="1"/>
  <c r="P49" i="15" a="1"/>
  <c r="C822" i="16" a="1"/>
  <c r="O11" i="3" a="1"/>
  <c r="P130" i="15" a="1"/>
  <c r="C803" i="16" a="1"/>
  <c r="P108" i="15" a="1"/>
  <c r="C704" i="16" a="1"/>
  <c r="C703" i="16" a="1"/>
  <c r="C738" i="16" a="1"/>
  <c r="P44" i="15" a="1"/>
  <c r="P24" i="15" a="1"/>
  <c r="P121" i="15" a="1"/>
  <c r="C682" i="16" a="1"/>
  <c r="C716" i="16" a="1"/>
  <c r="C749" i="16" a="1"/>
  <c r="C730" i="16" a="1"/>
  <c r="P76" i="15" a="1"/>
  <c r="P81" i="15" a="1"/>
  <c r="C741" i="16" a="1"/>
  <c r="C689" i="16" a="1"/>
  <c r="P20" i="15" a="1"/>
  <c r="C812" i="16" a="1"/>
  <c r="P40" i="15" a="1"/>
  <c r="P11" i="15" a="1"/>
  <c r="P33" i="15" a="1"/>
  <c r="P87" i="15" a="1"/>
  <c r="P129" i="15" a="1"/>
  <c r="C768" i="16" a="1"/>
  <c r="C710" i="16" a="1"/>
  <c r="P37" i="15" a="1"/>
  <c r="P35" i="15" a="1"/>
  <c r="C694" i="16" a="1"/>
  <c r="C805" i="16" a="1"/>
  <c r="P32" i="15" a="1"/>
  <c r="P117" i="15" a="1"/>
  <c r="P107" i="15" a="1"/>
  <c r="P73" i="15" a="1"/>
  <c r="P104" i="15" a="1"/>
  <c r="C697" i="16" a="1"/>
  <c r="C763" i="16" a="1"/>
  <c r="P69" i="15" a="1"/>
  <c r="C720" i="16" a="1"/>
  <c r="P77" i="15" a="1"/>
  <c r="C751" i="16" a="1"/>
  <c r="C808" i="16" a="1"/>
  <c r="P94" i="15" a="1"/>
  <c r="P100" i="15" a="1"/>
  <c r="P55" i="15" a="1"/>
  <c r="C745" i="16" a="1"/>
  <c r="C790" i="16" a="1"/>
  <c r="C683" i="16" a="1"/>
  <c r="C718" i="16" a="1"/>
  <c r="C699" i="16" a="1"/>
  <c r="C728" i="16" a="1"/>
  <c r="P80" i="15" a="1"/>
  <c r="C756" i="16" a="1"/>
  <c r="C743" i="16" a="1"/>
  <c r="C825" i="16" a="1"/>
  <c r="P48" i="15" a="1"/>
  <c r="C819" i="16" a="1"/>
  <c r="C796" i="16" a="1"/>
  <c r="P120" i="15" a="1"/>
  <c r="P18" i="15" a="1"/>
  <c r="P106" i="15" a="1"/>
  <c r="C799" i="16" a="1"/>
  <c r="P93" i="15" a="1"/>
  <c r="P99" i="15" a="1"/>
  <c r="P83" i="15" a="1"/>
  <c r="C753" i="16" a="1"/>
  <c r="P46" i="15" a="1"/>
  <c r="C723" i="16" a="1"/>
  <c r="P88" i="15" a="1"/>
  <c r="P114" i="15" a="1"/>
  <c r="P23" i="15" a="1"/>
  <c r="P43" i="15" a="1"/>
  <c r="C746" i="16" a="1"/>
  <c r="C709" i="16" a="1"/>
  <c r="P65" i="15" a="1"/>
  <c r="C685" i="16" a="1"/>
  <c r="P29" i="15" a="1"/>
  <c r="P39" i="15" a="1"/>
  <c r="C734" i="16" a="1"/>
  <c r="C702" i="16" a="1"/>
  <c r="P85" i="15" a="1"/>
  <c r="P45" i="15" a="1"/>
  <c r="P109" i="15" a="1"/>
  <c r="P86" i="15" a="1"/>
  <c r="C758" i="16" a="1"/>
  <c r="C712" i="16" a="1"/>
  <c r="C783" i="16" a="1"/>
  <c r="C729" i="16" a="1"/>
  <c r="C816" i="16" a="1"/>
  <c r="C698" i="16" a="1"/>
  <c r="C726" i="16" a="1"/>
  <c r="C701" i="16" a="1"/>
  <c r="C714" i="16" a="1"/>
  <c r="P111" i="15" a="1"/>
  <c r="C695" i="16" a="1"/>
  <c r="C775" i="16" a="1"/>
  <c r="P12" i="15" a="1"/>
  <c r="P126" i="15" a="1"/>
  <c r="C757" i="16" a="1"/>
  <c r="P62" i="15" a="1"/>
  <c r="C809" i="16" a="1"/>
  <c r="P50" i="15" a="1"/>
  <c r="P61" i="15" a="1"/>
  <c r="P96" i="15" a="1"/>
  <c r="P57" i="15" a="1"/>
  <c r="P30" i="15" a="1"/>
  <c r="C814" i="16" a="1"/>
  <c r="P14" i="15" a="1"/>
  <c r="C777" i="16" a="1"/>
  <c r="C722" i="16" a="1"/>
  <c r="C766" i="16" a="1"/>
  <c r="C690" i="16" a="1"/>
  <c r="C776" i="16" a="1"/>
  <c r="P127" i="15" a="1"/>
  <c r="P113" i="15" a="1"/>
  <c r="P52" i="15" a="1"/>
  <c r="C818" i="16" a="1"/>
  <c r="P28" i="15" a="1"/>
  <c r="P21" i="15" a="1"/>
  <c r="P22" i="15" a="1"/>
  <c r="P60" i="15" a="1"/>
  <c r="C742" i="16" a="1"/>
  <c r="P34" i="15" a="1"/>
  <c r="P128" i="15" a="1"/>
  <c r="P79" i="15" a="1"/>
  <c r="P72" i="15" a="1"/>
  <c r="C795" i="16" a="1"/>
  <c r="P90" i="15" a="1"/>
  <c r="C719" i="16" a="1"/>
  <c r="P53" i="15" a="1"/>
  <c r="C744" i="16" a="1"/>
  <c r="C706" i="16" a="1"/>
  <c r="C801" i="16" a="1"/>
  <c r="C735" i="16" a="1"/>
  <c r="C754" i="16" a="1"/>
  <c r="C765" i="16" a="1"/>
  <c r="C764" i="16" a="1"/>
  <c r="C793" i="16" a="1"/>
  <c r="P11" i="15" l="1"/>
  <c r="O11" i="3"/>
  <c r="C782" i="16"/>
  <c r="C781" i="16"/>
  <c r="C780" i="16"/>
  <c r="C779" i="16"/>
  <c r="C778" i="16"/>
  <c r="C777" i="16"/>
  <c r="C776" i="16"/>
  <c r="C775" i="16"/>
  <c r="C811" i="16"/>
  <c r="C823" i="16"/>
  <c r="C813" i="16"/>
  <c r="C803" i="16"/>
  <c r="C793" i="16"/>
  <c r="C783" i="16"/>
  <c r="C822" i="16"/>
  <c r="C812" i="16"/>
  <c r="C802" i="16"/>
  <c r="C792" i="16"/>
  <c r="C821" i="16"/>
  <c r="C801" i="16"/>
  <c r="C791" i="16"/>
  <c r="C820" i="16"/>
  <c r="C810" i="16"/>
  <c r="C800" i="16"/>
  <c r="C790" i="16"/>
  <c r="C819" i="16"/>
  <c r="C809" i="16"/>
  <c r="C799" i="16"/>
  <c r="C789" i="16"/>
  <c r="C818" i="16"/>
  <c r="C808" i="16"/>
  <c r="C798" i="16"/>
  <c r="C788" i="16"/>
  <c r="C817" i="16"/>
  <c r="C807" i="16"/>
  <c r="C797" i="16"/>
  <c r="C787" i="16"/>
  <c r="C816" i="16"/>
  <c r="C806" i="16"/>
  <c r="C796" i="16"/>
  <c r="C786" i="16"/>
  <c r="C825" i="16"/>
  <c r="C815" i="16"/>
  <c r="C805" i="16"/>
  <c r="C795" i="16"/>
  <c r="C785" i="16"/>
  <c r="C824" i="16"/>
  <c r="C814" i="16"/>
  <c r="C804" i="16"/>
  <c r="C794" i="16"/>
  <c r="C784" i="16"/>
  <c r="C774" i="16"/>
  <c r="C773" i="16"/>
  <c r="P50" i="15"/>
  <c r="P15" i="15"/>
  <c r="P130" i="15"/>
  <c r="P120" i="15"/>
  <c r="P100" i="15"/>
  <c r="P60" i="15"/>
  <c r="P20" i="15"/>
  <c r="P129" i="15"/>
  <c r="P99" i="15"/>
  <c r="P69" i="15"/>
  <c r="P39" i="15"/>
  <c r="P19" i="15"/>
  <c r="P118" i="15"/>
  <c r="P98" i="15"/>
  <c r="P78" i="15"/>
  <c r="P58" i="15"/>
  <c r="P18" i="15"/>
  <c r="P127" i="15"/>
  <c r="P107" i="15"/>
  <c r="P87" i="15"/>
  <c r="P67" i="15"/>
  <c r="P37" i="15"/>
  <c r="P17" i="15"/>
  <c r="P126" i="15"/>
  <c r="P106" i="15"/>
  <c r="P96" i="15"/>
  <c r="P56" i="15"/>
  <c r="P46" i="15"/>
  <c r="P16" i="15"/>
  <c r="P125" i="15"/>
  <c r="P115" i="15"/>
  <c r="P105" i="15"/>
  <c r="P95" i="15"/>
  <c r="P85" i="15"/>
  <c r="P75" i="15"/>
  <c r="P65" i="15"/>
  <c r="P55" i="15"/>
  <c r="P45" i="15"/>
  <c r="P35" i="15"/>
  <c r="P25" i="15"/>
  <c r="P80" i="15"/>
  <c r="P109" i="15"/>
  <c r="P38" i="15"/>
  <c r="P57" i="15"/>
  <c r="P76" i="15"/>
  <c r="P114" i="15"/>
  <c r="P84" i="15"/>
  <c r="P34" i="15"/>
  <c r="P123" i="15"/>
  <c r="P113" i="15"/>
  <c r="P103" i="15"/>
  <c r="P93" i="15"/>
  <c r="P83" i="15"/>
  <c r="P73" i="15"/>
  <c r="P63" i="15"/>
  <c r="P53" i="15"/>
  <c r="P43" i="15"/>
  <c r="P33" i="15"/>
  <c r="P23" i="15"/>
  <c r="P13" i="15"/>
  <c r="P40" i="15"/>
  <c r="P79" i="15"/>
  <c r="P48" i="15"/>
  <c r="P97" i="15"/>
  <c r="P36" i="15"/>
  <c r="P24" i="15"/>
  <c r="P122" i="15"/>
  <c r="P112" i="15"/>
  <c r="P102" i="15"/>
  <c r="P92" i="15"/>
  <c r="P82" i="15"/>
  <c r="P72" i="15"/>
  <c r="P62" i="15"/>
  <c r="P52" i="15"/>
  <c r="P42" i="15"/>
  <c r="P32" i="15"/>
  <c r="P22" i="15"/>
  <c r="P12" i="15"/>
  <c r="P110" i="15"/>
  <c r="P90" i="15"/>
  <c r="P70" i="15"/>
  <c r="P30" i="15"/>
  <c r="P119" i="15"/>
  <c r="P89" i="15"/>
  <c r="P59" i="15"/>
  <c r="P49" i="15"/>
  <c r="P29" i="15"/>
  <c r="P128" i="15"/>
  <c r="P108" i="15"/>
  <c r="P88" i="15"/>
  <c r="P68" i="15"/>
  <c r="P28" i="15"/>
  <c r="P117" i="15"/>
  <c r="P77" i="15"/>
  <c r="P47" i="15"/>
  <c r="P27" i="15"/>
  <c r="P116" i="15"/>
  <c r="P86" i="15"/>
  <c r="P66" i="15"/>
  <c r="P26" i="15"/>
  <c r="P124" i="15"/>
  <c r="P104" i="15"/>
  <c r="P94" i="15"/>
  <c r="P74" i="15"/>
  <c r="P64" i="15"/>
  <c r="P54" i="15"/>
  <c r="P44" i="15"/>
  <c r="P14" i="15"/>
  <c r="P121" i="15"/>
  <c r="P111" i="15"/>
  <c r="P101" i="15"/>
  <c r="P91" i="15"/>
  <c r="P81" i="15"/>
  <c r="P71" i="15"/>
  <c r="P61" i="15"/>
  <c r="P51" i="15"/>
  <c r="P41" i="15"/>
  <c r="P31" i="15"/>
  <c r="P21" i="15"/>
  <c r="C741" i="16"/>
  <c r="C726" i="16"/>
  <c r="C743" i="16"/>
  <c r="C698" i="16"/>
  <c r="C755" i="16"/>
  <c r="C731" i="16"/>
  <c r="C745" i="16"/>
  <c r="C707" i="16"/>
  <c r="C697" i="16"/>
  <c r="C686" i="16"/>
  <c r="C685" i="16"/>
  <c r="C770" i="16"/>
  <c r="C705" i="16"/>
  <c r="C701" i="16"/>
  <c r="C727" i="16"/>
  <c r="C764" i="16"/>
  <c r="C767" i="16"/>
  <c r="C730" i="16"/>
  <c r="C737" i="16"/>
  <c r="C700" i="16"/>
  <c r="C713" i="16"/>
  <c r="C688" i="16"/>
  <c r="C750" i="16"/>
  <c r="C711" i="16"/>
  <c r="C734" i="16"/>
  <c r="C716" i="16"/>
  <c r="C680" i="16"/>
  <c r="C744" i="16"/>
  <c r="C756" i="16"/>
  <c r="C694" i="16"/>
  <c r="C725" i="16"/>
  <c r="C729" i="16"/>
  <c r="C768" i="16"/>
  <c r="C746" i="16"/>
  <c r="C687" i="16"/>
  <c r="C763" i="16"/>
  <c r="C769" i="16"/>
  <c r="C760" i="16"/>
  <c r="C739" i="16"/>
  <c r="C721" i="16"/>
  <c r="C691" i="16"/>
  <c r="C754" i="16"/>
  <c r="C766" i="16"/>
  <c r="C714" i="16"/>
  <c r="C735" i="16"/>
  <c r="C723" i="16"/>
  <c r="C704" i="16"/>
  <c r="C719" i="16"/>
  <c r="C772" i="16"/>
  <c r="C758" i="16"/>
  <c r="C736" i="16"/>
  <c r="C681" i="16"/>
  <c r="C706" i="16"/>
  <c r="C752" i="16"/>
  <c r="C710" i="16"/>
  <c r="C759" i="16"/>
  <c r="C683" i="16"/>
  <c r="C703" i="16"/>
  <c r="C709" i="16"/>
  <c r="C762" i="16"/>
  <c r="C748" i="16"/>
  <c r="C682" i="16"/>
  <c r="C751" i="16"/>
  <c r="C733" i="16"/>
  <c r="C747" i="16"/>
  <c r="C708" i="16"/>
  <c r="C693" i="16"/>
  <c r="C720" i="16"/>
  <c r="C715" i="16"/>
  <c r="C690" i="16"/>
  <c r="C732" i="16"/>
  <c r="C699" i="16"/>
  <c r="C757" i="16"/>
  <c r="C728" i="16"/>
  <c r="C718" i="16"/>
  <c r="C765" i="16"/>
  <c r="C679" i="16"/>
  <c r="C717" i="16"/>
  <c r="C742" i="16"/>
  <c r="C738" i="16"/>
  <c r="C722" i="16"/>
  <c r="C696" i="16"/>
  <c r="C689" i="16"/>
  <c r="C749" i="16"/>
  <c r="C712" i="16"/>
  <c r="C695" i="16"/>
  <c r="C678" i="16"/>
  <c r="C740" i="16"/>
  <c r="C702" i="16"/>
  <c r="C724" i="16"/>
  <c r="C771" i="16"/>
  <c r="C692" i="16"/>
  <c r="C684" i="16"/>
  <c r="C753" i="16"/>
  <c r="C761" i="16"/>
  <c r="B12" i="3"/>
  <c r="D808" i="3"/>
  <c r="D809" i="3" s="1"/>
  <c r="D810" i="3" s="1"/>
  <c r="D804" i="3"/>
  <c r="D805" i="3" s="1"/>
  <c r="D806" i="3" s="1"/>
  <c r="D800" i="3"/>
  <c r="D801" i="3" s="1"/>
  <c r="D802" i="3" s="1"/>
  <c r="D796" i="3"/>
  <c r="D797" i="3" s="1"/>
  <c r="D798" i="3" s="1"/>
  <c r="D792" i="3"/>
  <c r="D793" i="3" s="1"/>
  <c r="D794" i="3" s="1"/>
  <c r="D788" i="3"/>
  <c r="D789" i="3" s="1"/>
  <c r="D790" i="3" s="1"/>
  <c r="D784" i="3"/>
  <c r="D785" i="3" s="1"/>
  <c r="D786" i="3" s="1"/>
  <c r="D780" i="3"/>
  <c r="D781" i="3" s="1"/>
  <c r="D782" i="3" s="1"/>
  <c r="D776" i="3"/>
  <c r="D777" i="3" s="1"/>
  <c r="D778" i="3" s="1"/>
  <c r="D772" i="3"/>
  <c r="D773" i="3" s="1"/>
  <c r="D774" i="3" s="1"/>
  <c r="D768" i="3"/>
  <c r="D769" i="3" s="1"/>
  <c r="D770" i="3" s="1"/>
  <c r="D764" i="3"/>
  <c r="D765" i="3" s="1"/>
  <c r="D766" i="3" s="1"/>
  <c r="D760" i="3"/>
  <c r="D761" i="3" s="1"/>
  <c r="D762" i="3" s="1"/>
  <c r="D756" i="3"/>
  <c r="D757" i="3" s="1"/>
  <c r="D758" i="3" s="1"/>
  <c r="D752" i="3"/>
  <c r="D753" i="3" s="1"/>
  <c r="D754" i="3" s="1"/>
  <c r="D748" i="3"/>
  <c r="D749" i="3" s="1"/>
  <c r="D750" i="3" s="1"/>
  <c r="D744" i="3"/>
  <c r="D745" i="3" s="1"/>
  <c r="D746" i="3" s="1"/>
  <c r="D740" i="3"/>
  <c r="D741" i="3" s="1"/>
  <c r="D742" i="3" s="1"/>
  <c r="D736" i="3"/>
  <c r="D737" i="3" s="1"/>
  <c r="D738" i="3" s="1"/>
  <c r="D732" i="3"/>
  <c r="D733" i="3" s="1"/>
  <c r="D734" i="3" s="1"/>
  <c r="D728" i="3"/>
  <c r="D729" i="3" s="1"/>
  <c r="D730" i="3" s="1"/>
  <c r="D724" i="3"/>
  <c r="D725" i="3" s="1"/>
  <c r="D726" i="3" s="1"/>
  <c r="D720" i="3"/>
  <c r="D721" i="3" s="1"/>
  <c r="D722" i="3" s="1"/>
  <c r="D716" i="3"/>
  <c r="D717" i="3" s="1"/>
  <c r="D718" i="3" s="1"/>
  <c r="D712" i="3"/>
  <c r="D713" i="3" s="1"/>
  <c r="D714" i="3" s="1"/>
  <c r="D708" i="3"/>
  <c r="D709" i="3" s="1"/>
  <c r="D710" i="3" s="1"/>
  <c r="D704" i="3"/>
  <c r="D705" i="3" s="1"/>
  <c r="D706" i="3" s="1"/>
  <c r="D700" i="3"/>
  <c r="D701" i="3" s="1"/>
  <c r="D702" i="3" s="1"/>
  <c r="D696" i="3"/>
  <c r="D697" i="3" s="1"/>
  <c r="D698" i="3" s="1"/>
  <c r="D692" i="3"/>
  <c r="D693" i="3" s="1"/>
  <c r="D694" i="3" s="1"/>
  <c r="D688" i="3"/>
  <c r="D689" i="3" s="1"/>
  <c r="D690" i="3" s="1"/>
  <c r="D684" i="3"/>
  <c r="D685" i="3" s="1"/>
  <c r="D686" i="3" s="1"/>
  <c r="D680" i="3"/>
  <c r="D681" i="3" s="1"/>
  <c r="D682" i="3" s="1"/>
  <c r="D676" i="3"/>
  <c r="D677" i="3" s="1"/>
  <c r="D678" i="3" s="1"/>
  <c r="D672" i="3"/>
  <c r="D673" i="3" s="1"/>
  <c r="D674" i="3" s="1"/>
  <c r="D668" i="3"/>
  <c r="D669" i="3" s="1"/>
  <c r="D670" i="3" s="1"/>
  <c r="D664" i="3"/>
  <c r="D665" i="3" s="1"/>
  <c r="D666" i="3" s="1"/>
  <c r="D660" i="3"/>
  <c r="D661" i="3" s="1"/>
  <c r="D662" i="3" s="1"/>
  <c r="D656" i="3"/>
  <c r="D657" i="3" s="1"/>
  <c r="D658" i="3" s="1"/>
  <c r="D652" i="3"/>
  <c r="D653" i="3" s="1"/>
  <c r="D654" i="3" s="1"/>
  <c r="D648" i="3"/>
  <c r="D649" i="3" s="1"/>
  <c r="D650" i="3" s="1"/>
  <c r="D644" i="3"/>
  <c r="D645" i="3" s="1"/>
  <c r="D646" i="3" s="1"/>
  <c r="D640" i="3"/>
  <c r="D641" i="3" s="1"/>
  <c r="D642" i="3" s="1"/>
  <c r="D636" i="3"/>
  <c r="D637" i="3" s="1"/>
  <c r="D638" i="3" s="1"/>
  <c r="D632" i="3"/>
  <c r="D633" i="3" s="1"/>
  <c r="D634" i="3" s="1"/>
  <c r="D628" i="3"/>
  <c r="D629" i="3" s="1"/>
  <c r="D630" i="3" s="1"/>
  <c r="D624" i="3"/>
  <c r="D625" i="3" s="1"/>
  <c r="D626" i="3" s="1"/>
  <c r="D620" i="3"/>
  <c r="D621" i="3" s="1"/>
  <c r="D622" i="3" s="1"/>
  <c r="D616" i="3"/>
  <c r="D617" i="3" s="1"/>
  <c r="D618" i="3" s="1"/>
  <c r="D612" i="3"/>
  <c r="D613" i="3" s="1"/>
  <c r="D614" i="3" s="1"/>
  <c r="D608" i="3"/>
  <c r="D609" i="3" s="1"/>
  <c r="D610" i="3" s="1"/>
  <c r="D604" i="3"/>
  <c r="D605" i="3" s="1"/>
  <c r="D606" i="3" s="1"/>
  <c r="D600" i="3"/>
  <c r="D601" i="3" s="1"/>
  <c r="D602" i="3" s="1"/>
  <c r="D596" i="3"/>
  <c r="D597" i="3" s="1"/>
  <c r="D598" i="3" s="1"/>
  <c r="D592" i="3"/>
  <c r="D593" i="3" s="1"/>
  <c r="D594" i="3" s="1"/>
  <c r="D588" i="3"/>
  <c r="D589" i="3" s="1"/>
  <c r="D590" i="3" s="1"/>
  <c r="D584" i="3"/>
  <c r="D585" i="3" s="1"/>
  <c r="D586" i="3" s="1"/>
  <c r="D580" i="3"/>
  <c r="D581" i="3" s="1"/>
  <c r="D582" i="3" s="1"/>
  <c r="D576" i="3"/>
  <c r="D577" i="3" s="1"/>
  <c r="D578" i="3" s="1"/>
  <c r="D572" i="3"/>
  <c r="D573" i="3" s="1"/>
  <c r="D574" i="3" s="1"/>
  <c r="D568" i="3"/>
  <c r="D569" i="3" s="1"/>
  <c r="D570" i="3" s="1"/>
  <c r="D564" i="3"/>
  <c r="D565" i="3" s="1"/>
  <c r="D566" i="3" s="1"/>
  <c r="D560" i="3"/>
  <c r="D561" i="3" s="1"/>
  <c r="D562" i="3" s="1"/>
  <c r="D556" i="3"/>
  <c r="D557" i="3" s="1"/>
  <c r="D558" i="3" s="1"/>
  <c r="D552" i="3"/>
  <c r="D553" i="3" s="1"/>
  <c r="D554" i="3" s="1"/>
  <c r="D548" i="3"/>
  <c r="D549" i="3" s="1"/>
  <c r="D550" i="3" s="1"/>
  <c r="D544" i="3"/>
  <c r="D545" i="3" s="1"/>
  <c r="D546" i="3" s="1"/>
  <c r="D540" i="3"/>
  <c r="D541" i="3" s="1"/>
  <c r="D542" i="3" s="1"/>
  <c r="D536" i="3"/>
  <c r="D537" i="3" s="1"/>
  <c r="D538" i="3" s="1"/>
  <c r="D532" i="3"/>
  <c r="D533" i="3" s="1"/>
  <c r="D534" i="3" s="1"/>
  <c r="D528" i="3"/>
  <c r="D529" i="3" s="1"/>
  <c r="D530" i="3" s="1"/>
  <c r="D524" i="3"/>
  <c r="D525" i="3" s="1"/>
  <c r="D526" i="3" s="1"/>
  <c r="D520" i="3"/>
  <c r="D521" i="3" s="1"/>
  <c r="D522" i="3" s="1"/>
  <c r="D516" i="3"/>
  <c r="D517" i="3" s="1"/>
  <c r="D518" i="3" s="1"/>
  <c r="D512" i="3"/>
  <c r="D513" i="3" s="1"/>
  <c r="D514" i="3" s="1"/>
  <c r="D508" i="3"/>
  <c r="D509" i="3" s="1"/>
  <c r="D510" i="3" s="1"/>
  <c r="D504" i="3"/>
  <c r="D505" i="3" s="1"/>
  <c r="D506" i="3" s="1"/>
  <c r="D500" i="3"/>
  <c r="D501" i="3" s="1"/>
  <c r="D502" i="3" s="1"/>
  <c r="D496" i="3"/>
  <c r="D497" i="3" s="1"/>
  <c r="D498" i="3" s="1"/>
  <c r="D492" i="3"/>
  <c r="D493" i="3" s="1"/>
  <c r="D494" i="3" s="1"/>
  <c r="D488" i="3"/>
  <c r="D489" i="3" s="1"/>
  <c r="D490" i="3" s="1"/>
  <c r="D484" i="3"/>
  <c r="D485" i="3" s="1"/>
  <c r="D486" i="3" s="1"/>
  <c r="D480" i="3"/>
  <c r="D481" i="3" s="1"/>
  <c r="D482" i="3" s="1"/>
  <c r="D476" i="3"/>
  <c r="D477" i="3" s="1"/>
  <c r="D478" i="3" s="1"/>
  <c r="D472" i="3"/>
  <c r="D473" i="3" s="1"/>
  <c r="D474" i="3" s="1"/>
  <c r="D468" i="3"/>
  <c r="D469" i="3" s="1"/>
  <c r="D470" i="3" s="1"/>
  <c r="D464" i="3"/>
  <c r="D465" i="3" s="1"/>
  <c r="D466" i="3" s="1"/>
  <c r="D460" i="3"/>
  <c r="D461" i="3" s="1"/>
  <c r="D462" i="3" s="1"/>
  <c r="D456" i="3"/>
  <c r="D457" i="3" s="1"/>
  <c r="D458" i="3" s="1"/>
  <c r="D452" i="3"/>
  <c r="D453" i="3" s="1"/>
  <c r="D454" i="3" s="1"/>
  <c r="D448" i="3"/>
  <c r="D449" i="3" s="1"/>
  <c r="D450" i="3" s="1"/>
  <c r="D444" i="3"/>
  <c r="D445" i="3" s="1"/>
  <c r="D446" i="3" s="1"/>
  <c r="D440" i="3"/>
  <c r="D441" i="3" s="1"/>
  <c r="D442" i="3" s="1"/>
  <c r="D436" i="3"/>
  <c r="D437" i="3" s="1"/>
  <c r="D438" i="3" s="1"/>
  <c r="D432" i="3"/>
  <c r="D433" i="3" s="1"/>
  <c r="D434" i="3" s="1"/>
  <c r="D428" i="3"/>
  <c r="D429" i="3" s="1"/>
  <c r="D430" i="3" s="1"/>
  <c r="D424" i="3"/>
  <c r="D425" i="3" s="1"/>
  <c r="D426" i="3" s="1"/>
  <c r="D420" i="3"/>
  <c r="D421" i="3" s="1"/>
  <c r="D422" i="3" s="1"/>
  <c r="D416" i="3"/>
  <c r="D417" i="3" s="1"/>
  <c r="D418" i="3" s="1"/>
  <c r="D412" i="3"/>
  <c r="D413" i="3" s="1"/>
  <c r="D414" i="3" s="1"/>
  <c r="D408" i="3"/>
  <c r="D409" i="3" s="1"/>
  <c r="D410" i="3" s="1"/>
  <c r="D404" i="3"/>
  <c r="D405" i="3" s="1"/>
  <c r="D406" i="3" s="1"/>
  <c r="D400" i="3"/>
  <c r="D401" i="3" s="1"/>
  <c r="D402" i="3" s="1"/>
  <c r="D396" i="3"/>
  <c r="D397" i="3" s="1"/>
  <c r="D398" i="3" s="1"/>
  <c r="D392" i="3"/>
  <c r="D393" i="3" s="1"/>
  <c r="D394" i="3" s="1"/>
  <c r="D388" i="3"/>
  <c r="D389" i="3" s="1"/>
  <c r="D390" i="3" s="1"/>
  <c r="D384" i="3"/>
  <c r="D385" i="3" s="1"/>
  <c r="D386" i="3" s="1"/>
  <c r="D380" i="3"/>
  <c r="D381" i="3" s="1"/>
  <c r="D382" i="3" s="1"/>
  <c r="D376" i="3"/>
  <c r="D377" i="3" s="1"/>
  <c r="D378" i="3" s="1"/>
  <c r="D372" i="3"/>
  <c r="D373" i="3" s="1"/>
  <c r="D374" i="3" s="1"/>
  <c r="D368" i="3"/>
  <c r="D369" i="3" s="1"/>
  <c r="D370" i="3" s="1"/>
  <c r="D364" i="3"/>
  <c r="D365" i="3" s="1"/>
  <c r="D366" i="3" s="1"/>
  <c r="D360" i="3"/>
  <c r="D361" i="3" s="1"/>
  <c r="D362" i="3" s="1"/>
  <c r="D356" i="3"/>
  <c r="D357" i="3" s="1"/>
  <c r="D358" i="3" s="1"/>
  <c r="D352" i="3"/>
  <c r="D353" i="3" s="1"/>
  <c r="D354" i="3" s="1"/>
  <c r="D348" i="3"/>
  <c r="D349" i="3" s="1"/>
  <c r="D350" i="3" s="1"/>
  <c r="D344" i="3"/>
  <c r="D345" i="3" s="1"/>
  <c r="D346" i="3" s="1"/>
  <c r="D340" i="3"/>
  <c r="D341" i="3" s="1"/>
  <c r="D342" i="3" s="1"/>
  <c r="D336" i="3"/>
  <c r="D337" i="3" s="1"/>
  <c r="D338" i="3" s="1"/>
  <c r="D332" i="3"/>
  <c r="D333" i="3" s="1"/>
  <c r="D334" i="3" s="1"/>
  <c r="D328" i="3"/>
  <c r="D329" i="3" s="1"/>
  <c r="D330" i="3" s="1"/>
  <c r="D324" i="3"/>
  <c r="D325" i="3" s="1"/>
  <c r="D326" i="3" s="1"/>
  <c r="D320" i="3"/>
  <c r="D321" i="3" s="1"/>
  <c r="D322" i="3" s="1"/>
  <c r="D316" i="3"/>
  <c r="D317" i="3" s="1"/>
  <c r="D318" i="3" s="1"/>
  <c r="D312" i="3"/>
  <c r="D313" i="3" s="1"/>
  <c r="D314" i="3" s="1"/>
  <c r="D308" i="3"/>
  <c r="D309" i="3" s="1"/>
  <c r="D310" i="3" s="1"/>
  <c r="D304" i="3"/>
  <c r="D305" i="3" s="1"/>
  <c r="D306" i="3" s="1"/>
  <c r="D300" i="3"/>
  <c r="D301" i="3" s="1"/>
  <c r="D302" i="3" s="1"/>
  <c r="D296" i="3"/>
  <c r="D297" i="3" s="1"/>
  <c r="D298" i="3" s="1"/>
  <c r="D292" i="3"/>
  <c r="D293" i="3" s="1"/>
  <c r="D294" i="3" s="1"/>
  <c r="D288" i="3"/>
  <c r="D289" i="3" s="1"/>
  <c r="D290" i="3" s="1"/>
  <c r="D284" i="3"/>
  <c r="D285" i="3" s="1"/>
  <c r="D286" i="3" s="1"/>
  <c r="D280" i="3"/>
  <c r="D281" i="3" s="1"/>
  <c r="D282" i="3" s="1"/>
  <c r="D276" i="3"/>
  <c r="D277" i="3" s="1"/>
  <c r="D278" i="3" s="1"/>
  <c r="D272" i="3"/>
  <c r="D273" i="3" s="1"/>
  <c r="D274" i="3" s="1"/>
  <c r="D268" i="3"/>
  <c r="D269" i="3" s="1"/>
  <c r="D270" i="3" s="1"/>
  <c r="D264" i="3"/>
  <c r="D265" i="3" s="1"/>
  <c r="D266" i="3" s="1"/>
  <c r="D260" i="3"/>
  <c r="D261" i="3" s="1"/>
  <c r="D262" i="3" s="1"/>
  <c r="D256" i="3"/>
  <c r="D257" i="3" s="1"/>
  <c r="D258" i="3" s="1"/>
  <c r="D252" i="3"/>
  <c r="D253" i="3" s="1"/>
  <c r="D254" i="3" s="1"/>
  <c r="D248" i="3"/>
  <c r="D249" i="3" s="1"/>
  <c r="D250" i="3" s="1"/>
  <c r="D244" i="3"/>
  <c r="D245" i="3" s="1"/>
  <c r="D246" i="3" s="1"/>
  <c r="D240" i="3"/>
  <c r="D241" i="3" s="1"/>
  <c r="D242" i="3" s="1"/>
  <c r="D236" i="3"/>
  <c r="D237" i="3" s="1"/>
  <c r="D238" i="3" s="1"/>
  <c r="D232" i="3"/>
  <c r="D233" i="3" s="1"/>
  <c r="D234" i="3" s="1"/>
  <c r="D228" i="3"/>
  <c r="D229" i="3" s="1"/>
  <c r="D230" i="3" s="1"/>
  <c r="D224" i="3"/>
  <c r="D225" i="3" s="1"/>
  <c r="D226" i="3" s="1"/>
  <c r="D220" i="3"/>
  <c r="D221" i="3" s="1"/>
  <c r="D222" i="3" s="1"/>
  <c r="D216" i="3"/>
  <c r="D217" i="3" s="1"/>
  <c r="D218" i="3" s="1"/>
  <c r="D212" i="3"/>
  <c r="D213" i="3" s="1"/>
  <c r="D214" i="3" s="1"/>
  <c r="D208" i="3"/>
  <c r="D209" i="3" s="1"/>
  <c r="D210" i="3" s="1"/>
  <c r="D204" i="3"/>
  <c r="D205" i="3" s="1"/>
  <c r="D206" i="3" s="1"/>
  <c r="D200" i="3"/>
  <c r="D201" i="3" s="1"/>
  <c r="D202" i="3" s="1"/>
  <c r="D196" i="3"/>
  <c r="D197" i="3" s="1"/>
  <c r="D198" i="3" s="1"/>
  <c r="D192" i="3"/>
  <c r="D193" i="3" s="1"/>
  <c r="D194" i="3" s="1"/>
  <c r="D188" i="3"/>
  <c r="D189" i="3" s="1"/>
  <c r="D190" i="3" s="1"/>
  <c r="D184" i="3"/>
  <c r="D185" i="3" s="1"/>
  <c r="D186" i="3" s="1"/>
  <c r="D180" i="3"/>
  <c r="D181" i="3" s="1"/>
  <c r="D182" i="3" s="1"/>
  <c r="D176" i="3"/>
  <c r="D177" i="3" s="1"/>
  <c r="D178" i="3" s="1"/>
  <c r="D172" i="3"/>
  <c r="D173" i="3" s="1"/>
  <c r="D174" i="3" s="1"/>
  <c r="D168" i="3"/>
  <c r="D169" i="3" s="1"/>
  <c r="D170" i="3" s="1"/>
  <c r="D164" i="3"/>
  <c r="D165" i="3" s="1"/>
  <c r="D166" i="3" s="1"/>
  <c r="D160" i="3"/>
  <c r="D161" i="3" s="1"/>
  <c r="D162" i="3" s="1"/>
  <c r="D156" i="3"/>
  <c r="D157" i="3" s="1"/>
  <c r="D158" i="3" s="1"/>
  <c r="D152" i="3"/>
  <c r="D153" i="3" s="1"/>
  <c r="D154" i="3" s="1"/>
  <c r="D148" i="3"/>
  <c r="D149" i="3" s="1"/>
  <c r="D150" i="3" s="1"/>
  <c r="D144" i="3"/>
  <c r="D145" i="3" s="1"/>
  <c r="D146" i="3" s="1"/>
  <c r="D140" i="3"/>
  <c r="D141" i="3" s="1"/>
  <c r="D142" i="3" s="1"/>
  <c r="D136" i="3"/>
  <c r="D137" i="3" s="1"/>
  <c r="D138" i="3" s="1"/>
  <c r="D132" i="3"/>
  <c r="D133" i="3" s="1"/>
  <c r="D134" i="3" s="1"/>
  <c r="D128" i="3"/>
  <c r="D129" i="3" s="1"/>
  <c r="D130" i="3" s="1"/>
  <c r="D124" i="3"/>
  <c r="D125" i="3" s="1"/>
  <c r="D126" i="3" s="1"/>
  <c r="D120" i="3"/>
  <c r="D121" i="3" s="1"/>
  <c r="D122" i="3" s="1"/>
  <c r="D116" i="3"/>
  <c r="D117" i="3" s="1"/>
  <c r="D118" i="3" s="1"/>
  <c r="D112" i="3"/>
  <c r="D113" i="3" s="1"/>
  <c r="D114" i="3" s="1"/>
  <c r="D108" i="3"/>
  <c r="D109" i="3" s="1"/>
  <c r="D110" i="3" s="1"/>
  <c r="D104" i="3"/>
  <c r="D105" i="3" s="1"/>
  <c r="D106" i="3" s="1"/>
  <c r="D100" i="3"/>
  <c r="D101" i="3" s="1"/>
  <c r="D102" i="3" s="1"/>
  <c r="D96" i="3"/>
  <c r="D97" i="3" s="1"/>
  <c r="D98" i="3" s="1"/>
  <c r="D92" i="3"/>
  <c r="D93" i="3" s="1"/>
  <c r="D94" i="3" s="1"/>
  <c r="D88" i="3"/>
  <c r="D89" i="3" s="1"/>
  <c r="D90" i="3" s="1"/>
  <c r="D84" i="3"/>
  <c r="D85" i="3" s="1"/>
  <c r="D86" i="3" s="1"/>
  <c r="D80" i="3"/>
  <c r="D81" i="3" s="1"/>
  <c r="D82" i="3" s="1"/>
  <c r="D76" i="3"/>
  <c r="D77" i="3" s="1"/>
  <c r="D78" i="3" s="1"/>
  <c r="D72" i="3"/>
  <c r="D73" i="3" s="1"/>
  <c r="D74" i="3" s="1"/>
  <c r="D68" i="3"/>
  <c r="D69" i="3" s="1"/>
  <c r="D70" i="3" s="1"/>
  <c r="D64" i="3"/>
  <c r="D65" i="3" s="1"/>
  <c r="D66" i="3" s="1"/>
  <c r="D60" i="3"/>
  <c r="D61" i="3" s="1"/>
  <c r="D62" i="3" s="1"/>
  <c r="D56" i="3"/>
  <c r="D57" i="3" s="1"/>
  <c r="D58" i="3" s="1"/>
  <c r="D52" i="3"/>
  <c r="D53" i="3" s="1"/>
  <c r="D54" i="3" s="1"/>
  <c r="D48" i="3"/>
  <c r="D49" i="3" s="1"/>
  <c r="D50" i="3" s="1"/>
  <c r="D44" i="3"/>
  <c r="D45" i="3" s="1"/>
  <c r="D46" i="3" s="1"/>
  <c r="D40" i="3"/>
  <c r="D41" i="3" s="1"/>
  <c r="D42" i="3" s="1"/>
  <c r="D36" i="3"/>
  <c r="D37" i="3" s="1"/>
  <c r="D38" i="3" s="1"/>
  <c r="D32" i="3"/>
  <c r="D33" i="3" s="1"/>
  <c r="D34" i="3" s="1"/>
  <c r="D28" i="3"/>
  <c r="D29" i="3" s="1"/>
  <c r="D30" i="3" s="1"/>
  <c r="D24" i="3"/>
  <c r="D25" i="3" s="1"/>
  <c r="D26" i="3" s="1"/>
  <c r="D20" i="3"/>
  <c r="D21" i="3" s="1"/>
  <c r="D22" i="3" s="1"/>
  <c r="D16" i="3"/>
  <c r="D17" i="3" s="1"/>
  <c r="D18" i="3" s="1"/>
  <c r="D12" i="3"/>
  <c r="D13" i="3" s="1"/>
  <c r="D14" i="3" s="1"/>
  <c r="B808" i="3"/>
  <c r="B809" i="3" s="1"/>
  <c r="B810" i="3" s="1"/>
  <c r="B804" i="3"/>
  <c r="B805" i="3" s="1"/>
  <c r="B806" i="3" s="1"/>
  <c r="B800" i="3"/>
  <c r="B801" i="3" s="1"/>
  <c r="B802" i="3" s="1"/>
  <c r="B796" i="3"/>
  <c r="B797" i="3" s="1"/>
  <c r="B798" i="3" s="1"/>
  <c r="B792" i="3"/>
  <c r="B793" i="3" s="1"/>
  <c r="B794" i="3" s="1"/>
  <c r="B788" i="3"/>
  <c r="B789" i="3" s="1"/>
  <c r="B790" i="3" s="1"/>
  <c r="B784" i="3"/>
  <c r="B785" i="3" s="1"/>
  <c r="B786" i="3" s="1"/>
  <c r="B780" i="3"/>
  <c r="B781" i="3" s="1"/>
  <c r="B782" i="3" s="1"/>
  <c r="B776" i="3"/>
  <c r="B777" i="3" s="1"/>
  <c r="B778" i="3" s="1"/>
  <c r="B772" i="3"/>
  <c r="B773" i="3" s="1"/>
  <c r="B774" i="3" s="1"/>
  <c r="B768" i="3"/>
  <c r="B769" i="3" s="1"/>
  <c r="B770" i="3" s="1"/>
  <c r="B764" i="3"/>
  <c r="B765" i="3" s="1"/>
  <c r="B766" i="3" s="1"/>
  <c r="B760" i="3"/>
  <c r="B761" i="3" s="1"/>
  <c r="B762" i="3" s="1"/>
  <c r="B756" i="3"/>
  <c r="B757" i="3" s="1"/>
  <c r="B758" i="3" s="1"/>
  <c r="B752" i="3"/>
  <c r="B753" i="3" s="1"/>
  <c r="B754" i="3" s="1"/>
  <c r="B748" i="3"/>
  <c r="B749" i="3" s="1"/>
  <c r="B750" i="3" s="1"/>
  <c r="B744" i="3"/>
  <c r="B745" i="3" s="1"/>
  <c r="B746" i="3" s="1"/>
  <c r="B740" i="3"/>
  <c r="B741" i="3" s="1"/>
  <c r="B742" i="3" s="1"/>
  <c r="B736" i="3"/>
  <c r="B737" i="3" s="1"/>
  <c r="B738" i="3" s="1"/>
  <c r="B732" i="3"/>
  <c r="B733" i="3" s="1"/>
  <c r="B734" i="3" s="1"/>
  <c r="B728" i="3"/>
  <c r="B729" i="3" s="1"/>
  <c r="B730" i="3" s="1"/>
  <c r="B724" i="3"/>
  <c r="B725" i="3" s="1"/>
  <c r="B726" i="3" s="1"/>
  <c r="B720" i="3"/>
  <c r="B721" i="3" s="1"/>
  <c r="B722" i="3" s="1"/>
  <c r="B716" i="3"/>
  <c r="B717" i="3" s="1"/>
  <c r="B718" i="3" s="1"/>
  <c r="B712" i="3"/>
  <c r="B713" i="3" s="1"/>
  <c r="B714" i="3" s="1"/>
  <c r="B708" i="3"/>
  <c r="B709" i="3" s="1"/>
  <c r="B710" i="3" s="1"/>
  <c r="B704" i="3"/>
  <c r="B705" i="3" s="1"/>
  <c r="B706" i="3" s="1"/>
  <c r="B700" i="3"/>
  <c r="B701" i="3" s="1"/>
  <c r="B702" i="3" s="1"/>
  <c r="B696" i="3"/>
  <c r="B697" i="3" s="1"/>
  <c r="B698" i="3" s="1"/>
  <c r="B692" i="3"/>
  <c r="B693" i="3" s="1"/>
  <c r="B694" i="3" s="1"/>
  <c r="B688" i="3"/>
  <c r="B689" i="3" s="1"/>
  <c r="B690" i="3" s="1"/>
  <c r="B684" i="3"/>
  <c r="B685" i="3" s="1"/>
  <c r="B686" i="3" s="1"/>
  <c r="B680" i="3"/>
  <c r="B681" i="3" s="1"/>
  <c r="B682" i="3" s="1"/>
  <c r="B676" i="3"/>
  <c r="B677" i="3" s="1"/>
  <c r="B678" i="3" s="1"/>
  <c r="B672" i="3"/>
  <c r="B673" i="3" s="1"/>
  <c r="B674" i="3" s="1"/>
  <c r="B668" i="3"/>
  <c r="B669" i="3" s="1"/>
  <c r="B670" i="3" s="1"/>
  <c r="B664" i="3"/>
  <c r="B665" i="3" s="1"/>
  <c r="B666" i="3" s="1"/>
  <c r="B660" i="3"/>
  <c r="B661" i="3" s="1"/>
  <c r="B662" i="3" s="1"/>
  <c r="B656" i="3"/>
  <c r="B657" i="3" s="1"/>
  <c r="B658" i="3" s="1"/>
  <c r="B652" i="3"/>
  <c r="B653" i="3" s="1"/>
  <c r="B654" i="3" s="1"/>
  <c r="B648" i="3"/>
  <c r="B649" i="3" s="1"/>
  <c r="B650" i="3" s="1"/>
  <c r="B644" i="3"/>
  <c r="B645" i="3" s="1"/>
  <c r="B646" i="3" s="1"/>
  <c r="B640" i="3"/>
  <c r="B641" i="3" s="1"/>
  <c r="B642" i="3" s="1"/>
  <c r="B636" i="3"/>
  <c r="B637" i="3" s="1"/>
  <c r="B638" i="3" s="1"/>
  <c r="B632" i="3"/>
  <c r="B633" i="3" s="1"/>
  <c r="B634" i="3" s="1"/>
  <c r="B628" i="3"/>
  <c r="B629" i="3" s="1"/>
  <c r="B630" i="3" s="1"/>
  <c r="B624" i="3"/>
  <c r="B625" i="3" s="1"/>
  <c r="B626" i="3" s="1"/>
  <c r="B620" i="3"/>
  <c r="B621" i="3" s="1"/>
  <c r="B622" i="3" s="1"/>
  <c r="B616" i="3"/>
  <c r="B617" i="3" s="1"/>
  <c r="B618" i="3" s="1"/>
  <c r="B612" i="3"/>
  <c r="B613" i="3" s="1"/>
  <c r="B614" i="3" s="1"/>
  <c r="B608" i="3"/>
  <c r="B609" i="3" s="1"/>
  <c r="B610" i="3" s="1"/>
  <c r="B604" i="3"/>
  <c r="B605" i="3" s="1"/>
  <c r="B606" i="3" s="1"/>
  <c r="B600" i="3"/>
  <c r="B601" i="3" s="1"/>
  <c r="B602" i="3" s="1"/>
  <c r="B596" i="3"/>
  <c r="B597" i="3" s="1"/>
  <c r="B598" i="3" s="1"/>
  <c r="B592" i="3"/>
  <c r="B593" i="3" s="1"/>
  <c r="B594" i="3" s="1"/>
  <c r="B588" i="3"/>
  <c r="B589" i="3" s="1"/>
  <c r="B590" i="3" s="1"/>
  <c r="B584" i="3"/>
  <c r="B585" i="3" s="1"/>
  <c r="B586" i="3" s="1"/>
  <c r="B580" i="3"/>
  <c r="B581" i="3" s="1"/>
  <c r="B582" i="3" s="1"/>
  <c r="B576" i="3"/>
  <c r="B577" i="3" s="1"/>
  <c r="B578" i="3" s="1"/>
  <c r="B572" i="3"/>
  <c r="B573" i="3" s="1"/>
  <c r="B574" i="3" s="1"/>
  <c r="B568" i="3"/>
  <c r="B569" i="3" s="1"/>
  <c r="B570" i="3" s="1"/>
  <c r="B564" i="3"/>
  <c r="B565" i="3" s="1"/>
  <c r="B566" i="3" s="1"/>
  <c r="B560" i="3"/>
  <c r="B561" i="3" s="1"/>
  <c r="B562" i="3" s="1"/>
  <c r="B556" i="3"/>
  <c r="B557" i="3" s="1"/>
  <c r="B558" i="3" s="1"/>
  <c r="B552" i="3"/>
  <c r="B553" i="3" s="1"/>
  <c r="B554" i="3" s="1"/>
  <c r="B548" i="3"/>
  <c r="B549" i="3" s="1"/>
  <c r="B550" i="3" s="1"/>
  <c r="B544" i="3"/>
  <c r="B545" i="3" s="1"/>
  <c r="B546" i="3" s="1"/>
  <c r="B540" i="3"/>
  <c r="B541" i="3" s="1"/>
  <c r="B542" i="3" s="1"/>
  <c r="B536" i="3"/>
  <c r="B537" i="3" s="1"/>
  <c r="B538" i="3" s="1"/>
  <c r="B532" i="3"/>
  <c r="B533" i="3" s="1"/>
  <c r="B534" i="3" s="1"/>
  <c r="B528" i="3"/>
  <c r="B529" i="3" s="1"/>
  <c r="B530" i="3" s="1"/>
  <c r="B524" i="3"/>
  <c r="B525" i="3" s="1"/>
  <c r="B526" i="3" s="1"/>
  <c r="B520" i="3"/>
  <c r="B521" i="3" s="1"/>
  <c r="B522" i="3" s="1"/>
  <c r="B516" i="3"/>
  <c r="B517" i="3" s="1"/>
  <c r="B518" i="3" s="1"/>
  <c r="B512" i="3"/>
  <c r="B513" i="3" s="1"/>
  <c r="B514" i="3" s="1"/>
  <c r="B508" i="3"/>
  <c r="B509" i="3" s="1"/>
  <c r="B510" i="3" s="1"/>
  <c r="B504" i="3"/>
  <c r="B505" i="3" s="1"/>
  <c r="B506" i="3" s="1"/>
  <c r="B500" i="3"/>
  <c r="B501" i="3" s="1"/>
  <c r="B502" i="3" s="1"/>
  <c r="B496" i="3"/>
  <c r="B497" i="3" s="1"/>
  <c r="B498" i="3" s="1"/>
  <c r="B492" i="3"/>
  <c r="B493" i="3" s="1"/>
  <c r="B494" i="3" s="1"/>
  <c r="B488" i="3"/>
  <c r="B489" i="3" s="1"/>
  <c r="B490" i="3" s="1"/>
  <c r="B484" i="3"/>
  <c r="B485" i="3" s="1"/>
  <c r="B486" i="3" s="1"/>
  <c r="B480" i="3"/>
  <c r="B481" i="3" s="1"/>
  <c r="B482" i="3" s="1"/>
  <c r="B476" i="3"/>
  <c r="B477" i="3" s="1"/>
  <c r="B478" i="3" s="1"/>
  <c r="B472" i="3"/>
  <c r="B473" i="3" s="1"/>
  <c r="B474" i="3" s="1"/>
  <c r="B468" i="3"/>
  <c r="B469" i="3" s="1"/>
  <c r="B470" i="3" s="1"/>
  <c r="B464" i="3"/>
  <c r="B465" i="3" s="1"/>
  <c r="B466" i="3" s="1"/>
  <c r="B460" i="3"/>
  <c r="B461" i="3" s="1"/>
  <c r="B462" i="3" s="1"/>
  <c r="B456" i="3"/>
  <c r="B457" i="3" s="1"/>
  <c r="B458" i="3" s="1"/>
  <c r="B452" i="3"/>
  <c r="B453" i="3" s="1"/>
  <c r="B454" i="3" s="1"/>
  <c r="B448" i="3"/>
  <c r="B449" i="3" s="1"/>
  <c r="B450" i="3" s="1"/>
  <c r="B444" i="3"/>
  <c r="B445" i="3" s="1"/>
  <c r="B446" i="3" s="1"/>
  <c r="B440" i="3"/>
  <c r="B441" i="3" s="1"/>
  <c r="B442" i="3" s="1"/>
  <c r="B436" i="3"/>
  <c r="B437" i="3" s="1"/>
  <c r="B438" i="3" s="1"/>
  <c r="B432" i="3"/>
  <c r="B433" i="3" s="1"/>
  <c r="B434" i="3" s="1"/>
  <c r="B428" i="3"/>
  <c r="B429" i="3" s="1"/>
  <c r="B430" i="3" s="1"/>
  <c r="B424" i="3"/>
  <c r="B425" i="3" s="1"/>
  <c r="B426" i="3" s="1"/>
  <c r="B420" i="3"/>
  <c r="B421" i="3" s="1"/>
  <c r="B422" i="3" s="1"/>
  <c r="B416" i="3"/>
  <c r="B417" i="3" s="1"/>
  <c r="B418" i="3" s="1"/>
  <c r="B412" i="3"/>
  <c r="B413" i="3" s="1"/>
  <c r="B414" i="3" s="1"/>
  <c r="B408" i="3"/>
  <c r="B409" i="3" s="1"/>
  <c r="B410" i="3" s="1"/>
  <c r="B404" i="3"/>
  <c r="B405" i="3" s="1"/>
  <c r="B406" i="3" s="1"/>
  <c r="B400" i="3"/>
  <c r="B401" i="3" s="1"/>
  <c r="B402" i="3" s="1"/>
  <c r="B396" i="3"/>
  <c r="B397" i="3" s="1"/>
  <c r="B398" i="3" s="1"/>
  <c r="B392" i="3"/>
  <c r="B393" i="3" s="1"/>
  <c r="B394" i="3" s="1"/>
  <c r="B388" i="3"/>
  <c r="B389" i="3" s="1"/>
  <c r="B390" i="3" s="1"/>
  <c r="B384" i="3"/>
  <c r="B385" i="3" s="1"/>
  <c r="B386" i="3" s="1"/>
  <c r="B380" i="3"/>
  <c r="B381" i="3" s="1"/>
  <c r="B382" i="3" s="1"/>
  <c r="B376" i="3"/>
  <c r="B377" i="3" s="1"/>
  <c r="B378" i="3" s="1"/>
  <c r="B372" i="3"/>
  <c r="B373" i="3" s="1"/>
  <c r="B374" i="3" s="1"/>
  <c r="B368" i="3"/>
  <c r="B369" i="3" s="1"/>
  <c r="B370" i="3" s="1"/>
  <c r="B364" i="3"/>
  <c r="B365" i="3" s="1"/>
  <c r="B366" i="3" s="1"/>
  <c r="B360" i="3"/>
  <c r="B361" i="3" s="1"/>
  <c r="B362" i="3" s="1"/>
  <c r="B356" i="3"/>
  <c r="B357" i="3" s="1"/>
  <c r="B358" i="3" s="1"/>
  <c r="B352" i="3"/>
  <c r="B353" i="3" s="1"/>
  <c r="B354" i="3" s="1"/>
  <c r="B348" i="3"/>
  <c r="B349" i="3" s="1"/>
  <c r="B350" i="3" s="1"/>
  <c r="B344" i="3"/>
  <c r="B345" i="3" s="1"/>
  <c r="B346" i="3" s="1"/>
  <c r="B340" i="3"/>
  <c r="B341" i="3" s="1"/>
  <c r="B342" i="3" s="1"/>
  <c r="B336" i="3"/>
  <c r="B337" i="3" s="1"/>
  <c r="B338" i="3" s="1"/>
  <c r="B332" i="3"/>
  <c r="B333" i="3" s="1"/>
  <c r="B334" i="3" s="1"/>
  <c r="B328" i="3"/>
  <c r="B329" i="3" s="1"/>
  <c r="B330" i="3" s="1"/>
  <c r="B324" i="3"/>
  <c r="B325" i="3" s="1"/>
  <c r="B326" i="3" s="1"/>
  <c r="B320" i="3"/>
  <c r="B321" i="3" s="1"/>
  <c r="B322" i="3" s="1"/>
  <c r="B316" i="3"/>
  <c r="B317" i="3" s="1"/>
  <c r="B318" i="3" s="1"/>
  <c r="B312" i="3"/>
  <c r="B313" i="3" s="1"/>
  <c r="B314" i="3" s="1"/>
  <c r="B308" i="3"/>
  <c r="B309" i="3" s="1"/>
  <c r="B310" i="3" s="1"/>
  <c r="B304" i="3"/>
  <c r="B305" i="3" s="1"/>
  <c r="B306" i="3" s="1"/>
  <c r="B300" i="3"/>
  <c r="B301" i="3" s="1"/>
  <c r="B302" i="3" s="1"/>
  <c r="B296" i="3"/>
  <c r="B297" i="3" s="1"/>
  <c r="B298" i="3" s="1"/>
  <c r="B292" i="3"/>
  <c r="B293" i="3" s="1"/>
  <c r="B294" i="3" s="1"/>
  <c r="B288" i="3"/>
  <c r="B289" i="3" s="1"/>
  <c r="B290" i="3" s="1"/>
  <c r="B284" i="3"/>
  <c r="B285" i="3" s="1"/>
  <c r="B286" i="3" s="1"/>
  <c r="B280" i="3"/>
  <c r="B281" i="3" s="1"/>
  <c r="B282" i="3" s="1"/>
  <c r="B276" i="3"/>
  <c r="B277" i="3" s="1"/>
  <c r="B278" i="3" s="1"/>
  <c r="B272" i="3"/>
  <c r="B273" i="3" s="1"/>
  <c r="B274" i="3" s="1"/>
  <c r="B268" i="3"/>
  <c r="B269" i="3" s="1"/>
  <c r="B270" i="3" s="1"/>
  <c r="B264" i="3"/>
  <c r="B265" i="3" s="1"/>
  <c r="B266" i="3" s="1"/>
  <c r="B260" i="3"/>
  <c r="B261" i="3" s="1"/>
  <c r="B262" i="3" s="1"/>
  <c r="B256" i="3"/>
  <c r="B257" i="3" s="1"/>
  <c r="B258" i="3" s="1"/>
  <c r="B252" i="3"/>
  <c r="B253" i="3" s="1"/>
  <c r="B254" i="3" s="1"/>
  <c r="B248" i="3"/>
  <c r="B249" i="3" s="1"/>
  <c r="B250" i="3" s="1"/>
  <c r="B244" i="3"/>
  <c r="B245" i="3" s="1"/>
  <c r="B246" i="3" s="1"/>
  <c r="B240" i="3"/>
  <c r="B241" i="3" s="1"/>
  <c r="B242" i="3" s="1"/>
  <c r="B236" i="3"/>
  <c r="B237" i="3" s="1"/>
  <c r="B238" i="3" s="1"/>
  <c r="B232" i="3"/>
  <c r="B233" i="3" s="1"/>
  <c r="B234" i="3" s="1"/>
  <c r="B228" i="3"/>
  <c r="B229" i="3" s="1"/>
  <c r="B230" i="3" s="1"/>
  <c r="B224" i="3"/>
  <c r="B225" i="3" s="1"/>
  <c r="B226" i="3" s="1"/>
  <c r="B220" i="3"/>
  <c r="B221" i="3" s="1"/>
  <c r="B222" i="3" s="1"/>
  <c r="B216" i="3"/>
  <c r="B217" i="3" s="1"/>
  <c r="B218" i="3" s="1"/>
  <c r="B212" i="3"/>
  <c r="B213" i="3" s="1"/>
  <c r="B214" i="3" s="1"/>
  <c r="B208" i="3"/>
  <c r="B209" i="3" s="1"/>
  <c r="B210" i="3" s="1"/>
  <c r="B204" i="3"/>
  <c r="B205" i="3" s="1"/>
  <c r="B206" i="3" s="1"/>
  <c r="B200" i="3"/>
  <c r="B201" i="3" s="1"/>
  <c r="B202" i="3" s="1"/>
  <c r="B196" i="3"/>
  <c r="B197" i="3" s="1"/>
  <c r="B198" i="3" s="1"/>
  <c r="B192" i="3"/>
  <c r="B193" i="3" s="1"/>
  <c r="B194" i="3" s="1"/>
  <c r="B188" i="3"/>
  <c r="B189" i="3" s="1"/>
  <c r="B190" i="3" s="1"/>
  <c r="B184" i="3"/>
  <c r="B185" i="3" s="1"/>
  <c r="B186" i="3" s="1"/>
  <c r="B180" i="3"/>
  <c r="B181" i="3" s="1"/>
  <c r="B182" i="3" s="1"/>
  <c r="B176" i="3"/>
  <c r="B177" i="3" s="1"/>
  <c r="B178" i="3" s="1"/>
  <c r="B172" i="3"/>
  <c r="B173" i="3" s="1"/>
  <c r="B174" i="3" s="1"/>
  <c r="B168" i="3"/>
  <c r="B169" i="3" s="1"/>
  <c r="B170" i="3" s="1"/>
  <c r="B164" i="3"/>
  <c r="B165" i="3" s="1"/>
  <c r="B166" i="3" s="1"/>
  <c r="B160" i="3"/>
  <c r="B161" i="3" s="1"/>
  <c r="B162" i="3" s="1"/>
  <c r="B156" i="3"/>
  <c r="B157" i="3" s="1"/>
  <c r="B158" i="3" s="1"/>
  <c r="B152" i="3"/>
  <c r="B153" i="3" s="1"/>
  <c r="B154" i="3" s="1"/>
  <c r="B148" i="3"/>
  <c r="B149" i="3" s="1"/>
  <c r="B150" i="3" s="1"/>
  <c r="B144" i="3"/>
  <c r="B145" i="3" s="1"/>
  <c r="B146" i="3" s="1"/>
  <c r="B140" i="3"/>
  <c r="B141" i="3" s="1"/>
  <c r="B142" i="3" s="1"/>
  <c r="B136" i="3"/>
  <c r="B137" i="3" s="1"/>
  <c r="B138" i="3" s="1"/>
  <c r="B132" i="3"/>
  <c r="B133" i="3" s="1"/>
  <c r="B134" i="3" s="1"/>
  <c r="B128" i="3"/>
  <c r="B129" i="3" s="1"/>
  <c r="B130" i="3" s="1"/>
  <c r="B124" i="3"/>
  <c r="B125" i="3" s="1"/>
  <c r="B126" i="3" s="1"/>
  <c r="B120" i="3"/>
  <c r="B121" i="3" s="1"/>
  <c r="B122" i="3" s="1"/>
  <c r="B116" i="3"/>
  <c r="B117" i="3" s="1"/>
  <c r="B118" i="3" s="1"/>
  <c r="B112" i="3"/>
  <c r="B113" i="3" s="1"/>
  <c r="B114" i="3" s="1"/>
  <c r="B108" i="3"/>
  <c r="B109" i="3" s="1"/>
  <c r="B110" i="3" s="1"/>
  <c r="B104" i="3"/>
  <c r="B105" i="3" s="1"/>
  <c r="B106" i="3" s="1"/>
  <c r="B100" i="3"/>
  <c r="B101" i="3" s="1"/>
  <c r="B102" i="3" s="1"/>
  <c r="B96" i="3"/>
  <c r="B97" i="3" s="1"/>
  <c r="B98" i="3" s="1"/>
  <c r="B92" i="3"/>
  <c r="B93" i="3" s="1"/>
  <c r="B94" i="3" s="1"/>
  <c r="B88" i="3"/>
  <c r="B89" i="3" s="1"/>
  <c r="B90" i="3" s="1"/>
  <c r="B84" i="3"/>
  <c r="B85" i="3" s="1"/>
  <c r="B86" i="3" s="1"/>
  <c r="B80" i="3"/>
  <c r="B81" i="3" s="1"/>
  <c r="B82" i="3" s="1"/>
  <c r="B76" i="3"/>
  <c r="B77" i="3" s="1"/>
  <c r="B78" i="3" s="1"/>
  <c r="B72" i="3"/>
  <c r="B73" i="3" s="1"/>
  <c r="B74" i="3" s="1"/>
  <c r="B68" i="3"/>
  <c r="B69" i="3" s="1"/>
  <c r="B70" i="3" s="1"/>
  <c r="B64" i="3"/>
  <c r="B65" i="3" s="1"/>
  <c r="B66" i="3" s="1"/>
  <c r="B60" i="3"/>
  <c r="B61" i="3" s="1"/>
  <c r="B62" i="3" s="1"/>
  <c r="B56" i="3"/>
  <c r="B57" i="3" s="1"/>
  <c r="B58" i="3" s="1"/>
  <c r="B52" i="3"/>
  <c r="B53" i="3" s="1"/>
  <c r="B54" i="3" s="1"/>
  <c r="B48" i="3"/>
  <c r="B49" i="3" s="1"/>
  <c r="B50" i="3" s="1"/>
  <c r="B44" i="3"/>
  <c r="B45" i="3" s="1"/>
  <c r="B46" i="3" s="1"/>
  <c r="B40" i="3"/>
  <c r="B41" i="3" s="1"/>
  <c r="B42" i="3" s="1"/>
  <c r="B36" i="3"/>
  <c r="B32" i="3"/>
  <c r="B33" i="3" s="1"/>
  <c r="B34" i="3" s="1"/>
  <c r="B28" i="3"/>
  <c r="B29" i="3" s="1"/>
  <c r="B30" i="3" s="1"/>
  <c r="B24" i="3"/>
  <c r="B25" i="3" s="1"/>
  <c r="B26" i="3" s="1"/>
  <c r="B20" i="3"/>
  <c r="B21" i="3" s="1"/>
  <c r="B22" i="3" s="1"/>
  <c r="B16" i="3"/>
  <c r="C808" i="3"/>
  <c r="C804" i="3"/>
  <c r="C800" i="3"/>
  <c r="C796" i="3"/>
  <c r="C792" i="3"/>
  <c r="C788" i="3"/>
  <c r="C784" i="3"/>
  <c r="C780" i="3"/>
  <c r="C776" i="3"/>
  <c r="C772" i="3"/>
  <c r="C768" i="3"/>
  <c r="C764" i="3"/>
  <c r="C760" i="3"/>
  <c r="C756" i="3"/>
  <c r="C752" i="3"/>
  <c r="C748" i="3"/>
  <c r="C744" i="3"/>
  <c r="C740" i="3"/>
  <c r="C736" i="3"/>
  <c r="C732" i="3"/>
  <c r="C728" i="3"/>
  <c r="C724" i="3"/>
  <c r="C720" i="3"/>
  <c r="C716" i="3"/>
  <c r="C712" i="3"/>
  <c r="C708" i="3"/>
  <c r="C704" i="3"/>
  <c r="C700" i="3"/>
  <c r="C696" i="3"/>
  <c r="C692" i="3"/>
  <c r="C688" i="3"/>
  <c r="C684" i="3"/>
  <c r="C680" i="3"/>
  <c r="C676" i="3"/>
  <c r="C672" i="3"/>
  <c r="C668" i="3"/>
  <c r="C664" i="3"/>
  <c r="C660" i="3"/>
  <c r="C656" i="3"/>
  <c r="C652" i="3"/>
  <c r="C648" i="3"/>
  <c r="C644" i="3"/>
  <c r="C640" i="3"/>
  <c r="C636" i="3"/>
  <c r="C632" i="3"/>
  <c r="C628" i="3"/>
  <c r="C624" i="3"/>
  <c r="C620" i="3"/>
  <c r="C616" i="3"/>
  <c r="C612" i="3"/>
  <c r="C608" i="3"/>
  <c r="C604" i="3"/>
  <c r="C600" i="3"/>
  <c r="C596" i="3"/>
  <c r="C592" i="3"/>
  <c r="C588" i="3"/>
  <c r="C584" i="3"/>
  <c r="C580" i="3"/>
  <c r="C576" i="3"/>
  <c r="C572" i="3"/>
  <c r="C568" i="3"/>
  <c r="C564" i="3"/>
  <c r="C560" i="3"/>
  <c r="C556" i="3"/>
  <c r="C552" i="3"/>
  <c r="C548" i="3"/>
  <c r="C544" i="3"/>
  <c r="C540" i="3"/>
  <c r="C536" i="3"/>
  <c r="C532" i="3"/>
  <c r="C528" i="3"/>
  <c r="C524" i="3"/>
  <c r="C520" i="3"/>
  <c r="C516" i="3"/>
  <c r="C512" i="3"/>
  <c r="C508" i="3"/>
  <c r="C504" i="3"/>
  <c r="C500" i="3"/>
  <c r="C496" i="3"/>
  <c r="C492" i="3"/>
  <c r="C488" i="3"/>
  <c r="C484" i="3"/>
  <c r="C480" i="3"/>
  <c r="C476" i="3"/>
  <c r="C472" i="3"/>
  <c r="C468" i="3"/>
  <c r="C464" i="3"/>
  <c r="C460" i="3"/>
  <c r="C456" i="3"/>
  <c r="C452" i="3"/>
  <c r="C448" i="3"/>
  <c r="C444" i="3"/>
  <c r="C440" i="3"/>
  <c r="C436" i="3"/>
  <c r="C432" i="3"/>
  <c r="C428" i="3"/>
  <c r="C424" i="3"/>
  <c r="C420" i="3"/>
  <c r="C416" i="3"/>
  <c r="C412" i="3"/>
  <c r="C408" i="3"/>
  <c r="C404" i="3"/>
  <c r="C400" i="3"/>
  <c r="C396" i="3"/>
  <c r="C392" i="3"/>
  <c r="C388" i="3"/>
  <c r="C384" i="3"/>
  <c r="C380" i="3"/>
  <c r="C376" i="3"/>
  <c r="C372" i="3"/>
  <c r="C368" i="3"/>
  <c r="C364" i="3"/>
  <c r="C360" i="3"/>
  <c r="C356" i="3"/>
  <c r="C352" i="3"/>
  <c r="C348" i="3"/>
  <c r="C344" i="3"/>
  <c r="C340" i="3"/>
  <c r="C336" i="3"/>
  <c r="C332" i="3"/>
  <c r="C328" i="3"/>
  <c r="C324" i="3"/>
  <c r="C320" i="3"/>
  <c r="C316" i="3"/>
  <c r="C312" i="3"/>
  <c r="C308" i="3"/>
  <c r="C304" i="3"/>
  <c r="C300" i="3"/>
  <c r="C296" i="3"/>
  <c r="C292" i="3"/>
  <c r="C288" i="3"/>
  <c r="C284" i="3"/>
  <c r="C280" i="3"/>
  <c r="C276" i="3"/>
  <c r="C272" i="3"/>
  <c r="C268" i="3"/>
  <c r="C264" i="3"/>
  <c r="C260" i="3"/>
  <c r="C256" i="3"/>
  <c r="C252" i="3"/>
  <c r="C248" i="3"/>
  <c r="C244" i="3"/>
  <c r="C240" i="3"/>
  <c r="C236" i="3"/>
  <c r="C232" i="3"/>
  <c r="C228" i="3"/>
  <c r="C224" i="3"/>
  <c r="C220" i="3"/>
  <c r="C216" i="3"/>
  <c r="C212" i="3"/>
  <c r="C208" i="3"/>
  <c r="C204" i="3"/>
  <c r="C200" i="3"/>
  <c r="C196" i="3"/>
  <c r="C192" i="3"/>
  <c r="C188" i="3"/>
  <c r="C184" i="3"/>
  <c r="C180" i="3"/>
  <c r="C176" i="3"/>
  <c r="C172" i="3"/>
  <c r="C168" i="3"/>
  <c r="C164" i="3"/>
  <c r="C160" i="3"/>
  <c r="C156" i="3"/>
  <c r="C152" i="3"/>
  <c r="C148" i="3"/>
  <c r="C144" i="3"/>
  <c r="C140" i="3"/>
  <c r="C136" i="3"/>
  <c r="C132" i="3"/>
  <c r="C128" i="3"/>
  <c r="C124" i="3"/>
  <c r="C120" i="3"/>
  <c r="C116" i="3"/>
  <c r="C112" i="3"/>
  <c r="C108" i="3"/>
  <c r="C104" i="3"/>
  <c r="C100" i="3"/>
  <c r="C96" i="3"/>
  <c r="C92" i="3"/>
  <c r="C88" i="3"/>
  <c r="C84" i="3"/>
  <c r="C80" i="3"/>
  <c r="C76" i="3"/>
  <c r="C72" i="3"/>
  <c r="C68" i="3"/>
  <c r="C64" i="3"/>
  <c r="C60" i="3"/>
  <c r="I3" i="3"/>
  <c r="I2" i="15"/>
  <c r="I3" i="15" s="1"/>
  <c r="U5" i="27"/>
  <c r="B36" i="15"/>
  <c r="B130" i="15"/>
  <c r="B129" i="15"/>
  <c r="B128" i="15"/>
  <c r="B126" i="15"/>
  <c r="B125" i="15"/>
  <c r="B124" i="15"/>
  <c r="B122" i="15"/>
  <c r="B121" i="15"/>
  <c r="B118" i="15"/>
  <c r="B117" i="15"/>
  <c r="B116" i="15"/>
  <c r="B114" i="15"/>
  <c r="B113" i="15"/>
  <c r="B112" i="15"/>
  <c r="B110" i="15"/>
  <c r="B109" i="15"/>
  <c r="B108" i="15"/>
  <c r="B106" i="15"/>
  <c r="B105" i="15"/>
  <c r="B104" i="15"/>
  <c r="B102" i="15"/>
  <c r="B101" i="15"/>
  <c r="B100" i="15"/>
  <c r="B98" i="15"/>
  <c r="B97" i="15"/>
  <c r="B96" i="15"/>
  <c r="B94" i="15"/>
  <c r="B93" i="15"/>
  <c r="B92" i="15"/>
  <c r="B90" i="15"/>
  <c r="B89" i="15"/>
  <c r="B88" i="15"/>
  <c r="B86" i="15"/>
  <c r="B85" i="15"/>
  <c r="B84" i="15"/>
  <c r="B82" i="15"/>
  <c r="B81" i="15"/>
  <c r="B80" i="15"/>
  <c r="B78" i="15"/>
  <c r="B77" i="15"/>
  <c r="B76" i="15"/>
  <c r="B74" i="15"/>
  <c r="B73" i="15"/>
  <c r="B72" i="15"/>
  <c r="B70" i="15"/>
  <c r="B69" i="15"/>
  <c r="B68" i="15"/>
  <c r="B66" i="15"/>
  <c r="B65" i="15"/>
  <c r="B64" i="15"/>
  <c r="B62" i="15"/>
  <c r="B61" i="15"/>
  <c r="B60" i="15"/>
  <c r="B58" i="15"/>
  <c r="B57" i="15"/>
  <c r="B56" i="15"/>
  <c r="B54" i="15"/>
  <c r="B53" i="15"/>
  <c r="B52" i="15"/>
  <c r="B50" i="15"/>
  <c r="B49" i="15"/>
  <c r="B48" i="15"/>
  <c r="B46" i="15"/>
  <c r="B45" i="15"/>
  <c r="B44" i="15"/>
  <c r="B42" i="15"/>
  <c r="B41" i="15"/>
  <c r="B40" i="15"/>
  <c r="B38" i="15"/>
  <c r="B37" i="15"/>
  <c r="B34" i="15"/>
  <c r="B33" i="15"/>
  <c r="B32" i="15"/>
  <c r="B30" i="15"/>
  <c r="B29" i="15"/>
  <c r="B28" i="15"/>
  <c r="B26" i="15"/>
  <c r="B25" i="15"/>
  <c r="B24" i="15"/>
  <c r="B22" i="15"/>
  <c r="B21" i="15"/>
  <c r="B20" i="15"/>
  <c r="B18" i="15"/>
  <c r="B17" i="15"/>
  <c r="B16" i="15"/>
  <c r="B12" i="15"/>
  <c r="B13" i="15"/>
  <c r="B14" i="15"/>
  <c r="D60" i="15"/>
  <c r="E60" i="15"/>
  <c r="D61" i="15"/>
  <c r="E61" i="15"/>
  <c r="D62" i="15"/>
  <c r="E62" i="15"/>
  <c r="D64" i="15"/>
  <c r="E64" i="15"/>
  <c r="D65" i="15"/>
  <c r="E65" i="15"/>
  <c r="D66" i="15"/>
  <c r="E66" i="15"/>
  <c r="D68" i="15"/>
  <c r="E68" i="15"/>
  <c r="D69" i="15"/>
  <c r="E69" i="15"/>
  <c r="D70" i="15"/>
  <c r="E70" i="15"/>
  <c r="D72" i="15"/>
  <c r="E72" i="15"/>
  <c r="D73" i="15"/>
  <c r="E73" i="15"/>
  <c r="D74" i="15"/>
  <c r="E74" i="15"/>
  <c r="D76" i="15"/>
  <c r="E76" i="15"/>
  <c r="D77" i="15"/>
  <c r="E77" i="15"/>
  <c r="D78" i="15"/>
  <c r="E78" i="15"/>
  <c r="D80" i="15"/>
  <c r="E80" i="15"/>
  <c r="D81" i="15"/>
  <c r="E81" i="15"/>
  <c r="D82" i="15"/>
  <c r="E82" i="15"/>
  <c r="D84" i="15"/>
  <c r="E84" i="15"/>
  <c r="D85" i="15"/>
  <c r="E85" i="15"/>
  <c r="D86" i="15"/>
  <c r="E86" i="15"/>
  <c r="D88" i="15"/>
  <c r="E88" i="15"/>
  <c r="D89" i="15"/>
  <c r="E89" i="15"/>
  <c r="D90" i="15"/>
  <c r="E90" i="15"/>
  <c r="D92" i="15"/>
  <c r="E92" i="15"/>
  <c r="D93" i="15"/>
  <c r="E93" i="15"/>
  <c r="D94" i="15"/>
  <c r="E94" i="15"/>
  <c r="D96" i="15"/>
  <c r="E96" i="15"/>
  <c r="D97" i="15"/>
  <c r="E97" i="15"/>
  <c r="D98" i="15"/>
  <c r="E98" i="15"/>
  <c r="D100" i="15"/>
  <c r="E100" i="15"/>
  <c r="D101" i="15"/>
  <c r="E101" i="15"/>
  <c r="D102" i="15"/>
  <c r="E102" i="15"/>
  <c r="D104" i="15"/>
  <c r="E104" i="15"/>
  <c r="D105" i="15"/>
  <c r="E105" i="15"/>
  <c r="D106" i="15"/>
  <c r="E106" i="15"/>
  <c r="D108" i="15"/>
  <c r="E108" i="15"/>
  <c r="D109" i="15"/>
  <c r="E109" i="15"/>
  <c r="D110" i="15"/>
  <c r="E110" i="15"/>
  <c r="D112" i="15"/>
  <c r="E112" i="15"/>
  <c r="D113" i="15"/>
  <c r="E113" i="15"/>
  <c r="D114" i="15"/>
  <c r="E114" i="15"/>
  <c r="D116" i="15"/>
  <c r="E116" i="15"/>
  <c r="D117" i="15"/>
  <c r="E117" i="15"/>
  <c r="D118" i="15"/>
  <c r="E118" i="15"/>
  <c r="D121" i="15"/>
  <c r="E121" i="15"/>
  <c r="D122" i="15"/>
  <c r="E122" i="15"/>
  <c r="D124" i="15"/>
  <c r="E124" i="15"/>
  <c r="D125" i="15"/>
  <c r="E125" i="15"/>
  <c r="D126" i="15"/>
  <c r="E126" i="15"/>
  <c r="D128" i="15"/>
  <c r="E128" i="15"/>
  <c r="D129" i="15"/>
  <c r="E129" i="15"/>
  <c r="D130" i="15"/>
  <c r="E130" i="15"/>
  <c r="H5" i="27"/>
  <c r="E180" i="3"/>
  <c r="E181" i="3" s="1"/>
  <c r="E182" i="3" s="1"/>
  <c r="F180" i="3"/>
  <c r="G180" i="3" s="1"/>
  <c r="E184" i="3"/>
  <c r="E185" i="3" s="1"/>
  <c r="E186" i="3" s="1"/>
  <c r="F184" i="3"/>
  <c r="E188" i="3"/>
  <c r="E189" i="3" s="1"/>
  <c r="E190" i="3" s="1"/>
  <c r="F188" i="3"/>
  <c r="G188" i="3" s="1"/>
  <c r="E192" i="3"/>
  <c r="E193" i="3" s="1"/>
  <c r="E194" i="3" s="1"/>
  <c r="F192" i="3"/>
  <c r="E196" i="3"/>
  <c r="E197" i="3" s="1"/>
  <c r="E198" i="3" s="1"/>
  <c r="F196" i="3"/>
  <c r="E200" i="3"/>
  <c r="E201" i="3" s="1"/>
  <c r="E202" i="3" s="1"/>
  <c r="F200" i="3"/>
  <c r="E204" i="3"/>
  <c r="E205" i="3" s="1"/>
  <c r="E206" i="3" s="1"/>
  <c r="F204" i="3"/>
  <c r="G204" i="3" s="1"/>
  <c r="E208" i="3"/>
  <c r="E209" i="3" s="1"/>
  <c r="E210" i="3" s="1"/>
  <c r="F208" i="3"/>
  <c r="E212" i="3"/>
  <c r="E213" i="3" s="1"/>
  <c r="E214" i="3" s="1"/>
  <c r="F212" i="3"/>
  <c r="G212" i="3" s="1"/>
  <c r="E216" i="3"/>
  <c r="E217" i="3" s="1"/>
  <c r="E218" i="3" s="1"/>
  <c r="F216" i="3"/>
  <c r="E220" i="3"/>
  <c r="E221" i="3" s="1"/>
  <c r="E222" i="3" s="1"/>
  <c r="F220" i="3"/>
  <c r="G220" i="3" s="1"/>
  <c r="E224" i="3"/>
  <c r="E225" i="3" s="1"/>
  <c r="E226" i="3" s="1"/>
  <c r="F224" i="3"/>
  <c r="G224" i="3" s="1"/>
  <c r="E228" i="3"/>
  <c r="E229" i="3" s="1"/>
  <c r="E230" i="3" s="1"/>
  <c r="F228" i="3"/>
  <c r="E232" i="3"/>
  <c r="E233" i="3" s="1"/>
  <c r="E234" i="3" s="1"/>
  <c r="F232" i="3"/>
  <c r="G232" i="3" s="1"/>
  <c r="E236" i="3"/>
  <c r="E237" i="3" s="1"/>
  <c r="E238" i="3" s="1"/>
  <c r="F236" i="3"/>
  <c r="E240" i="3"/>
  <c r="E241" i="3" s="1"/>
  <c r="E242" i="3" s="1"/>
  <c r="F240" i="3"/>
  <c r="E244" i="3"/>
  <c r="E245" i="3" s="1"/>
  <c r="E246" i="3" s="1"/>
  <c r="F244" i="3"/>
  <c r="E248" i="3"/>
  <c r="E249" i="3" s="1"/>
  <c r="E250" i="3" s="1"/>
  <c r="F248" i="3"/>
  <c r="E252" i="3"/>
  <c r="E253" i="3" s="1"/>
  <c r="E254" i="3" s="1"/>
  <c r="F252" i="3"/>
  <c r="E256" i="3"/>
  <c r="E257" i="3" s="1"/>
  <c r="E258" i="3" s="1"/>
  <c r="F256" i="3"/>
  <c r="G256" i="3" s="1"/>
  <c r="E260" i="3"/>
  <c r="E261" i="3" s="1"/>
  <c r="E262" i="3" s="1"/>
  <c r="F260" i="3"/>
  <c r="E264" i="3"/>
  <c r="E265" i="3" s="1"/>
  <c r="E266" i="3" s="1"/>
  <c r="F264" i="3"/>
  <c r="G264" i="3" s="1"/>
  <c r="E268" i="3"/>
  <c r="E269" i="3" s="1"/>
  <c r="E270" i="3" s="1"/>
  <c r="F268" i="3"/>
  <c r="E272" i="3"/>
  <c r="E273" i="3" s="1"/>
  <c r="E274" i="3" s="1"/>
  <c r="F272" i="3"/>
  <c r="E276" i="3"/>
  <c r="E277" i="3" s="1"/>
  <c r="E278" i="3" s="1"/>
  <c r="F276" i="3"/>
  <c r="E280" i="3"/>
  <c r="E281" i="3" s="1"/>
  <c r="E282" i="3" s="1"/>
  <c r="F280" i="3"/>
  <c r="G280" i="3" s="1"/>
  <c r="E284" i="3"/>
  <c r="E285" i="3" s="1"/>
  <c r="E286" i="3" s="1"/>
  <c r="F284" i="3"/>
  <c r="E288" i="3"/>
  <c r="E289" i="3" s="1"/>
  <c r="E290" i="3" s="1"/>
  <c r="F288" i="3"/>
  <c r="E292" i="3"/>
  <c r="E293" i="3" s="1"/>
  <c r="E294" i="3" s="1"/>
  <c r="F292" i="3"/>
  <c r="G292" i="3" s="1"/>
  <c r="E296" i="3"/>
  <c r="E297" i="3" s="1"/>
  <c r="E298" i="3" s="1"/>
  <c r="F296" i="3"/>
  <c r="E300" i="3"/>
  <c r="E301" i="3" s="1"/>
  <c r="E302" i="3" s="1"/>
  <c r="F300" i="3"/>
  <c r="E304" i="3"/>
  <c r="E305" i="3" s="1"/>
  <c r="E306" i="3" s="1"/>
  <c r="F304" i="3"/>
  <c r="G304" i="3" s="1"/>
  <c r="E308" i="3"/>
  <c r="E309" i="3" s="1"/>
  <c r="E310" i="3" s="1"/>
  <c r="F308" i="3"/>
  <c r="E312" i="3"/>
  <c r="E313" i="3" s="1"/>
  <c r="E314" i="3" s="1"/>
  <c r="F312" i="3"/>
  <c r="E316" i="3"/>
  <c r="E317" i="3" s="1"/>
  <c r="E318" i="3" s="1"/>
  <c r="F316" i="3"/>
  <c r="E320" i="3"/>
  <c r="E321" i="3" s="1"/>
  <c r="E322" i="3" s="1"/>
  <c r="F320" i="3"/>
  <c r="E324" i="3"/>
  <c r="E325" i="3" s="1"/>
  <c r="E326" i="3" s="1"/>
  <c r="F324" i="3"/>
  <c r="E328" i="3"/>
  <c r="E329" i="3" s="1"/>
  <c r="E330" i="3" s="1"/>
  <c r="F328" i="3"/>
  <c r="E332" i="3"/>
  <c r="E333" i="3" s="1"/>
  <c r="E334" i="3" s="1"/>
  <c r="F332" i="3"/>
  <c r="G332" i="3" s="1"/>
  <c r="E336" i="3"/>
  <c r="E337" i="3" s="1"/>
  <c r="E338" i="3" s="1"/>
  <c r="F336" i="3"/>
  <c r="G336" i="3" s="1"/>
  <c r="E340" i="3"/>
  <c r="E341" i="3" s="1"/>
  <c r="E342" i="3" s="1"/>
  <c r="F340" i="3"/>
  <c r="E344" i="3"/>
  <c r="E345" i="3" s="1"/>
  <c r="E346" i="3" s="1"/>
  <c r="F344" i="3"/>
  <c r="G344" i="3" s="1"/>
  <c r="E348" i="3"/>
  <c r="E349" i="3" s="1"/>
  <c r="E350" i="3" s="1"/>
  <c r="F348" i="3"/>
  <c r="E352" i="3"/>
  <c r="E353" i="3" s="1"/>
  <c r="E354" i="3" s="1"/>
  <c r="F352" i="3"/>
  <c r="E356" i="3"/>
  <c r="E357" i="3" s="1"/>
  <c r="E358" i="3" s="1"/>
  <c r="F356" i="3"/>
  <c r="G356" i="3" s="1"/>
  <c r="E360" i="3"/>
  <c r="E361" i="3" s="1"/>
  <c r="E362" i="3" s="1"/>
  <c r="F360" i="3"/>
  <c r="E364" i="3"/>
  <c r="E365" i="3" s="1"/>
  <c r="E366" i="3" s="1"/>
  <c r="F364" i="3"/>
  <c r="E368" i="3"/>
  <c r="E369" i="3" s="1"/>
  <c r="E370" i="3" s="1"/>
  <c r="F368" i="3"/>
  <c r="E372" i="3"/>
  <c r="E373" i="3" s="1"/>
  <c r="E374" i="3" s="1"/>
  <c r="F372" i="3"/>
  <c r="E376" i="3"/>
  <c r="E377" i="3" s="1"/>
  <c r="E378" i="3" s="1"/>
  <c r="F376" i="3"/>
  <c r="E380" i="3"/>
  <c r="E381" i="3" s="1"/>
  <c r="E382" i="3" s="1"/>
  <c r="F380" i="3"/>
  <c r="E384" i="3"/>
  <c r="E385" i="3" s="1"/>
  <c r="E386" i="3" s="1"/>
  <c r="F384" i="3"/>
  <c r="E388" i="3"/>
  <c r="E389" i="3" s="1"/>
  <c r="E390" i="3" s="1"/>
  <c r="F388" i="3"/>
  <c r="E392" i="3"/>
  <c r="E393" i="3" s="1"/>
  <c r="E394" i="3" s="1"/>
  <c r="F392" i="3"/>
  <c r="G392" i="3" s="1"/>
  <c r="E396" i="3"/>
  <c r="E397" i="3" s="1"/>
  <c r="E398" i="3" s="1"/>
  <c r="F396" i="3"/>
  <c r="E400" i="3"/>
  <c r="E401" i="3" s="1"/>
  <c r="E402" i="3" s="1"/>
  <c r="F400" i="3"/>
  <c r="E404" i="3"/>
  <c r="E405" i="3" s="1"/>
  <c r="E406" i="3" s="1"/>
  <c r="F404" i="3"/>
  <c r="E408" i="3"/>
  <c r="E409" i="3" s="1"/>
  <c r="E410" i="3" s="1"/>
  <c r="F408" i="3"/>
  <c r="E412" i="3"/>
  <c r="E413" i="3" s="1"/>
  <c r="E414" i="3" s="1"/>
  <c r="F412" i="3"/>
  <c r="G412" i="3" s="1"/>
  <c r="E416" i="3"/>
  <c r="E417" i="3" s="1"/>
  <c r="E418" i="3" s="1"/>
  <c r="F416" i="3"/>
  <c r="E420" i="3"/>
  <c r="E421" i="3" s="1"/>
  <c r="E422" i="3" s="1"/>
  <c r="F420" i="3"/>
  <c r="E424" i="3"/>
  <c r="E425" i="3" s="1"/>
  <c r="E426" i="3" s="1"/>
  <c r="F424" i="3"/>
  <c r="E428" i="3"/>
  <c r="E429" i="3" s="1"/>
  <c r="E430" i="3" s="1"/>
  <c r="F428" i="3"/>
  <c r="E432" i="3"/>
  <c r="E433" i="3" s="1"/>
  <c r="E434" i="3" s="1"/>
  <c r="F432" i="3"/>
  <c r="E436" i="3"/>
  <c r="E437" i="3" s="1"/>
  <c r="E438" i="3" s="1"/>
  <c r="F436" i="3"/>
  <c r="E440" i="3"/>
  <c r="E441" i="3" s="1"/>
  <c r="E442" i="3" s="1"/>
  <c r="F440" i="3"/>
  <c r="E444" i="3"/>
  <c r="E445" i="3" s="1"/>
  <c r="E446" i="3" s="1"/>
  <c r="F444" i="3"/>
  <c r="E448" i="3"/>
  <c r="E449" i="3" s="1"/>
  <c r="E450" i="3" s="1"/>
  <c r="F448" i="3"/>
  <c r="E452" i="3"/>
  <c r="E453" i="3" s="1"/>
  <c r="E454" i="3" s="1"/>
  <c r="F452" i="3"/>
  <c r="G452" i="3" s="1"/>
  <c r="E456" i="3"/>
  <c r="E457" i="3" s="1"/>
  <c r="E458" i="3" s="1"/>
  <c r="F456" i="3"/>
  <c r="E460" i="3"/>
  <c r="E461" i="3" s="1"/>
  <c r="E462" i="3" s="1"/>
  <c r="F460" i="3"/>
  <c r="E464" i="3"/>
  <c r="E465" i="3" s="1"/>
  <c r="E466" i="3" s="1"/>
  <c r="F464" i="3"/>
  <c r="E468" i="3"/>
  <c r="E469" i="3" s="1"/>
  <c r="E470" i="3" s="1"/>
  <c r="F468" i="3"/>
  <c r="E472" i="3"/>
  <c r="E473" i="3" s="1"/>
  <c r="E474" i="3" s="1"/>
  <c r="F472" i="3"/>
  <c r="E476" i="3"/>
  <c r="E477" i="3" s="1"/>
  <c r="E478" i="3" s="1"/>
  <c r="F476" i="3"/>
  <c r="E480" i="3"/>
  <c r="E481" i="3" s="1"/>
  <c r="E482" i="3" s="1"/>
  <c r="F480" i="3"/>
  <c r="E484" i="3"/>
  <c r="E485" i="3" s="1"/>
  <c r="E486" i="3" s="1"/>
  <c r="F484" i="3"/>
  <c r="E488" i="3"/>
  <c r="E489" i="3" s="1"/>
  <c r="E490" i="3" s="1"/>
  <c r="F488" i="3"/>
  <c r="E492" i="3"/>
  <c r="E493" i="3" s="1"/>
  <c r="E494" i="3" s="1"/>
  <c r="F492" i="3"/>
  <c r="G492" i="3" s="1"/>
  <c r="E496" i="3"/>
  <c r="E497" i="3" s="1"/>
  <c r="E498" i="3" s="1"/>
  <c r="F496" i="3"/>
  <c r="E500" i="3"/>
  <c r="E501" i="3" s="1"/>
  <c r="E502" i="3" s="1"/>
  <c r="F500" i="3"/>
  <c r="E504" i="3"/>
  <c r="E505" i="3" s="1"/>
  <c r="E506" i="3" s="1"/>
  <c r="F504" i="3"/>
  <c r="E508" i="3"/>
  <c r="E509" i="3" s="1"/>
  <c r="E510" i="3" s="1"/>
  <c r="F508" i="3"/>
  <c r="G508" i="3" s="1"/>
  <c r="E512" i="3"/>
  <c r="E513" i="3" s="1"/>
  <c r="E514" i="3" s="1"/>
  <c r="F512" i="3"/>
  <c r="E516" i="3"/>
  <c r="E517" i="3" s="1"/>
  <c r="E518" i="3" s="1"/>
  <c r="F516" i="3"/>
  <c r="E520" i="3"/>
  <c r="E521" i="3" s="1"/>
  <c r="E522" i="3" s="1"/>
  <c r="F520" i="3"/>
  <c r="E524" i="3"/>
  <c r="E525" i="3" s="1"/>
  <c r="E526" i="3" s="1"/>
  <c r="F524" i="3"/>
  <c r="E528" i="3"/>
  <c r="E529" i="3" s="1"/>
  <c r="E530" i="3" s="1"/>
  <c r="F528" i="3"/>
  <c r="G528" i="3" s="1"/>
  <c r="E532" i="3"/>
  <c r="E533" i="3" s="1"/>
  <c r="E534" i="3" s="1"/>
  <c r="F532" i="3"/>
  <c r="E536" i="3"/>
  <c r="E537" i="3" s="1"/>
  <c r="E538" i="3" s="1"/>
  <c r="F536" i="3"/>
  <c r="E540" i="3"/>
  <c r="E541" i="3" s="1"/>
  <c r="E542" i="3" s="1"/>
  <c r="F540" i="3"/>
  <c r="E544" i="3"/>
  <c r="E545" i="3" s="1"/>
  <c r="E546" i="3" s="1"/>
  <c r="F544" i="3"/>
  <c r="E548" i="3"/>
  <c r="E549" i="3" s="1"/>
  <c r="E550" i="3" s="1"/>
  <c r="F548" i="3"/>
  <c r="E552" i="3"/>
  <c r="E553" i="3" s="1"/>
  <c r="E554" i="3" s="1"/>
  <c r="F552" i="3"/>
  <c r="G552" i="3" s="1"/>
  <c r="E556" i="3"/>
  <c r="E557" i="3" s="1"/>
  <c r="E558" i="3" s="1"/>
  <c r="F556" i="3"/>
  <c r="E560" i="3"/>
  <c r="E561" i="3" s="1"/>
  <c r="E562" i="3" s="1"/>
  <c r="F560" i="3"/>
  <c r="E564" i="3"/>
  <c r="E565" i="3" s="1"/>
  <c r="E566" i="3" s="1"/>
  <c r="F564" i="3"/>
  <c r="G564" i="3" s="1"/>
  <c r="E568" i="3"/>
  <c r="E569" i="3" s="1"/>
  <c r="E570" i="3" s="1"/>
  <c r="F568" i="3"/>
  <c r="E572" i="3"/>
  <c r="E573" i="3" s="1"/>
  <c r="E574" i="3" s="1"/>
  <c r="F572" i="3"/>
  <c r="E576" i="3"/>
  <c r="E577" i="3" s="1"/>
  <c r="E578" i="3" s="1"/>
  <c r="F576" i="3"/>
  <c r="E580" i="3"/>
  <c r="E581" i="3" s="1"/>
  <c r="E582" i="3" s="1"/>
  <c r="F580" i="3"/>
  <c r="E584" i="3"/>
  <c r="E585" i="3" s="1"/>
  <c r="E586" i="3" s="1"/>
  <c r="F584" i="3"/>
  <c r="E588" i="3"/>
  <c r="E589" i="3" s="1"/>
  <c r="E590" i="3" s="1"/>
  <c r="F588" i="3"/>
  <c r="G588" i="3" s="1"/>
  <c r="E592" i="3"/>
  <c r="E593" i="3" s="1"/>
  <c r="E594" i="3" s="1"/>
  <c r="F592" i="3"/>
  <c r="E596" i="3"/>
  <c r="E597" i="3" s="1"/>
  <c r="E598" i="3" s="1"/>
  <c r="F596" i="3"/>
  <c r="E600" i="3"/>
  <c r="E601" i="3" s="1"/>
  <c r="E602" i="3" s="1"/>
  <c r="F600" i="3"/>
  <c r="E604" i="3"/>
  <c r="E605" i="3" s="1"/>
  <c r="E606" i="3" s="1"/>
  <c r="F604" i="3"/>
  <c r="E608" i="3"/>
  <c r="E609" i="3" s="1"/>
  <c r="E610" i="3" s="1"/>
  <c r="F608" i="3"/>
  <c r="E612" i="3"/>
  <c r="E613" i="3" s="1"/>
  <c r="E614" i="3" s="1"/>
  <c r="F612" i="3"/>
  <c r="E616" i="3"/>
  <c r="E617" i="3" s="1"/>
  <c r="E618" i="3" s="1"/>
  <c r="F616" i="3"/>
  <c r="G616" i="3" s="1"/>
  <c r="E620" i="3"/>
  <c r="E621" i="3" s="1"/>
  <c r="E622" i="3" s="1"/>
  <c r="F620" i="3"/>
  <c r="E624" i="3"/>
  <c r="E625" i="3" s="1"/>
  <c r="E626" i="3" s="1"/>
  <c r="F624" i="3"/>
  <c r="E628" i="3"/>
  <c r="E629" i="3" s="1"/>
  <c r="E630" i="3" s="1"/>
  <c r="F628" i="3"/>
  <c r="E632" i="3"/>
  <c r="E633" i="3" s="1"/>
  <c r="E634" i="3" s="1"/>
  <c r="F632" i="3"/>
  <c r="G632" i="3" s="1"/>
  <c r="E636" i="3"/>
  <c r="E637" i="3" s="1"/>
  <c r="E638" i="3" s="1"/>
  <c r="F636" i="3"/>
  <c r="E640" i="3"/>
  <c r="E641" i="3" s="1"/>
  <c r="E642" i="3" s="1"/>
  <c r="F640" i="3"/>
  <c r="E644" i="3"/>
  <c r="E645" i="3" s="1"/>
  <c r="E646" i="3" s="1"/>
  <c r="F644" i="3"/>
  <c r="G644" i="3" s="1"/>
  <c r="E648" i="3"/>
  <c r="E649" i="3" s="1"/>
  <c r="E650" i="3" s="1"/>
  <c r="F648" i="3"/>
  <c r="E652" i="3"/>
  <c r="E653" i="3" s="1"/>
  <c r="E654" i="3" s="1"/>
  <c r="F652" i="3"/>
  <c r="E656" i="3"/>
  <c r="E657" i="3" s="1"/>
  <c r="E658" i="3" s="1"/>
  <c r="F656" i="3"/>
  <c r="E660" i="3"/>
  <c r="E661" i="3" s="1"/>
  <c r="E662" i="3" s="1"/>
  <c r="F660" i="3"/>
  <c r="E664" i="3"/>
  <c r="E665" i="3" s="1"/>
  <c r="E666" i="3" s="1"/>
  <c r="F664" i="3"/>
  <c r="E668" i="3"/>
  <c r="E669" i="3" s="1"/>
  <c r="E670" i="3" s="1"/>
  <c r="F668" i="3"/>
  <c r="E672" i="3"/>
  <c r="E673" i="3" s="1"/>
  <c r="E674" i="3" s="1"/>
  <c r="F672" i="3"/>
  <c r="G672" i="3" s="1"/>
  <c r="E676" i="3"/>
  <c r="E677" i="3" s="1"/>
  <c r="E678" i="3" s="1"/>
  <c r="F676" i="3"/>
  <c r="E680" i="3"/>
  <c r="E681" i="3" s="1"/>
  <c r="E682" i="3" s="1"/>
  <c r="F680" i="3"/>
  <c r="E684" i="3"/>
  <c r="E685" i="3" s="1"/>
  <c r="E686" i="3" s="1"/>
  <c r="F684" i="3"/>
  <c r="E688" i="3"/>
  <c r="E689" i="3" s="1"/>
  <c r="E690" i="3" s="1"/>
  <c r="F688" i="3"/>
  <c r="E692" i="3"/>
  <c r="E693" i="3" s="1"/>
  <c r="E694" i="3" s="1"/>
  <c r="F692" i="3"/>
  <c r="E696" i="3"/>
  <c r="E697" i="3" s="1"/>
  <c r="E698" i="3" s="1"/>
  <c r="F696" i="3"/>
  <c r="E700" i="3"/>
  <c r="E701" i="3" s="1"/>
  <c r="E702" i="3" s="1"/>
  <c r="F700" i="3"/>
  <c r="G700" i="3" s="1"/>
  <c r="E704" i="3"/>
  <c r="E705" i="3" s="1"/>
  <c r="E706" i="3" s="1"/>
  <c r="F704" i="3"/>
  <c r="E708" i="3"/>
  <c r="E709" i="3" s="1"/>
  <c r="E710" i="3" s="1"/>
  <c r="F708" i="3"/>
  <c r="E712" i="3"/>
  <c r="E713" i="3" s="1"/>
  <c r="E714" i="3" s="1"/>
  <c r="F712" i="3"/>
  <c r="E716" i="3"/>
  <c r="E717" i="3" s="1"/>
  <c r="E718" i="3" s="1"/>
  <c r="F716" i="3"/>
  <c r="E720" i="3"/>
  <c r="E721" i="3" s="1"/>
  <c r="E722" i="3" s="1"/>
  <c r="F720" i="3"/>
  <c r="E724" i="3"/>
  <c r="E725" i="3" s="1"/>
  <c r="E726" i="3" s="1"/>
  <c r="F724" i="3"/>
  <c r="G724" i="3" s="1"/>
  <c r="E728" i="3"/>
  <c r="E729" i="3" s="1"/>
  <c r="E730" i="3" s="1"/>
  <c r="F728" i="3"/>
  <c r="G728" i="3" s="1"/>
  <c r="E732" i="3"/>
  <c r="E733" i="3" s="1"/>
  <c r="E734" i="3" s="1"/>
  <c r="F732" i="3"/>
  <c r="E736" i="3"/>
  <c r="E737" i="3" s="1"/>
  <c r="E738" i="3" s="1"/>
  <c r="F736" i="3"/>
  <c r="E740" i="3"/>
  <c r="E741" i="3" s="1"/>
  <c r="E742" i="3" s="1"/>
  <c r="F740" i="3"/>
  <c r="E744" i="3"/>
  <c r="E745" i="3" s="1"/>
  <c r="E746" i="3" s="1"/>
  <c r="F744" i="3"/>
  <c r="E748" i="3"/>
  <c r="E749" i="3" s="1"/>
  <c r="E750" i="3" s="1"/>
  <c r="F748" i="3"/>
  <c r="E752" i="3"/>
  <c r="E753" i="3" s="1"/>
  <c r="E754" i="3" s="1"/>
  <c r="F752" i="3"/>
  <c r="G752" i="3" s="1"/>
  <c r="E756" i="3"/>
  <c r="E757" i="3" s="1"/>
  <c r="E758" i="3" s="1"/>
  <c r="F756" i="3"/>
  <c r="E760" i="3"/>
  <c r="E761" i="3" s="1"/>
  <c r="E762" i="3" s="1"/>
  <c r="F760" i="3"/>
  <c r="G760" i="3" s="1"/>
  <c r="E764" i="3"/>
  <c r="E765" i="3" s="1"/>
  <c r="E766" i="3" s="1"/>
  <c r="F764" i="3"/>
  <c r="E768" i="3"/>
  <c r="E769" i="3" s="1"/>
  <c r="E770" i="3" s="1"/>
  <c r="F768" i="3"/>
  <c r="E772" i="3"/>
  <c r="E773" i="3" s="1"/>
  <c r="E774" i="3" s="1"/>
  <c r="F772" i="3"/>
  <c r="E776" i="3"/>
  <c r="E777" i="3" s="1"/>
  <c r="E778" i="3" s="1"/>
  <c r="F776" i="3"/>
  <c r="E780" i="3"/>
  <c r="E781" i="3" s="1"/>
  <c r="E782" i="3" s="1"/>
  <c r="F780" i="3"/>
  <c r="G780" i="3" s="1"/>
  <c r="E784" i="3"/>
  <c r="E785" i="3" s="1"/>
  <c r="E786" i="3" s="1"/>
  <c r="F784" i="3"/>
  <c r="E788" i="3"/>
  <c r="E789" i="3" s="1"/>
  <c r="E790" i="3" s="1"/>
  <c r="F788" i="3"/>
  <c r="G788" i="3" s="1"/>
  <c r="E792" i="3"/>
  <c r="E793" i="3" s="1"/>
  <c r="E794" i="3" s="1"/>
  <c r="F792" i="3"/>
  <c r="E796" i="3"/>
  <c r="E797" i="3" s="1"/>
  <c r="E798" i="3" s="1"/>
  <c r="F796" i="3"/>
  <c r="E800" i="3"/>
  <c r="E801" i="3" s="1"/>
  <c r="E802" i="3" s="1"/>
  <c r="F800" i="3"/>
  <c r="E804" i="3"/>
  <c r="E805" i="3" s="1"/>
  <c r="E806" i="3" s="1"/>
  <c r="F804" i="3"/>
  <c r="E808" i="3"/>
  <c r="E809" i="3" s="1"/>
  <c r="E810" i="3" s="1"/>
  <c r="F808" i="3"/>
  <c r="O447" i="3" a="1"/>
  <c r="O635" i="3" a="1"/>
  <c r="O87" i="3" a="1"/>
  <c r="O543" i="3" a="1"/>
  <c r="O479" i="3" a="1"/>
  <c r="O771" i="3" a="1"/>
  <c r="O375" i="3" a="1"/>
  <c r="O531" i="3" a="1"/>
  <c r="O516" i="3" a="1"/>
  <c r="O155" i="3" a="1"/>
  <c r="O591" i="3" a="1"/>
  <c r="O715" i="3" a="1"/>
  <c r="O511" i="3" a="1"/>
  <c r="O471" i="3" a="1"/>
  <c r="O567" i="3" a="1"/>
  <c r="O80" i="3" a="1"/>
  <c r="O151" i="3" a="1"/>
  <c r="O187" i="3" a="1"/>
  <c r="O371" i="3" a="1"/>
  <c r="O667" i="3" a="1"/>
  <c r="O707" i="3" a="1"/>
  <c r="O59" i="3" a="1"/>
  <c r="O603" i="3" a="1"/>
  <c r="O251" i="3" a="1"/>
  <c r="O743" i="3" a="1"/>
  <c r="O803" i="3" a="1"/>
  <c r="O536" i="3" a="1"/>
  <c r="O439" i="3" a="1"/>
  <c r="O275" i="3" a="1"/>
  <c r="O564" i="3" a="1"/>
  <c r="O540" i="3" a="1"/>
  <c r="O560" i="3" a="1"/>
  <c r="O579" i="3" a="1"/>
  <c r="O643" i="3" a="1"/>
  <c r="O464" i="3" a="1"/>
  <c r="O299" i="3" a="1"/>
  <c r="O599" i="3" a="1"/>
  <c r="O499" i="3" a="1"/>
  <c r="O647" i="3" a="1"/>
  <c r="O400" i="3" a="1"/>
  <c r="O244" i="3" a="1"/>
  <c r="O159" i="3" a="1"/>
  <c r="O739" i="3" a="1"/>
  <c r="O263" i="3" a="1"/>
  <c r="O268" i="3" a="1"/>
  <c r="O575" i="3" a="1"/>
  <c r="O99" i="3" a="1"/>
  <c r="O723" i="3" a="1"/>
  <c r="O727" i="3" a="1"/>
  <c r="O232" i="3" a="1"/>
  <c r="O367" i="3" a="1"/>
  <c r="O131" i="3" a="1"/>
  <c r="O103" i="3" a="1"/>
  <c r="O240" i="3" a="1"/>
  <c r="O684" i="3" a="1"/>
  <c r="O691" i="3" a="1"/>
  <c r="O523" i="3" a="1"/>
  <c r="O703" i="3" a="1"/>
  <c r="O415" i="3" a="1"/>
  <c r="O683" i="3" a="1"/>
  <c r="O323" i="3" a="1"/>
  <c r="O627" i="3" a="1"/>
  <c r="O787" i="3" a="1"/>
  <c r="O783" i="3" a="1"/>
  <c r="O175" i="3" a="1"/>
  <c r="O443" i="3" a="1"/>
  <c r="O423" i="3" a="1"/>
  <c r="O315" i="3" a="1"/>
  <c r="O595" i="3" a="1"/>
  <c r="O60" i="3" a="1"/>
  <c r="O135" i="3" a="1"/>
  <c r="O535" i="3" a="1"/>
  <c r="O75" i="3" a="1"/>
  <c r="O243" i="3" a="1"/>
  <c r="O411" i="3" a="1"/>
  <c r="O391" i="3" a="1"/>
  <c r="O547" i="3" a="1"/>
  <c r="O79" i="3" a="1"/>
  <c r="O779" i="3" a="1"/>
  <c r="O452" i="3" a="1"/>
  <c r="O311" i="3" a="1"/>
  <c r="O484" i="3" a="1"/>
  <c r="O551" i="3" a="1"/>
  <c r="O431" i="3" a="1"/>
  <c r="O784" i="3" a="1"/>
  <c r="O675" i="3" a="1"/>
  <c r="O644" i="3" a="1"/>
  <c r="O215" i="3" a="1"/>
  <c r="O631" i="3" a="1"/>
  <c r="O731" i="3" a="1"/>
  <c r="O183" i="3" a="1"/>
  <c r="O199" i="3" a="1"/>
  <c r="O651" i="3" a="1"/>
  <c r="O427" i="3" a="1"/>
  <c r="O359" i="3" a="1"/>
  <c r="O355" i="3" a="1"/>
  <c r="O455" i="3" a="1"/>
  <c r="O123" i="3" a="1"/>
  <c r="O327" i="3" a="1"/>
  <c r="O303" i="3" a="1"/>
  <c r="O508" i="3" a="1"/>
  <c r="O475" i="3" a="1"/>
  <c r="O767" i="3" a="1"/>
  <c r="O404" i="3" a="1"/>
  <c r="O555" i="3" a="1"/>
  <c r="O403" i="3" a="1"/>
  <c r="O563" i="3" a="1"/>
  <c r="O191" i="3" a="1"/>
  <c r="O619" i="3" a="1"/>
  <c r="O363" i="3" a="1"/>
  <c r="O119" i="3" a="1"/>
  <c r="O791" i="3" a="1"/>
  <c r="O639" i="3" a="1"/>
  <c r="O607" i="3" a="1"/>
  <c r="O239" i="3" a="1"/>
  <c r="O539" i="3" a="1"/>
  <c r="O259" i="3" a="1"/>
  <c r="O63" i="3" a="1"/>
  <c r="O711" i="3" a="1"/>
  <c r="O163" i="3" a="1"/>
  <c r="O47" i="3" a="1"/>
  <c r="O751" i="3" a="1"/>
  <c r="O160" i="3" a="1"/>
  <c r="O810" i="3" a="1"/>
  <c r="O283" i="3" a="1"/>
  <c r="O83" i="3" a="1"/>
  <c r="O39" i="3" a="1"/>
  <c r="O115" i="3" a="1"/>
  <c r="O107" i="3" a="1"/>
  <c r="O139" i="3" a="1"/>
  <c r="O27" i="3" a="1"/>
  <c r="O655" i="3" a="1"/>
  <c r="O71" i="3" a="1"/>
  <c r="O15" i="3" a="1"/>
  <c r="O407" i="3" a="1"/>
  <c r="O636" i="3" a="1"/>
  <c r="O436" i="3" a="1"/>
  <c r="O392" i="3" a="1"/>
  <c r="O724" i="3" a="1"/>
  <c r="O483" i="3" a="1"/>
  <c r="O279" i="3" a="1"/>
  <c r="O271" i="3" a="1"/>
  <c r="O219" i="3" a="1"/>
  <c r="O19" i="3" a="1"/>
  <c r="O463" i="3" a="1"/>
  <c r="O583" i="3" a="1"/>
  <c r="O663" i="3" a="1"/>
  <c r="O695" i="3" a="1"/>
  <c r="O339" i="3" a="1"/>
  <c r="O807" i="3" a="1"/>
  <c r="O507" i="3" a="1"/>
  <c r="O624" i="3" a="1"/>
  <c r="O659" i="3" a="1"/>
  <c r="O287" i="3" a="1"/>
  <c r="O207" i="3" a="1"/>
  <c r="O491" i="3" a="1"/>
  <c r="O379" i="3" a="1"/>
  <c r="O487" i="3" a="1"/>
  <c r="O231" i="3" a="1"/>
  <c r="O720" i="3" a="1"/>
  <c r="O307" i="3" a="1"/>
  <c r="O571" i="3" a="1"/>
  <c r="O223" i="3" a="1"/>
  <c r="O587" i="3" a="1"/>
  <c r="O763" i="3" a="1"/>
  <c r="O356" i="3" a="1"/>
  <c r="O351" i="3" a="1"/>
  <c r="O164" i="3" a="1"/>
  <c r="O503" i="3" a="1"/>
  <c r="O467" i="3" a="1"/>
  <c r="O615" i="3" a="1"/>
  <c r="O419" i="3" a="1"/>
  <c r="O43" i="3" a="1"/>
  <c r="O799" i="3" a="1"/>
  <c r="O23" i="3" a="1"/>
  <c r="O84" i="3" a="1"/>
  <c r="O383" i="3" a="1"/>
  <c r="O347" i="3" a="1"/>
  <c r="O335" i="3" a="1"/>
  <c r="O747" i="3" a="1"/>
  <c r="O295" i="3" a="1"/>
  <c r="O755" i="3" a="1"/>
  <c r="O435" i="3" a="1"/>
  <c r="O623" i="3" a="1"/>
  <c r="O227" i="3" a="1"/>
  <c r="O291" i="3" a="1"/>
  <c r="O319" i="3" a="1"/>
  <c r="O687" i="3" a="1"/>
  <c r="O255" i="3" a="1"/>
  <c r="O179" i="3" a="1"/>
  <c r="O559" i="3" a="1"/>
  <c r="O91" i="3" a="1"/>
  <c r="O31" i="3" a="1"/>
  <c r="O519" i="3" a="1"/>
  <c r="O696" i="3" a="1"/>
  <c r="O111" i="3" a="1"/>
  <c r="O348" i="3" a="1"/>
  <c r="O203" i="3" a="1"/>
  <c r="O735" i="3" a="1"/>
  <c r="O324" i="3" a="1"/>
  <c r="O276" i="3" a="1"/>
  <c r="O459" i="3" a="1"/>
  <c r="O247" i="3" a="1"/>
  <c r="O216" i="3" a="1"/>
  <c r="O719" i="3" a="1"/>
  <c r="O195" i="3" a="1"/>
  <c r="O171" i="3" a="1"/>
  <c r="O143" i="3" a="1"/>
  <c r="O804" i="3" a="1"/>
  <c r="O51" i="3" a="1"/>
  <c r="O95" i="3" a="1"/>
  <c r="O211" i="3" a="1"/>
  <c r="O67" i="3" a="1"/>
  <c r="O147" i="3" a="1"/>
  <c r="O795" i="3" a="1"/>
  <c r="O515" i="3" a="1"/>
  <c r="O611" i="3" a="1"/>
  <c r="O235" i="3" a="1"/>
  <c r="O451" i="3" a="1"/>
  <c r="O495" i="3" a="1"/>
  <c r="O399" i="3" a="1"/>
  <c r="O395" i="3" a="1"/>
  <c r="O343" i="3" a="1"/>
  <c r="O679" i="3" a="1"/>
  <c r="O267" i="3" a="1"/>
  <c r="O759" i="3" a="1"/>
  <c r="O775" i="3" a="1"/>
  <c r="O387" i="3" a="1"/>
  <c r="O527" i="3" a="1"/>
  <c r="O136" i="3" a="1"/>
  <c r="O127" i="3" a="1"/>
  <c r="O55" i="3" a="1"/>
  <c r="O35" i="3" a="1"/>
  <c r="O671" i="3" a="1"/>
  <c r="O236" i="3" a="1"/>
  <c r="O331" i="3" a="1"/>
  <c r="O699" i="3" a="1"/>
  <c r="O167" i="3" a="1"/>
  <c r="O792" i="3" a="1"/>
  <c r="O800" i="3" a="1"/>
  <c r="O64" i="3" a="1"/>
  <c r="O384" i="3" a="1"/>
  <c r="O640" i="3" a="1"/>
  <c r="O480" i="3" a="1"/>
  <c r="O544" i="3" a="1"/>
  <c r="O320" i="3" a="1"/>
  <c r="O224" i="3" a="1"/>
  <c r="B13" i="3" l="1"/>
  <c r="B14" i="3" s="1"/>
  <c r="F653" i="3"/>
  <c r="G653" i="3" s="1"/>
  <c r="G652" i="3"/>
  <c r="F637" i="3"/>
  <c r="G636" i="3"/>
  <c r="F501" i="3"/>
  <c r="G500" i="3"/>
  <c r="F777" i="3"/>
  <c r="G776" i="3"/>
  <c r="F737" i="3"/>
  <c r="G736" i="3"/>
  <c r="F697" i="3"/>
  <c r="G696" i="3"/>
  <c r="F657" i="3"/>
  <c r="G656" i="3"/>
  <c r="F577" i="3"/>
  <c r="G577" i="3" s="1"/>
  <c r="G576" i="3"/>
  <c r="F537" i="3"/>
  <c r="G536" i="3"/>
  <c r="F497" i="3"/>
  <c r="G497" i="3" s="1"/>
  <c r="G496" i="3"/>
  <c r="F457" i="3"/>
  <c r="G457" i="3" s="1"/>
  <c r="G456" i="3"/>
  <c r="F417" i="3"/>
  <c r="G416" i="3"/>
  <c r="F377" i="3"/>
  <c r="G377" i="3" s="1"/>
  <c r="G376" i="3"/>
  <c r="F297" i="3"/>
  <c r="G296" i="3"/>
  <c r="F217" i="3"/>
  <c r="G216" i="3"/>
  <c r="F533" i="3"/>
  <c r="G533" i="3" s="1"/>
  <c r="G532" i="3"/>
  <c r="F809" i="3"/>
  <c r="G808" i="3"/>
  <c r="F769" i="3"/>
  <c r="G769" i="3" s="1"/>
  <c r="G768" i="3"/>
  <c r="F689" i="3"/>
  <c r="G689" i="3" s="1"/>
  <c r="G688" i="3"/>
  <c r="F649" i="3"/>
  <c r="G648" i="3"/>
  <c r="F609" i="3"/>
  <c r="G609" i="3" s="1"/>
  <c r="G608" i="3"/>
  <c r="F569" i="3"/>
  <c r="G568" i="3"/>
  <c r="F489" i="3"/>
  <c r="G488" i="3"/>
  <c r="F449" i="3"/>
  <c r="G449" i="3" s="1"/>
  <c r="G448" i="3"/>
  <c r="F409" i="3"/>
  <c r="G408" i="3"/>
  <c r="F369" i="3"/>
  <c r="G369" i="3" s="1"/>
  <c r="G368" i="3"/>
  <c r="F329" i="3"/>
  <c r="G328" i="3"/>
  <c r="F289" i="3"/>
  <c r="G288" i="3"/>
  <c r="F249" i="3"/>
  <c r="G248" i="3"/>
  <c r="F209" i="3"/>
  <c r="G209" i="3" s="1"/>
  <c r="G208" i="3"/>
  <c r="F805" i="3"/>
  <c r="G804" i="3"/>
  <c r="F765" i="3"/>
  <c r="G765" i="3" s="1"/>
  <c r="G764" i="3"/>
  <c r="F685" i="3"/>
  <c r="G684" i="3"/>
  <c r="F605" i="3"/>
  <c r="G604" i="3"/>
  <c r="F525" i="3"/>
  <c r="G524" i="3"/>
  <c r="F485" i="3"/>
  <c r="G485" i="3" s="1"/>
  <c r="G484" i="3"/>
  <c r="F445" i="3"/>
  <c r="G445" i="3" s="1"/>
  <c r="G444" i="3"/>
  <c r="F405" i="3"/>
  <c r="G404" i="3"/>
  <c r="F365" i="3"/>
  <c r="G364" i="3"/>
  <c r="F325" i="3"/>
  <c r="G325" i="3" s="1"/>
  <c r="G324" i="3"/>
  <c r="F285" i="3"/>
  <c r="G285" i="3" s="1"/>
  <c r="G284" i="3"/>
  <c r="F245" i="3"/>
  <c r="G245" i="3" s="1"/>
  <c r="G244" i="3"/>
  <c r="F373" i="3"/>
  <c r="G373" i="3" s="1"/>
  <c r="G372" i="3"/>
  <c r="F561" i="3"/>
  <c r="G560" i="3"/>
  <c r="F597" i="3"/>
  <c r="G597" i="3" s="1"/>
  <c r="G596" i="3"/>
  <c r="F481" i="3"/>
  <c r="G480" i="3"/>
  <c r="F557" i="3"/>
  <c r="G556" i="3"/>
  <c r="F713" i="3"/>
  <c r="G713" i="3" s="1"/>
  <c r="G712" i="3"/>
  <c r="F593" i="3"/>
  <c r="G592" i="3"/>
  <c r="F513" i="3"/>
  <c r="G512" i="3"/>
  <c r="F473" i="3"/>
  <c r="G472" i="3"/>
  <c r="F433" i="3"/>
  <c r="G432" i="3"/>
  <c r="F353" i="3"/>
  <c r="G352" i="3"/>
  <c r="F313" i="3"/>
  <c r="G312" i="3"/>
  <c r="F273" i="3"/>
  <c r="G273" i="3" s="1"/>
  <c r="G272" i="3"/>
  <c r="F193" i="3"/>
  <c r="G192" i="3"/>
  <c r="F721" i="3"/>
  <c r="G721" i="3" s="1"/>
  <c r="G720" i="3"/>
  <c r="F241" i="3"/>
  <c r="G240" i="3"/>
  <c r="F437" i="3"/>
  <c r="G436" i="3"/>
  <c r="F801" i="3"/>
  <c r="G801" i="3" s="1"/>
  <c r="G800" i="3"/>
  <c r="F401" i="3"/>
  <c r="G401" i="3" s="1"/>
  <c r="G400" i="3"/>
  <c r="F677" i="3"/>
  <c r="G677" i="3" s="1"/>
  <c r="G676" i="3"/>
  <c r="F793" i="3"/>
  <c r="G792" i="3"/>
  <c r="F749" i="3"/>
  <c r="G748" i="3"/>
  <c r="F709" i="3"/>
  <c r="G708" i="3"/>
  <c r="F669" i="3"/>
  <c r="G668" i="3"/>
  <c r="F629" i="3"/>
  <c r="G628" i="3"/>
  <c r="F549" i="3"/>
  <c r="G548" i="3"/>
  <c r="F469" i="3"/>
  <c r="G469" i="3" s="1"/>
  <c r="G468" i="3"/>
  <c r="F429" i="3"/>
  <c r="G428" i="3"/>
  <c r="F389" i="3"/>
  <c r="G389" i="3" s="1"/>
  <c r="G388" i="3"/>
  <c r="F349" i="3"/>
  <c r="G349" i="3" s="1"/>
  <c r="G348" i="3"/>
  <c r="F309" i="3"/>
  <c r="G308" i="3"/>
  <c r="F269" i="3"/>
  <c r="G268" i="3"/>
  <c r="F229" i="3"/>
  <c r="G228" i="3"/>
  <c r="F773" i="3"/>
  <c r="G772" i="3"/>
  <c r="F681" i="3"/>
  <c r="G680" i="3"/>
  <c r="F693" i="3"/>
  <c r="G692" i="3"/>
  <c r="F573" i="3"/>
  <c r="G573" i="3" s="1"/>
  <c r="G572" i="3"/>
  <c r="F253" i="3"/>
  <c r="G252" i="3"/>
  <c r="F717" i="3"/>
  <c r="G716" i="3"/>
  <c r="F477" i="3"/>
  <c r="G476" i="3"/>
  <c r="F237" i="3"/>
  <c r="G236" i="3"/>
  <c r="F785" i="3"/>
  <c r="G784" i="3"/>
  <c r="F745" i="3"/>
  <c r="G744" i="3"/>
  <c r="F705" i="3"/>
  <c r="G704" i="3"/>
  <c r="F665" i="3"/>
  <c r="G664" i="3"/>
  <c r="F625" i="3"/>
  <c r="G624" i="3"/>
  <c r="F585" i="3"/>
  <c r="G584" i="3"/>
  <c r="F545" i="3"/>
  <c r="G544" i="3"/>
  <c r="F505" i="3"/>
  <c r="G505" i="3" s="1"/>
  <c r="G504" i="3"/>
  <c r="F465" i="3"/>
  <c r="G464" i="3"/>
  <c r="F425" i="3"/>
  <c r="G425" i="3" s="1"/>
  <c r="G424" i="3"/>
  <c r="F385" i="3"/>
  <c r="G384" i="3"/>
  <c r="F185" i="3"/>
  <c r="G184" i="3"/>
  <c r="F613" i="3"/>
  <c r="G613" i="3" s="1"/>
  <c r="G612" i="3"/>
  <c r="F521" i="3"/>
  <c r="G520" i="3"/>
  <c r="F321" i="3"/>
  <c r="G320" i="3"/>
  <c r="F797" i="3"/>
  <c r="G796" i="3"/>
  <c r="F517" i="3"/>
  <c r="G516" i="3"/>
  <c r="F277" i="3"/>
  <c r="G277" i="3" s="1"/>
  <c r="G276" i="3"/>
  <c r="F197" i="3"/>
  <c r="G196" i="3"/>
  <c r="F641" i="3"/>
  <c r="G641" i="3" s="1"/>
  <c r="G640" i="3"/>
  <c r="F757" i="3"/>
  <c r="G757" i="3" s="1"/>
  <c r="G756" i="3"/>
  <c r="F317" i="3"/>
  <c r="G317" i="3" s="1"/>
  <c r="G316" i="3"/>
  <c r="F621" i="3"/>
  <c r="G620" i="3"/>
  <c r="F461" i="3"/>
  <c r="G460" i="3"/>
  <c r="F381" i="3"/>
  <c r="G381" i="3" s="1"/>
  <c r="G380" i="3"/>
  <c r="F301" i="3"/>
  <c r="G300" i="3"/>
  <c r="F261" i="3"/>
  <c r="G260" i="3"/>
  <c r="F733" i="3"/>
  <c r="G732" i="3"/>
  <c r="F601" i="3"/>
  <c r="G600" i="3"/>
  <c r="F441" i="3"/>
  <c r="G441" i="3" s="1"/>
  <c r="G440" i="3"/>
  <c r="F361" i="3"/>
  <c r="G360" i="3"/>
  <c r="F201" i="3"/>
  <c r="G201" i="3" s="1"/>
  <c r="G200" i="3"/>
  <c r="F397" i="3"/>
  <c r="G396" i="3"/>
  <c r="F741" i="3"/>
  <c r="G741" i="3" s="1"/>
  <c r="G740" i="3"/>
  <c r="F661" i="3"/>
  <c r="G660" i="3"/>
  <c r="F581" i="3"/>
  <c r="G580" i="3"/>
  <c r="F541" i="3"/>
  <c r="G541" i="3" s="1"/>
  <c r="G540" i="3"/>
  <c r="F421" i="3"/>
  <c r="G421" i="3" s="1"/>
  <c r="G420" i="3"/>
  <c r="F341" i="3"/>
  <c r="G341" i="3" s="1"/>
  <c r="G340" i="3"/>
  <c r="L92" i="3" a="1"/>
  <c r="L92" i="3" s="1"/>
  <c r="K92" i="3"/>
  <c r="K172" i="3"/>
  <c r="L172" i="3" a="1"/>
  <c r="L172" i="3" s="1"/>
  <c r="L252" i="3" a="1"/>
  <c r="L252" i="3" s="1"/>
  <c r="K252" i="3"/>
  <c r="K332" i="3"/>
  <c r="L332" i="3" a="1"/>
  <c r="L332" i="3" s="1"/>
  <c r="K412" i="3"/>
  <c r="L412" i="3" a="1"/>
  <c r="L412" i="3" s="1"/>
  <c r="L492" i="3" a="1"/>
  <c r="L492" i="3" s="1"/>
  <c r="K492" i="3"/>
  <c r="L572" i="3" a="1"/>
  <c r="L572" i="3" s="1"/>
  <c r="K572" i="3"/>
  <c r="L652" i="3" a="1"/>
  <c r="L652" i="3" s="1"/>
  <c r="K652" i="3"/>
  <c r="L732" i="3" a="1"/>
  <c r="L732" i="3" s="1"/>
  <c r="K732" i="3"/>
  <c r="L100" i="3" a="1"/>
  <c r="L100" i="3" s="1"/>
  <c r="K100" i="3"/>
  <c r="L180" i="3" a="1"/>
  <c r="L180" i="3" s="1"/>
  <c r="K180" i="3"/>
  <c r="L260" i="3" a="1"/>
  <c r="L260" i="3" s="1"/>
  <c r="K260" i="3"/>
  <c r="L340" i="3" a="1"/>
  <c r="L340" i="3" s="1"/>
  <c r="K340" i="3"/>
  <c r="L420" i="3" a="1"/>
  <c r="L420" i="3" s="1"/>
  <c r="K420" i="3"/>
  <c r="L500" i="3" a="1"/>
  <c r="L500" i="3" s="1"/>
  <c r="K500" i="3"/>
  <c r="L580" i="3" a="1"/>
  <c r="L580" i="3" s="1"/>
  <c r="K580" i="3"/>
  <c r="K660" i="3"/>
  <c r="L660" i="3" a="1"/>
  <c r="L660" i="3" s="1"/>
  <c r="L740" i="3" a="1"/>
  <c r="L740" i="3" s="1"/>
  <c r="K740" i="3"/>
  <c r="L96" i="3" a="1"/>
  <c r="L96" i="3" s="1"/>
  <c r="K96" i="3"/>
  <c r="K176" i="3"/>
  <c r="L176" i="3" a="1"/>
  <c r="L176" i="3" s="1"/>
  <c r="K256" i="3"/>
  <c r="L256" i="3" a="1"/>
  <c r="L256" i="3" s="1"/>
  <c r="L336" i="3" a="1"/>
  <c r="L336" i="3" s="1"/>
  <c r="K336" i="3"/>
  <c r="L416" i="3" a="1"/>
  <c r="L416" i="3" s="1"/>
  <c r="K416" i="3"/>
  <c r="L496" i="3" a="1"/>
  <c r="L496" i="3" s="1"/>
  <c r="K496" i="3"/>
  <c r="L576" i="3" a="1"/>
  <c r="L576" i="3" s="1"/>
  <c r="K576" i="3"/>
  <c r="L656" i="3" a="1"/>
  <c r="L656" i="3" s="1"/>
  <c r="K656" i="3"/>
  <c r="L736" i="3" a="1"/>
  <c r="L736" i="3" s="1"/>
  <c r="K736" i="3"/>
  <c r="L88" i="3" a="1"/>
  <c r="L88" i="3" s="1"/>
  <c r="K88" i="3"/>
  <c r="L168" i="3" a="1"/>
  <c r="L168" i="3" s="1"/>
  <c r="K168" i="3"/>
  <c r="L248" i="3" a="1"/>
  <c r="L248" i="3" s="1"/>
  <c r="K248" i="3"/>
  <c r="L328" i="3" a="1"/>
  <c r="L328" i="3" s="1"/>
  <c r="K328" i="3"/>
  <c r="L408" i="3" a="1"/>
  <c r="L408" i="3" s="1"/>
  <c r="K408" i="3"/>
  <c r="L488" i="3" a="1"/>
  <c r="L488" i="3" s="1"/>
  <c r="K488" i="3"/>
  <c r="L568" i="3" a="1"/>
  <c r="L568" i="3" s="1"/>
  <c r="K568" i="3"/>
  <c r="L648" i="3" a="1"/>
  <c r="L648" i="3" s="1"/>
  <c r="K648" i="3"/>
  <c r="L728" i="3" a="1"/>
  <c r="L728" i="3" s="1"/>
  <c r="K728" i="3"/>
  <c r="L808" i="3" a="1"/>
  <c r="L808" i="3" s="1"/>
  <c r="K808" i="3"/>
  <c r="L116" i="3" a="1"/>
  <c r="L116" i="3" s="1"/>
  <c r="K116" i="3"/>
  <c r="L196" i="3" a="1"/>
  <c r="L196" i="3" s="1"/>
  <c r="K196" i="3"/>
  <c r="L276" i="3" a="1"/>
  <c r="L276" i="3" s="1"/>
  <c r="K276" i="3"/>
  <c r="L356" i="3" a="1"/>
  <c r="L356" i="3" s="1"/>
  <c r="K356" i="3"/>
  <c r="L436" i="3" a="1"/>
  <c r="L436" i="3" s="1"/>
  <c r="K436" i="3"/>
  <c r="L516" i="3" a="1"/>
  <c r="L516" i="3" s="1"/>
  <c r="K516" i="3"/>
  <c r="L596" i="3" a="1"/>
  <c r="L596" i="3" s="1"/>
  <c r="K596" i="3"/>
  <c r="L676" i="3" a="1"/>
  <c r="L676" i="3" s="1"/>
  <c r="K676" i="3"/>
  <c r="K756" i="3"/>
  <c r="L756" i="3" a="1"/>
  <c r="L756" i="3" s="1"/>
  <c r="L120" i="3" a="1"/>
  <c r="L120" i="3" s="1"/>
  <c r="K120" i="3"/>
  <c r="L200" i="3" a="1"/>
  <c r="L200" i="3" s="1"/>
  <c r="K200" i="3"/>
  <c r="K280" i="3"/>
  <c r="L280" i="3" a="1"/>
  <c r="L280" i="3" s="1"/>
  <c r="K360" i="3"/>
  <c r="L360" i="3" a="1"/>
  <c r="L360" i="3" s="1"/>
  <c r="K440" i="3"/>
  <c r="L440" i="3" a="1"/>
  <c r="L440" i="3" s="1"/>
  <c r="L520" i="3" a="1"/>
  <c r="L520" i="3" s="1"/>
  <c r="K520" i="3"/>
  <c r="K600" i="3"/>
  <c r="L600" i="3" a="1"/>
  <c r="L600" i="3" s="1"/>
  <c r="L680" i="3" a="1"/>
  <c r="L680" i="3" s="1"/>
  <c r="K680" i="3"/>
  <c r="L760" i="3" a="1"/>
  <c r="L760" i="3" s="1"/>
  <c r="K760" i="3"/>
  <c r="L104" i="3" a="1"/>
  <c r="L104" i="3" s="1"/>
  <c r="K104" i="3"/>
  <c r="K264" i="3"/>
  <c r="L264" i="3" a="1"/>
  <c r="L264" i="3" s="1"/>
  <c r="L424" i="3" a="1"/>
  <c r="L424" i="3" s="1"/>
  <c r="K424" i="3"/>
  <c r="L504" i="3" a="1"/>
  <c r="L504" i="3" s="1"/>
  <c r="K504" i="3"/>
  <c r="L664" i="3" a="1"/>
  <c r="L664" i="3" s="1"/>
  <c r="K664" i="3"/>
  <c r="K744" i="3"/>
  <c r="L744" i="3" a="1"/>
  <c r="L744" i="3" s="1"/>
  <c r="L112" i="3" a="1"/>
  <c r="L112" i="3" s="1"/>
  <c r="K112" i="3"/>
  <c r="K192" i="3"/>
  <c r="L192" i="3" a="1"/>
  <c r="L192" i="3" s="1"/>
  <c r="L272" i="3" a="1"/>
  <c r="L272" i="3" s="1"/>
  <c r="K272" i="3"/>
  <c r="L352" i="3" a="1"/>
  <c r="L352" i="3" s="1"/>
  <c r="K352" i="3"/>
  <c r="L432" i="3" a="1"/>
  <c r="L432" i="3" s="1"/>
  <c r="K432" i="3"/>
  <c r="L512" i="3" a="1"/>
  <c r="L512" i="3" s="1"/>
  <c r="K512" i="3"/>
  <c r="L592" i="3" a="1"/>
  <c r="L592" i="3" s="1"/>
  <c r="K592" i="3"/>
  <c r="K672" i="3"/>
  <c r="L672" i="3" a="1"/>
  <c r="L672" i="3" s="1"/>
  <c r="L752" i="3" a="1"/>
  <c r="L752" i="3" s="1"/>
  <c r="K752" i="3"/>
  <c r="L128" i="3" a="1"/>
  <c r="L128" i="3" s="1"/>
  <c r="K128" i="3"/>
  <c r="L288" i="3" a="1"/>
  <c r="L288" i="3" s="1"/>
  <c r="K288" i="3"/>
  <c r="L368" i="3" a="1"/>
  <c r="L368" i="3" s="1"/>
  <c r="K368" i="3"/>
  <c r="L528" i="3" a="1"/>
  <c r="L528" i="3" s="1"/>
  <c r="K528" i="3"/>
  <c r="L688" i="3" a="1"/>
  <c r="L688" i="3" s="1"/>
  <c r="K688" i="3"/>
  <c r="L768" i="3" a="1"/>
  <c r="L768" i="3" s="1"/>
  <c r="K768" i="3"/>
  <c r="L212" i="3" a="1"/>
  <c r="L212" i="3" s="1"/>
  <c r="K212" i="3"/>
  <c r="L372" i="3" a="1"/>
  <c r="L372" i="3" s="1"/>
  <c r="K372" i="3"/>
  <c r="L452" i="3" a="1"/>
  <c r="L452" i="3" s="1"/>
  <c r="K452" i="3"/>
  <c r="K532" i="3"/>
  <c r="L532" i="3" a="1"/>
  <c r="L532" i="3" s="1"/>
  <c r="L692" i="3" a="1"/>
  <c r="L692" i="3" s="1"/>
  <c r="K692" i="3"/>
  <c r="L772" i="3" a="1"/>
  <c r="L772" i="3" s="1"/>
  <c r="K772" i="3"/>
  <c r="K136" i="3"/>
  <c r="L136" i="3" a="1"/>
  <c r="L136" i="3" s="1"/>
  <c r="L296" i="3" a="1"/>
  <c r="L296" i="3" s="1"/>
  <c r="K296" i="3"/>
  <c r="L376" i="3" a="1"/>
  <c r="L376" i="3" s="1"/>
  <c r="K376" i="3"/>
  <c r="L536" i="3" a="1"/>
  <c r="L536" i="3" s="1"/>
  <c r="K536" i="3"/>
  <c r="K616" i="3"/>
  <c r="L616" i="3" a="1"/>
  <c r="L616" i="3" s="1"/>
  <c r="L776" i="3" a="1"/>
  <c r="L776" i="3" s="1"/>
  <c r="K776" i="3"/>
  <c r="L140" i="3" a="1"/>
  <c r="L140" i="3" s="1"/>
  <c r="K140" i="3"/>
  <c r="L300" i="3" a="1"/>
  <c r="L300" i="3" s="1"/>
  <c r="K300" i="3"/>
  <c r="L460" i="3" a="1"/>
  <c r="L460" i="3" s="1"/>
  <c r="K460" i="3"/>
  <c r="L620" i="3" a="1"/>
  <c r="L620" i="3" s="1"/>
  <c r="K620" i="3"/>
  <c r="L700" i="3" a="1"/>
  <c r="L700" i="3" s="1"/>
  <c r="K700" i="3"/>
  <c r="K64" i="3"/>
  <c r="L64" i="3" a="1"/>
  <c r="L64" i="3" s="1"/>
  <c r="K144" i="3"/>
  <c r="L144" i="3" a="1"/>
  <c r="L144" i="3" s="1"/>
  <c r="L304" i="3" a="1"/>
  <c r="L304" i="3" s="1"/>
  <c r="K304" i="3"/>
  <c r="K384" i="3"/>
  <c r="L384" i="3" a="1"/>
  <c r="L384" i="3" s="1"/>
  <c r="L544" i="3" a="1"/>
  <c r="L544" i="3" s="1"/>
  <c r="K544" i="3"/>
  <c r="L704" i="3" a="1"/>
  <c r="L704" i="3" s="1"/>
  <c r="K704" i="3"/>
  <c r="L68" i="3" a="1"/>
  <c r="L68" i="3" s="1"/>
  <c r="K68" i="3"/>
  <c r="L148" i="3" a="1"/>
  <c r="L148" i="3" s="1"/>
  <c r="K148" i="3"/>
  <c r="L228" i="3" a="1"/>
  <c r="L228" i="3" s="1"/>
  <c r="K228" i="3"/>
  <c r="L308" i="3" a="1"/>
  <c r="L308" i="3" s="1"/>
  <c r="K308" i="3"/>
  <c r="L388" i="3" a="1"/>
  <c r="L388" i="3" s="1"/>
  <c r="K388" i="3"/>
  <c r="L468" i="3" a="1"/>
  <c r="L468" i="3" s="1"/>
  <c r="K468" i="3"/>
  <c r="K548" i="3"/>
  <c r="L548" i="3" a="1"/>
  <c r="L548" i="3" s="1"/>
  <c r="L628" i="3" a="1"/>
  <c r="L628" i="3" s="1"/>
  <c r="K628" i="3"/>
  <c r="L708" i="3" a="1"/>
  <c r="L708" i="3" s="1"/>
  <c r="K708" i="3"/>
  <c r="L788" i="3" a="1"/>
  <c r="L788" i="3" s="1"/>
  <c r="K788" i="3"/>
  <c r="L76" i="3" a="1"/>
  <c r="L76" i="3" s="1"/>
  <c r="K76" i="3"/>
  <c r="L156" i="3" a="1"/>
  <c r="L156" i="3" s="1"/>
  <c r="K156" i="3"/>
  <c r="K236" i="3"/>
  <c r="L236" i="3" a="1"/>
  <c r="L236" i="3" s="1"/>
  <c r="L316" i="3" a="1"/>
  <c r="L316" i="3" s="1"/>
  <c r="K316" i="3"/>
  <c r="L396" i="3" a="1"/>
  <c r="L396" i="3" s="1"/>
  <c r="K396" i="3"/>
  <c r="L476" i="3" a="1"/>
  <c r="L476" i="3" s="1"/>
  <c r="K476" i="3"/>
  <c r="L556" i="3" a="1"/>
  <c r="L556" i="3" s="1"/>
  <c r="K556" i="3"/>
  <c r="L636" i="3" a="1"/>
  <c r="L636" i="3" s="1"/>
  <c r="K636" i="3"/>
  <c r="L716" i="3" a="1"/>
  <c r="L716" i="3" s="1"/>
  <c r="K716" i="3"/>
  <c r="L796" i="3" a="1"/>
  <c r="L796" i="3" s="1"/>
  <c r="K796" i="3"/>
  <c r="L184" i="3" a="1"/>
  <c r="L184" i="3" s="1"/>
  <c r="K184" i="3"/>
  <c r="L344" i="3" a="1"/>
  <c r="L344" i="3" s="1"/>
  <c r="K344" i="3"/>
  <c r="L584" i="3" a="1"/>
  <c r="L584" i="3" s="1"/>
  <c r="K584" i="3"/>
  <c r="L124" i="3" a="1"/>
  <c r="L124" i="3" s="1"/>
  <c r="K124" i="3"/>
  <c r="L204" i="3" a="1"/>
  <c r="L204" i="3" s="1"/>
  <c r="K204" i="3"/>
  <c r="L284" i="3" a="1"/>
  <c r="L284" i="3" s="1"/>
  <c r="K284" i="3"/>
  <c r="L364" i="3" a="1"/>
  <c r="L364" i="3" s="1"/>
  <c r="K364" i="3"/>
  <c r="K444" i="3"/>
  <c r="L444" i="3" a="1"/>
  <c r="L444" i="3" s="1"/>
  <c r="K524" i="3"/>
  <c r="L524" i="3" a="1"/>
  <c r="L524" i="3" s="1"/>
  <c r="L604" i="3" a="1"/>
  <c r="L604" i="3" s="1"/>
  <c r="K604" i="3"/>
  <c r="L684" i="3" a="1"/>
  <c r="L684" i="3" s="1"/>
  <c r="K684" i="3"/>
  <c r="L764" i="3" a="1"/>
  <c r="L764" i="3" s="1"/>
  <c r="K764" i="3"/>
  <c r="K208" i="3"/>
  <c r="L208" i="3" a="1"/>
  <c r="L208" i="3" s="1"/>
  <c r="L448" i="3" a="1"/>
  <c r="L448" i="3" s="1"/>
  <c r="K448" i="3"/>
  <c r="K608" i="3"/>
  <c r="L608" i="3" a="1"/>
  <c r="L608" i="3" s="1"/>
  <c r="L132" i="3" a="1"/>
  <c r="L132" i="3" s="1"/>
  <c r="K132" i="3"/>
  <c r="L292" i="3" a="1"/>
  <c r="L292" i="3" s="1"/>
  <c r="K292" i="3"/>
  <c r="L612" i="3" a="1"/>
  <c r="L612" i="3" s="1"/>
  <c r="K612" i="3"/>
  <c r="L216" i="3" a="1"/>
  <c r="L216" i="3" s="1"/>
  <c r="K216" i="3"/>
  <c r="L456" i="3" a="1"/>
  <c r="L456" i="3" s="1"/>
  <c r="K456" i="3"/>
  <c r="K696" i="3"/>
  <c r="L696" i="3" a="1"/>
  <c r="L696" i="3" s="1"/>
  <c r="L60" i="3" a="1"/>
  <c r="L60" i="3" s="1"/>
  <c r="K60" i="3"/>
  <c r="L220" i="3" a="1"/>
  <c r="L220" i="3" s="1"/>
  <c r="K220" i="3"/>
  <c r="L380" i="3" a="1"/>
  <c r="L380" i="3" s="1"/>
  <c r="K380" i="3"/>
  <c r="L540" i="3" a="1"/>
  <c r="L540" i="3" s="1"/>
  <c r="K540" i="3"/>
  <c r="K780" i="3"/>
  <c r="L780" i="3" a="1"/>
  <c r="L780" i="3" s="1"/>
  <c r="K72" i="3"/>
  <c r="L72" i="3" a="1"/>
  <c r="L72" i="3" s="1"/>
  <c r="L152" i="3" a="1"/>
  <c r="L152" i="3" s="1"/>
  <c r="K152" i="3"/>
  <c r="L232" i="3" a="1"/>
  <c r="L232" i="3" s="1"/>
  <c r="K232" i="3"/>
  <c r="L312" i="3" a="1"/>
  <c r="L312" i="3" s="1"/>
  <c r="K312" i="3"/>
  <c r="L392" i="3" a="1"/>
  <c r="L392" i="3" s="1"/>
  <c r="K392" i="3"/>
  <c r="L472" i="3" a="1"/>
  <c r="L472" i="3" s="1"/>
  <c r="K472" i="3"/>
  <c r="L552" i="3" a="1"/>
  <c r="L552" i="3" s="1"/>
  <c r="K552" i="3"/>
  <c r="L632" i="3" a="1"/>
  <c r="L632" i="3" s="1"/>
  <c r="K632" i="3"/>
  <c r="K712" i="3"/>
  <c r="L712" i="3" a="1"/>
  <c r="L712" i="3" s="1"/>
  <c r="L792" i="3" a="1"/>
  <c r="L792" i="3" s="1"/>
  <c r="K792" i="3"/>
  <c r="L80" i="3" a="1"/>
  <c r="L80" i="3" s="1"/>
  <c r="K80" i="3"/>
  <c r="L160" i="3" a="1"/>
  <c r="L160" i="3" s="1"/>
  <c r="K160" i="3"/>
  <c r="L240" i="3" a="1"/>
  <c r="L240" i="3" s="1"/>
  <c r="K240" i="3"/>
  <c r="L320" i="3" a="1"/>
  <c r="L320" i="3" s="1"/>
  <c r="K320" i="3"/>
  <c r="L400" i="3" a="1"/>
  <c r="L400" i="3" s="1"/>
  <c r="K400" i="3"/>
  <c r="L480" i="3" a="1"/>
  <c r="L480" i="3" s="1"/>
  <c r="K480" i="3"/>
  <c r="L560" i="3" a="1"/>
  <c r="L560" i="3" s="1"/>
  <c r="K560" i="3"/>
  <c r="L640" i="3" a="1"/>
  <c r="L640" i="3" s="1"/>
  <c r="K640" i="3"/>
  <c r="L720" i="3" a="1"/>
  <c r="L720" i="3" s="1"/>
  <c r="K720" i="3"/>
  <c r="L800" i="3" a="1"/>
  <c r="L800" i="3" s="1"/>
  <c r="K800" i="3"/>
  <c r="L108" i="3" a="1"/>
  <c r="L108" i="3" s="1"/>
  <c r="K108" i="3"/>
  <c r="L188" i="3" a="1"/>
  <c r="L188" i="3" s="1"/>
  <c r="K188" i="3"/>
  <c r="L268" i="3" a="1"/>
  <c r="L268" i="3" s="1"/>
  <c r="K268" i="3"/>
  <c r="L348" i="3" a="1"/>
  <c r="L348" i="3" s="1"/>
  <c r="K348" i="3"/>
  <c r="L428" i="3" a="1"/>
  <c r="L428" i="3" s="1"/>
  <c r="K428" i="3"/>
  <c r="L508" i="3" a="1"/>
  <c r="L508" i="3" s="1"/>
  <c r="K508" i="3"/>
  <c r="L588" i="3" a="1"/>
  <c r="L588" i="3" s="1"/>
  <c r="K588" i="3"/>
  <c r="L668" i="3" a="1"/>
  <c r="L668" i="3" s="1"/>
  <c r="K668" i="3"/>
  <c r="L748" i="3" a="1"/>
  <c r="L748" i="3" s="1"/>
  <c r="K748" i="3"/>
  <c r="L224" i="3" a="1"/>
  <c r="L224" i="3" s="1"/>
  <c r="K224" i="3"/>
  <c r="L464" i="3" a="1"/>
  <c r="L464" i="3" s="1"/>
  <c r="K464" i="3"/>
  <c r="L624" i="3" a="1"/>
  <c r="L624" i="3" s="1"/>
  <c r="K624" i="3"/>
  <c r="L784" i="3" a="1"/>
  <c r="L784" i="3" s="1"/>
  <c r="K784" i="3"/>
  <c r="L84" i="3" a="1"/>
  <c r="L84" i="3" s="1"/>
  <c r="K84" i="3"/>
  <c r="L164" i="3" a="1"/>
  <c r="L164" i="3" s="1"/>
  <c r="K164" i="3"/>
  <c r="K244" i="3"/>
  <c r="L244" i="3" a="1"/>
  <c r="L244" i="3" s="1"/>
  <c r="L324" i="3" a="1"/>
  <c r="L324" i="3" s="1"/>
  <c r="K324" i="3"/>
  <c r="L404" i="3" a="1"/>
  <c r="L404" i="3" s="1"/>
  <c r="K404" i="3"/>
  <c r="L484" i="3" a="1"/>
  <c r="L484" i="3" s="1"/>
  <c r="K484" i="3"/>
  <c r="L564" i="3" a="1"/>
  <c r="L564" i="3" s="1"/>
  <c r="K564" i="3"/>
  <c r="L644" i="3" a="1"/>
  <c r="L644" i="3" s="1"/>
  <c r="K644" i="3"/>
  <c r="L724" i="3" a="1"/>
  <c r="L724" i="3" s="1"/>
  <c r="K724" i="3"/>
  <c r="L804" i="3" a="1"/>
  <c r="L804" i="3" s="1"/>
  <c r="K804" i="3"/>
  <c r="B17" i="3"/>
  <c r="B18" i="3" s="1"/>
  <c r="B37" i="3"/>
  <c r="B38" i="3" s="1"/>
  <c r="F393" i="3"/>
  <c r="C113" i="3"/>
  <c r="C193" i="3"/>
  <c r="C273" i="3"/>
  <c r="C353" i="3"/>
  <c r="C433" i="3"/>
  <c r="C513" i="3"/>
  <c r="C593" i="3"/>
  <c r="C673" i="3"/>
  <c r="C753" i="3"/>
  <c r="C345" i="3"/>
  <c r="C745" i="3"/>
  <c r="C97" i="3"/>
  <c r="C497" i="3"/>
  <c r="C101" i="3"/>
  <c r="C261" i="3"/>
  <c r="C501" i="3"/>
  <c r="C741" i="3"/>
  <c r="C189" i="3"/>
  <c r="C589" i="3"/>
  <c r="C277" i="3"/>
  <c r="C597" i="3"/>
  <c r="C125" i="3"/>
  <c r="C205" i="3"/>
  <c r="C285" i="3"/>
  <c r="C365" i="3"/>
  <c r="C445" i="3"/>
  <c r="C525" i="3"/>
  <c r="C605" i="3"/>
  <c r="C685" i="3"/>
  <c r="C765" i="3"/>
  <c r="C337" i="3"/>
  <c r="C341" i="3"/>
  <c r="C581" i="3"/>
  <c r="C265" i="3"/>
  <c r="C665" i="3"/>
  <c r="C509" i="3"/>
  <c r="C117" i="3"/>
  <c r="C177" i="3"/>
  <c r="C181" i="3"/>
  <c r="C421" i="3"/>
  <c r="C661" i="3"/>
  <c r="C105" i="3"/>
  <c r="C505" i="3"/>
  <c r="C429" i="3"/>
  <c r="C209" i="3"/>
  <c r="C529" i="3"/>
  <c r="C769" i="3"/>
  <c r="C137" i="3"/>
  <c r="C217" i="3"/>
  <c r="C297" i="3"/>
  <c r="C457" i="3"/>
  <c r="C417" i="3"/>
  <c r="C585" i="3"/>
  <c r="C669" i="3"/>
  <c r="C197" i="3"/>
  <c r="C293" i="3"/>
  <c r="C537" i="3"/>
  <c r="C269" i="3"/>
  <c r="C369" i="3"/>
  <c r="C613" i="3"/>
  <c r="C617" i="3"/>
  <c r="C737" i="3"/>
  <c r="C109" i="3"/>
  <c r="C357" i="3"/>
  <c r="C677" i="3"/>
  <c r="C449" i="3"/>
  <c r="C693" i="3"/>
  <c r="C377" i="3"/>
  <c r="C185" i="3"/>
  <c r="C437" i="3"/>
  <c r="C757" i="3"/>
  <c r="C289" i="3"/>
  <c r="C453" i="3"/>
  <c r="C777" i="3"/>
  <c r="C257" i="3"/>
  <c r="C577" i="3"/>
  <c r="C425" i="3"/>
  <c r="C349" i="3"/>
  <c r="C681" i="3"/>
  <c r="C609" i="3"/>
  <c r="C133" i="3"/>
  <c r="C213" i="3"/>
  <c r="C373" i="3"/>
  <c r="C773" i="3"/>
  <c r="C657" i="3"/>
  <c r="C129" i="3"/>
  <c r="C533" i="3"/>
  <c r="C697" i="3"/>
  <c r="C749" i="3"/>
  <c r="C517" i="3"/>
  <c r="C689" i="3"/>
  <c r="C61" i="3"/>
  <c r="C141" i="3"/>
  <c r="C221" i="3"/>
  <c r="C301" i="3"/>
  <c r="C381" i="3"/>
  <c r="C461" i="3"/>
  <c r="C541" i="3"/>
  <c r="C621" i="3"/>
  <c r="C701" i="3"/>
  <c r="C781" i="3"/>
  <c r="C65" i="3"/>
  <c r="C545" i="3"/>
  <c r="C69" i="3"/>
  <c r="C149" i="3"/>
  <c r="C229" i="3"/>
  <c r="C309" i="3"/>
  <c r="C389" i="3"/>
  <c r="C469" i="3"/>
  <c r="C549" i="3"/>
  <c r="C629" i="3"/>
  <c r="C709" i="3"/>
  <c r="C789" i="3"/>
  <c r="C305" i="3"/>
  <c r="C73" i="3"/>
  <c r="C153" i="3"/>
  <c r="C233" i="3"/>
  <c r="C313" i="3"/>
  <c r="C393" i="3"/>
  <c r="C473" i="3"/>
  <c r="C553" i="3"/>
  <c r="C633" i="3"/>
  <c r="C713" i="3"/>
  <c r="C793" i="3"/>
  <c r="C705" i="3"/>
  <c r="C77" i="3"/>
  <c r="C157" i="3"/>
  <c r="C237" i="3"/>
  <c r="C317" i="3"/>
  <c r="C397" i="3"/>
  <c r="C477" i="3"/>
  <c r="C557" i="3"/>
  <c r="C637" i="3"/>
  <c r="C717" i="3"/>
  <c r="C797" i="3"/>
  <c r="C385" i="3"/>
  <c r="C785" i="3"/>
  <c r="C81" i="3"/>
  <c r="C161" i="3"/>
  <c r="C241" i="3"/>
  <c r="C321" i="3"/>
  <c r="C401" i="3"/>
  <c r="C481" i="3"/>
  <c r="C561" i="3"/>
  <c r="C641" i="3"/>
  <c r="C721" i="3"/>
  <c r="C801" i="3"/>
  <c r="C145" i="3"/>
  <c r="C85" i="3"/>
  <c r="C165" i="3"/>
  <c r="C245" i="3"/>
  <c r="C325" i="3"/>
  <c r="C405" i="3"/>
  <c r="C485" i="3"/>
  <c r="C565" i="3"/>
  <c r="C645" i="3"/>
  <c r="C725" i="3"/>
  <c r="C805" i="3"/>
  <c r="C625" i="3"/>
  <c r="C89" i="3"/>
  <c r="C169" i="3"/>
  <c r="C249" i="3"/>
  <c r="C329" i="3"/>
  <c r="C409" i="3"/>
  <c r="C489" i="3"/>
  <c r="C569" i="3"/>
  <c r="C649" i="3"/>
  <c r="C729" i="3"/>
  <c r="C809" i="3"/>
  <c r="C225" i="3"/>
  <c r="C465" i="3"/>
  <c r="C93" i="3"/>
  <c r="C173" i="3"/>
  <c r="C253" i="3"/>
  <c r="C333" i="3"/>
  <c r="C413" i="3"/>
  <c r="C493" i="3"/>
  <c r="C573" i="3"/>
  <c r="C653" i="3"/>
  <c r="C733" i="3"/>
  <c r="C121" i="3"/>
  <c r="C201" i="3"/>
  <c r="C281" i="3"/>
  <c r="C361" i="3"/>
  <c r="C441" i="3"/>
  <c r="C521" i="3"/>
  <c r="C601" i="3"/>
  <c r="C761" i="3"/>
  <c r="O227" i="3"/>
  <c r="O743" i="3"/>
  <c r="O467" i="3"/>
  <c r="O291" i="3"/>
  <c r="O804" i="3"/>
  <c r="O379" i="3"/>
  <c r="O359" i="3"/>
  <c r="O484" i="3"/>
  <c r="O720" i="3"/>
  <c r="O443" i="3"/>
  <c r="O71" i="3"/>
  <c r="O47" i="3"/>
  <c r="O404" i="3"/>
  <c r="O527" i="3"/>
  <c r="O207" i="3"/>
  <c r="O423" i="3"/>
  <c r="O439" i="3"/>
  <c r="O335" i="3"/>
  <c r="O244" i="3"/>
  <c r="O795" i="3"/>
  <c r="O715" i="3"/>
  <c r="O243" i="3"/>
  <c r="O647" i="3"/>
  <c r="O371" i="3"/>
  <c r="O171" i="3"/>
  <c r="O603" i="3"/>
  <c r="O583" i="3"/>
  <c r="O559" i="3"/>
  <c r="O539" i="3"/>
  <c r="O259" i="3"/>
  <c r="O31" i="3"/>
  <c r="O771" i="3"/>
  <c r="O731" i="3"/>
  <c r="O435" i="3"/>
  <c r="O411" i="3"/>
  <c r="O391" i="3"/>
  <c r="O348" i="3"/>
  <c r="O327" i="3"/>
  <c r="O240" i="3"/>
  <c r="O60" i="3"/>
  <c r="O791" i="3"/>
  <c r="O624" i="3"/>
  <c r="O515" i="3"/>
  <c r="O495" i="3"/>
  <c r="O283" i="3"/>
  <c r="O239" i="3"/>
  <c r="O211" i="3"/>
  <c r="O119" i="3"/>
  <c r="O727" i="3"/>
  <c r="O687" i="3"/>
  <c r="O367" i="3"/>
  <c r="O347" i="3"/>
  <c r="O324" i="3"/>
  <c r="O191" i="3"/>
  <c r="O84" i="3"/>
  <c r="O535" i="3"/>
  <c r="O387" i="3"/>
  <c r="O187" i="3"/>
  <c r="O160" i="3"/>
  <c r="O179" i="3"/>
  <c r="O759" i="3"/>
  <c r="O223" i="3"/>
  <c r="O735" i="3"/>
  <c r="O483" i="3"/>
  <c r="O631" i="3"/>
  <c r="O99" i="3"/>
  <c r="O691" i="3"/>
  <c r="O268" i="3"/>
  <c r="O480" i="3"/>
  <c r="O479" i="3"/>
  <c r="O331" i="3"/>
  <c r="O87" i="3"/>
  <c r="O579" i="3"/>
  <c r="O431" i="3"/>
  <c r="O303" i="3"/>
  <c r="O236" i="3"/>
  <c r="O747" i="3"/>
  <c r="O643" i="3"/>
  <c r="O323" i="3"/>
  <c r="O703" i="3"/>
  <c r="O659" i="3"/>
  <c r="O531" i="3"/>
  <c r="O787" i="3"/>
  <c r="O511" i="3"/>
  <c r="O343" i="3"/>
  <c r="O320" i="3"/>
  <c r="O276" i="3"/>
  <c r="O159" i="3"/>
  <c r="O136" i="3"/>
  <c r="O224" i="3"/>
  <c r="O779" i="3"/>
  <c r="O315" i="3"/>
  <c r="O395" i="3"/>
  <c r="O671" i="3"/>
  <c r="O587" i="3"/>
  <c r="O627" i="3"/>
  <c r="O543" i="3"/>
  <c r="O436" i="3"/>
  <c r="O219" i="3"/>
  <c r="O767" i="3"/>
  <c r="O724" i="3"/>
  <c r="O683" i="3"/>
  <c r="O723" i="3"/>
  <c r="O679" i="3"/>
  <c r="O635" i="3"/>
  <c r="O615" i="3"/>
  <c r="O571" i="3"/>
  <c r="O487" i="3"/>
  <c r="O107" i="3"/>
  <c r="O684" i="3"/>
  <c r="O639" i="3"/>
  <c r="O611" i="3"/>
  <c r="O595" i="3"/>
  <c r="O567" i="3"/>
  <c r="O523" i="3"/>
  <c r="O803" i="3"/>
  <c r="O536" i="3"/>
  <c r="O491" i="3"/>
  <c r="O447" i="3"/>
  <c r="O403" i="3"/>
  <c r="O299" i="3"/>
  <c r="O267" i="3"/>
  <c r="O80" i="3"/>
  <c r="O59" i="3"/>
  <c r="O459" i="3"/>
  <c r="O415" i="3"/>
  <c r="O199" i="3"/>
  <c r="O19" i="3"/>
  <c r="O784" i="3"/>
  <c r="O800" i="3"/>
  <c r="O739" i="3"/>
  <c r="O667" i="3"/>
  <c r="O623" i="3"/>
  <c r="O400" i="3"/>
  <c r="O356" i="3"/>
  <c r="O311" i="3"/>
  <c r="O247" i="3"/>
  <c r="O636" i="3"/>
  <c r="O591" i="3"/>
  <c r="O547" i="3"/>
  <c r="O503" i="3"/>
  <c r="O231" i="3"/>
  <c r="O711" i="3"/>
  <c r="O695" i="3"/>
  <c r="O384" i="3"/>
  <c r="O339" i="3"/>
  <c r="O279" i="3"/>
  <c r="O131" i="3"/>
  <c r="O111" i="3"/>
  <c r="O783" i="3"/>
  <c r="O560" i="3"/>
  <c r="O516" i="3"/>
  <c r="O471" i="3"/>
  <c r="O427" i="3"/>
  <c r="O383" i="3"/>
  <c r="O263" i="3"/>
  <c r="O216" i="3"/>
  <c r="O147" i="3"/>
  <c r="O167" i="3"/>
  <c r="O810" i="3"/>
  <c r="O799" i="3"/>
  <c r="O755" i="3"/>
  <c r="O699" i="3"/>
  <c r="O655" i="3"/>
  <c r="O644" i="3"/>
  <c r="O599" i="3"/>
  <c r="O555" i="3"/>
  <c r="O544" i="3"/>
  <c r="O499" i="3"/>
  <c r="O455" i="3"/>
  <c r="O399" i="3"/>
  <c r="O355" i="3"/>
  <c r="O287" i="3"/>
  <c r="O251" i="3"/>
  <c r="O91" i="3"/>
  <c r="O79" i="3"/>
  <c r="O67" i="3"/>
  <c r="O719" i="3"/>
  <c r="O775" i="3"/>
  <c r="O575" i="3"/>
  <c r="O564" i="3"/>
  <c r="O519" i="3"/>
  <c r="O508" i="3"/>
  <c r="O475" i="3"/>
  <c r="O464" i="3"/>
  <c r="O419" i="3"/>
  <c r="O375" i="3"/>
  <c r="O319" i="3"/>
  <c r="O164" i="3"/>
  <c r="O151" i="3"/>
  <c r="O139" i="3"/>
  <c r="O127" i="3"/>
  <c r="O51" i="3"/>
  <c r="O39" i="3"/>
  <c r="O27" i="3"/>
  <c r="O64" i="3"/>
  <c r="O675" i="3"/>
  <c r="O619" i="3"/>
  <c r="O807" i="3"/>
  <c r="O763" i="3"/>
  <c r="O751" i="3"/>
  <c r="O707" i="3"/>
  <c r="O696" i="3"/>
  <c r="O663" i="3"/>
  <c r="O651" i="3"/>
  <c r="O640" i="3"/>
  <c r="O607" i="3"/>
  <c r="O563" i="3"/>
  <c r="O551" i="3"/>
  <c r="O540" i="3"/>
  <c r="O507" i="3"/>
  <c r="O463" i="3"/>
  <c r="O451" i="3"/>
  <c r="O407" i="3"/>
  <c r="O363" i="3"/>
  <c r="O351" i="3"/>
  <c r="O307" i="3"/>
  <c r="O271" i="3"/>
  <c r="O163" i="3"/>
  <c r="O295" i="3"/>
  <c r="O275" i="3"/>
  <c r="O255" i="3"/>
  <c r="O235" i="3"/>
  <c r="O215" i="3"/>
  <c r="O195" i="3"/>
  <c r="O175" i="3"/>
  <c r="O155" i="3"/>
  <c r="O135" i="3"/>
  <c r="O115" i="3"/>
  <c r="O95" i="3"/>
  <c r="O75" i="3"/>
  <c r="O55" i="3"/>
  <c r="O35" i="3"/>
  <c r="O15" i="3"/>
  <c r="O123" i="3"/>
  <c r="O103" i="3"/>
  <c r="O83" i="3"/>
  <c r="O63" i="3"/>
  <c r="O43" i="3"/>
  <c r="O23" i="3"/>
  <c r="O203" i="3"/>
  <c r="O183" i="3"/>
  <c r="O143" i="3"/>
  <c r="O792" i="3"/>
  <c r="O452" i="3"/>
  <c r="O392" i="3"/>
  <c r="O232" i="3"/>
  <c r="F221" i="3"/>
  <c r="F789" i="3"/>
  <c r="F357" i="3"/>
  <c r="G357" i="3" s="1"/>
  <c r="F281" i="3"/>
  <c r="F553" i="3"/>
  <c r="F565" i="3"/>
  <c r="F181" i="3"/>
  <c r="G181" i="3" s="1"/>
  <c r="F265" i="3"/>
  <c r="G265" i="3" s="1"/>
  <c r="F617" i="3"/>
  <c r="F761" i="3"/>
  <c r="G761" i="3" s="1"/>
  <c r="F493" i="3"/>
  <c r="G493" i="3" s="1"/>
  <c r="F213" i="3"/>
  <c r="G213" i="3" s="1"/>
  <c r="F509" i="3"/>
  <c r="G509" i="3" s="1"/>
  <c r="F413" i="3"/>
  <c r="F189" i="3"/>
  <c r="G189" i="3" s="1"/>
  <c r="F725" i="3"/>
  <c r="G725" i="3" s="1"/>
  <c r="F337" i="3"/>
  <c r="G337" i="3" s="1"/>
  <c r="F225" i="3"/>
  <c r="F345" i="3"/>
  <c r="G345" i="3" s="1"/>
  <c r="F305" i="3"/>
  <c r="G305" i="3" s="1"/>
  <c r="F673" i="3"/>
  <c r="G673" i="3" s="1"/>
  <c r="F233" i="3"/>
  <c r="G233" i="3" s="1"/>
  <c r="F633" i="3"/>
  <c r="F205" i="3"/>
  <c r="G205" i="3" s="1"/>
  <c r="F642" i="3"/>
  <c r="G642" i="3" s="1"/>
  <c r="F350" i="3"/>
  <c r="G350" i="3" s="1"/>
  <c r="F246" i="3"/>
  <c r="G246" i="3" s="1"/>
  <c r="F589" i="3"/>
  <c r="G589" i="3" s="1"/>
  <c r="F257" i="3"/>
  <c r="G257" i="3" s="1"/>
  <c r="F753" i="3"/>
  <c r="G753" i="3" s="1"/>
  <c r="F701" i="3"/>
  <c r="G701" i="3" s="1"/>
  <c r="F529" i="3"/>
  <c r="G529" i="3" s="1"/>
  <c r="F729" i="3"/>
  <c r="G729" i="3" s="1"/>
  <c r="F378" i="3"/>
  <c r="G378" i="3" s="1"/>
  <c r="F781" i="3"/>
  <c r="G781" i="3" s="1"/>
  <c r="F645" i="3"/>
  <c r="G645" i="3" s="1"/>
  <c r="F453" i="3"/>
  <c r="G453" i="3" s="1"/>
  <c r="F333" i="3"/>
  <c r="G333" i="3" s="1"/>
  <c r="F293" i="3"/>
  <c r="G293" i="3" s="1"/>
  <c r="O780" i="3" a="1"/>
  <c r="O528" i="3" a="1"/>
  <c r="O360" i="3" a="1"/>
  <c r="O309" i="3" a="1"/>
  <c r="O200" i="3" a="1"/>
  <c r="O736" i="3" a="1"/>
  <c r="O128" i="3" a="1"/>
  <c r="O420" i="3" a="1"/>
  <c r="O424" i="3" a="1"/>
  <c r="O308" i="3" a="1"/>
  <c r="O740" i="3" a="1"/>
  <c r="O388" i="3" a="1"/>
  <c r="O288" i="3" a="1"/>
  <c r="O317" i="3" a="1"/>
  <c r="O296" i="3" a="1"/>
  <c r="O196" i="3" a="1"/>
  <c r="O188" i="3" a="1"/>
  <c r="O660" i="3" a="1"/>
  <c r="O776" i="3" a="1"/>
  <c r="O125" i="3" a="1"/>
  <c r="O808" i="3" a="1"/>
  <c r="O396" i="3" a="1"/>
  <c r="O712" i="3" a="1"/>
  <c r="O448" i="3" a="1"/>
  <c r="O380" i="3" a="1"/>
  <c r="O444" i="3" a="1"/>
  <c r="O572" i="3" a="1"/>
  <c r="O557" i="3" a="1"/>
  <c r="O680" i="3" a="1"/>
  <c r="O608" i="3" a="1"/>
  <c r="O176" i="3" a="1"/>
  <c r="O605" i="3" a="1"/>
  <c r="O637" i="3" a="1"/>
  <c r="O172" i="3" a="1"/>
  <c r="O336" i="3" a="1"/>
  <c r="O708" i="3" a="1"/>
  <c r="O600" i="3" a="1"/>
  <c r="O548" i="3" a="1"/>
  <c r="O340" i="3" a="1"/>
  <c r="O100" i="3" a="1"/>
  <c r="O788" i="3" a="1"/>
  <c r="O129" i="3" a="1"/>
  <c r="O376" i="3" a="1"/>
  <c r="O381" i="3" a="1"/>
  <c r="O704" i="3" a="1"/>
  <c r="O580" i="3" a="1"/>
  <c r="O748" i="3" a="1"/>
  <c r="O153" i="3" a="1"/>
  <c r="O364" i="3" a="1"/>
  <c r="O221" i="3" a="1"/>
  <c r="O500" i="3" a="1"/>
  <c r="O148" i="3" a="1"/>
  <c r="O716" i="3" a="1"/>
  <c r="O316" i="3" a="1"/>
  <c r="O692" i="3" a="1"/>
  <c r="O652" i="3" a="1"/>
  <c r="O389" i="3" a="1"/>
  <c r="O332" i="3" a="1"/>
  <c r="O688" i="3" a="1"/>
  <c r="O116" i="3" a="1"/>
  <c r="O632" i="3" a="1"/>
  <c r="O648" i="3" a="1"/>
  <c r="O472" i="3" a="1"/>
  <c r="O180" i="3" a="1"/>
  <c r="O220" i="3" a="1"/>
  <c r="O120" i="3" a="1"/>
  <c r="O256" i="3" a="1"/>
  <c r="O229" i="3" a="1"/>
  <c r="O588" i="3" a="1"/>
  <c r="O769" i="3" a="1"/>
  <c r="O412" i="3" a="1"/>
  <c r="O496" i="3" a="1"/>
  <c r="O144" i="3" a="1"/>
  <c r="O756" i="3" a="1"/>
  <c r="O156" i="3" a="1"/>
  <c r="O492" i="3" a="1"/>
  <c r="O672" i="3" a="1"/>
  <c r="O92" i="3" a="1"/>
  <c r="O228" i="3" a="1"/>
  <c r="O752" i="3" a="1"/>
  <c r="O184" i="3" a="1"/>
  <c r="O460" i="3" a="1"/>
  <c r="O209" i="3" a="1"/>
  <c r="O512" i="3" a="1"/>
  <c r="O149" i="3" a="1"/>
  <c r="O768" i="3" a="1"/>
  <c r="O284" i="3" a="1"/>
  <c r="O112" i="3" a="1"/>
  <c r="O204" i="3" a="1"/>
  <c r="O285" i="3" a="1"/>
  <c r="O264" i="3" a="1"/>
  <c r="O620" i="3" a="1"/>
  <c r="O760" i="3" a="1"/>
  <c r="O633" i="3" a="1"/>
  <c r="O344" i="3" a="1"/>
  <c r="O132" i="3" a="1"/>
  <c r="O796" i="3" a="1"/>
  <c r="O88" i="3" a="1"/>
  <c r="O76" i="3" a="1"/>
  <c r="O772" i="3" a="1"/>
  <c r="O208" i="3" a="1"/>
  <c r="O352" i="3" a="1"/>
  <c r="O476" i="3" a="1"/>
  <c r="O280" i="3" a="1"/>
  <c r="O524" i="3" a="1"/>
  <c r="O252" i="3" a="1"/>
  <c r="O676" i="3" a="1"/>
  <c r="O61" i="3" a="1"/>
  <c r="O728" i="3" a="1"/>
  <c r="O248" i="3" a="1"/>
  <c r="O72" i="3" a="1"/>
  <c r="O668" i="3" a="1"/>
  <c r="O96" i="3" a="1"/>
  <c r="O428" i="3" a="1"/>
  <c r="O272" i="3" a="1"/>
  <c r="O368" i="3" a="1"/>
  <c r="O408" i="3" a="1"/>
  <c r="O104" i="3" a="1"/>
  <c r="O732" i="3" a="1"/>
  <c r="O592" i="3" a="1"/>
  <c r="O520" i="3" a="1"/>
  <c r="O328" i="3" a="1"/>
  <c r="O532" i="3" a="1"/>
  <c r="O700" i="3" a="1"/>
  <c r="O312" i="3" a="1"/>
  <c r="O552" i="3" a="1"/>
  <c r="O152" i="3" a="1"/>
  <c r="O628" i="3" a="1"/>
  <c r="O616" i="3" a="1"/>
  <c r="O300" i="3" a="1"/>
  <c r="O656" i="3" a="1"/>
  <c r="O192" i="3" a="1"/>
  <c r="O68" i="3" a="1"/>
  <c r="O140" i="3" a="1"/>
  <c r="O664" i="3" a="1"/>
  <c r="O556" i="3" a="1"/>
  <c r="O397" i="3" a="1"/>
  <c r="O108" i="3" a="1"/>
  <c r="O456" i="3" a="1"/>
  <c r="O233" i="3" a="1"/>
  <c r="O432" i="3" a="1"/>
  <c r="O292" i="3" a="1"/>
  <c r="O568" i="3" a="1"/>
  <c r="O416" i="3" a="1"/>
  <c r="O504" i="3" a="1"/>
  <c r="O168" i="3" a="1"/>
  <c r="O789" i="3" a="1"/>
  <c r="O212" i="3" a="1"/>
  <c r="O764" i="3" a="1"/>
  <c r="O612" i="3" a="1"/>
  <c r="O372" i="3" a="1"/>
  <c r="O440" i="3" a="1"/>
  <c r="O604" i="3" a="1"/>
  <c r="O304" i="3" a="1"/>
  <c r="O488" i="3" a="1"/>
  <c r="O124" i="3" a="1"/>
  <c r="O260" i="3" a="1"/>
  <c r="O584" i="3" a="1"/>
  <c r="O709" i="3" a="1"/>
  <c r="O553" i="3" a="1"/>
  <c r="O596" i="3" a="1"/>
  <c r="O468" i="3" a="1"/>
  <c r="O576" i="3" a="1"/>
  <c r="O744" i="3" a="1"/>
  <c r="O205" i="3" a="1"/>
  <c r="F458" i="3" l="1"/>
  <c r="G458" i="3" s="1"/>
  <c r="F402" i="3"/>
  <c r="G402" i="3" s="1"/>
  <c r="F654" i="3"/>
  <c r="G654" i="3" s="1"/>
  <c r="F286" i="3"/>
  <c r="G286" i="3" s="1"/>
  <c r="F450" i="3"/>
  <c r="G450" i="3" s="1"/>
  <c r="F422" i="3"/>
  <c r="G422" i="3" s="1"/>
  <c r="F506" i="3"/>
  <c r="G506" i="3" s="1"/>
  <c r="F274" i="3"/>
  <c r="G274" i="3" s="1"/>
  <c r="F766" i="3"/>
  <c r="G766" i="3" s="1"/>
  <c r="F722" i="3"/>
  <c r="G722" i="3" s="1"/>
  <c r="F390" i="3"/>
  <c r="G390" i="3" s="1"/>
  <c r="F278" i="3"/>
  <c r="G278" i="3" s="1"/>
  <c r="F610" i="3"/>
  <c r="G610" i="3" s="1"/>
  <c r="F342" i="3"/>
  <c r="G342" i="3" s="1"/>
  <c r="F770" i="3"/>
  <c r="G770" i="3" s="1"/>
  <c r="F678" i="3"/>
  <c r="G678" i="3" s="1"/>
  <c r="F534" i="3"/>
  <c r="G534" i="3" s="1"/>
  <c r="F614" i="3"/>
  <c r="G614" i="3" s="1"/>
  <c r="F486" i="3"/>
  <c r="G486" i="3" s="1"/>
  <c r="F318" i="3"/>
  <c r="G318" i="3" s="1"/>
  <c r="F374" i="3"/>
  <c r="G374" i="3" s="1"/>
  <c r="F370" i="3"/>
  <c r="G370" i="3" s="1"/>
  <c r="F598" i="3"/>
  <c r="G598" i="3" s="1"/>
  <c r="F366" i="3"/>
  <c r="G366" i="3" s="1"/>
  <c r="G365" i="3"/>
  <c r="F462" i="3"/>
  <c r="G462" i="3" s="1"/>
  <c r="G461" i="3"/>
  <c r="F522" i="3"/>
  <c r="G522" i="3" s="1"/>
  <c r="G521" i="3"/>
  <c r="F666" i="3"/>
  <c r="G666" i="3" s="1"/>
  <c r="G665" i="3"/>
  <c r="F682" i="3"/>
  <c r="G682" i="3" s="1"/>
  <c r="G681" i="3"/>
  <c r="F630" i="3"/>
  <c r="G630" i="3" s="1"/>
  <c r="G629" i="3"/>
  <c r="F558" i="3"/>
  <c r="G558" i="3" s="1"/>
  <c r="G557" i="3"/>
  <c r="F330" i="3"/>
  <c r="G330" i="3" s="1"/>
  <c r="G329" i="3"/>
  <c r="F810" i="3"/>
  <c r="G810" i="3" s="1"/>
  <c r="G809" i="3"/>
  <c r="F658" i="3"/>
  <c r="G658" i="3" s="1"/>
  <c r="G657" i="3"/>
  <c r="F714" i="3"/>
  <c r="G714" i="3" s="1"/>
  <c r="F578" i="3"/>
  <c r="G578" i="3" s="1"/>
  <c r="F574" i="3"/>
  <c r="G574" i="3" s="1"/>
  <c r="F758" i="3"/>
  <c r="G758" i="3" s="1"/>
  <c r="F398" i="3"/>
  <c r="G398" i="3" s="1"/>
  <c r="G397" i="3"/>
  <c r="F622" i="3"/>
  <c r="G622" i="3" s="1"/>
  <c r="G621" i="3"/>
  <c r="F706" i="3"/>
  <c r="G706" i="3" s="1"/>
  <c r="G705" i="3"/>
  <c r="F774" i="3"/>
  <c r="G774" i="3" s="1"/>
  <c r="G773" i="3"/>
  <c r="F670" i="3"/>
  <c r="G670" i="3" s="1"/>
  <c r="G669" i="3"/>
  <c r="F194" i="3"/>
  <c r="G194" i="3" s="1"/>
  <c r="G193" i="3"/>
  <c r="F482" i="3"/>
  <c r="G482" i="3" s="1"/>
  <c r="G481" i="3"/>
  <c r="F698" i="3"/>
  <c r="G698" i="3" s="1"/>
  <c r="G697" i="3"/>
  <c r="F202" i="3"/>
  <c r="G202" i="3" s="1"/>
  <c r="F742" i="3"/>
  <c r="G742" i="3" s="1"/>
  <c r="F322" i="3"/>
  <c r="G322" i="3" s="1"/>
  <c r="G321" i="3"/>
  <c r="F186" i="3"/>
  <c r="G186" i="3" s="1"/>
  <c r="G185" i="3"/>
  <c r="F746" i="3"/>
  <c r="G746" i="3" s="1"/>
  <c r="G745" i="3"/>
  <c r="F230" i="3"/>
  <c r="G230" i="3" s="1"/>
  <c r="G229" i="3"/>
  <c r="F710" i="3"/>
  <c r="G710" i="3" s="1"/>
  <c r="G709" i="3"/>
  <c r="F526" i="3"/>
  <c r="G526" i="3" s="1"/>
  <c r="G525" i="3"/>
  <c r="F410" i="3"/>
  <c r="G410" i="3" s="1"/>
  <c r="G409" i="3"/>
  <c r="F218" i="3"/>
  <c r="G218" i="3" s="1"/>
  <c r="G217" i="3"/>
  <c r="F738" i="3"/>
  <c r="G738" i="3" s="1"/>
  <c r="G737" i="3"/>
  <c r="F362" i="3"/>
  <c r="G362" i="3" s="1"/>
  <c r="G361" i="3"/>
  <c r="F386" i="3"/>
  <c r="G386" i="3" s="1"/>
  <c r="G385" i="3"/>
  <c r="F786" i="3"/>
  <c r="G786" i="3" s="1"/>
  <c r="G785" i="3"/>
  <c r="F270" i="3"/>
  <c r="G270" i="3" s="1"/>
  <c r="G269" i="3"/>
  <c r="F750" i="3"/>
  <c r="G750" i="3" s="1"/>
  <c r="G749" i="3"/>
  <c r="F314" i="3"/>
  <c r="G314" i="3" s="1"/>
  <c r="G313" i="3"/>
  <c r="F562" i="3"/>
  <c r="G562" i="3" s="1"/>
  <c r="G561" i="3"/>
  <c r="F606" i="3"/>
  <c r="G606" i="3" s="1"/>
  <c r="G605" i="3"/>
  <c r="F298" i="3"/>
  <c r="G298" i="3" s="1"/>
  <c r="G297" i="3"/>
  <c r="F778" i="3"/>
  <c r="G778" i="3" s="1"/>
  <c r="G777" i="3"/>
  <c r="F518" i="3"/>
  <c r="G518" i="3" s="1"/>
  <c r="G517" i="3"/>
  <c r="F662" i="3"/>
  <c r="G662" i="3" s="1"/>
  <c r="G661" i="3"/>
  <c r="F414" i="3"/>
  <c r="G414" i="3" s="1"/>
  <c r="G413" i="3"/>
  <c r="F546" i="3"/>
  <c r="G546" i="3" s="1"/>
  <c r="G545" i="3"/>
  <c r="F498" i="3"/>
  <c r="G498" i="3" s="1"/>
  <c r="F582" i="3"/>
  <c r="G582" i="3" s="1"/>
  <c r="G581" i="3"/>
  <c r="F438" i="3"/>
  <c r="G438" i="3" s="1"/>
  <c r="G437" i="3"/>
  <c r="F242" i="3"/>
  <c r="G242" i="3" s="1"/>
  <c r="G241" i="3"/>
  <c r="F262" i="3"/>
  <c r="G262" i="3" s="1"/>
  <c r="G261" i="3"/>
  <c r="F430" i="3"/>
  <c r="G430" i="3" s="1"/>
  <c r="G429" i="3"/>
  <c r="F650" i="3"/>
  <c r="G650" i="3" s="1"/>
  <c r="G649" i="3"/>
  <c r="F798" i="3"/>
  <c r="G798" i="3" s="1"/>
  <c r="G797" i="3"/>
  <c r="F626" i="3"/>
  <c r="G626" i="3" s="1"/>
  <c r="G625" i="3"/>
  <c r="F566" i="3"/>
  <c r="G566" i="3" s="1"/>
  <c r="G565" i="3"/>
  <c r="F310" i="3"/>
  <c r="G310" i="3" s="1"/>
  <c r="G309" i="3"/>
  <c r="F802" i="3"/>
  <c r="G802" i="3" s="1"/>
  <c r="F222" i="3"/>
  <c r="G222" i="3" s="1"/>
  <c r="G221" i="3"/>
  <c r="F514" i="3"/>
  <c r="G514" i="3" s="1"/>
  <c r="G513" i="3"/>
  <c r="F586" i="3"/>
  <c r="G586" i="3" s="1"/>
  <c r="G585" i="3"/>
  <c r="F250" i="3"/>
  <c r="G250" i="3" s="1"/>
  <c r="G249" i="3"/>
  <c r="F694" i="3"/>
  <c r="G694" i="3" s="1"/>
  <c r="G693" i="3"/>
  <c r="F290" i="3"/>
  <c r="G290" i="3" s="1"/>
  <c r="G289" i="3"/>
  <c r="F226" i="3"/>
  <c r="G226" i="3" s="1"/>
  <c r="G225" i="3"/>
  <c r="F618" i="3"/>
  <c r="G618" i="3" s="1"/>
  <c r="G617" i="3"/>
  <c r="F210" i="3"/>
  <c r="G210" i="3" s="1"/>
  <c r="F446" i="3"/>
  <c r="G446" i="3" s="1"/>
  <c r="F238" i="3"/>
  <c r="G238" i="3" s="1"/>
  <c r="G237" i="3"/>
  <c r="F794" i="3"/>
  <c r="G794" i="3" s="1"/>
  <c r="G793" i="3"/>
  <c r="F354" i="3"/>
  <c r="G354" i="3" s="1"/>
  <c r="G353" i="3"/>
  <c r="F686" i="3"/>
  <c r="G686" i="3" s="1"/>
  <c r="G685" i="3"/>
  <c r="F490" i="3"/>
  <c r="G490" i="3" s="1"/>
  <c r="G489" i="3"/>
  <c r="F502" i="3"/>
  <c r="G502" i="3" s="1"/>
  <c r="G501" i="3"/>
  <c r="F326" i="3"/>
  <c r="G326" i="3" s="1"/>
  <c r="F442" i="3"/>
  <c r="G442" i="3" s="1"/>
  <c r="F282" i="3"/>
  <c r="G282" i="3" s="1"/>
  <c r="G281" i="3"/>
  <c r="F394" i="3"/>
  <c r="G394" i="3" s="1"/>
  <c r="G393" i="3"/>
  <c r="F602" i="3"/>
  <c r="G602" i="3" s="1"/>
  <c r="G601" i="3"/>
  <c r="F198" i="3"/>
  <c r="G198" i="3" s="1"/>
  <c r="G197" i="3"/>
  <c r="F466" i="3"/>
  <c r="G466" i="3" s="1"/>
  <c r="G465" i="3"/>
  <c r="F478" i="3"/>
  <c r="G478" i="3" s="1"/>
  <c r="G477" i="3"/>
  <c r="F434" i="3"/>
  <c r="G434" i="3" s="1"/>
  <c r="G433" i="3"/>
  <c r="F570" i="3"/>
  <c r="G570" i="3" s="1"/>
  <c r="G569" i="3"/>
  <c r="F418" i="3"/>
  <c r="G418" i="3" s="1"/>
  <c r="G417" i="3"/>
  <c r="F638" i="3"/>
  <c r="G638" i="3" s="1"/>
  <c r="G637" i="3"/>
  <c r="F790" i="3"/>
  <c r="G790" i="3" s="1"/>
  <c r="G789" i="3"/>
  <c r="F634" i="3"/>
  <c r="G634" i="3" s="1"/>
  <c r="G633" i="3"/>
  <c r="F538" i="3"/>
  <c r="G538" i="3" s="1"/>
  <c r="G537" i="3"/>
  <c r="F550" i="3"/>
  <c r="G550" i="3" s="1"/>
  <c r="G549" i="3"/>
  <c r="F542" i="3"/>
  <c r="G542" i="3" s="1"/>
  <c r="F470" i="3"/>
  <c r="G470" i="3" s="1"/>
  <c r="F554" i="3"/>
  <c r="G554" i="3" s="1"/>
  <c r="G553" i="3"/>
  <c r="F254" i="3"/>
  <c r="G254" i="3" s="1"/>
  <c r="G253" i="3"/>
  <c r="F302" i="3"/>
  <c r="G302" i="3" s="1"/>
  <c r="G301" i="3"/>
  <c r="F594" i="3"/>
  <c r="G594" i="3" s="1"/>
  <c r="G593" i="3"/>
  <c r="F406" i="3"/>
  <c r="G406" i="3" s="1"/>
  <c r="G405" i="3"/>
  <c r="F690" i="3"/>
  <c r="G690" i="3" s="1"/>
  <c r="F426" i="3"/>
  <c r="G426" i="3" s="1"/>
  <c r="F382" i="3"/>
  <c r="G382" i="3" s="1"/>
  <c r="F734" i="3"/>
  <c r="G734" i="3" s="1"/>
  <c r="G733" i="3"/>
  <c r="F718" i="3"/>
  <c r="G718" i="3" s="1"/>
  <c r="G717" i="3"/>
  <c r="F474" i="3"/>
  <c r="G474" i="3" s="1"/>
  <c r="G473" i="3"/>
  <c r="F806" i="3"/>
  <c r="G806" i="3" s="1"/>
  <c r="G805" i="3"/>
  <c r="O808" i="3"/>
  <c r="O572" i="3"/>
  <c r="O632" i="3"/>
  <c r="O752" i="3"/>
  <c r="O264" i="3"/>
  <c r="O488" i="3"/>
  <c r="O420" i="3"/>
  <c r="O732" i="3"/>
  <c r="O92" i="3"/>
  <c r="O88" i="3"/>
  <c r="O412" i="3"/>
  <c r="O656" i="3"/>
  <c r="O408" i="3"/>
  <c r="O740" i="3"/>
  <c r="O172" i="3"/>
  <c r="O328" i="3"/>
  <c r="O652" i="3"/>
  <c r="O616" i="3"/>
  <c r="O700" i="3"/>
  <c r="O96" i="3"/>
  <c r="O424" i="3"/>
  <c r="O252" i="3"/>
  <c r="O772" i="3"/>
  <c r="O648" i="3"/>
  <c r="O416" i="3"/>
  <c r="O248" i="3"/>
  <c r="O728" i="3"/>
  <c r="O168" i="3"/>
  <c r="O492" i="3"/>
  <c r="O568" i="3"/>
  <c r="O608" i="3"/>
  <c r="O332" i="3"/>
  <c r="O144" i="3"/>
  <c r="L733" i="3" a="1"/>
  <c r="L733" i="3" s="1"/>
  <c r="K733" i="3"/>
  <c r="K89" i="3"/>
  <c r="L89" i="3" a="1"/>
  <c r="L89" i="3" s="1"/>
  <c r="L241" i="3" a="1"/>
  <c r="L241" i="3" s="1"/>
  <c r="K241" i="3"/>
  <c r="L473" i="3" a="1"/>
  <c r="L473" i="3" s="1"/>
  <c r="K473" i="3"/>
  <c r="K701" i="3"/>
  <c r="L701" i="3" a="1"/>
  <c r="L701" i="3" s="1"/>
  <c r="L609" i="3" a="1"/>
  <c r="L609" i="3" s="1"/>
  <c r="K609" i="3"/>
  <c r="L613" i="3" a="1"/>
  <c r="L613" i="3" s="1"/>
  <c r="K613" i="3"/>
  <c r="L421" i="3" a="1"/>
  <c r="L421" i="3" s="1"/>
  <c r="K421" i="3"/>
  <c r="L277" i="3" a="1"/>
  <c r="L277" i="3" s="1"/>
  <c r="K277" i="3"/>
  <c r="K653" i="3"/>
  <c r="L653" i="3" a="1"/>
  <c r="L653" i="3" s="1"/>
  <c r="L161" i="3" a="1"/>
  <c r="L161" i="3" s="1"/>
  <c r="K161" i="3"/>
  <c r="L621" i="3" a="1"/>
  <c r="L621" i="3" s="1"/>
  <c r="K621" i="3"/>
  <c r="L181" i="3" a="1"/>
  <c r="L181" i="3" s="1"/>
  <c r="K181" i="3"/>
  <c r="K573" i="3"/>
  <c r="L573" i="3" a="1"/>
  <c r="L573" i="3" s="1"/>
  <c r="L81" i="3" a="1"/>
  <c r="L81" i="3" s="1"/>
  <c r="K81" i="3"/>
  <c r="L541" i="3" a="1"/>
  <c r="L541" i="3" s="1"/>
  <c r="K541" i="3"/>
  <c r="L177" i="3" a="1"/>
  <c r="L177" i="3" s="1"/>
  <c r="K177" i="3"/>
  <c r="L333" i="3" a="1"/>
  <c r="L333" i="3" s="1"/>
  <c r="K333" i="3"/>
  <c r="K797" i="3"/>
  <c r="L797" i="3" a="1"/>
  <c r="L797" i="3" s="1"/>
  <c r="L301" i="3" a="1"/>
  <c r="L301" i="3" s="1"/>
  <c r="K301" i="3"/>
  <c r="L665" i="3" a="1"/>
  <c r="L665" i="3" s="1"/>
  <c r="K665" i="3"/>
  <c r="K253" i="3"/>
  <c r="L253" i="3" a="1"/>
  <c r="L253" i="3" s="1"/>
  <c r="L777" i="3" a="1"/>
  <c r="L777" i="3" s="1"/>
  <c r="K777" i="3"/>
  <c r="L405" i="3" a="1"/>
  <c r="L405" i="3" s="1"/>
  <c r="K405" i="3"/>
  <c r="L789" i="3" a="1"/>
  <c r="L789" i="3" s="1"/>
  <c r="K789" i="3"/>
  <c r="L453" i="3" a="1"/>
  <c r="L453" i="3" s="1"/>
  <c r="K453" i="3"/>
  <c r="L581" i="3" a="1"/>
  <c r="L581" i="3" s="1"/>
  <c r="K581" i="3"/>
  <c r="L325" i="3" a="1"/>
  <c r="L325" i="3" s="1"/>
  <c r="K325" i="3"/>
  <c r="K61" i="3"/>
  <c r="L61" i="3" a="1"/>
  <c r="L61" i="3" s="1"/>
  <c r="L97" i="3" a="1"/>
  <c r="L97" i="3" s="1"/>
  <c r="K97" i="3"/>
  <c r="L465" i="3" a="1"/>
  <c r="L465" i="3" s="1"/>
  <c r="K465" i="3"/>
  <c r="K689" i="3"/>
  <c r="L689" i="3" a="1"/>
  <c r="L689" i="3" s="1"/>
  <c r="L225" i="3" a="1"/>
  <c r="L225" i="3" s="1"/>
  <c r="K225" i="3"/>
  <c r="L165" i="3" a="1"/>
  <c r="L165" i="3" s="1"/>
  <c r="K165" i="3"/>
  <c r="L549" i="3" a="1"/>
  <c r="L549" i="3" s="1"/>
  <c r="K549" i="3"/>
  <c r="L437" i="3" a="1"/>
  <c r="L437" i="3" s="1"/>
  <c r="K437" i="3"/>
  <c r="L765" i="3" a="1"/>
  <c r="L765" i="3" s="1"/>
  <c r="K765" i="3"/>
  <c r="L345" i="3" a="1"/>
  <c r="L345" i="3" s="1"/>
  <c r="K345" i="3"/>
  <c r="L809" i="3" a="1"/>
  <c r="L809" i="3" s="1"/>
  <c r="K809" i="3"/>
  <c r="L317" i="3" a="1"/>
  <c r="L317" i="3" s="1"/>
  <c r="K317" i="3"/>
  <c r="L469" i="3" a="1"/>
  <c r="L469" i="3" s="1"/>
  <c r="K469" i="3"/>
  <c r="L749" i="3" a="1"/>
  <c r="L749" i="3" s="1"/>
  <c r="K749" i="3"/>
  <c r="K217" i="3"/>
  <c r="L217" i="3" a="1"/>
  <c r="L217" i="3" s="1"/>
  <c r="L685" i="3" a="1"/>
  <c r="L685" i="3" s="1"/>
  <c r="K685" i="3"/>
  <c r="L753" i="3" a="1"/>
  <c r="L753" i="3" s="1"/>
  <c r="K753" i="3"/>
  <c r="K237" i="3"/>
  <c r="L237" i="3" a="1"/>
  <c r="L237" i="3" s="1"/>
  <c r="L137" i="3" a="1"/>
  <c r="L137" i="3" s="1"/>
  <c r="K137" i="3"/>
  <c r="L601" i="3" a="1"/>
  <c r="L601" i="3" s="1"/>
  <c r="K601" i="3"/>
  <c r="L649" i="3" a="1"/>
  <c r="L649" i="3" s="1"/>
  <c r="K649" i="3"/>
  <c r="L801" i="3" a="1"/>
  <c r="L801" i="3" s="1"/>
  <c r="K801" i="3"/>
  <c r="K157" i="3"/>
  <c r="L157" i="3" a="1"/>
  <c r="L157" i="3" s="1"/>
  <c r="L309" i="3" a="1"/>
  <c r="L309" i="3" s="1"/>
  <c r="K309" i="3"/>
  <c r="L533" i="3" a="1"/>
  <c r="L533" i="3" s="1"/>
  <c r="K533" i="3"/>
  <c r="K693" i="3"/>
  <c r="L693" i="3" a="1"/>
  <c r="L693" i="3" s="1"/>
  <c r="K769" i="3"/>
  <c r="L769" i="3" a="1"/>
  <c r="L769" i="3" s="1"/>
  <c r="L525" i="3" a="1"/>
  <c r="L525" i="3" s="1"/>
  <c r="K525" i="3"/>
  <c r="K593" i="3"/>
  <c r="L593" i="3" a="1"/>
  <c r="L593" i="3" s="1"/>
  <c r="K565" i="3"/>
  <c r="L565" i="3" a="1"/>
  <c r="L565" i="3" s="1"/>
  <c r="K73" i="3"/>
  <c r="L73" i="3" a="1"/>
  <c r="L73" i="3" s="1"/>
  <c r="L197" i="3" a="1"/>
  <c r="L197" i="3" s="1"/>
  <c r="K197" i="3"/>
  <c r="L261" i="3" a="1"/>
  <c r="L261" i="3" s="1"/>
  <c r="K261" i="3"/>
  <c r="L717" i="3" a="1"/>
  <c r="L717" i="3" s="1"/>
  <c r="K717" i="3"/>
  <c r="K669" i="3"/>
  <c r="L669" i="3" a="1"/>
  <c r="L669" i="3" s="1"/>
  <c r="K101" i="3"/>
  <c r="L101" i="3" a="1"/>
  <c r="L101" i="3" s="1"/>
  <c r="L85" i="3" a="1"/>
  <c r="L85" i="3" s="1"/>
  <c r="K85" i="3"/>
  <c r="L185" i="3" a="1"/>
  <c r="L185" i="3" s="1"/>
  <c r="K185" i="3"/>
  <c r="L729" i="3" a="1"/>
  <c r="L729" i="3" s="1"/>
  <c r="K729" i="3"/>
  <c r="L389" i="3" a="1"/>
  <c r="L389" i="3" s="1"/>
  <c r="K389" i="3"/>
  <c r="L673" i="3" a="1"/>
  <c r="L673" i="3" s="1"/>
  <c r="K673" i="3"/>
  <c r="K521" i="3"/>
  <c r="L521" i="3" a="1"/>
  <c r="L521" i="3" s="1"/>
  <c r="L77" i="3" a="1"/>
  <c r="L77" i="3" s="1"/>
  <c r="K77" i="3"/>
  <c r="L129" i="3" a="1"/>
  <c r="L129" i="3" s="1"/>
  <c r="K129" i="3"/>
  <c r="L529" i="3" a="1"/>
  <c r="L529" i="3" s="1"/>
  <c r="K529" i="3"/>
  <c r="L705" i="3" a="1"/>
  <c r="L705" i="3" s="1"/>
  <c r="K705" i="3"/>
  <c r="L773" i="3" a="1"/>
  <c r="L773" i="3" s="1"/>
  <c r="K773" i="3"/>
  <c r="K625" i="3"/>
  <c r="L625" i="3" a="1"/>
  <c r="L625" i="3" s="1"/>
  <c r="L393" i="3" a="1"/>
  <c r="L393" i="3" s="1"/>
  <c r="K393" i="3"/>
  <c r="L681" i="3" a="1"/>
  <c r="L681" i="3" s="1"/>
  <c r="K681" i="3"/>
  <c r="L369" i="3" a="1"/>
  <c r="L369" i="3" s="1"/>
  <c r="K369" i="3"/>
  <c r="L589" i="3" a="1"/>
  <c r="L589" i="3" s="1"/>
  <c r="K589" i="3"/>
  <c r="L805" i="3" a="1"/>
  <c r="L805" i="3" s="1"/>
  <c r="K805" i="3"/>
  <c r="L313" i="3" a="1"/>
  <c r="L313" i="3" s="1"/>
  <c r="K313" i="3"/>
  <c r="L349" i="3" a="1"/>
  <c r="L349" i="3" s="1"/>
  <c r="K349" i="3"/>
  <c r="L269" i="3" a="1"/>
  <c r="L269" i="3" s="1"/>
  <c r="K269" i="3"/>
  <c r="L189" i="3" a="1"/>
  <c r="L189" i="3" s="1"/>
  <c r="K189" i="3"/>
  <c r="L257" i="3" a="1"/>
  <c r="L257" i="3" s="1"/>
  <c r="K257" i="3"/>
  <c r="L485" i="3" a="1"/>
  <c r="L485" i="3" s="1"/>
  <c r="K485" i="3"/>
  <c r="L305" i="3" a="1"/>
  <c r="L305" i="3" s="1"/>
  <c r="K305" i="3"/>
  <c r="L221" i="3" a="1"/>
  <c r="L221" i="3" s="1"/>
  <c r="K221" i="3"/>
  <c r="K265" i="3"/>
  <c r="L265" i="3" a="1"/>
  <c r="L265" i="3" s="1"/>
  <c r="K173" i="3"/>
  <c r="L173" i="3" a="1"/>
  <c r="L173" i="3" s="1"/>
  <c r="L637" i="3" a="1"/>
  <c r="L637" i="3" s="1"/>
  <c r="K637" i="3"/>
  <c r="L141" i="3" a="1"/>
  <c r="L141" i="3" s="1"/>
  <c r="K141" i="3"/>
  <c r="K585" i="3"/>
  <c r="L585" i="3" a="1"/>
  <c r="L585" i="3" s="1"/>
  <c r="L497" i="3" a="1"/>
  <c r="L497" i="3" s="1"/>
  <c r="K497" i="3"/>
  <c r="L557" i="3" a="1"/>
  <c r="L557" i="3" s="1"/>
  <c r="K557" i="3"/>
  <c r="L417" i="3" a="1"/>
  <c r="L417" i="3" s="1"/>
  <c r="K417" i="3"/>
  <c r="L761" i="3" a="1"/>
  <c r="L761" i="3" s="1"/>
  <c r="K761" i="3"/>
  <c r="L145" i="3" a="1"/>
  <c r="L145" i="3" s="1"/>
  <c r="K145" i="3"/>
  <c r="K697" i="3"/>
  <c r="L697" i="3" a="1"/>
  <c r="L697" i="3" s="1"/>
  <c r="L377" i="3" a="1"/>
  <c r="L377" i="3" s="1"/>
  <c r="K377" i="3"/>
  <c r="L605" i="3" a="1"/>
  <c r="L605" i="3" s="1"/>
  <c r="K605" i="3"/>
  <c r="L569" i="3" a="1"/>
  <c r="L569" i="3" s="1"/>
  <c r="K569" i="3"/>
  <c r="K721" i="3"/>
  <c r="L721" i="3" a="1"/>
  <c r="L721" i="3" s="1"/>
  <c r="L229" i="3" a="1"/>
  <c r="L229" i="3" s="1"/>
  <c r="K229" i="3"/>
  <c r="L449" i="3" a="1"/>
  <c r="L449" i="3" s="1"/>
  <c r="K449" i="3"/>
  <c r="L445" i="3" a="1"/>
  <c r="L445" i="3" s="1"/>
  <c r="K445" i="3"/>
  <c r="L513" i="3" a="1"/>
  <c r="L513" i="3" s="1"/>
  <c r="K513" i="3"/>
  <c r="L489" i="3" a="1"/>
  <c r="L489" i="3" s="1"/>
  <c r="K489" i="3"/>
  <c r="L657" i="3" a="1"/>
  <c r="L657" i="3" s="1"/>
  <c r="K657" i="3"/>
  <c r="L209" i="3" a="1"/>
  <c r="L209" i="3" s="1"/>
  <c r="K209" i="3"/>
  <c r="L433" i="3" a="1"/>
  <c r="L433" i="3" s="1"/>
  <c r="K433" i="3"/>
  <c r="L409" i="3" a="1"/>
  <c r="L409" i="3" s="1"/>
  <c r="K409" i="3"/>
  <c r="L69" i="3" a="1"/>
  <c r="L69" i="3" s="1"/>
  <c r="K69" i="3"/>
  <c r="L429" i="3" a="1"/>
  <c r="L429" i="3" s="1"/>
  <c r="K429" i="3"/>
  <c r="L329" i="3" a="1"/>
  <c r="L329" i="3" s="1"/>
  <c r="K329" i="3"/>
  <c r="L493" i="3" a="1"/>
  <c r="L493" i="3" s="1"/>
  <c r="K493" i="3"/>
  <c r="L725" i="3" a="1"/>
  <c r="L725" i="3" s="1"/>
  <c r="K725" i="3"/>
  <c r="L785" i="3" a="1"/>
  <c r="L785" i="3" s="1"/>
  <c r="K785" i="3"/>
  <c r="L233" i="3" a="1"/>
  <c r="L233" i="3" s="1"/>
  <c r="K233" i="3"/>
  <c r="L461" i="3" a="1"/>
  <c r="L461" i="3" s="1"/>
  <c r="K461" i="3"/>
  <c r="K425" i="3"/>
  <c r="L425" i="3" a="1"/>
  <c r="L425" i="3" s="1"/>
  <c r="L537" i="3" a="1"/>
  <c r="L537" i="3" s="1"/>
  <c r="K537" i="3"/>
  <c r="K117" i="3"/>
  <c r="L117" i="3" a="1"/>
  <c r="L117" i="3" s="1"/>
  <c r="L741" i="3" a="1"/>
  <c r="L741" i="3" s="1"/>
  <c r="K741" i="3"/>
  <c r="L93" i="3" a="1"/>
  <c r="L93" i="3" s="1"/>
  <c r="K93" i="3"/>
  <c r="L709" i="3" a="1"/>
  <c r="L709" i="3" s="1"/>
  <c r="K709" i="3"/>
  <c r="L289" i="3" a="1"/>
  <c r="L289" i="3" s="1"/>
  <c r="K289" i="3"/>
  <c r="K341" i="3"/>
  <c r="L341" i="3" a="1"/>
  <c r="L341" i="3" s="1"/>
  <c r="L245" i="3" a="1"/>
  <c r="L245" i="3" s="1"/>
  <c r="K245" i="3"/>
  <c r="K629" i="3"/>
  <c r="L629" i="3" a="1"/>
  <c r="L629" i="3" s="1"/>
  <c r="L457" i="3" a="1"/>
  <c r="L457" i="3" s="1"/>
  <c r="K457" i="3"/>
  <c r="K441" i="3"/>
  <c r="L441" i="3" a="1"/>
  <c r="L441" i="3" s="1"/>
  <c r="L641" i="3" a="1"/>
  <c r="L641" i="3" s="1"/>
  <c r="K641" i="3"/>
  <c r="L149" i="3" a="1"/>
  <c r="L149" i="3" s="1"/>
  <c r="K149" i="3"/>
  <c r="L677" i="3" a="1"/>
  <c r="L677" i="3" s="1"/>
  <c r="K677" i="3"/>
  <c r="L365" i="3" a="1"/>
  <c r="L365" i="3" s="1"/>
  <c r="K365" i="3"/>
  <c r="K361" i="3"/>
  <c r="L361" i="3" a="1"/>
  <c r="L361" i="3" s="1"/>
  <c r="K561" i="3"/>
  <c r="L561" i="3" a="1"/>
  <c r="L561" i="3" s="1"/>
  <c r="L793" i="3" a="1"/>
  <c r="L793" i="3" s="1"/>
  <c r="K793" i="3"/>
  <c r="L357" i="3" a="1"/>
  <c r="L357" i="3" s="1"/>
  <c r="K357" i="3"/>
  <c r="L285" i="3" a="1"/>
  <c r="L285" i="3" s="1"/>
  <c r="K285" i="3"/>
  <c r="L353" i="3" a="1"/>
  <c r="L353" i="3" s="1"/>
  <c r="K353" i="3"/>
  <c r="L281" i="3" a="1"/>
  <c r="L281" i="3" s="1"/>
  <c r="K281" i="3"/>
  <c r="K481" i="3"/>
  <c r="L481" i="3" a="1"/>
  <c r="L481" i="3" s="1"/>
  <c r="L713" i="3" a="1"/>
  <c r="L713" i="3" s="1"/>
  <c r="K713" i="3"/>
  <c r="L545" i="3" a="1"/>
  <c r="L545" i="3" s="1"/>
  <c r="K545" i="3"/>
  <c r="L373" i="3" a="1"/>
  <c r="L373" i="3" s="1"/>
  <c r="K373" i="3"/>
  <c r="L109" i="3" a="1"/>
  <c r="L109" i="3" s="1"/>
  <c r="K109" i="3"/>
  <c r="L505" i="3" a="1"/>
  <c r="L505" i="3" s="1"/>
  <c r="K505" i="3"/>
  <c r="L205" i="3" a="1"/>
  <c r="L205" i="3" s="1"/>
  <c r="K205" i="3"/>
  <c r="L273" i="3" a="1"/>
  <c r="L273" i="3" s="1"/>
  <c r="K273" i="3"/>
  <c r="L201" i="3" a="1"/>
  <c r="L201" i="3" s="1"/>
  <c r="K201" i="3"/>
  <c r="L249" i="3" a="1"/>
  <c r="L249" i="3" s="1"/>
  <c r="K249" i="3"/>
  <c r="L401" i="3" a="1"/>
  <c r="L401" i="3" s="1"/>
  <c r="K401" i="3"/>
  <c r="K633" i="3"/>
  <c r="L633" i="3" a="1"/>
  <c r="L633" i="3" s="1"/>
  <c r="L65" i="3" a="1"/>
  <c r="L65" i="3" s="1"/>
  <c r="K65" i="3"/>
  <c r="L213" i="3" a="1"/>
  <c r="L213" i="3" s="1"/>
  <c r="K213" i="3"/>
  <c r="L737" i="3" a="1"/>
  <c r="L737" i="3" s="1"/>
  <c r="K737" i="3"/>
  <c r="L105" i="3" a="1"/>
  <c r="L105" i="3" s="1"/>
  <c r="K105" i="3"/>
  <c r="L125" i="3" a="1"/>
  <c r="L125" i="3" s="1"/>
  <c r="K125" i="3"/>
  <c r="K193" i="3"/>
  <c r="L193" i="3" a="1"/>
  <c r="L193" i="3" s="1"/>
  <c r="L413" i="3" a="1"/>
  <c r="L413" i="3" s="1"/>
  <c r="K413" i="3"/>
  <c r="L645" i="3" a="1"/>
  <c r="L645" i="3" s="1"/>
  <c r="K645" i="3"/>
  <c r="L385" i="3" a="1"/>
  <c r="L385" i="3" s="1"/>
  <c r="K385" i="3"/>
  <c r="L153" i="3" a="1"/>
  <c r="L153" i="3" s="1"/>
  <c r="K153" i="3"/>
  <c r="L381" i="3" a="1"/>
  <c r="L381" i="3" s="1"/>
  <c r="K381" i="3"/>
  <c r="L577" i="3" a="1"/>
  <c r="L577" i="3" s="1"/>
  <c r="K577" i="3"/>
  <c r="L293" i="3" a="1"/>
  <c r="L293" i="3" s="1"/>
  <c r="K293" i="3"/>
  <c r="L509" i="3" a="1"/>
  <c r="L509" i="3" s="1"/>
  <c r="K509" i="3"/>
  <c r="L501" i="3" a="1"/>
  <c r="L501" i="3" s="1"/>
  <c r="K501" i="3"/>
  <c r="K477" i="3"/>
  <c r="L477" i="3" a="1"/>
  <c r="L477" i="3" s="1"/>
  <c r="L757" i="3" a="1"/>
  <c r="L757" i="3" s="1"/>
  <c r="K757" i="3"/>
  <c r="K337" i="3"/>
  <c r="L337" i="3" a="1"/>
  <c r="L337" i="3" s="1"/>
  <c r="K745" i="3"/>
  <c r="L745" i="3" a="1"/>
  <c r="L745" i="3" s="1"/>
  <c r="K397" i="3"/>
  <c r="L397" i="3" a="1"/>
  <c r="L397" i="3" s="1"/>
  <c r="L517" i="3" a="1"/>
  <c r="L517" i="3" s="1"/>
  <c r="K517" i="3"/>
  <c r="L297" i="3" a="1"/>
  <c r="L297" i="3" s="1"/>
  <c r="K297" i="3"/>
  <c r="L121" i="3" a="1"/>
  <c r="L121" i="3" s="1"/>
  <c r="K121" i="3"/>
  <c r="L169" i="3" a="1"/>
  <c r="L169" i="3" s="1"/>
  <c r="K169" i="3"/>
  <c r="L321" i="3" a="1"/>
  <c r="L321" i="3" s="1"/>
  <c r="K321" i="3"/>
  <c r="L553" i="3" a="1"/>
  <c r="L553" i="3" s="1"/>
  <c r="K553" i="3"/>
  <c r="L781" i="3" a="1"/>
  <c r="L781" i="3" s="1"/>
  <c r="K781" i="3"/>
  <c r="L133" i="3" a="1"/>
  <c r="L133" i="3" s="1"/>
  <c r="K133" i="3"/>
  <c r="L617" i="3" a="1"/>
  <c r="L617" i="3" s="1"/>
  <c r="K617" i="3"/>
  <c r="K661" i="3"/>
  <c r="L661" i="3" a="1"/>
  <c r="L661" i="3" s="1"/>
  <c r="L597" i="3" a="1"/>
  <c r="L597" i="3" s="1"/>
  <c r="K597" i="3"/>
  <c r="L113" i="3" a="1"/>
  <c r="L113" i="3" s="1"/>
  <c r="K113" i="3"/>
  <c r="O372" i="3"/>
  <c r="O776" i="3"/>
  <c r="O116" i="3"/>
  <c r="O336" i="3"/>
  <c r="O756" i="3"/>
  <c r="O352" i="3"/>
  <c r="O292" i="3"/>
  <c r="O304" i="3"/>
  <c r="O664" i="3"/>
  <c r="O500" i="3"/>
  <c r="O456" i="3"/>
  <c r="O660" i="3"/>
  <c r="O764" i="3"/>
  <c r="O100" i="3"/>
  <c r="O344" i="3"/>
  <c r="O528" i="3"/>
  <c r="O692" i="3"/>
  <c r="O768" i="3"/>
  <c r="O428" i="3"/>
  <c r="O184" i="3"/>
  <c r="O668" i="3"/>
  <c r="O108" i="3"/>
  <c r="O132" i="3"/>
  <c r="O580" i="3"/>
  <c r="O296" i="3"/>
  <c r="O176" i="3"/>
  <c r="O704" i="3"/>
  <c r="O496" i="3"/>
  <c r="O124" i="3"/>
  <c r="O192" i="3"/>
  <c r="O748" i="3"/>
  <c r="O104" i="3"/>
  <c r="O576" i="3"/>
  <c r="O612" i="3"/>
  <c r="O592" i="3"/>
  <c r="O504" i="3"/>
  <c r="O596" i="3"/>
  <c r="O744" i="3"/>
  <c r="O196" i="3"/>
  <c r="O180" i="3"/>
  <c r="O432" i="3"/>
  <c r="O676" i="3"/>
  <c r="O588" i="3"/>
  <c r="O672" i="3"/>
  <c r="O260" i="3"/>
  <c r="O532" i="3"/>
  <c r="O376" i="3"/>
  <c r="O212" i="3"/>
  <c r="O736" i="3"/>
  <c r="O188" i="3"/>
  <c r="O584" i="3"/>
  <c r="O256" i="3"/>
  <c r="O368" i="3"/>
  <c r="O340" i="3"/>
  <c r="C358" i="3"/>
  <c r="C178" i="3"/>
  <c r="C466" i="3"/>
  <c r="C326" i="3"/>
  <c r="C242" i="3"/>
  <c r="C634" i="3"/>
  <c r="C546" i="3"/>
  <c r="C446" i="3"/>
  <c r="C434" i="3"/>
  <c r="C494" i="3"/>
  <c r="C718" i="3"/>
  <c r="C74" i="3"/>
  <c r="C698" i="3"/>
  <c r="C186" i="3"/>
  <c r="C586" i="3"/>
  <c r="C506" i="3"/>
  <c r="C502" i="3"/>
  <c r="C346" i="3"/>
  <c r="C94" i="3"/>
  <c r="C570" i="3"/>
  <c r="C630" i="3"/>
  <c r="C438" i="3"/>
  <c r="C678" i="3"/>
  <c r="C406" i="3"/>
  <c r="C798" i="3"/>
  <c r="C154" i="3"/>
  <c r="C774" i="3"/>
  <c r="C418" i="3"/>
  <c r="C106" i="3"/>
  <c r="C262" i="3"/>
  <c r="C330" i="3"/>
  <c r="C726" i="3"/>
  <c r="C642" i="3"/>
  <c r="C78" i="3"/>
  <c r="C390" i="3"/>
  <c r="C382" i="3"/>
  <c r="C690" i="3"/>
  <c r="C534" i="3"/>
  <c r="C454" i="3"/>
  <c r="C378" i="3"/>
  <c r="C510" i="3"/>
  <c r="C598" i="3"/>
  <c r="C622" i="3"/>
  <c r="C258" i="3"/>
  <c r="C370" i="3"/>
  <c r="C490" i="3"/>
  <c r="C550" i="3"/>
  <c r="C770" i="3"/>
  <c r="C166" i="3"/>
  <c r="C82" i="3"/>
  <c r="C474" i="3"/>
  <c r="C214" i="3"/>
  <c r="C350" i="3"/>
  <c r="C738" i="3"/>
  <c r="C530" i="3"/>
  <c r="C286" i="3"/>
  <c r="C714" i="3"/>
  <c r="C70" i="3"/>
  <c r="C514" i="3"/>
  <c r="C742" i="3"/>
  <c r="C542" i="3"/>
  <c r="C682" i="3"/>
  <c r="C778" i="3"/>
  <c r="C110" i="3"/>
  <c r="C354" i="3"/>
  <c r="C334" i="3"/>
  <c r="C558" i="3"/>
  <c r="C754" i="3"/>
  <c r="C274" i="3"/>
  <c r="C526" i="3"/>
  <c r="C574" i="3"/>
  <c r="C670" i="3"/>
  <c r="C722" i="3"/>
  <c r="C118" i="3"/>
  <c r="C162" i="3"/>
  <c r="C66" i="3"/>
  <c r="C250" i="3"/>
  <c r="C290" i="3"/>
  <c r="C538" i="3"/>
  <c r="C662" i="3"/>
  <c r="C766" i="3"/>
  <c r="C278" i="3"/>
  <c r="C86" i="3"/>
  <c r="C786" i="3"/>
  <c r="C394" i="3"/>
  <c r="C426" i="3"/>
  <c r="C694" i="3"/>
  <c r="C210" i="3"/>
  <c r="C206" i="3"/>
  <c r="C138" i="3"/>
  <c r="C238" i="3"/>
  <c r="C646" i="3"/>
  <c r="C310" i="3"/>
  <c r="C302" i="3"/>
  <c r="C130" i="3"/>
  <c r="C458" i="3"/>
  <c r="C666" i="3"/>
  <c r="C102" i="3"/>
  <c r="C254" i="3"/>
  <c r="C730" i="3"/>
  <c r="C478" i="3"/>
  <c r="C790" i="3"/>
  <c r="C782" i="3"/>
  <c r="C518" i="3"/>
  <c r="C134" i="3"/>
  <c r="C618" i="3"/>
  <c r="C674" i="3"/>
  <c r="C410" i="3"/>
  <c r="C366" i="3"/>
  <c r="C170" i="3"/>
  <c r="C566" i="3"/>
  <c r="C482" i="3"/>
  <c r="C230" i="3"/>
  <c r="C222" i="3"/>
  <c r="C294" i="3"/>
  <c r="C422" i="3"/>
  <c r="C266" i="3"/>
  <c r="C686" i="3"/>
  <c r="C590" i="3"/>
  <c r="C498" i="3"/>
  <c r="C194" i="3"/>
  <c r="C626" i="3"/>
  <c r="C430" i="3"/>
  <c r="C802" i="3"/>
  <c r="C414" i="3"/>
  <c r="C562" i="3"/>
  <c r="C706" i="3"/>
  <c r="C734" i="3"/>
  <c r="C386" i="3"/>
  <c r="C314" i="3"/>
  <c r="C658" i="3"/>
  <c r="C450" i="3"/>
  <c r="C298" i="3"/>
  <c r="C342" i="3"/>
  <c r="C226" i="3"/>
  <c r="C638" i="3"/>
  <c r="C174" i="3"/>
  <c r="C650" i="3"/>
  <c r="C398" i="3"/>
  <c r="C710" i="3"/>
  <c r="C702" i="3"/>
  <c r="C758" i="3"/>
  <c r="C126" i="3"/>
  <c r="C806" i="3"/>
  <c r="C338" i="3"/>
  <c r="C90" i="3"/>
  <c r="C486" i="3"/>
  <c r="C146" i="3"/>
  <c r="C402" i="3"/>
  <c r="C794" i="3"/>
  <c r="C150" i="3"/>
  <c r="C142" i="3"/>
  <c r="C750" i="3"/>
  <c r="C578" i="3"/>
  <c r="C614" i="3"/>
  <c r="C582" i="3"/>
  <c r="C606" i="3"/>
  <c r="C190" i="3"/>
  <c r="C98" i="3"/>
  <c r="C594" i="3"/>
  <c r="C114" i="3"/>
  <c r="C318" i="3"/>
  <c r="C322" i="3"/>
  <c r="C62" i="3"/>
  <c r="C746" i="3"/>
  <c r="C158" i="3"/>
  <c r="C470" i="3"/>
  <c r="C462" i="3"/>
  <c r="C374" i="3"/>
  <c r="C270" i="3"/>
  <c r="C246" i="3"/>
  <c r="C554" i="3"/>
  <c r="C306" i="3"/>
  <c r="C654" i="3"/>
  <c r="C234" i="3"/>
  <c r="C610" i="3"/>
  <c r="C198" i="3"/>
  <c r="C218" i="3"/>
  <c r="C182" i="3"/>
  <c r="O380" i="3"/>
  <c r="O205" i="3"/>
  <c r="O140" i="3"/>
  <c r="O388" i="3"/>
  <c r="O364" i="3"/>
  <c r="O780" i="3"/>
  <c r="O620" i="3"/>
  <c r="O153" i="3"/>
  <c r="O316" i="3"/>
  <c r="O288" i="3"/>
  <c r="O708" i="3"/>
  <c r="O460" i="3"/>
  <c r="O680" i="3"/>
  <c r="O760" i="3"/>
  <c r="O444" i="3"/>
  <c r="O524" i="3"/>
  <c r="O605" i="3"/>
  <c r="O520" i="3"/>
  <c r="O156" i="3"/>
  <c r="O440" i="3"/>
  <c r="O317" i="3"/>
  <c r="O448" i="3"/>
  <c r="O284" i="3"/>
  <c r="O789" i="3"/>
  <c r="O360" i="3"/>
  <c r="O285" i="3"/>
  <c r="O76" i="3"/>
  <c r="O148" i="3"/>
  <c r="O548" i="3"/>
  <c r="O228" i="3"/>
  <c r="O553" i="3"/>
  <c r="O61" i="3"/>
  <c r="O125" i="3"/>
  <c r="O468" i="3"/>
  <c r="O149" i="3"/>
  <c r="O280" i="3"/>
  <c r="O397" i="3"/>
  <c r="O220" i="3"/>
  <c r="O204" i="3"/>
  <c r="O72" i="3"/>
  <c r="O308" i="3"/>
  <c r="O129" i="3"/>
  <c r="O557" i="3"/>
  <c r="O200" i="3"/>
  <c r="O272" i="3"/>
  <c r="O688" i="3"/>
  <c r="O208" i="3"/>
  <c r="O709" i="3"/>
  <c r="O396" i="3"/>
  <c r="O152" i="3"/>
  <c r="O600" i="3"/>
  <c r="O229" i="3"/>
  <c r="O381" i="3"/>
  <c r="O209" i="3"/>
  <c r="O472" i="3"/>
  <c r="O233" i="3"/>
  <c r="O637" i="3"/>
  <c r="O68" i="3"/>
  <c r="O120" i="3"/>
  <c r="O300" i="3"/>
  <c r="O476" i="3"/>
  <c r="O712" i="3"/>
  <c r="O604" i="3"/>
  <c r="O556" i="3"/>
  <c r="O796" i="3"/>
  <c r="O389" i="3"/>
  <c r="O309" i="3"/>
  <c r="O221" i="3"/>
  <c r="O312" i="3"/>
  <c r="O512" i="3"/>
  <c r="O552" i="3"/>
  <c r="O128" i="3"/>
  <c r="O716" i="3"/>
  <c r="O628" i="3"/>
  <c r="O788" i="3"/>
  <c r="O112" i="3"/>
  <c r="O633" i="3"/>
  <c r="O769" i="3"/>
  <c r="C442" i="3"/>
  <c r="C762" i="3"/>
  <c r="C362" i="3"/>
  <c r="C282" i="3"/>
  <c r="C202" i="3"/>
  <c r="F358" i="3"/>
  <c r="G358" i="3" s="1"/>
  <c r="C602" i="3"/>
  <c r="C522" i="3"/>
  <c r="C122" i="3"/>
  <c r="M93" i="15"/>
  <c r="M64" i="15"/>
  <c r="M85" i="15"/>
  <c r="M101" i="15"/>
  <c r="F266" i="3"/>
  <c r="G266" i="3" s="1"/>
  <c r="F182" i="3"/>
  <c r="G182" i="3" s="1"/>
  <c r="F214" i="3"/>
  <c r="G214" i="3" s="1"/>
  <c r="F494" i="3"/>
  <c r="G494" i="3" s="1"/>
  <c r="F762" i="3"/>
  <c r="G762" i="3" s="1"/>
  <c r="F510" i="3"/>
  <c r="G510" i="3" s="1"/>
  <c r="F306" i="3"/>
  <c r="G306" i="3" s="1"/>
  <c r="F674" i="3"/>
  <c r="G674" i="3" s="1"/>
  <c r="F346" i="3"/>
  <c r="G346" i="3" s="1"/>
  <c r="F338" i="3"/>
  <c r="G338" i="3" s="1"/>
  <c r="F206" i="3"/>
  <c r="G206" i="3" s="1"/>
  <c r="F726" i="3"/>
  <c r="G726" i="3" s="1"/>
  <c r="F234" i="3"/>
  <c r="G234" i="3" s="1"/>
  <c r="F190" i="3"/>
  <c r="G190" i="3" s="1"/>
  <c r="F702" i="3"/>
  <c r="G702" i="3" s="1"/>
  <c r="F730" i="3"/>
  <c r="G730" i="3" s="1"/>
  <c r="F454" i="3"/>
  <c r="G454" i="3" s="1"/>
  <c r="F294" i="3"/>
  <c r="G294" i="3" s="1"/>
  <c r="F334" i="3"/>
  <c r="G334" i="3" s="1"/>
  <c r="F258" i="3"/>
  <c r="G258" i="3" s="1"/>
  <c r="F646" i="3"/>
  <c r="G646" i="3" s="1"/>
  <c r="F782" i="3"/>
  <c r="G782" i="3" s="1"/>
  <c r="F530" i="3"/>
  <c r="G530" i="3" s="1"/>
  <c r="F754" i="3"/>
  <c r="G754" i="3" s="1"/>
  <c r="F590" i="3"/>
  <c r="G590" i="3" s="1"/>
  <c r="O385" i="3" a="1"/>
  <c r="O297" i="3" a="1"/>
  <c r="O501" i="3" a="1"/>
  <c r="O629" i="3" a="1"/>
  <c r="O121" i="3" a="1"/>
  <c r="O737" i="3" a="1"/>
  <c r="O433" i="3" a="1"/>
  <c r="O305" i="3" a="1"/>
  <c r="O477" i="3" a="1"/>
  <c r="O421" i="3" a="1"/>
  <c r="O805" i="3" a="1"/>
  <c r="O713" i="3" a="1"/>
  <c r="O269" i="3" a="1"/>
  <c r="O197" i="3" a="1"/>
  <c r="O141" i="3" a="1"/>
  <c r="O157" i="3" a="1"/>
  <c r="O289" i="3" a="1"/>
  <c r="O437" i="3" a="1"/>
  <c r="O273" i="3" a="1"/>
  <c r="O73" i="3" a="1"/>
  <c r="O393" i="3" a="1"/>
  <c r="O373" i="3" a="1"/>
  <c r="O77" i="3" a="1"/>
  <c r="O417" i="3" a="1"/>
  <c r="O485" i="3" a="1"/>
  <c r="O457" i="3" a="1"/>
  <c r="O181" i="3" a="1"/>
  <c r="O493" i="3" a="1"/>
  <c r="O445" i="3" a="1"/>
  <c r="O657" i="3" a="1"/>
  <c r="O729" i="3" a="1"/>
  <c r="O593" i="3" a="1"/>
  <c r="O489" i="3" a="1"/>
  <c r="O193" i="3" a="1"/>
  <c r="O625" i="3" a="1"/>
  <c r="O69" i="3" a="1"/>
  <c r="O469" i="3" a="1"/>
  <c r="O497" i="3" a="1"/>
  <c r="O513" i="3" a="1"/>
  <c r="O345" i="3" a="1"/>
  <c r="O217" i="3" a="1"/>
  <c r="O753" i="3" a="1"/>
  <c r="O145" i="3" a="1"/>
  <c r="O461" i="3" a="1"/>
  <c r="O665" i="3" a="1"/>
  <c r="O762" i="3" a="1"/>
  <c r="O781" i="3" a="1"/>
  <c r="O377" i="3" a="1"/>
  <c r="C677" i="16" a="1"/>
  <c r="O201" i="3" a="1"/>
  <c r="O773" i="3" a="1"/>
  <c r="O509" i="3" a="1"/>
  <c r="O293" i="3" a="1"/>
  <c r="O569" i="3" a="1"/>
  <c r="O349" i="3" a="1"/>
  <c r="O701" i="3" a="1"/>
  <c r="O65" i="3" a="1"/>
  <c r="O369" i="3" a="1"/>
  <c r="O705" i="3" a="1"/>
  <c r="O761" i="3" a="1"/>
  <c r="O333" i="3" a="1"/>
  <c r="O581" i="3" a="1"/>
  <c r="O101" i="3" a="1"/>
  <c r="O589" i="3" a="1"/>
  <c r="O613" i="3" a="1"/>
  <c r="O405" i="3" a="1"/>
  <c r="O329" i="3" a="1"/>
  <c r="O341" i="3" a="1"/>
  <c r="O653" i="3" a="1"/>
  <c r="O313" i="3" a="1"/>
  <c r="O253" i="3" a="1"/>
  <c r="O105" i="3" a="1"/>
  <c r="O165" i="3" a="1"/>
  <c r="O237" i="3" a="1"/>
  <c r="O733" i="3" a="1"/>
  <c r="O213" i="3" a="1"/>
  <c r="O585" i="3" a="1"/>
  <c r="O529" i="3" a="1"/>
  <c r="O521" i="3" a="1"/>
  <c r="O473" i="3" a="1"/>
  <c r="O169" i="3" a="1"/>
  <c r="O809" i="3" a="1"/>
  <c r="O537" i="3" a="1"/>
  <c r="O265" i="3" a="1"/>
  <c r="O573" i="3" a="1"/>
  <c r="O429" i="3" a="1"/>
  <c r="O717" i="3" a="1"/>
  <c r="O465" i="3" a="1"/>
  <c r="O517" i="3" a="1"/>
  <c r="O597" i="3" a="1"/>
  <c r="O241" i="3" a="1"/>
  <c r="O337" i="3" a="1"/>
  <c r="O202" i="3" a="1"/>
  <c r="O441" i="3" a="1"/>
  <c r="O641" i="3" a="1"/>
  <c r="O161" i="3" a="1"/>
  <c r="O725" i="3" a="1"/>
  <c r="O281" i="3" a="1"/>
  <c r="O365" i="3" a="1"/>
  <c r="O757" i="3" a="1"/>
  <c r="O681" i="3" a="1"/>
  <c r="O425" i="3" a="1"/>
  <c r="O133" i="3" a="1"/>
  <c r="O361" i="3" a="1"/>
  <c r="O621" i="3" a="1"/>
  <c r="O669" i="3" a="1"/>
  <c r="O401" i="3" a="1"/>
  <c r="O609" i="3" a="1"/>
  <c r="O649" i="3" a="1"/>
  <c r="O661" i="3" a="1"/>
  <c r="O261" i="3" a="1"/>
  <c r="O677" i="3" a="1"/>
  <c r="O689" i="3" a="1"/>
  <c r="O249" i="3" a="1"/>
  <c r="O117" i="3" a="1"/>
  <c r="O797" i="3" a="1"/>
  <c r="O301" i="3" a="1"/>
  <c r="O545" i="3" a="1"/>
  <c r="O277" i="3" a="1"/>
  <c r="O453" i="3" a="1"/>
  <c r="O577" i="3" a="1"/>
  <c r="O225" i="3" a="1"/>
  <c r="O185" i="3" a="1"/>
  <c r="O257" i="3" a="1"/>
  <c r="O525" i="3" a="1"/>
  <c r="O741" i="3" a="1"/>
  <c r="O645" i="3" a="1"/>
  <c r="O97" i="3" a="1"/>
  <c r="O89" i="3" a="1"/>
  <c r="O801" i="3" a="1"/>
  <c r="O81" i="3" a="1"/>
  <c r="O93" i="3" a="1"/>
  <c r="O549" i="3" a="1"/>
  <c r="O449" i="3" a="1"/>
  <c r="O413" i="3" a="1"/>
  <c r="O505" i="3" a="1"/>
  <c r="O745" i="3" a="1"/>
  <c r="O522" i="3" a="1"/>
  <c r="O685" i="3" a="1"/>
  <c r="O749" i="3" a="1"/>
  <c r="O777" i="3" a="1"/>
  <c r="O137" i="3" a="1"/>
  <c r="O357" i="3" a="1"/>
  <c r="O177" i="3" a="1"/>
  <c r="O321" i="3" a="1"/>
  <c r="O85" i="3" a="1"/>
  <c r="O189" i="3" a="1"/>
  <c r="O793" i="3" a="1"/>
  <c r="O785" i="3" a="1"/>
  <c r="O353" i="3" a="1"/>
  <c r="O541" i="3" a="1"/>
  <c r="O245" i="3" a="1"/>
  <c r="O325" i="3" a="1"/>
  <c r="O697" i="3" a="1"/>
  <c r="O173" i="3" a="1"/>
  <c r="O601" i="3" a="1"/>
  <c r="O673" i="3" a="1"/>
  <c r="O565" i="3" a="1"/>
  <c r="O481" i="3" a="1"/>
  <c r="O113" i="3" a="1"/>
  <c r="O533" i="3" a="1"/>
  <c r="O693" i="3" a="1"/>
  <c r="O409" i="3" a="1"/>
  <c r="O561" i="3" a="1"/>
  <c r="O617" i="3" a="1"/>
  <c r="O765" i="3" a="1"/>
  <c r="O721" i="3" a="1"/>
  <c r="O109" i="3" a="1"/>
  <c r="O602" i="3" a="1"/>
  <c r="O393" i="3" l="1"/>
  <c r="O621" i="3"/>
  <c r="O73" i="3"/>
  <c r="O525" i="3"/>
  <c r="O473" i="3"/>
  <c r="O765" i="3"/>
  <c r="O541" i="3"/>
  <c r="O301" i="3"/>
  <c r="L442" i="3" a="1"/>
  <c r="L442" i="3" s="1"/>
  <c r="K442" i="3"/>
  <c r="L90" i="3" a="1"/>
  <c r="L90" i="3" s="1"/>
  <c r="K90" i="3"/>
  <c r="L426" i="3" a="1"/>
  <c r="L426" i="3" s="1"/>
  <c r="K426" i="3"/>
  <c r="K154" i="3"/>
  <c r="L154" i="3" a="1"/>
  <c r="L154" i="3" s="1"/>
  <c r="L746" i="3" a="1"/>
  <c r="L746" i="3" s="1"/>
  <c r="K746" i="3"/>
  <c r="L134" i="3" a="1"/>
  <c r="L134" i="3" s="1"/>
  <c r="K134" i="3"/>
  <c r="K798" i="3"/>
  <c r="L798" i="3" a="1"/>
  <c r="L798" i="3" s="1"/>
  <c r="L802" i="3" a="1"/>
  <c r="L802" i="3" s="1"/>
  <c r="K802" i="3"/>
  <c r="L406" i="3" a="1"/>
  <c r="L406" i="3" s="1"/>
  <c r="K406" i="3"/>
  <c r="L782" i="3" a="1"/>
  <c r="L782" i="3" s="1"/>
  <c r="K782" i="3"/>
  <c r="L622" i="3" a="1"/>
  <c r="L622" i="3" s="1"/>
  <c r="K622" i="3"/>
  <c r="L758" i="3" a="1"/>
  <c r="L758" i="3" s="1"/>
  <c r="K758" i="3"/>
  <c r="L598" i="3" a="1"/>
  <c r="L598" i="3" s="1"/>
  <c r="K598" i="3"/>
  <c r="L702" i="3" a="1"/>
  <c r="L702" i="3" s="1"/>
  <c r="K702" i="3"/>
  <c r="L766" i="3" a="1"/>
  <c r="L766" i="3" s="1"/>
  <c r="K766" i="3"/>
  <c r="L630" i="3" a="1"/>
  <c r="L630" i="3" s="1"/>
  <c r="K630" i="3"/>
  <c r="L594" i="3" a="1"/>
  <c r="L594" i="3" s="1"/>
  <c r="K594" i="3"/>
  <c r="L742" i="3" a="1"/>
  <c r="L742" i="3" s="1"/>
  <c r="K742" i="3"/>
  <c r="K98" i="3"/>
  <c r="L98" i="3" a="1"/>
  <c r="L98" i="3" s="1"/>
  <c r="K590" i="3"/>
  <c r="L590" i="3" a="1"/>
  <c r="L590" i="3" s="1"/>
  <c r="K538" i="3"/>
  <c r="L538" i="3" a="1"/>
  <c r="L538" i="3" s="1"/>
  <c r="L454" i="3" a="1"/>
  <c r="L454" i="3" s="1"/>
  <c r="K454" i="3"/>
  <c r="L94" i="3" a="1"/>
  <c r="L94" i="3" s="1"/>
  <c r="K94" i="3"/>
  <c r="K638" i="3"/>
  <c r="L638" i="3" a="1"/>
  <c r="L638" i="3" s="1"/>
  <c r="L286" i="3" a="1"/>
  <c r="L286" i="3" s="1"/>
  <c r="K286" i="3"/>
  <c r="L234" i="3" a="1"/>
  <c r="L234" i="3" s="1"/>
  <c r="K234" i="3"/>
  <c r="K226" i="3"/>
  <c r="L226" i="3" a="1"/>
  <c r="L226" i="3" s="1"/>
  <c r="K130" i="3"/>
  <c r="L130" i="3" a="1"/>
  <c r="L130" i="3" s="1"/>
  <c r="L530" i="3" a="1"/>
  <c r="L530" i="3" s="1"/>
  <c r="K530" i="3"/>
  <c r="K586" i="3"/>
  <c r="L586" i="3" a="1"/>
  <c r="L586" i="3" s="1"/>
  <c r="L122" i="3" a="1"/>
  <c r="L122" i="3" s="1"/>
  <c r="K122" i="3"/>
  <c r="L654" i="3" a="1"/>
  <c r="L654" i="3" s="1"/>
  <c r="K654" i="3"/>
  <c r="L578" i="3" a="1"/>
  <c r="L578" i="3" s="1"/>
  <c r="K578" i="3"/>
  <c r="K342" i="3"/>
  <c r="L342" i="3" a="1"/>
  <c r="L342" i="3" s="1"/>
  <c r="L222" i="3" a="1"/>
  <c r="L222" i="3" s="1"/>
  <c r="K222" i="3"/>
  <c r="L302" i="3" a="1"/>
  <c r="L302" i="3" s="1"/>
  <c r="K302" i="3"/>
  <c r="L118" i="3" a="1"/>
  <c r="L118" i="3" s="1"/>
  <c r="K118" i="3"/>
  <c r="K738" i="3"/>
  <c r="L738" i="3" a="1"/>
  <c r="L738" i="3" s="1"/>
  <c r="L78" i="3" a="1"/>
  <c r="L78" i="3" s="1"/>
  <c r="K78" i="3"/>
  <c r="L186" i="3" a="1"/>
  <c r="L186" i="3" s="1"/>
  <c r="K186" i="3"/>
  <c r="L522" i="3" a="1"/>
  <c r="L522" i="3" s="1"/>
  <c r="K522" i="3"/>
  <c r="K306" i="3"/>
  <c r="L306" i="3" a="1"/>
  <c r="L306" i="3" s="1"/>
  <c r="L750" i="3" a="1"/>
  <c r="L750" i="3" s="1"/>
  <c r="K750" i="3"/>
  <c r="L298" i="3" a="1"/>
  <c r="L298" i="3" s="1"/>
  <c r="K298" i="3"/>
  <c r="L230" i="3" a="1"/>
  <c r="L230" i="3" s="1"/>
  <c r="K230" i="3"/>
  <c r="L310" i="3" a="1"/>
  <c r="L310" i="3" s="1"/>
  <c r="K310" i="3"/>
  <c r="L722" i="3" a="1"/>
  <c r="L722" i="3" s="1"/>
  <c r="K722" i="3"/>
  <c r="L350" i="3" a="1"/>
  <c r="L350" i="3" s="1"/>
  <c r="K350" i="3"/>
  <c r="L642" i="3" a="1"/>
  <c r="L642" i="3" s="1"/>
  <c r="K642" i="3"/>
  <c r="L698" i="3" a="1"/>
  <c r="L698" i="3" s="1"/>
  <c r="K698" i="3"/>
  <c r="K602" i="3"/>
  <c r="L602" i="3" a="1"/>
  <c r="L602" i="3" s="1"/>
  <c r="L554" i="3" a="1"/>
  <c r="L554" i="3" s="1"/>
  <c r="K554" i="3"/>
  <c r="L142" i="3" a="1"/>
  <c r="L142" i="3" s="1"/>
  <c r="K142" i="3"/>
  <c r="L450" i="3" a="1"/>
  <c r="L450" i="3" s="1"/>
  <c r="K450" i="3"/>
  <c r="L482" i="3" a="1"/>
  <c r="L482" i="3" s="1"/>
  <c r="K482" i="3"/>
  <c r="L646" i="3" a="1"/>
  <c r="L646" i="3" s="1"/>
  <c r="K646" i="3"/>
  <c r="K670" i="3"/>
  <c r="L670" i="3" a="1"/>
  <c r="L670" i="3" s="1"/>
  <c r="L214" i="3" a="1"/>
  <c r="L214" i="3" s="1"/>
  <c r="K214" i="3"/>
  <c r="L726" i="3" a="1"/>
  <c r="L726" i="3" s="1"/>
  <c r="K726" i="3"/>
  <c r="K74" i="3"/>
  <c r="L74" i="3" a="1"/>
  <c r="L74" i="3" s="1"/>
  <c r="L246" i="3" a="1"/>
  <c r="L246" i="3" s="1"/>
  <c r="K246" i="3"/>
  <c r="L150" i="3" a="1"/>
  <c r="L150" i="3" s="1"/>
  <c r="K150" i="3"/>
  <c r="L658" i="3" a="1"/>
  <c r="L658" i="3" s="1"/>
  <c r="K658" i="3"/>
  <c r="L566" i="3" a="1"/>
  <c r="L566" i="3" s="1"/>
  <c r="K566" i="3"/>
  <c r="K238" i="3"/>
  <c r="L238" i="3" a="1"/>
  <c r="L238" i="3" s="1"/>
  <c r="L574" i="3" a="1"/>
  <c r="L574" i="3" s="1"/>
  <c r="K574" i="3"/>
  <c r="L474" i="3" a="1"/>
  <c r="L474" i="3" s="1"/>
  <c r="K474" i="3"/>
  <c r="L330" i="3" a="1"/>
  <c r="L330" i="3" s="1"/>
  <c r="K330" i="3"/>
  <c r="L718" i="3" a="1"/>
  <c r="L718" i="3" s="1"/>
  <c r="K718" i="3"/>
  <c r="K202" i="3"/>
  <c r="L202" i="3" a="1"/>
  <c r="L202" i="3" s="1"/>
  <c r="L270" i="3" a="1"/>
  <c r="L270" i="3" s="1"/>
  <c r="K270" i="3"/>
  <c r="K794" i="3"/>
  <c r="L794" i="3" a="1"/>
  <c r="L794" i="3" s="1"/>
  <c r="K314" i="3"/>
  <c r="L314" i="3" a="1"/>
  <c r="L314" i="3" s="1"/>
  <c r="L170" i="3" a="1"/>
  <c r="L170" i="3" s="1"/>
  <c r="K170" i="3"/>
  <c r="L138" i="3" a="1"/>
  <c r="L138" i="3" s="1"/>
  <c r="K138" i="3"/>
  <c r="L526" i="3" a="1"/>
  <c r="L526" i="3" s="1"/>
  <c r="K526" i="3"/>
  <c r="L82" i="3" a="1"/>
  <c r="L82" i="3" s="1"/>
  <c r="K82" i="3"/>
  <c r="L262" i="3" a="1"/>
  <c r="L262" i="3" s="1"/>
  <c r="K262" i="3"/>
  <c r="L494" i="3" a="1"/>
  <c r="L494" i="3" s="1"/>
  <c r="K494" i="3"/>
  <c r="K158" i="3"/>
  <c r="L158" i="3" a="1"/>
  <c r="L158" i="3" s="1"/>
  <c r="K618" i="3"/>
  <c r="L618" i="3" a="1"/>
  <c r="L618" i="3" s="1"/>
  <c r="L490" i="3" a="1"/>
  <c r="L490" i="3" s="1"/>
  <c r="K490" i="3"/>
  <c r="L414" i="3" a="1"/>
  <c r="L414" i="3" s="1"/>
  <c r="K414" i="3"/>
  <c r="K354" i="3"/>
  <c r="L354" i="3" a="1"/>
  <c r="L354" i="3" s="1"/>
  <c r="L242" i="3" a="1"/>
  <c r="L242" i="3" s="1"/>
  <c r="K242" i="3"/>
  <c r="L62" i="3" a="1"/>
  <c r="L62" i="3" s="1"/>
  <c r="K62" i="3"/>
  <c r="L786" i="3" a="1"/>
  <c r="L786" i="3" s="1"/>
  <c r="K786" i="3"/>
  <c r="L326" i="3" a="1"/>
  <c r="L326" i="3" s="1"/>
  <c r="K326" i="3"/>
  <c r="L322" i="3" a="1"/>
  <c r="L322" i="3" s="1"/>
  <c r="K322" i="3"/>
  <c r="L86" i="3" a="1"/>
  <c r="L86" i="3" s="1"/>
  <c r="K86" i="3"/>
  <c r="L678" i="3" a="1"/>
  <c r="L678" i="3" s="1"/>
  <c r="K678" i="3"/>
  <c r="K318" i="3"/>
  <c r="L318" i="3" a="1"/>
  <c r="L318" i="3" s="1"/>
  <c r="L790" i="3" a="1"/>
  <c r="L790" i="3" s="1"/>
  <c r="K790" i="3"/>
  <c r="L178" i="3" a="1"/>
  <c r="L178" i="3" s="1"/>
  <c r="K178" i="3"/>
  <c r="L478" i="3" a="1"/>
  <c r="L478" i="3" s="1"/>
  <c r="K478" i="3"/>
  <c r="K218" i="3"/>
  <c r="L218" i="3" a="1"/>
  <c r="L218" i="3" s="1"/>
  <c r="L190" i="3" a="1"/>
  <c r="L190" i="3" s="1"/>
  <c r="K190" i="3"/>
  <c r="L650" i="3" a="1"/>
  <c r="L650" i="3" s="1"/>
  <c r="K650" i="3"/>
  <c r="K686" i="3"/>
  <c r="L686" i="3" a="1"/>
  <c r="L686" i="3" s="1"/>
  <c r="L102" i="3" a="1"/>
  <c r="L102" i="3" s="1"/>
  <c r="K102" i="3"/>
  <c r="L290" i="3" a="1"/>
  <c r="L290" i="3" s="1"/>
  <c r="K290" i="3"/>
  <c r="L70" i="3" a="1"/>
  <c r="L70" i="3" s="1"/>
  <c r="K70" i="3"/>
  <c r="L534" i="3" a="1"/>
  <c r="L534" i="3" s="1"/>
  <c r="K534" i="3"/>
  <c r="L346" i="3" a="1"/>
  <c r="L346" i="3" s="1"/>
  <c r="K346" i="3"/>
  <c r="L198" i="3" a="1"/>
  <c r="L198" i="3" s="1"/>
  <c r="K198" i="3"/>
  <c r="L266" i="3" a="1"/>
  <c r="L266" i="3" s="1"/>
  <c r="K266" i="3"/>
  <c r="L250" i="3" a="1"/>
  <c r="L250" i="3" s="1"/>
  <c r="K250" i="3"/>
  <c r="L690" i="3" a="1"/>
  <c r="L690" i="3" s="1"/>
  <c r="K690" i="3"/>
  <c r="L582" i="3" a="1"/>
  <c r="L582" i="3" s="1"/>
  <c r="K582" i="3"/>
  <c r="K458" i="3"/>
  <c r="L458" i="3" a="1"/>
  <c r="L458" i="3" s="1"/>
  <c r="L382" i="3" a="1"/>
  <c r="L382" i="3" s="1"/>
  <c r="K382" i="3"/>
  <c r="K282" i="3"/>
  <c r="L282" i="3" a="1"/>
  <c r="L282" i="3" s="1"/>
  <c r="L374" i="3" a="1"/>
  <c r="L374" i="3" s="1"/>
  <c r="K374" i="3"/>
  <c r="L402" i="3" a="1"/>
  <c r="L402" i="3" s="1"/>
  <c r="K402" i="3"/>
  <c r="L386" i="3" a="1"/>
  <c r="L386" i="3" s="1"/>
  <c r="K386" i="3"/>
  <c r="L366" i="3" a="1"/>
  <c r="L366" i="3" s="1"/>
  <c r="K366" i="3"/>
  <c r="L206" i="3" a="1"/>
  <c r="L206" i="3" s="1"/>
  <c r="K206" i="3"/>
  <c r="L274" i="3" a="1"/>
  <c r="L274" i="3" s="1"/>
  <c r="K274" i="3"/>
  <c r="L166" i="3" a="1"/>
  <c r="L166" i="3" s="1"/>
  <c r="K166" i="3"/>
  <c r="L106" i="3" a="1"/>
  <c r="L106" i="3" s="1"/>
  <c r="K106" i="3"/>
  <c r="L434" i="3" a="1"/>
  <c r="L434" i="3" s="1"/>
  <c r="K434" i="3"/>
  <c r="L562" i="3" a="1"/>
  <c r="L562" i="3" s="1"/>
  <c r="K562" i="3"/>
  <c r="K334" i="3"/>
  <c r="L334" i="3" a="1"/>
  <c r="L334" i="3" s="1"/>
  <c r="L634" i="3" a="1"/>
  <c r="L634" i="3" s="1"/>
  <c r="K634" i="3"/>
  <c r="L338" i="3" a="1"/>
  <c r="L338" i="3" s="1"/>
  <c r="K338" i="3"/>
  <c r="L394" i="3" a="1"/>
  <c r="L394" i="3" s="1"/>
  <c r="K394" i="3"/>
  <c r="K370" i="3"/>
  <c r="L370" i="3" a="1"/>
  <c r="L370" i="3" s="1"/>
  <c r="L518" i="3" a="1"/>
  <c r="L518" i="3" s="1"/>
  <c r="K518" i="3"/>
  <c r="L258" i="3" a="1"/>
  <c r="L258" i="3" s="1"/>
  <c r="K258" i="3"/>
  <c r="K126" i="3"/>
  <c r="L126" i="3" a="1"/>
  <c r="L126" i="3" s="1"/>
  <c r="L778" i="3" a="1"/>
  <c r="L778" i="3" s="1"/>
  <c r="K778" i="3"/>
  <c r="L626" i="3" a="1"/>
  <c r="L626" i="3" s="1"/>
  <c r="K626" i="3"/>
  <c r="L682" i="3" a="1"/>
  <c r="L682" i="3" s="1"/>
  <c r="K682" i="3"/>
  <c r="L438" i="3" a="1"/>
  <c r="L438" i="3" s="1"/>
  <c r="K438" i="3"/>
  <c r="L114" i="3" a="1"/>
  <c r="L114" i="3" s="1"/>
  <c r="K114" i="3"/>
  <c r="L542" i="3" a="1"/>
  <c r="L542" i="3" s="1"/>
  <c r="K542" i="3"/>
  <c r="L358" i="3" a="1"/>
  <c r="L358" i="3" s="1"/>
  <c r="K358" i="3"/>
  <c r="L498" i="3" a="1"/>
  <c r="L498" i="3" s="1"/>
  <c r="K498" i="3"/>
  <c r="L378" i="3" a="1"/>
  <c r="L378" i="3" s="1"/>
  <c r="K378" i="3"/>
  <c r="L398" i="3" a="1"/>
  <c r="L398" i="3" s="1"/>
  <c r="K398" i="3"/>
  <c r="L254" i="3" a="1"/>
  <c r="L254" i="3" s="1"/>
  <c r="K254" i="3"/>
  <c r="K514" i="3"/>
  <c r="L514" i="3" a="1"/>
  <c r="L514" i="3" s="1"/>
  <c r="L294" i="3" a="1"/>
  <c r="L294" i="3" s="1"/>
  <c r="K294" i="3"/>
  <c r="L390" i="3" a="1"/>
  <c r="L390" i="3" s="1"/>
  <c r="K390" i="3"/>
  <c r="K210" i="3"/>
  <c r="L210" i="3" a="1"/>
  <c r="L210" i="3" s="1"/>
  <c r="L806" i="3" a="1"/>
  <c r="L806" i="3" s="1"/>
  <c r="K806" i="3"/>
  <c r="L110" i="3" a="1"/>
  <c r="L110" i="3" s="1"/>
  <c r="K110" i="3"/>
  <c r="L430" i="3" a="1"/>
  <c r="L430" i="3" s="1"/>
  <c r="K430" i="3"/>
  <c r="L466" i="3" a="1"/>
  <c r="L466" i="3" s="1"/>
  <c r="K466" i="3"/>
  <c r="L278" i="3" a="1"/>
  <c r="L278" i="3" s="1"/>
  <c r="K278" i="3"/>
  <c r="K194" i="3"/>
  <c r="L194" i="3" a="1"/>
  <c r="L194" i="3" s="1"/>
  <c r="L510" i="3" a="1"/>
  <c r="L510" i="3" s="1"/>
  <c r="K510" i="3"/>
  <c r="L710" i="3" a="1"/>
  <c r="L710" i="3" s="1"/>
  <c r="K710" i="3"/>
  <c r="L730" i="3" a="1"/>
  <c r="L730" i="3" s="1"/>
  <c r="K730" i="3"/>
  <c r="K662" i="3"/>
  <c r="L662" i="3" a="1"/>
  <c r="L662" i="3" s="1"/>
  <c r="L570" i="3" a="1"/>
  <c r="L570" i="3" s="1"/>
  <c r="K570" i="3"/>
  <c r="L182" i="3" a="1"/>
  <c r="L182" i="3" s="1"/>
  <c r="K182" i="3"/>
  <c r="L606" i="3" a="1"/>
  <c r="L606" i="3" s="1"/>
  <c r="K606" i="3"/>
  <c r="K174" i="3"/>
  <c r="L174" i="3" a="1"/>
  <c r="L174" i="3" s="1"/>
  <c r="L666" i="3" a="1"/>
  <c r="L666" i="3" s="1"/>
  <c r="K666" i="3"/>
  <c r="L714" i="3" a="1"/>
  <c r="L714" i="3" s="1"/>
  <c r="K714" i="3"/>
  <c r="L502" i="3" a="1"/>
  <c r="L502" i="3" s="1"/>
  <c r="K502" i="3"/>
  <c r="L610" i="3" a="1"/>
  <c r="L610" i="3" s="1"/>
  <c r="K610" i="3"/>
  <c r="L422" i="3" a="1"/>
  <c r="L422" i="3" s="1"/>
  <c r="K422" i="3"/>
  <c r="L66" i="3" a="1"/>
  <c r="L66" i="3" s="1"/>
  <c r="K66" i="3"/>
  <c r="L506" i="3" a="1"/>
  <c r="L506" i="3" s="1"/>
  <c r="K506" i="3"/>
  <c r="L614" i="3" a="1"/>
  <c r="L614" i="3" s="1"/>
  <c r="K614" i="3"/>
  <c r="L162" i="3" a="1"/>
  <c r="L162" i="3" s="1"/>
  <c r="K162" i="3"/>
  <c r="L362" i="3" a="1"/>
  <c r="L362" i="3" s="1"/>
  <c r="K362" i="3"/>
  <c r="L462" i="3" a="1"/>
  <c r="L462" i="3" s="1"/>
  <c r="K462" i="3"/>
  <c r="L146" i="3" a="1"/>
  <c r="L146" i="3" s="1"/>
  <c r="K146" i="3"/>
  <c r="L734" i="3" a="1"/>
  <c r="L734" i="3" s="1"/>
  <c r="K734" i="3"/>
  <c r="L410" i="3" a="1"/>
  <c r="L410" i="3" s="1"/>
  <c r="K410" i="3"/>
  <c r="L754" i="3" a="1"/>
  <c r="L754" i="3" s="1"/>
  <c r="K754" i="3"/>
  <c r="L770" i="3" a="1"/>
  <c r="L770" i="3" s="1"/>
  <c r="K770" i="3"/>
  <c r="L418" i="3" a="1"/>
  <c r="L418" i="3" s="1"/>
  <c r="K418" i="3"/>
  <c r="L446" i="3" a="1"/>
  <c r="L446" i="3" s="1"/>
  <c r="K446" i="3"/>
  <c r="L762" i="3" a="1"/>
  <c r="L762" i="3" s="1"/>
  <c r="K762" i="3"/>
  <c r="K470" i="3"/>
  <c r="L470" i="3" a="1"/>
  <c r="L470" i="3" s="1"/>
  <c r="L486" i="3" a="1"/>
  <c r="L486" i="3" s="1"/>
  <c r="K486" i="3"/>
  <c r="L706" i="3" a="1"/>
  <c r="L706" i="3" s="1"/>
  <c r="K706" i="3"/>
  <c r="L674" i="3" a="1"/>
  <c r="L674" i="3" s="1"/>
  <c r="K674" i="3"/>
  <c r="L694" i="3" a="1"/>
  <c r="L694" i="3" s="1"/>
  <c r="K694" i="3"/>
  <c r="L558" i="3" a="1"/>
  <c r="L558" i="3" s="1"/>
  <c r="K558" i="3"/>
  <c r="L550" i="3" a="1"/>
  <c r="L550" i="3" s="1"/>
  <c r="K550" i="3"/>
  <c r="L774" i="3" a="1"/>
  <c r="L774" i="3" s="1"/>
  <c r="K774" i="3"/>
  <c r="L546" i="3" a="1"/>
  <c r="L546" i="3" s="1"/>
  <c r="K546" i="3"/>
  <c r="O717" i="3"/>
  <c r="O181" i="3"/>
  <c r="O373" i="3"/>
  <c r="O749" i="3"/>
  <c r="O173" i="3"/>
  <c r="O445" i="3"/>
  <c r="O425" i="3"/>
  <c r="O69" i="3"/>
  <c r="O569" i="3"/>
  <c r="O585" i="3"/>
  <c r="O297" i="3"/>
  <c r="O685" i="3"/>
  <c r="O781" i="3"/>
  <c r="O265" i="3"/>
  <c r="O573" i="3"/>
  <c r="O217" i="3"/>
  <c r="O237" i="3"/>
  <c r="O321" i="3"/>
  <c r="O757" i="3"/>
  <c r="O673" i="3"/>
  <c r="O665" i="3"/>
  <c r="O333" i="3"/>
  <c r="O81" i="3"/>
  <c r="O377" i="3"/>
  <c r="O261" i="3"/>
  <c r="O549" i="3"/>
  <c r="O577" i="3"/>
  <c r="O249" i="3"/>
  <c r="O289" i="3"/>
  <c r="O777" i="3"/>
  <c r="O645" i="3"/>
  <c r="O809" i="3"/>
  <c r="O489" i="3"/>
  <c r="O365" i="3"/>
  <c r="O625" i="3"/>
  <c r="O65" i="3"/>
  <c r="O305" i="3"/>
  <c r="O485" i="3"/>
  <c r="O657" i="3"/>
  <c r="O565" i="3"/>
  <c r="O529" i="3"/>
  <c r="O369" i="3"/>
  <c r="O325" i="3"/>
  <c r="O681" i="3"/>
  <c r="O693" i="3"/>
  <c r="O653" i="3"/>
  <c r="O669" i="3"/>
  <c r="O409" i="3"/>
  <c r="O277" i="3"/>
  <c r="O449" i="3"/>
  <c r="O493" i="3"/>
  <c r="O705" i="3"/>
  <c r="O141" i="3"/>
  <c r="O77" i="3"/>
  <c r="O93" i="3"/>
  <c r="O185" i="3"/>
  <c r="O805" i="3"/>
  <c r="O213" i="3"/>
  <c r="O269" i="3"/>
  <c r="O97" i="3"/>
  <c r="O629" i="3"/>
  <c r="O101" i="3"/>
  <c r="O509" i="3"/>
  <c r="O145" i="3"/>
  <c r="O561" i="3"/>
  <c r="O193" i="3"/>
  <c r="O421" i="3"/>
  <c r="O477" i="3"/>
  <c r="O661" i="3"/>
  <c r="O161" i="3"/>
  <c r="O405" i="3"/>
  <c r="O433" i="3"/>
  <c r="O357" i="3"/>
  <c r="O649" i="3"/>
  <c r="O429" i="3"/>
  <c r="O481" i="3"/>
  <c r="O241" i="3"/>
  <c r="O197" i="3"/>
  <c r="O701" i="3"/>
  <c r="O617" i="3"/>
  <c r="O457" i="3"/>
  <c r="O137" i="3"/>
  <c r="O741" i="3"/>
  <c r="O165" i="3"/>
  <c r="O453" i="3"/>
  <c r="O105" i="3"/>
  <c r="O733" i="3"/>
  <c r="O189" i="3"/>
  <c r="O461" i="3"/>
  <c r="O469" i="3"/>
  <c r="O89" i="3"/>
  <c r="O225" i="3"/>
  <c r="O313" i="3"/>
  <c r="O169" i="3"/>
  <c r="O785" i="3"/>
  <c r="O737" i="3"/>
  <c r="O257" i="3"/>
  <c r="O465" i="3"/>
  <c r="O745" i="3"/>
  <c r="O505" i="3"/>
  <c r="O581" i="3"/>
  <c r="O273" i="3"/>
  <c r="O353" i="3"/>
  <c r="O641" i="3"/>
  <c r="O345" i="3"/>
  <c r="O697" i="3"/>
  <c r="O113" i="3"/>
  <c r="O413" i="3"/>
  <c r="O497" i="3"/>
  <c r="O293" i="3"/>
  <c r="O729" i="3"/>
  <c r="O537" i="3"/>
  <c r="O117" i="3"/>
  <c r="O677" i="3"/>
  <c r="O609" i="3"/>
  <c r="O133" i="3"/>
  <c r="O513" i="3"/>
  <c r="O533" i="3"/>
  <c r="O417" i="3"/>
  <c r="O245" i="3"/>
  <c r="O157" i="3"/>
  <c r="O793" i="3"/>
  <c r="O337" i="3"/>
  <c r="O341" i="3"/>
  <c r="O385" i="3"/>
  <c r="O85" i="3"/>
  <c r="O349" i="3"/>
  <c r="O177" i="3"/>
  <c r="O613" i="3"/>
  <c r="O753" i="3"/>
  <c r="O725" i="3"/>
  <c r="O501" i="3"/>
  <c r="O545" i="3"/>
  <c r="O401" i="3"/>
  <c r="O713" i="3"/>
  <c r="O593" i="3"/>
  <c r="O801" i="3"/>
  <c r="O589" i="3"/>
  <c r="O253" i="3"/>
  <c r="O721" i="3"/>
  <c r="O437" i="3"/>
  <c r="O329" i="3"/>
  <c r="O797" i="3"/>
  <c r="O517" i="3"/>
  <c r="O109" i="3"/>
  <c r="O597" i="3"/>
  <c r="O689" i="3"/>
  <c r="O773" i="3"/>
  <c r="O762" i="3"/>
  <c r="O522" i="3"/>
  <c r="O601" i="3"/>
  <c r="O602" i="3"/>
  <c r="O201" i="3"/>
  <c r="O202" i="3"/>
  <c r="O281" i="3"/>
  <c r="O361" i="3"/>
  <c r="O761" i="3"/>
  <c r="O441" i="3"/>
  <c r="O121" i="3"/>
  <c r="O521" i="3"/>
  <c r="M123" i="15"/>
  <c r="M87" i="15"/>
  <c r="M95" i="15"/>
  <c r="M127" i="15"/>
  <c r="M115" i="15"/>
  <c r="M107" i="15"/>
  <c r="M119" i="15"/>
  <c r="M91" i="15"/>
  <c r="M99" i="15"/>
  <c r="M63" i="15"/>
  <c r="M75" i="15"/>
  <c r="M83" i="15"/>
  <c r="M103" i="15"/>
  <c r="M59" i="15"/>
  <c r="M67" i="15"/>
  <c r="M111" i="15"/>
  <c r="M79" i="15"/>
  <c r="M71" i="15"/>
  <c r="M104" i="15"/>
  <c r="M110" i="15"/>
  <c r="M128" i="15"/>
  <c r="M121" i="15"/>
  <c r="M109" i="15"/>
  <c r="M68" i="15"/>
  <c r="M116" i="15"/>
  <c r="M113" i="15"/>
  <c r="M69" i="15"/>
  <c r="M105" i="15"/>
  <c r="M86" i="15"/>
  <c r="M124" i="15"/>
  <c r="M76" i="15"/>
  <c r="M81" i="15"/>
  <c r="M130" i="15"/>
  <c r="M82" i="15"/>
  <c r="M80" i="15"/>
  <c r="M90" i="15"/>
  <c r="M120" i="15"/>
  <c r="M112" i="15"/>
  <c r="M84" i="15"/>
  <c r="M66" i="15"/>
  <c r="M61" i="15"/>
  <c r="M118" i="15"/>
  <c r="M89" i="15"/>
  <c r="M62" i="15"/>
  <c r="M114" i="15"/>
  <c r="M70" i="15"/>
  <c r="M73" i="15"/>
  <c r="M102" i="15"/>
  <c r="M108" i="15"/>
  <c r="M94" i="15"/>
  <c r="M60" i="15"/>
  <c r="M100" i="15"/>
  <c r="M96" i="15"/>
  <c r="M129" i="15"/>
  <c r="M88" i="15"/>
  <c r="M125" i="15"/>
  <c r="M98" i="15"/>
  <c r="M92" i="15"/>
  <c r="M77" i="15"/>
  <c r="M97" i="15"/>
  <c r="M122" i="15"/>
  <c r="M78" i="15"/>
  <c r="M74" i="15"/>
  <c r="M72" i="15"/>
  <c r="M126" i="15"/>
  <c r="M117" i="15"/>
  <c r="M106" i="15"/>
  <c r="M65" i="15"/>
  <c r="C677" i="16"/>
  <c r="O70" i="3" a="1"/>
  <c r="O518" i="3" a="1"/>
  <c r="O562" i="3" a="1"/>
  <c r="O658" i="3" a="1"/>
  <c r="O790" i="3" a="1"/>
  <c r="O438" i="3" a="1"/>
  <c r="O186" i="3" a="1"/>
  <c r="O334" i="3" a="1"/>
  <c r="O418" i="3" a="1"/>
  <c r="O150" i="3" a="1"/>
  <c r="O798" i="3" a="1"/>
  <c r="O214" i="3" a="1"/>
  <c r="O530" i="3" a="1"/>
  <c r="O102" i="3" a="1"/>
  <c r="O770" i="3" a="1"/>
  <c r="O646" i="3" a="1"/>
  <c r="O586" i="3" a="1"/>
  <c r="O86" i="3" a="1"/>
  <c r="O490" i="3" a="1"/>
  <c r="O718" i="3" a="1"/>
  <c r="O318" i="3" a="1"/>
  <c r="O322" i="3" a="1"/>
  <c r="O650" i="3" a="1"/>
  <c r="O274" i="3" a="1"/>
  <c r="O254" i="3" a="1"/>
  <c r="O550" i="3" a="1"/>
  <c r="O746" i="3" a="1"/>
  <c r="O134" i="3" a="1"/>
  <c r="O82" i="3" a="1"/>
  <c r="O498" i="3" a="1"/>
  <c r="O294" i="3" a="1"/>
  <c r="O506" i="3" a="1"/>
  <c r="O558" i="3" a="1"/>
  <c r="O398" i="3" a="1"/>
  <c r="O170" i="3" a="1"/>
  <c r="O206" i="3" a="1"/>
  <c r="O174" i="3" a="1"/>
  <c r="O690" i="3" a="1"/>
  <c r="O634" i="3" a="1"/>
  <c r="O462" i="3" a="1"/>
  <c r="O166" i="3" a="1"/>
  <c r="O158" i="3" a="1"/>
  <c r="O446" i="3" a="1"/>
  <c r="O486" i="3" a="1"/>
  <c r="O74" i="3" a="1"/>
  <c r="O474" i="3" a="1"/>
  <c r="O218" i="3" a="1"/>
  <c r="O422" i="3" a="1"/>
  <c r="O478" i="3" a="1"/>
  <c r="O674" i="3" a="1"/>
  <c r="O582" i="3" a="1"/>
  <c r="O754" i="3" a="1"/>
  <c r="O482" i="3" a="1"/>
  <c r="O78" i="3" a="1"/>
  <c r="O714" i="3" a="1"/>
  <c r="O546" i="3" a="1"/>
  <c r="O338" i="3" a="1"/>
  <c r="O154" i="3" a="1"/>
  <c r="O442" i="3" a="1"/>
  <c r="O342" i="3" a="1"/>
  <c r="O750" i="3" a="1"/>
  <c r="O414" i="3" a="1"/>
  <c r="O330" i="3" a="1"/>
  <c r="O258" i="3" a="1"/>
  <c r="O306" i="3" a="1"/>
  <c r="O618" i="3" a="1"/>
  <c r="O802" i="3" a="1"/>
  <c r="O698" i="3" a="1"/>
  <c r="O350" i="3" a="1"/>
  <c r="O598" i="3" a="1"/>
  <c r="O106" i="3" a="1"/>
  <c r="O126" i="3" a="1"/>
  <c r="O610" i="3" a="1"/>
  <c r="O430" i="3" a="1"/>
  <c r="O502" i="3" a="1"/>
  <c r="O758" i="3" a="1"/>
  <c r="O702" i="3" a="1"/>
  <c r="O778" i="3" a="1"/>
  <c r="O426" i="3" a="1"/>
  <c r="O118" i="3" a="1"/>
  <c r="O386" i="3" a="1"/>
  <c r="O366" i="3" a="1"/>
  <c r="O458" i="3" a="1"/>
  <c r="O566" i="3" a="1"/>
  <c r="O706" i="3" a="1"/>
  <c r="O538" i="3" a="1"/>
  <c r="O90" i="3" a="1"/>
  <c r="O614" i="3" a="1"/>
  <c r="O722" i="3" a="1"/>
  <c r="O766" i="3" a="1"/>
  <c r="O774" i="3" a="1"/>
  <c r="O410" i="3" a="1"/>
  <c r="O738" i="3" a="1"/>
  <c r="O346" i="3" a="1"/>
  <c r="O570" i="3" a="1"/>
  <c r="O62" i="3" a="1"/>
  <c r="O626" i="3" a="1"/>
  <c r="O374" i="3" a="1"/>
  <c r="O242" i="3" a="1"/>
  <c r="O742" i="3" a="1"/>
  <c r="O694" i="3" a="1"/>
  <c r="O642" i="3" a="1"/>
  <c r="O662" i="3" a="1"/>
  <c r="O178" i="3" a="1"/>
  <c r="O246" i="3" a="1"/>
  <c r="O142" i="3" a="1"/>
  <c r="O654" i="3" a="1"/>
  <c r="O210" i="3" a="1"/>
  <c r="O262" i="3" a="1"/>
  <c r="O678" i="3" a="1"/>
  <c r="O94" i="3" a="1"/>
  <c r="O290" i="3" a="1"/>
  <c r="O266" i="3" a="1"/>
  <c r="O226" i="3" a="1"/>
  <c r="O666" i="3" a="1"/>
  <c r="O454" i="3" a="1"/>
  <c r="O470" i="3" a="1"/>
  <c r="O534" i="3" a="1"/>
  <c r="O734" i="3" a="1"/>
  <c r="O794" i="3" a="1"/>
  <c r="O638" i="3" a="1"/>
  <c r="O710" i="3" a="1"/>
  <c r="O362" i="3" a="1"/>
  <c r="O370" i="3" a="1"/>
  <c r="O230" i="3" a="1"/>
  <c r="O198" i="3" a="1"/>
  <c r="O730" i="3" a="1"/>
  <c r="O286" i="3" a="1"/>
  <c r="O402" i="3" a="1"/>
  <c r="O514" i="3" a="1"/>
  <c r="O782" i="3" a="1"/>
  <c r="O250" i="3" a="1"/>
  <c r="O110" i="3" a="1"/>
  <c r="O298" i="3" a="1"/>
  <c r="O406" i="3" a="1"/>
  <c r="O594" i="3" a="1"/>
  <c r="O114" i="3" a="1"/>
  <c r="O234" i="3" a="1"/>
  <c r="O354" i="3" a="1"/>
  <c r="O190" i="3" a="1"/>
  <c r="O382" i="3" a="1"/>
  <c r="O670" i="3" a="1"/>
  <c r="O510" i="3" a="1"/>
  <c r="O806" i="3" a="1"/>
  <c r="O326" i="3" a="1"/>
  <c r="O578" i="3" a="1"/>
  <c r="O786" i="3" a="1"/>
  <c r="O434" i="3" a="1"/>
  <c r="O686" i="3" a="1"/>
  <c r="O282" i="3" a="1"/>
  <c r="O682" i="3" a="1"/>
  <c r="O278" i="3" a="1"/>
  <c r="O310" i="3" a="1"/>
  <c r="O574" i="3" a="1"/>
  <c r="O302" i="3" a="1"/>
  <c r="O130" i="3" a="1"/>
  <c r="O194" i="3" a="1"/>
  <c r="O314" i="3" a="1"/>
  <c r="O622" i="3" a="1"/>
  <c r="O554" i="3" a="1"/>
  <c r="O466" i="3" a="1"/>
  <c r="O450" i="3" a="1"/>
  <c r="O390" i="3" a="1"/>
  <c r="O526" i="3" a="1"/>
  <c r="O358" i="3" a="1"/>
  <c r="O378" i="3" a="1"/>
  <c r="O394" i="3" a="1"/>
  <c r="O542" i="3" a="1"/>
  <c r="O162" i="3" a="1"/>
  <c r="O238" i="3" a="1"/>
  <c r="O270" i="3" a="1"/>
  <c r="O590" i="3" a="1"/>
  <c r="O182" i="3" a="1"/>
  <c r="O606" i="3" a="1"/>
  <c r="O138" i="3" a="1"/>
  <c r="O122" i="3" a="1"/>
  <c r="O146" i="3" a="1"/>
  <c r="O222" i="3" a="1"/>
  <c r="O98" i="3" a="1"/>
  <c r="O630" i="3" a="1"/>
  <c r="O726" i="3" a="1"/>
  <c r="O66" i="3" a="1"/>
  <c r="O494" i="3" a="1"/>
  <c r="O61" i="15" l="1" a="1"/>
  <c r="O61" i="15" s="1"/>
  <c r="O71" i="15" a="1"/>
  <c r="O71" i="15" s="1"/>
  <c r="O81" i="15" a="1"/>
  <c r="O81" i="15" s="1"/>
  <c r="O91" i="15" a="1"/>
  <c r="O91" i="15" s="1"/>
  <c r="O72" i="15" a="1"/>
  <c r="O72" i="15" s="1"/>
  <c r="O92" i="15" a="1"/>
  <c r="O92" i="15" s="1"/>
  <c r="O112" i="15" a="1"/>
  <c r="O112" i="15" s="1"/>
  <c r="O62" i="15" a="1"/>
  <c r="O62" i="15" s="1"/>
  <c r="O82" i="15" a="1"/>
  <c r="O82" i="15" s="1"/>
  <c r="O102" i="15" a="1"/>
  <c r="O102" i="15" s="1"/>
  <c r="O122" i="15" a="1"/>
  <c r="O122" i="15" s="1"/>
  <c r="O59" i="15" a="1"/>
  <c r="O59" i="15" s="1"/>
  <c r="O60" i="15" a="1"/>
  <c r="O60" i="15" s="1"/>
  <c r="O73" i="15" a="1"/>
  <c r="O73" i="15" s="1"/>
  <c r="O93" i="15" a="1"/>
  <c r="O93" i="15" s="1"/>
  <c r="O113" i="15" a="1"/>
  <c r="O113" i="15" s="1"/>
  <c r="O126" i="15" a="1"/>
  <c r="O126" i="15" s="1"/>
  <c r="O119" i="15" a="1"/>
  <c r="O119" i="15" s="1"/>
  <c r="O101" i="15" a="1"/>
  <c r="O101" i="15" s="1"/>
  <c r="O63" i="15" a="1"/>
  <c r="O63" i="15" s="1"/>
  <c r="O83" i="15" a="1"/>
  <c r="O83" i="15" s="1"/>
  <c r="O103" i="15" a="1"/>
  <c r="O103" i="15" s="1"/>
  <c r="O123" i="15" a="1"/>
  <c r="O123" i="15" s="1"/>
  <c r="O70" i="15" a="1"/>
  <c r="O70" i="15" s="1"/>
  <c r="O64" i="15" a="1"/>
  <c r="O64" i="15" s="1"/>
  <c r="O84" i="15" a="1"/>
  <c r="O84" i="15" s="1"/>
  <c r="O104" i="15" a="1"/>
  <c r="O104" i="15" s="1"/>
  <c r="O124" i="15" a="1"/>
  <c r="O124" i="15" s="1"/>
  <c r="O89" i="15" a="1"/>
  <c r="O89" i="15" s="1"/>
  <c r="O100" i="15" a="1"/>
  <c r="O100" i="15" s="1"/>
  <c r="O74" i="15" a="1"/>
  <c r="O74" i="15" s="1"/>
  <c r="O94" i="15" a="1"/>
  <c r="O94" i="15" s="1"/>
  <c r="O114" i="15" a="1"/>
  <c r="O114" i="15" s="1"/>
  <c r="O75" i="15" a="1"/>
  <c r="O75" i="15" s="1"/>
  <c r="O95" i="15" a="1"/>
  <c r="O95" i="15" s="1"/>
  <c r="O115" i="15" a="1"/>
  <c r="O115" i="15" s="1"/>
  <c r="O65" i="15" a="1"/>
  <c r="O65" i="15" s="1"/>
  <c r="O85" i="15" a="1"/>
  <c r="O85" i="15" s="1"/>
  <c r="O105" i="15" a="1"/>
  <c r="O105" i="15" s="1"/>
  <c r="O125" i="15" a="1"/>
  <c r="O125" i="15" s="1"/>
  <c r="O99" i="15" a="1"/>
  <c r="O99" i="15" s="1"/>
  <c r="O120" i="15" a="1"/>
  <c r="O120" i="15" s="1"/>
  <c r="O66" i="15" a="1"/>
  <c r="O66" i="15" s="1"/>
  <c r="O86" i="15" a="1"/>
  <c r="O86" i="15" s="1"/>
  <c r="O106" i="15" a="1"/>
  <c r="O106" i="15" s="1"/>
  <c r="O128" i="15" a="1"/>
  <c r="O128" i="15" s="1"/>
  <c r="O80" i="15" a="1"/>
  <c r="O80" i="15" s="1"/>
  <c r="O76" i="15" a="1"/>
  <c r="O76" i="15" s="1"/>
  <c r="O96" i="15" a="1"/>
  <c r="O96" i="15" s="1"/>
  <c r="O116" i="15" a="1"/>
  <c r="O116" i="15" s="1"/>
  <c r="O79" i="15" a="1"/>
  <c r="O79" i="15" s="1"/>
  <c r="O110" i="15" a="1"/>
  <c r="O110" i="15" s="1"/>
  <c r="O67" i="15" a="1"/>
  <c r="O67" i="15" s="1"/>
  <c r="O87" i="15" a="1"/>
  <c r="O87" i="15" s="1"/>
  <c r="O107" i="15" a="1"/>
  <c r="O107" i="15" s="1"/>
  <c r="O127" i="15" a="1"/>
  <c r="O127" i="15" s="1"/>
  <c r="O129" i="15" a="1"/>
  <c r="O129" i="15" s="1"/>
  <c r="O121" i="15" a="1"/>
  <c r="O121" i="15" s="1"/>
  <c r="O77" i="15" a="1"/>
  <c r="O77" i="15" s="1"/>
  <c r="O97" i="15" a="1"/>
  <c r="O97" i="15" s="1"/>
  <c r="O117" i="15" a="1"/>
  <c r="O117" i="15" s="1"/>
  <c r="O109" i="15" a="1"/>
  <c r="O109" i="15" s="1"/>
  <c r="O130" i="15" a="1"/>
  <c r="O130" i="15" s="1"/>
  <c r="O68" i="15" a="1"/>
  <c r="O68" i="15" s="1"/>
  <c r="O88" i="15" a="1"/>
  <c r="O88" i="15" s="1"/>
  <c r="O108" i="15" a="1"/>
  <c r="O108" i="15" s="1"/>
  <c r="O69" i="15" a="1"/>
  <c r="O69" i="15" s="1"/>
  <c r="O90" i="15" a="1"/>
  <c r="O90" i="15" s="1"/>
  <c r="O78" i="15" a="1"/>
  <c r="O78" i="15" s="1"/>
  <c r="O98" i="15" a="1"/>
  <c r="O98" i="15" s="1"/>
  <c r="O118" i="15" a="1"/>
  <c r="O118" i="15" s="1"/>
  <c r="O111" i="15" a="1"/>
  <c r="O111" i="15" s="1"/>
  <c r="O122" i="3"/>
  <c r="O794" i="3"/>
  <c r="O418" i="3"/>
  <c r="O510" i="3"/>
  <c r="O118" i="3"/>
  <c r="O786" i="3"/>
  <c r="O662" i="3"/>
  <c r="O530" i="3"/>
  <c r="O238" i="3"/>
  <c r="O798" i="3"/>
  <c r="O782" i="3"/>
  <c r="O154" i="3"/>
  <c r="O414" i="3"/>
  <c r="O554" i="3"/>
  <c r="O746" i="3"/>
  <c r="O306" i="3"/>
  <c r="O558" i="3"/>
  <c r="O706" i="3"/>
  <c r="O490" i="3"/>
  <c r="O770" i="3"/>
  <c r="O354" i="3"/>
  <c r="O618" i="3"/>
  <c r="O278" i="3"/>
  <c r="O614" i="3"/>
  <c r="O214" i="3"/>
  <c r="O570" i="3"/>
  <c r="O102" i="3"/>
  <c r="O718" i="3"/>
  <c r="O710" i="3"/>
  <c r="O106" i="3"/>
  <c r="O690" i="3"/>
  <c r="O578" i="3"/>
  <c r="O298" i="3"/>
  <c r="O190" i="3"/>
  <c r="O286" i="3"/>
  <c r="O350" i="3"/>
  <c r="O774" i="3"/>
  <c r="O274" i="3"/>
  <c r="O702" i="3"/>
  <c r="O506" i="3"/>
  <c r="O262" i="3"/>
  <c r="O390" i="3"/>
  <c r="O126" i="3"/>
  <c r="O550" i="3"/>
  <c r="O538" i="3"/>
  <c r="O394" i="3"/>
  <c r="O574" i="3"/>
  <c r="O246" i="3"/>
  <c r="O622" i="3"/>
  <c r="O206" i="3"/>
  <c r="O314" i="3"/>
  <c r="O422" i="3"/>
  <c r="O566" i="3"/>
  <c r="O674" i="3"/>
  <c r="O66" i="3"/>
  <c r="O290" i="3"/>
  <c r="O670" i="3"/>
  <c r="O250" i="3"/>
  <c r="O534" i="3"/>
  <c r="O170" i="3"/>
  <c r="O666" i="3"/>
  <c r="O634" i="3"/>
  <c r="O382" i="3"/>
  <c r="O630" i="3"/>
  <c r="O114" i="3"/>
  <c r="O454" i="3"/>
  <c r="O186" i="3"/>
  <c r="O310" i="3"/>
  <c r="O598" i="3"/>
  <c r="O474" i="3"/>
  <c r="O802" i="3"/>
  <c r="O682" i="3"/>
  <c r="O86" i="3"/>
  <c r="O518" i="3"/>
  <c r="O582" i="3"/>
  <c r="O198" i="3"/>
  <c r="O806" i="3"/>
  <c r="O378" i="3"/>
  <c r="O426" i="3"/>
  <c r="O62" i="3"/>
  <c r="O402" i="3"/>
  <c r="O514" i="3"/>
  <c r="O130" i="3"/>
  <c r="O226" i="3"/>
  <c r="O194" i="3"/>
  <c r="O658" i="3"/>
  <c r="O758" i="3"/>
  <c r="O766" i="3"/>
  <c r="O222" i="3"/>
  <c r="O686" i="3"/>
  <c r="O366" i="3"/>
  <c r="O446" i="3"/>
  <c r="O166" i="3"/>
  <c r="O94" i="3"/>
  <c r="O734" i="3"/>
  <c r="O110" i="3"/>
  <c r="O410" i="3"/>
  <c r="O594" i="3"/>
  <c r="O646" i="3"/>
  <c r="O386" i="3"/>
  <c r="O362" i="3"/>
  <c r="O438" i="3"/>
  <c r="O466" i="3"/>
  <c r="O434" i="3"/>
  <c r="O726" i="3"/>
  <c r="O82" i="3"/>
  <c r="O174" i="3"/>
  <c r="O722" i="3"/>
  <c r="O478" i="3"/>
  <c r="O282" i="3"/>
  <c r="O134" i="3"/>
  <c r="O730" i="3"/>
  <c r="O90" i="3"/>
  <c r="O562" i="3"/>
  <c r="O638" i="3"/>
  <c r="O322" i="3"/>
  <c r="O790" i="3"/>
  <c r="O398" i="3"/>
  <c r="O430" i="3"/>
  <c r="O442" i="3"/>
  <c r="O698" i="3"/>
  <c r="O742" i="3"/>
  <c r="O78" i="3"/>
  <c r="O70" i="3"/>
  <c r="O182" i="3"/>
  <c r="O546" i="3"/>
  <c r="O482" i="3"/>
  <c r="O714" i="3"/>
  <c r="O342" i="3"/>
  <c r="O330" i="3"/>
  <c r="O590" i="3"/>
  <c r="O258" i="3"/>
  <c r="O406" i="3"/>
  <c r="O326" i="3"/>
  <c r="O542" i="3"/>
  <c r="O750" i="3"/>
  <c r="O254" i="3"/>
  <c r="O610" i="3"/>
  <c r="O294" i="3"/>
  <c r="O150" i="3"/>
  <c r="O318" i="3"/>
  <c r="O486" i="3"/>
  <c r="O218" i="3"/>
  <c r="O502" i="3"/>
  <c r="O266" i="3"/>
  <c r="O242" i="3"/>
  <c r="O98" i="3"/>
  <c r="O178" i="3"/>
  <c r="O346" i="3"/>
  <c r="O138" i="3"/>
  <c r="O526" i="3"/>
  <c r="O234" i="3"/>
  <c r="O270" i="3"/>
  <c r="O210" i="3"/>
  <c r="O450" i="3"/>
  <c r="O694" i="3"/>
  <c r="O338" i="3"/>
  <c r="O230" i="3"/>
  <c r="O678" i="3"/>
  <c r="O738" i="3"/>
  <c r="O162" i="3"/>
  <c r="O370" i="3"/>
  <c r="O334" i="3"/>
  <c r="O374" i="3"/>
  <c r="O302" i="3"/>
  <c r="O498" i="3"/>
  <c r="O470" i="3"/>
  <c r="O606" i="3"/>
  <c r="O462" i="3"/>
  <c r="O778" i="3"/>
  <c r="O626" i="3"/>
  <c r="O494" i="3"/>
  <c r="O654" i="3"/>
  <c r="O158" i="3"/>
  <c r="O74" i="3"/>
  <c r="O642" i="3"/>
  <c r="O458" i="3"/>
  <c r="O142" i="3"/>
  <c r="O754" i="3"/>
  <c r="O358" i="3"/>
  <c r="O586" i="3"/>
  <c r="O146" i="3"/>
  <c r="O650" i="3"/>
  <c r="X7" i="27"/>
  <c r="M15" i="3"/>
  <c r="N15" i="3" s="1" a="1"/>
  <c r="N15" i="3" s="1"/>
  <c r="M19" i="3"/>
  <c r="N19" i="3" s="1" a="1"/>
  <c r="N19" i="3" s="1"/>
  <c r="M27" i="3"/>
  <c r="N27" i="3" s="1" a="1"/>
  <c r="N27" i="3" s="1"/>
  <c r="M31" i="3"/>
  <c r="N31" i="3" s="1" a="1"/>
  <c r="N31" i="3" s="1"/>
  <c r="M35" i="3"/>
  <c r="N35" i="3" s="1" a="1"/>
  <c r="N35" i="3" s="1"/>
  <c r="M39" i="3"/>
  <c r="N39" i="3" s="1" a="1"/>
  <c r="N39" i="3" s="1"/>
  <c r="M43" i="3"/>
  <c r="N43" i="3" s="1" a="1"/>
  <c r="N43" i="3" s="1"/>
  <c r="M47" i="3"/>
  <c r="N47" i="3" s="1" a="1"/>
  <c r="N47" i="3" s="1"/>
  <c r="M51" i="3"/>
  <c r="N51" i="3" s="1" a="1"/>
  <c r="N51" i="3" s="1"/>
  <c r="M55" i="3"/>
  <c r="N55" i="3" s="1" a="1"/>
  <c r="N55" i="3" s="1"/>
  <c r="M11" i="3" l="1"/>
  <c r="N11" i="3" s="1" a="1"/>
  <c r="N11" i="3" s="1"/>
  <c r="D110" i="1"/>
  <c r="D109" i="1"/>
  <c r="D108" i="1"/>
  <c r="D107" i="1"/>
  <c r="D106" i="1"/>
  <c r="D105" i="1"/>
  <c r="D104" i="1"/>
  <c r="D103" i="1"/>
  <c r="D102" i="1"/>
  <c r="D101" i="1"/>
  <c r="D100" i="1"/>
  <c r="D99" i="1"/>
  <c r="D98" i="1"/>
  <c r="D97" i="1"/>
  <c r="D96" i="1"/>
  <c r="D95" i="1"/>
  <c r="D94" i="1"/>
  <c r="D93" i="1"/>
  <c r="D80" i="1"/>
  <c r="D79" i="1"/>
  <c r="D78" i="1"/>
  <c r="D77" i="1"/>
  <c r="D76" i="1"/>
  <c r="D75" i="1"/>
  <c r="D74" i="1"/>
  <c r="D73" i="1"/>
  <c r="D72" i="1"/>
  <c r="D71" i="1"/>
  <c r="D70" i="1"/>
  <c r="D64" i="1"/>
  <c r="D63" i="1"/>
  <c r="D62" i="1"/>
  <c r="D56" i="1"/>
  <c r="D55" i="1"/>
  <c r="D54" i="1"/>
  <c r="D53" i="1"/>
  <c r="D52" i="1"/>
  <c r="D51" i="1"/>
  <c r="D50" i="1"/>
  <c r="D44" i="1"/>
  <c r="D43" i="1"/>
  <c r="D42" i="1"/>
  <c r="D41" i="1"/>
  <c r="D40" i="1"/>
  <c r="D39" i="1"/>
  <c r="D38" i="1"/>
  <c r="D37" i="1"/>
  <c r="D36" i="1"/>
  <c r="D35" i="1"/>
  <c r="D34" i="1"/>
  <c r="D33" i="1"/>
  <c r="D32" i="1"/>
  <c r="D31" i="1"/>
  <c r="D30" i="1"/>
  <c r="D29" i="1"/>
  <c r="D28" i="1"/>
  <c r="D27" i="1"/>
  <c r="D20" i="1"/>
  <c r="D19" i="1"/>
  <c r="D18" i="1"/>
  <c r="D17" i="1"/>
  <c r="D16" i="1"/>
  <c r="D15" i="1"/>
  <c r="D14" i="1"/>
  <c r="D13" i="1"/>
  <c r="D12" i="1"/>
  <c r="D11" i="1"/>
  <c r="D10" i="1"/>
  <c r="D92" i="1"/>
  <c r="D91" i="1"/>
  <c r="D90" i="1"/>
  <c r="D89" i="1"/>
  <c r="D88" i="1"/>
  <c r="D86" i="1"/>
  <c r="D85" i="1"/>
  <c r="D83" i="1"/>
  <c r="D82" i="1"/>
  <c r="D69" i="1"/>
  <c r="D68" i="1"/>
  <c r="D67" i="1"/>
  <c r="D66" i="1"/>
  <c r="D61" i="1"/>
  <c r="D60" i="1"/>
  <c r="D59" i="1"/>
  <c r="D58" i="1"/>
  <c r="D49" i="1"/>
  <c r="D48" i="1"/>
  <c r="D47" i="1"/>
  <c r="D46" i="1"/>
  <c r="D26" i="1"/>
  <c r="D25" i="1"/>
  <c r="D24" i="1"/>
  <c r="D23" i="1"/>
  <c r="D22" i="1"/>
  <c r="D9" i="1"/>
  <c r="D8" i="1"/>
  <c r="D7" i="1"/>
  <c r="D6" i="1"/>
  <c r="D5" i="1"/>
  <c r="E12" i="3"/>
  <c r="F12" i="3"/>
  <c r="H2" i="14"/>
  <c r="G12" i="3" l="1"/>
  <c r="M23" i="3"/>
  <c r="N23" i="3" s="1" a="1"/>
  <c r="N23" i="3" s="1"/>
  <c r="E12" i="15" l="1"/>
  <c r="O12" i="15" l="1" a="1"/>
  <c r="O12" i="15" s="1"/>
  <c r="M35" i="15"/>
  <c r="O35" i="15" s="1" a="1"/>
  <c r="O35" i="15" s="1"/>
  <c r="M39" i="15"/>
  <c r="O39" i="15" s="1" a="1"/>
  <c r="O39" i="15" s="1"/>
  <c r="M47" i="15"/>
  <c r="O47" i="15" s="1" a="1"/>
  <c r="O47" i="15" s="1"/>
  <c r="M27" i="15"/>
  <c r="O27" i="15" s="1" a="1"/>
  <c r="O27" i="15" s="1"/>
  <c r="M55" i="15"/>
  <c r="O55" i="15" s="1" a="1"/>
  <c r="O55" i="15" s="1"/>
  <c r="M43" i="15"/>
  <c r="O43" i="15" s="1" a="1"/>
  <c r="O43" i="15" s="1"/>
  <c r="M51" i="15"/>
  <c r="O51" i="15" s="1" a="1"/>
  <c r="O51" i="15" s="1"/>
  <c r="M31" i="15"/>
  <c r="O31" i="15" s="1" a="1"/>
  <c r="O31" i="15" s="1"/>
  <c r="E14" i="15"/>
  <c r="D14" i="15"/>
  <c r="E13" i="15"/>
  <c r="D13" i="15"/>
  <c r="O13" i="15" s="1" a="1"/>
  <c r="O13" i="15" s="1"/>
  <c r="E18" i="15"/>
  <c r="D18" i="15"/>
  <c r="O18" i="15" s="1" a="1"/>
  <c r="O18" i="15" s="1"/>
  <c r="E17" i="15"/>
  <c r="D17" i="15"/>
  <c r="O17" i="15" s="1" a="1"/>
  <c r="O17" i="15" s="1"/>
  <c r="E16" i="15"/>
  <c r="D16" i="15"/>
  <c r="O16" i="15" s="1" a="1"/>
  <c r="O16" i="15" s="1"/>
  <c r="E22" i="15"/>
  <c r="D22" i="15"/>
  <c r="O22" i="15" s="1" a="1"/>
  <c r="O22" i="15" s="1"/>
  <c r="E21" i="15"/>
  <c r="D21" i="15"/>
  <c r="O21" i="15" s="1" a="1"/>
  <c r="O21" i="15" s="1"/>
  <c r="E20" i="15"/>
  <c r="D20" i="15"/>
  <c r="O20" i="15" s="1" a="1"/>
  <c r="O20" i="15" s="1"/>
  <c r="O14" i="15" l="1" a="1"/>
  <c r="O14" i="15" s="1"/>
  <c r="M15" i="15"/>
  <c r="O15" i="15" s="1" a="1"/>
  <c r="O15" i="15" s="1"/>
  <c r="M11" i="15"/>
  <c r="M5" i="15" l="1" a="1"/>
  <c r="M5" i="15" s="1"/>
  <c r="AA7" i="27" s="1"/>
  <c r="M23" i="15"/>
  <c r="O23" i="15" s="1" a="1"/>
  <c r="O23" i="15" s="1"/>
  <c r="M19" i="15"/>
  <c r="O19" i="15" s="1" a="1"/>
  <c r="O19" i="15" s="1"/>
  <c r="J6" i="27"/>
  <c r="M6" i="3" l="1"/>
  <c r="C16" i="3"/>
  <c r="C20" i="3"/>
  <c r="C24" i="3"/>
  <c r="C28" i="3"/>
  <c r="C32" i="3"/>
  <c r="C36" i="3"/>
  <c r="C40" i="3"/>
  <c r="C44" i="3"/>
  <c r="C48" i="3"/>
  <c r="C52" i="3"/>
  <c r="C56" i="3"/>
  <c r="D29" i="15"/>
  <c r="E26" i="15"/>
  <c r="D26" i="15"/>
  <c r="O26" i="15" s="1" a="1"/>
  <c r="O26" i="15" s="1"/>
  <c r="E58" i="15"/>
  <c r="D58" i="15"/>
  <c r="O58" i="15" s="1" a="1"/>
  <c r="O58" i="15" s="1"/>
  <c r="E57" i="15"/>
  <c r="D57" i="15"/>
  <c r="O57" i="15" s="1" a="1"/>
  <c r="O57" i="15" s="1"/>
  <c r="E56" i="15"/>
  <c r="D56" i="15"/>
  <c r="O20" i="3" a="1"/>
  <c r="O16" i="3" a="1"/>
  <c r="O24" i="3" a="1"/>
  <c r="O36" i="3" a="1"/>
  <c r="O56" i="3" a="1"/>
  <c r="O32" i="3" a="1"/>
  <c r="O56" i="15" l="1" a="1"/>
  <c r="O56" i="15" s="1"/>
  <c r="M6" i="27"/>
  <c r="L56" i="3" a="1"/>
  <c r="L56" i="3" s="1"/>
  <c r="K56" i="3"/>
  <c r="L52" i="3" a="1"/>
  <c r="L52" i="3" s="1"/>
  <c r="K52" i="3"/>
  <c r="L48" i="3" a="1"/>
  <c r="L48" i="3" s="1"/>
  <c r="K48" i="3"/>
  <c r="L44" i="3" a="1"/>
  <c r="L44" i="3" s="1"/>
  <c r="K44" i="3"/>
  <c r="L40" i="3" a="1"/>
  <c r="L40" i="3" s="1"/>
  <c r="K40" i="3"/>
  <c r="L36" i="3" a="1"/>
  <c r="L36" i="3" s="1"/>
  <c r="K36" i="3"/>
  <c r="L24" i="3" a="1"/>
  <c r="L24" i="3" s="1"/>
  <c r="K24" i="3"/>
  <c r="K20" i="3"/>
  <c r="L20" i="3" a="1"/>
  <c r="L20" i="3" s="1"/>
  <c r="L16" i="3" a="1"/>
  <c r="L16" i="3" s="1"/>
  <c r="K16" i="3"/>
  <c r="L32" i="3" a="1"/>
  <c r="L32" i="3" s="1"/>
  <c r="K32" i="3"/>
  <c r="L28" i="3" a="1"/>
  <c r="L28" i="3" s="1"/>
  <c r="K28" i="3"/>
  <c r="O32" i="3"/>
  <c r="O36" i="3"/>
  <c r="O56" i="3"/>
  <c r="O24" i="3"/>
  <c r="O20" i="3"/>
  <c r="O16" i="3"/>
  <c r="C37" i="3"/>
  <c r="C45" i="3"/>
  <c r="C41" i="3"/>
  <c r="C25" i="3"/>
  <c r="C49" i="3"/>
  <c r="C33" i="3"/>
  <c r="C57" i="3"/>
  <c r="C53" i="3"/>
  <c r="C21" i="3"/>
  <c r="C17" i="3"/>
  <c r="C29" i="3"/>
  <c r="D54" i="15"/>
  <c r="D53" i="15"/>
  <c r="D52" i="15"/>
  <c r="D50" i="15"/>
  <c r="D49" i="15"/>
  <c r="O49" i="15" s="1" a="1"/>
  <c r="O49" i="15" s="1"/>
  <c r="D48" i="15"/>
  <c r="O48" i="15" s="1" a="1"/>
  <c r="O48" i="15" s="1"/>
  <c r="D46" i="15"/>
  <c r="O46" i="15" s="1" a="1"/>
  <c r="O46" i="15" s="1"/>
  <c r="D45" i="15"/>
  <c r="D44" i="15"/>
  <c r="D42" i="15"/>
  <c r="D41" i="15"/>
  <c r="D40" i="15"/>
  <c r="O40" i="15" s="1" a="1"/>
  <c r="O40" i="15" s="1"/>
  <c r="D38" i="15"/>
  <c r="D37" i="15"/>
  <c r="D36" i="15"/>
  <c r="D34" i="15"/>
  <c r="D33" i="15"/>
  <c r="D32" i="15"/>
  <c r="D30" i="15"/>
  <c r="D28" i="15"/>
  <c r="O28" i="15" s="1" a="1"/>
  <c r="O28" i="15" s="1"/>
  <c r="D25" i="15"/>
  <c r="D24" i="15"/>
  <c r="E54" i="15"/>
  <c r="E53" i="15"/>
  <c r="E52" i="15"/>
  <c r="E50" i="15"/>
  <c r="E49" i="15"/>
  <c r="E48" i="15"/>
  <c r="E46" i="15"/>
  <c r="E45" i="15"/>
  <c r="E44" i="15"/>
  <c r="E42" i="15"/>
  <c r="E41" i="15"/>
  <c r="E40" i="15"/>
  <c r="E38" i="15"/>
  <c r="E37" i="15"/>
  <c r="E36" i="15"/>
  <c r="E34" i="15"/>
  <c r="E33" i="15"/>
  <c r="E32" i="15"/>
  <c r="E30" i="15"/>
  <c r="E29" i="15"/>
  <c r="O29" i="15" s="1" a="1"/>
  <c r="O29" i="15" s="1"/>
  <c r="E28" i="15"/>
  <c r="E25" i="15"/>
  <c r="E24" i="15"/>
  <c r="O52" i="3" a="1"/>
  <c r="O17" i="3" a="1"/>
  <c r="O28" i="3" a="1"/>
  <c r="O57" i="3" a="1"/>
  <c r="O44" i="3" a="1"/>
  <c r="O40" i="3" a="1"/>
  <c r="O48" i="3" a="1"/>
  <c r="O21" i="3" a="1"/>
  <c r="O53" i="3" a="1"/>
  <c r="O53" i="15" l="1" a="1"/>
  <c r="O53" i="15" s="1"/>
  <c r="O32" i="15" a="1"/>
  <c r="O32" i="15" s="1"/>
  <c r="O25" i="15" a="1"/>
  <c r="O25" i="15" s="1"/>
  <c r="O30" i="15" a="1"/>
  <c r="O30" i="15" s="1"/>
  <c r="O33" i="15" a="1"/>
  <c r="O33" i="15" s="1"/>
  <c r="O41" i="15" a="1"/>
  <c r="O41" i="15" s="1"/>
  <c r="O42" i="15" a="1"/>
  <c r="O42" i="15" s="1"/>
  <c r="O24" i="15" a="1"/>
  <c r="O24" i="15" s="1"/>
  <c r="O11" i="27" a="1"/>
  <c r="O11" i="27" s="1"/>
  <c r="O44" i="15" a="1"/>
  <c r="O44" i="15" s="1"/>
  <c r="O45" i="15" a="1"/>
  <c r="O45" i="15" s="1"/>
  <c r="O50" i="15" a="1"/>
  <c r="O50" i="15" s="1"/>
  <c r="O36" i="15" a="1"/>
  <c r="O36" i="15" s="1"/>
  <c r="O52" i="15" a="1"/>
  <c r="O52" i="15" s="1"/>
  <c r="O54" i="15" a="1"/>
  <c r="O54" i="15" s="1"/>
  <c r="O37" i="15" a="1"/>
  <c r="O37" i="15" s="1"/>
  <c r="O34" i="15" a="1"/>
  <c r="O34" i="15" s="1"/>
  <c r="O38" i="15" a="1"/>
  <c r="O38" i="15" s="1"/>
  <c r="O44" i="3"/>
  <c r="O40" i="3"/>
  <c r="O48" i="3"/>
  <c r="L45" i="3" a="1"/>
  <c r="L45" i="3" s="1"/>
  <c r="M45" i="3" s="1"/>
  <c r="K45" i="3"/>
  <c r="L25" i="3" a="1"/>
  <c r="L25" i="3" s="1"/>
  <c r="M25" i="3" s="1"/>
  <c r="K25" i="3"/>
  <c r="K21" i="3"/>
  <c r="L21" i="3" a="1"/>
  <c r="L21" i="3" s="1"/>
  <c r="M21" i="3" s="1"/>
  <c r="L53" i="3" a="1"/>
  <c r="L53" i="3" s="1"/>
  <c r="M53" i="3" s="1"/>
  <c r="K53" i="3"/>
  <c r="L17" i="3" a="1"/>
  <c r="L17" i="3" s="1"/>
  <c r="M17" i="3" s="1"/>
  <c r="K17" i="3"/>
  <c r="L41" i="3" a="1"/>
  <c r="L41" i="3" s="1"/>
  <c r="M41" i="3" s="1"/>
  <c r="K41" i="3"/>
  <c r="K57" i="3"/>
  <c r="L57" i="3" a="1"/>
  <c r="L57" i="3" s="1"/>
  <c r="M57" i="3" s="1"/>
  <c r="L37" i="3" a="1"/>
  <c r="L37" i="3" s="1"/>
  <c r="M37" i="3" s="1"/>
  <c r="K37" i="3"/>
  <c r="L49" i="3" a="1"/>
  <c r="L49" i="3" s="1"/>
  <c r="M49" i="3" s="1"/>
  <c r="K49" i="3"/>
  <c r="C34" i="3"/>
  <c r="K33" i="3"/>
  <c r="L33" i="3" a="1"/>
  <c r="L33" i="3" s="1"/>
  <c r="M33" i="3" s="1"/>
  <c r="L29" i="3" a="1"/>
  <c r="L29" i="3" s="1"/>
  <c r="M29" i="3" s="1"/>
  <c r="K29" i="3"/>
  <c r="O28" i="3"/>
  <c r="O52" i="3"/>
  <c r="O57" i="3"/>
  <c r="O17" i="3"/>
  <c r="O21" i="3"/>
  <c r="O53" i="3"/>
  <c r="M20" i="3"/>
  <c r="L2" i="15" a="1"/>
  <c r="L2" i="15" s="1"/>
  <c r="Z5" i="27" s="1"/>
  <c r="M36" i="3"/>
  <c r="M24" i="3"/>
  <c r="M28" i="3"/>
  <c r="M44" i="3"/>
  <c r="M48" i="3"/>
  <c r="M52" i="3"/>
  <c r="M32" i="3"/>
  <c r="M40" i="3"/>
  <c r="M56" i="3"/>
  <c r="M16" i="3"/>
  <c r="C50" i="3"/>
  <c r="C26" i="3"/>
  <c r="C42" i="3"/>
  <c r="C46" i="3"/>
  <c r="C54" i="3"/>
  <c r="C38" i="3"/>
  <c r="C58" i="3"/>
  <c r="C22" i="3"/>
  <c r="C18" i="3"/>
  <c r="C30" i="3"/>
  <c r="E16" i="3"/>
  <c r="F16" i="3"/>
  <c r="G16" i="3" s="1"/>
  <c r="F40" i="3"/>
  <c r="G40" i="3" s="1"/>
  <c r="E40" i="3"/>
  <c r="F36" i="3"/>
  <c r="G36" i="3" s="1"/>
  <c r="E36" i="3"/>
  <c r="F32" i="3"/>
  <c r="G32" i="3" s="1"/>
  <c r="E32" i="3"/>
  <c r="F52" i="3"/>
  <c r="G52" i="3" s="1"/>
  <c r="E52" i="3"/>
  <c r="F48" i="3"/>
  <c r="G48" i="3" s="1"/>
  <c r="E48" i="3"/>
  <c r="F44" i="3"/>
  <c r="G44" i="3" s="1"/>
  <c r="E44" i="3"/>
  <c r="F56" i="3"/>
  <c r="G56" i="3" s="1"/>
  <c r="E56" i="3"/>
  <c r="F28" i="3"/>
  <c r="G28" i="3" s="1"/>
  <c r="E28" i="3"/>
  <c r="F24" i="3"/>
  <c r="G24" i="3" s="1"/>
  <c r="E24" i="3"/>
  <c r="F20" i="3"/>
  <c r="G20" i="3" s="1"/>
  <c r="E20" i="3"/>
  <c r="O45" i="3" a="1"/>
  <c r="O49" i="3" a="1"/>
  <c r="O29" i="3" a="1"/>
  <c r="O54" i="3" a="1"/>
  <c r="O37" i="3" a="1"/>
  <c r="O33" i="3" a="1"/>
  <c r="O50" i="3" a="1"/>
  <c r="O41" i="3" a="1"/>
  <c r="O25" i="3" a="1"/>
  <c r="O42" i="3" a="1"/>
  <c r="O46" i="3" a="1"/>
  <c r="O30" i="3" a="1"/>
  <c r="O18" i="3" a="1"/>
  <c r="O34" i="3" a="1"/>
  <c r="N24" i="3" l="1" a="1"/>
  <c r="N24" i="3" s="1"/>
  <c r="N56" i="3" a="1"/>
  <c r="N56" i="3" s="1"/>
  <c r="N32" i="3" a="1"/>
  <c r="N32" i="3" s="1"/>
  <c r="N36" i="3" a="1"/>
  <c r="N36" i="3" s="1"/>
  <c r="N20" i="3" a="1"/>
  <c r="N20" i="3" s="1"/>
  <c r="N16" i="3" a="1"/>
  <c r="N16" i="3" s="1"/>
  <c r="N52" i="3" a="1"/>
  <c r="N52" i="3" s="1"/>
  <c r="N28" i="3" a="1"/>
  <c r="N28" i="3" s="1"/>
  <c r="N48" i="3" a="1"/>
  <c r="N48" i="3" s="1"/>
  <c r="N44" i="3" a="1"/>
  <c r="N44" i="3" s="1"/>
  <c r="N40" i="3" a="1"/>
  <c r="N40" i="3" s="1"/>
  <c r="O25" i="3"/>
  <c r="O45" i="3"/>
  <c r="O41" i="3"/>
  <c r="L50" i="3" a="1"/>
  <c r="L50" i="3" s="1"/>
  <c r="M50" i="3" s="1"/>
  <c r="K50" i="3"/>
  <c r="L38" i="3" a="1"/>
  <c r="L38" i="3" s="1"/>
  <c r="M38" i="3" s="1"/>
  <c r="K38" i="3"/>
  <c r="L54" i="3" a="1"/>
  <c r="L54" i="3" s="1"/>
  <c r="M54" i="3" s="1"/>
  <c r="K54" i="3"/>
  <c r="L18" i="3" a="1"/>
  <c r="L18" i="3" s="1"/>
  <c r="M18" i="3" s="1"/>
  <c r="K18" i="3"/>
  <c r="L58" i="3" a="1"/>
  <c r="L58" i="3" s="1"/>
  <c r="M58" i="3" s="1"/>
  <c r="K58" i="3"/>
  <c r="K46" i="3"/>
  <c r="L46" i="3" a="1"/>
  <c r="L46" i="3" s="1"/>
  <c r="M46" i="3" s="1"/>
  <c r="L26" i="3" a="1"/>
  <c r="L26" i="3" s="1"/>
  <c r="M26" i="3" s="1"/>
  <c r="K26" i="3"/>
  <c r="L22" i="3" a="1"/>
  <c r="L22" i="3" s="1"/>
  <c r="M22" i="3" s="1"/>
  <c r="K22" i="3"/>
  <c r="L42" i="3" a="1"/>
  <c r="L42" i="3" s="1"/>
  <c r="M42" i="3" s="1"/>
  <c r="K42" i="3"/>
  <c r="K34" i="3"/>
  <c r="L34" i="3" a="1"/>
  <c r="L34" i="3" s="1"/>
  <c r="M34" i="3" s="1"/>
  <c r="L30" i="3" a="1"/>
  <c r="L30" i="3" s="1"/>
  <c r="M30" i="3" s="1"/>
  <c r="K30" i="3"/>
  <c r="O33" i="3"/>
  <c r="O29" i="3"/>
  <c r="O49" i="3"/>
  <c r="O37" i="3"/>
  <c r="O34" i="3"/>
  <c r="O54" i="3"/>
  <c r="O46" i="3"/>
  <c r="O42" i="3"/>
  <c r="O30" i="3"/>
  <c r="O18" i="3"/>
  <c r="O50" i="3"/>
  <c r="M59" i="3"/>
  <c r="N59" i="3" s="1" a="1"/>
  <c r="N59" i="3" s="1"/>
  <c r="F17" i="3"/>
  <c r="G17" i="3" s="1"/>
  <c r="F13" i="3"/>
  <c r="F21" i="3"/>
  <c r="G21" i="3" s="1"/>
  <c r="F29" i="3"/>
  <c r="G29" i="3" s="1"/>
  <c r="F57" i="3"/>
  <c r="G57" i="3" s="1"/>
  <c r="F49" i="3"/>
  <c r="G49" i="3" s="1"/>
  <c r="F53" i="3"/>
  <c r="G53" i="3" s="1"/>
  <c r="F45" i="3"/>
  <c r="G45" i="3" s="1"/>
  <c r="F25" i="3"/>
  <c r="G25" i="3" s="1"/>
  <c r="F33" i="3"/>
  <c r="G33" i="3" s="1"/>
  <c r="F37" i="3"/>
  <c r="G37" i="3" s="1"/>
  <c r="F41" i="3"/>
  <c r="G41" i="3" s="1"/>
  <c r="E29" i="3"/>
  <c r="E53" i="3"/>
  <c r="E25" i="3"/>
  <c r="E33" i="3"/>
  <c r="E34" i="3" s="1"/>
  <c r="E37" i="3"/>
  <c r="E41" i="3"/>
  <c r="E57" i="3"/>
  <c r="E45" i="3"/>
  <c r="E49" i="3"/>
  <c r="E13" i="3"/>
  <c r="E21" i="3"/>
  <c r="E17" i="3"/>
  <c r="O58" i="3" a="1"/>
  <c r="O38" i="3" a="1"/>
  <c r="O26" i="3" a="1"/>
  <c r="O22" i="3" a="1"/>
  <c r="N45" i="3" l="1" a="1"/>
  <c r="N45" i="3" s="1"/>
  <c r="N25" i="3" a="1"/>
  <c r="N25" i="3" s="1"/>
  <c r="N53" i="3" a="1"/>
  <c r="N53" i="3" s="1"/>
  <c r="N37" i="3" a="1"/>
  <c r="N37" i="3" s="1"/>
  <c r="N49" i="3" a="1"/>
  <c r="N49" i="3" s="1"/>
  <c r="N29" i="3" a="1"/>
  <c r="N29" i="3" s="1"/>
  <c r="N33" i="3" a="1"/>
  <c r="N33" i="3" s="1"/>
  <c r="N41" i="3" a="1"/>
  <c r="N41" i="3" s="1"/>
  <c r="N57" i="3" a="1"/>
  <c r="N57" i="3" s="1"/>
  <c r="N21" i="3" a="1"/>
  <c r="N21" i="3" s="1"/>
  <c r="N17" i="3" a="1"/>
  <c r="N17" i="3" s="1"/>
  <c r="G13" i="3"/>
  <c r="O26" i="3"/>
  <c r="O38" i="3"/>
  <c r="O58" i="3"/>
  <c r="O22" i="3"/>
  <c r="M60" i="3"/>
  <c r="F18" i="3"/>
  <c r="G18" i="3" s="1"/>
  <c r="F14" i="3"/>
  <c r="G14" i="3" s="1"/>
  <c r="F46" i="3"/>
  <c r="G46" i="3" s="1"/>
  <c r="F42" i="3"/>
  <c r="G42" i="3" s="1"/>
  <c r="F50" i="3"/>
  <c r="G50" i="3" s="1"/>
  <c r="F58" i="3"/>
  <c r="G58" i="3" s="1"/>
  <c r="F26" i="3"/>
  <c r="G26" i="3" s="1"/>
  <c r="F30" i="3"/>
  <c r="G30" i="3" s="1"/>
  <c r="F38" i="3"/>
  <c r="G38" i="3" s="1"/>
  <c r="F54" i="3"/>
  <c r="G54" i="3" s="1"/>
  <c r="F22" i="3"/>
  <c r="G22" i="3" s="1"/>
  <c r="F34" i="3"/>
  <c r="G34" i="3" s="1"/>
  <c r="E14" i="3"/>
  <c r="E58" i="3"/>
  <c r="E26" i="3"/>
  <c r="E42" i="3"/>
  <c r="E54" i="3"/>
  <c r="E46" i="3"/>
  <c r="E50" i="3"/>
  <c r="E38" i="3"/>
  <c r="E30" i="3"/>
  <c r="E22" i="3"/>
  <c r="E18" i="3"/>
  <c r="N30" i="3" l="1" a="1"/>
  <c r="N30" i="3" s="1"/>
  <c r="N50" i="3" a="1"/>
  <c r="N50" i="3" s="1"/>
  <c r="N58" i="3" a="1"/>
  <c r="N58" i="3" s="1"/>
  <c r="N42" i="3" a="1"/>
  <c r="N42" i="3" s="1"/>
  <c r="N46" i="3" a="1"/>
  <c r="N46" i="3" s="1"/>
  <c r="N38" i="3" a="1"/>
  <c r="N38" i="3" s="1"/>
  <c r="N26" i="3" a="1"/>
  <c r="N26" i="3" s="1"/>
  <c r="N18" i="3" a="1"/>
  <c r="N18" i="3" s="1"/>
  <c r="N34" i="3" a="1"/>
  <c r="N34" i="3" s="1"/>
  <c r="N22" i="3" a="1"/>
  <c r="N22" i="3" s="1"/>
  <c r="N54" i="3" a="1"/>
  <c r="N54" i="3" s="1"/>
  <c r="E60" i="3"/>
  <c r="M61" i="3"/>
  <c r="F60" i="3" l="1"/>
  <c r="M62" i="3"/>
  <c r="E61" i="3"/>
  <c r="C12" i="3"/>
  <c r="G60" i="3" l="1"/>
  <c r="N60" i="3" a="1"/>
  <c r="N60" i="3" s="1"/>
  <c r="K12" i="3"/>
  <c r="L12" i="3" a="1"/>
  <c r="L12" i="3" s="1"/>
  <c r="M12" i="3" s="1"/>
  <c r="E62" i="3"/>
  <c r="M63" i="3"/>
  <c r="N63" i="3" s="1" a="1"/>
  <c r="N63" i="3" s="1"/>
  <c r="F61" i="3"/>
  <c r="C13" i="3"/>
  <c r="O12" i="3" a="1"/>
  <c r="O13" i="3" a="1"/>
  <c r="G61" i="3" l="1"/>
  <c r="N61" i="3" a="1"/>
  <c r="N61" i="3" s="1"/>
  <c r="O12" i="3"/>
  <c r="N12" i="3" s="1" a="1"/>
  <c r="N12" i="3" s="1"/>
  <c r="L13" i="3" a="1"/>
  <c r="L13" i="3" s="1"/>
  <c r="M13" i="3" s="1"/>
  <c r="K13" i="3"/>
  <c r="O13" i="3"/>
  <c r="N13" i="3" s="1" a="1"/>
  <c r="N13" i="3" s="1"/>
  <c r="M64" i="3"/>
  <c r="F62" i="3"/>
  <c r="C14" i="3"/>
  <c r="G62" i="3" l="1"/>
  <c r="N62" i="3" a="1"/>
  <c r="N62" i="3" s="1"/>
  <c r="L14" i="3" a="1"/>
  <c r="L14" i="3" s="1"/>
  <c r="M14" i="3" s="1"/>
  <c r="K14" i="3"/>
  <c r="E64" i="3"/>
  <c r="M65" i="3"/>
  <c r="O14" i="3" a="1"/>
  <c r="O14" i="3" l="1"/>
  <c r="N14" i="3" s="1" a="1"/>
  <c r="N14" i="3" s="1"/>
  <c r="E65" i="3"/>
  <c r="M66" i="3"/>
  <c r="F64" i="3"/>
  <c r="G64" i="3" l="1"/>
  <c r="N64" i="3" a="1"/>
  <c r="N64" i="3" s="1"/>
  <c r="F65" i="3"/>
  <c r="M67" i="3"/>
  <c r="N67" i="3" s="1" a="1"/>
  <c r="N67" i="3" s="1"/>
  <c r="E66" i="3"/>
  <c r="G65" i="3" l="1"/>
  <c r="N65" i="3" a="1"/>
  <c r="N65" i="3" s="1"/>
  <c r="M68" i="3"/>
  <c r="F66" i="3"/>
  <c r="G66" i="3" l="1"/>
  <c r="N66" i="3" a="1"/>
  <c r="N66" i="3" s="1"/>
  <c r="M69" i="3"/>
  <c r="E68" i="3"/>
  <c r="F68" i="3" l="1"/>
  <c r="E69" i="3"/>
  <c r="M70" i="3"/>
  <c r="G68" i="3" l="1"/>
  <c r="N68" i="3" a="1"/>
  <c r="N68" i="3" s="1"/>
  <c r="E70" i="3"/>
  <c r="M71" i="3"/>
  <c r="N71" i="3" s="1" a="1"/>
  <c r="N71" i="3" s="1"/>
  <c r="F69" i="3"/>
  <c r="G69" i="3" l="1"/>
  <c r="N69" i="3" a="1"/>
  <c r="N69" i="3" s="1"/>
  <c r="M72" i="3"/>
  <c r="F70" i="3"/>
  <c r="G70" i="3" l="1"/>
  <c r="N70" i="3" a="1"/>
  <c r="N70" i="3" s="1"/>
  <c r="E72" i="3"/>
  <c r="M73" i="3"/>
  <c r="F72" i="3" l="1"/>
  <c r="E73" i="3"/>
  <c r="M74" i="3"/>
  <c r="G72" i="3" l="1"/>
  <c r="N72" i="3" a="1"/>
  <c r="N72" i="3" s="1"/>
  <c r="M75" i="3"/>
  <c r="N75" i="3" s="1" a="1"/>
  <c r="N75" i="3" s="1"/>
  <c r="E74" i="3"/>
  <c r="F73" i="3"/>
  <c r="G73" i="3" l="1"/>
  <c r="N73" i="3" a="1"/>
  <c r="N73" i="3" s="1"/>
  <c r="F74" i="3"/>
  <c r="M76" i="3"/>
  <c r="G74" i="3" l="1"/>
  <c r="N74" i="3" a="1"/>
  <c r="N74" i="3" s="1"/>
  <c r="E76" i="3"/>
  <c r="M77" i="3"/>
  <c r="F76" i="3" l="1"/>
  <c r="M78" i="3"/>
  <c r="E77" i="3"/>
  <c r="G76" i="3" l="1"/>
  <c r="N76" i="3" a="1"/>
  <c r="N76" i="3" s="1"/>
  <c r="M79" i="3"/>
  <c r="N79" i="3" s="1" a="1"/>
  <c r="N79" i="3" s="1"/>
  <c r="E78" i="3"/>
  <c r="F77" i="3"/>
  <c r="G77" i="3" l="1"/>
  <c r="N77" i="3" a="1"/>
  <c r="N77" i="3" s="1"/>
  <c r="F78" i="3"/>
  <c r="M80" i="3"/>
  <c r="G78" i="3" l="1"/>
  <c r="N78" i="3" a="1"/>
  <c r="N78" i="3" s="1"/>
  <c r="E80" i="3"/>
  <c r="M81" i="3"/>
  <c r="M82" i="3" l="1"/>
  <c r="F80" i="3"/>
  <c r="E81" i="3"/>
  <c r="G80" i="3" l="1"/>
  <c r="N80" i="3" a="1"/>
  <c r="N80" i="3" s="1"/>
  <c r="E82" i="3"/>
  <c r="F81" i="3"/>
  <c r="M83" i="3"/>
  <c r="N83" i="3" s="1" a="1"/>
  <c r="N83" i="3" s="1"/>
  <c r="G81" i="3" l="1"/>
  <c r="N81" i="3" a="1"/>
  <c r="N81" i="3" s="1"/>
  <c r="M84" i="3"/>
  <c r="F82" i="3"/>
  <c r="G82" i="3" l="1"/>
  <c r="N82" i="3" a="1"/>
  <c r="N82" i="3" s="1"/>
  <c r="E84" i="3"/>
  <c r="M85" i="3"/>
  <c r="M86" i="3" l="1"/>
  <c r="F84" i="3"/>
  <c r="E85" i="3"/>
  <c r="G84" i="3" l="1"/>
  <c r="N84" i="3" a="1"/>
  <c r="N84" i="3" s="1"/>
  <c r="E86" i="3"/>
  <c r="F85" i="3"/>
  <c r="M87" i="3"/>
  <c r="N87" i="3" s="1" a="1"/>
  <c r="N87" i="3" s="1"/>
  <c r="G85" i="3" l="1"/>
  <c r="N85" i="3" a="1"/>
  <c r="N85" i="3" s="1"/>
  <c r="M88" i="3"/>
  <c r="F86" i="3"/>
  <c r="G86" i="3" l="1"/>
  <c r="N86" i="3" a="1"/>
  <c r="N86" i="3" s="1"/>
  <c r="E88" i="3"/>
  <c r="M89" i="3"/>
  <c r="M90" i="3" l="1"/>
  <c r="E89" i="3"/>
  <c r="F88" i="3"/>
  <c r="G88" i="3" l="1"/>
  <c r="N88" i="3" a="1"/>
  <c r="N88" i="3" s="1"/>
  <c r="F89" i="3"/>
  <c r="E90" i="3"/>
  <c r="M91" i="3"/>
  <c r="N91" i="3" s="1" a="1"/>
  <c r="N91" i="3" s="1"/>
  <c r="G89" i="3" l="1"/>
  <c r="N89" i="3" a="1"/>
  <c r="N89" i="3" s="1"/>
  <c r="M92" i="3"/>
  <c r="F90" i="3"/>
  <c r="G90" i="3" l="1"/>
  <c r="N90" i="3" a="1"/>
  <c r="N90" i="3" s="1"/>
  <c r="E92" i="3"/>
  <c r="M93" i="3"/>
  <c r="M94" i="3" l="1"/>
  <c r="F92" i="3"/>
  <c r="E93" i="3"/>
  <c r="G92" i="3" l="1"/>
  <c r="N92" i="3" a="1"/>
  <c r="N92" i="3" s="1"/>
  <c r="E94" i="3"/>
  <c r="F93" i="3"/>
  <c r="M95" i="3"/>
  <c r="N95" i="3" s="1" a="1"/>
  <c r="N95" i="3" s="1"/>
  <c r="G93" i="3" l="1"/>
  <c r="N93" i="3" a="1"/>
  <c r="N93" i="3" s="1"/>
  <c r="M96" i="3"/>
  <c r="F94" i="3"/>
  <c r="G94" i="3" l="1"/>
  <c r="N94" i="3" a="1"/>
  <c r="N94" i="3" s="1"/>
  <c r="E96" i="3"/>
  <c r="M97" i="3"/>
  <c r="M98" i="3" l="1"/>
  <c r="F96" i="3"/>
  <c r="E97" i="3"/>
  <c r="G96" i="3" l="1"/>
  <c r="N96" i="3" a="1"/>
  <c r="N96" i="3" s="1"/>
  <c r="E98" i="3"/>
  <c r="F97" i="3"/>
  <c r="M99" i="3"/>
  <c r="N99" i="3" s="1" a="1"/>
  <c r="N99" i="3" s="1"/>
  <c r="G97" i="3" l="1"/>
  <c r="N97" i="3" a="1"/>
  <c r="N97" i="3" s="1"/>
  <c r="M100" i="3"/>
  <c r="F98" i="3"/>
  <c r="G98" i="3" l="1"/>
  <c r="N98" i="3" a="1"/>
  <c r="N98" i="3" s="1"/>
  <c r="E100" i="3"/>
  <c r="M101" i="3"/>
  <c r="M102" i="3" l="1"/>
  <c r="E101" i="3"/>
  <c r="F100" i="3"/>
  <c r="G100" i="3" l="1"/>
  <c r="N100" i="3" a="1"/>
  <c r="N100" i="3" s="1"/>
  <c r="F101" i="3"/>
  <c r="E102" i="3"/>
  <c r="M103" i="3"/>
  <c r="N103" i="3" s="1" a="1"/>
  <c r="N103" i="3" s="1"/>
  <c r="G101" i="3" l="1"/>
  <c r="N101" i="3" a="1"/>
  <c r="N101" i="3" s="1"/>
  <c r="M104" i="3"/>
  <c r="N104" i="3" s="1" a="1"/>
  <c r="N104" i="3" s="1"/>
  <c r="F102" i="3"/>
  <c r="G102" i="3" l="1"/>
  <c r="N102" i="3" a="1"/>
  <c r="N102" i="3" s="1"/>
  <c r="M105" i="3"/>
  <c r="M106" i="3" l="1"/>
  <c r="E105" i="3"/>
  <c r="F105" i="3" l="1"/>
  <c r="E106" i="3"/>
  <c r="M107" i="3"/>
  <c r="N107" i="3" s="1" a="1"/>
  <c r="N107" i="3" s="1"/>
  <c r="G105" i="3" l="1"/>
  <c r="N105" i="3" a="1"/>
  <c r="N105" i="3" s="1"/>
  <c r="M108" i="3"/>
  <c r="F106" i="3"/>
  <c r="G106" i="3" l="1"/>
  <c r="N106" i="3" a="1"/>
  <c r="N106" i="3" s="1"/>
  <c r="M109" i="3"/>
  <c r="E108" i="3"/>
  <c r="E109" i="3" l="1"/>
  <c r="F108" i="3"/>
  <c r="M110" i="3"/>
  <c r="G108" i="3" l="1"/>
  <c r="N108" i="3" a="1"/>
  <c r="N108" i="3" s="1"/>
  <c r="M111" i="3"/>
  <c r="N111" i="3" s="1" a="1"/>
  <c r="N111" i="3" s="1"/>
  <c r="F109" i="3"/>
  <c r="E110" i="3"/>
  <c r="G109" i="3" l="1"/>
  <c r="N109" i="3" a="1"/>
  <c r="N109" i="3" s="1"/>
  <c r="F110" i="3"/>
  <c r="M112" i="3"/>
  <c r="G110" i="3" l="1"/>
  <c r="N110" i="3" a="1"/>
  <c r="N110" i="3" s="1"/>
  <c r="M113" i="3"/>
  <c r="E112" i="3"/>
  <c r="E113" i="3" l="1"/>
  <c r="M114" i="3"/>
  <c r="F112" i="3"/>
  <c r="G112" i="3" l="1"/>
  <c r="N112" i="3" a="1"/>
  <c r="N112" i="3" s="1"/>
  <c r="M115" i="3"/>
  <c r="N115" i="3" s="1" a="1"/>
  <c r="N115" i="3" s="1"/>
  <c r="E114" i="3"/>
  <c r="F113" i="3"/>
  <c r="G113" i="3" l="1"/>
  <c r="N113" i="3" a="1"/>
  <c r="N113" i="3" s="1"/>
  <c r="F114" i="3"/>
  <c r="M116" i="3"/>
  <c r="G114" i="3" l="1"/>
  <c r="N114" i="3" a="1"/>
  <c r="N114" i="3" s="1"/>
  <c r="E116" i="3"/>
  <c r="M117" i="3"/>
  <c r="F116" i="3" l="1"/>
  <c r="M118" i="3"/>
  <c r="E117" i="3"/>
  <c r="G116" i="3" l="1"/>
  <c r="N116" i="3" a="1"/>
  <c r="N116" i="3" s="1"/>
  <c r="M119" i="3"/>
  <c r="N119" i="3" s="1" a="1"/>
  <c r="N119" i="3" s="1"/>
  <c r="E118" i="3"/>
  <c r="F117" i="3"/>
  <c r="G117" i="3" l="1"/>
  <c r="N117" i="3" a="1"/>
  <c r="N117" i="3" s="1"/>
  <c r="F118" i="3"/>
  <c r="M120" i="3"/>
  <c r="G118" i="3" l="1"/>
  <c r="N118" i="3" a="1"/>
  <c r="N118" i="3" s="1"/>
  <c r="M121" i="3"/>
  <c r="E120" i="3"/>
  <c r="E121" i="3" l="1"/>
  <c r="M122" i="3"/>
  <c r="F120" i="3"/>
  <c r="G120" i="3" l="1"/>
  <c r="N120" i="3" a="1"/>
  <c r="N120" i="3" s="1"/>
  <c r="F121" i="3"/>
  <c r="M123" i="3"/>
  <c r="N123" i="3" s="1" a="1"/>
  <c r="N123" i="3" s="1"/>
  <c r="E122" i="3"/>
  <c r="G121" i="3" l="1"/>
  <c r="N121" i="3" a="1"/>
  <c r="N121" i="3" s="1"/>
  <c r="M124" i="3"/>
  <c r="F122" i="3"/>
  <c r="G122" i="3" l="1"/>
  <c r="N122" i="3" a="1"/>
  <c r="N122" i="3" s="1"/>
  <c r="M125" i="3"/>
  <c r="E124" i="3"/>
  <c r="M126" i="3" l="1"/>
  <c r="E125" i="3"/>
  <c r="F124" i="3"/>
  <c r="G124" i="3" l="1"/>
  <c r="N124" i="3" a="1"/>
  <c r="N124" i="3" s="1"/>
  <c r="F125" i="3"/>
  <c r="E126" i="3"/>
  <c r="M127" i="3"/>
  <c r="N127" i="3" s="1" a="1"/>
  <c r="N127" i="3" s="1"/>
  <c r="G125" i="3" l="1"/>
  <c r="N125" i="3" a="1"/>
  <c r="N125" i="3" s="1"/>
  <c r="M128" i="3"/>
  <c r="F126" i="3"/>
  <c r="G126" i="3" l="1"/>
  <c r="N126" i="3" a="1"/>
  <c r="N126" i="3" s="1"/>
  <c r="M129" i="3"/>
  <c r="E128" i="3"/>
  <c r="E129" i="3" l="1"/>
  <c r="F128" i="3"/>
  <c r="M130" i="3"/>
  <c r="G128" i="3" l="1"/>
  <c r="N128" i="3" a="1"/>
  <c r="N128" i="3" s="1"/>
  <c r="M131" i="3"/>
  <c r="N131" i="3" s="1" a="1"/>
  <c r="N131" i="3" s="1"/>
  <c r="F129" i="3"/>
  <c r="E130" i="3"/>
  <c r="G129" i="3" l="1"/>
  <c r="N129" i="3" a="1"/>
  <c r="N129" i="3" s="1"/>
  <c r="M132" i="3"/>
  <c r="F130" i="3"/>
  <c r="G130" i="3" l="1"/>
  <c r="N130" i="3" a="1"/>
  <c r="N130" i="3" s="1"/>
  <c r="M133" i="3"/>
  <c r="E132" i="3"/>
  <c r="F132" i="3" l="1"/>
  <c r="E133" i="3"/>
  <c r="M134" i="3"/>
  <c r="G132" i="3" l="1"/>
  <c r="N132" i="3" a="1"/>
  <c r="N132" i="3" s="1"/>
  <c r="M135" i="3"/>
  <c r="N135" i="3" s="1" a="1"/>
  <c r="N135" i="3" s="1"/>
  <c r="E134" i="3"/>
  <c r="F133" i="3"/>
  <c r="G133" i="3" l="1"/>
  <c r="N133" i="3" a="1"/>
  <c r="N133" i="3" s="1"/>
  <c r="F134" i="3"/>
  <c r="M136" i="3"/>
  <c r="G134" i="3" l="1"/>
  <c r="N134" i="3" a="1"/>
  <c r="N134" i="3" s="1"/>
  <c r="M137" i="3"/>
  <c r="E136" i="3"/>
  <c r="E137" i="3" l="1"/>
  <c r="F136" i="3"/>
  <c r="M138" i="3"/>
  <c r="G136" i="3" l="1"/>
  <c r="N136" i="3" a="1"/>
  <c r="N136" i="3" s="1"/>
  <c r="M139" i="3"/>
  <c r="N139" i="3" s="1" a="1"/>
  <c r="N139" i="3" s="1"/>
  <c r="F137" i="3"/>
  <c r="E138" i="3"/>
  <c r="G137" i="3" l="1"/>
  <c r="N137" i="3" a="1"/>
  <c r="N137" i="3" s="1"/>
  <c r="F138" i="3"/>
  <c r="M140" i="3"/>
  <c r="G138" i="3" l="1"/>
  <c r="N138" i="3" a="1"/>
  <c r="N138" i="3" s="1"/>
  <c r="M141" i="3"/>
  <c r="E140" i="3"/>
  <c r="F140" i="3" l="1"/>
  <c r="E141" i="3"/>
  <c r="M142" i="3"/>
  <c r="G140" i="3" l="1"/>
  <c r="N140" i="3" a="1"/>
  <c r="N140" i="3" s="1"/>
  <c r="F141" i="3"/>
  <c r="M143" i="3"/>
  <c r="N143" i="3" s="1" a="1"/>
  <c r="N143" i="3" s="1"/>
  <c r="E142" i="3"/>
  <c r="G141" i="3" l="1"/>
  <c r="N141" i="3" a="1"/>
  <c r="N141" i="3" s="1"/>
  <c r="M144" i="3"/>
  <c r="F142" i="3"/>
  <c r="G142" i="3" l="1"/>
  <c r="N142" i="3" a="1"/>
  <c r="N142" i="3" s="1"/>
  <c r="M145" i="3"/>
  <c r="E144" i="3"/>
  <c r="E145" i="3" l="1"/>
  <c r="M146" i="3"/>
  <c r="F144" i="3"/>
  <c r="G144" i="3" l="1"/>
  <c r="N144" i="3" a="1"/>
  <c r="N144" i="3" s="1"/>
  <c r="F145" i="3"/>
  <c r="M147" i="3"/>
  <c r="N147" i="3" s="1" a="1"/>
  <c r="N147" i="3" s="1"/>
  <c r="E146" i="3"/>
  <c r="G145" i="3" l="1"/>
  <c r="N145" i="3" a="1"/>
  <c r="N145" i="3" s="1"/>
  <c r="F146" i="3"/>
  <c r="M148" i="3"/>
  <c r="G146" i="3" l="1"/>
  <c r="N146" i="3" a="1"/>
  <c r="N146" i="3" s="1"/>
  <c r="M149" i="3"/>
  <c r="E148" i="3"/>
  <c r="E149" i="3" l="1"/>
  <c r="F148" i="3"/>
  <c r="M150" i="3"/>
  <c r="G148" i="3" l="1"/>
  <c r="N148" i="3" a="1"/>
  <c r="N148" i="3" s="1"/>
  <c r="M151" i="3"/>
  <c r="N151" i="3" s="1" a="1"/>
  <c r="N151" i="3" s="1"/>
  <c r="F149" i="3"/>
  <c r="E150" i="3"/>
  <c r="G149" i="3" l="1"/>
  <c r="N149" i="3" a="1"/>
  <c r="N149" i="3" s="1"/>
  <c r="F150" i="3"/>
  <c r="M152" i="3"/>
  <c r="G150" i="3" l="1"/>
  <c r="N150" i="3" a="1"/>
  <c r="N150" i="3" s="1"/>
  <c r="M153" i="3"/>
  <c r="E152" i="3"/>
  <c r="F152" i="3" l="1"/>
  <c r="E153" i="3"/>
  <c r="M154" i="3"/>
  <c r="G152" i="3" l="1"/>
  <c r="N152" i="3" a="1"/>
  <c r="N152" i="3" s="1"/>
  <c r="E154" i="3"/>
  <c r="M155" i="3"/>
  <c r="N155" i="3" s="1" a="1"/>
  <c r="N155" i="3" s="1"/>
  <c r="F153" i="3"/>
  <c r="G153" i="3" l="1"/>
  <c r="N153" i="3" a="1"/>
  <c r="N153" i="3" s="1"/>
  <c r="F154" i="3"/>
  <c r="M156" i="3"/>
  <c r="G154" i="3" l="1"/>
  <c r="N154" i="3" a="1"/>
  <c r="N154" i="3" s="1"/>
  <c r="E156" i="3"/>
  <c r="M157" i="3"/>
  <c r="F156" i="3" l="1"/>
  <c r="M158" i="3"/>
  <c r="E157" i="3"/>
  <c r="G156" i="3" l="1"/>
  <c r="N156" i="3" a="1"/>
  <c r="N156" i="3" s="1"/>
  <c r="E158" i="3"/>
  <c r="M159" i="3"/>
  <c r="N159" i="3" s="1" a="1"/>
  <c r="N159" i="3" s="1"/>
  <c r="F157" i="3"/>
  <c r="G157" i="3" l="1"/>
  <c r="N157" i="3" a="1"/>
  <c r="N157" i="3" s="1"/>
  <c r="F158" i="3"/>
  <c r="M160" i="3"/>
  <c r="G158" i="3" l="1"/>
  <c r="N158" i="3" a="1"/>
  <c r="N158" i="3" s="1"/>
  <c r="E160" i="3"/>
  <c r="M161" i="3"/>
  <c r="M162" i="3" l="1"/>
  <c r="F160" i="3"/>
  <c r="E161" i="3"/>
  <c r="G160" i="3" l="1"/>
  <c r="N160" i="3" a="1"/>
  <c r="N160" i="3" s="1"/>
  <c r="F161" i="3"/>
  <c r="M163" i="3"/>
  <c r="N163" i="3" s="1" a="1"/>
  <c r="N163" i="3" s="1"/>
  <c r="E162" i="3"/>
  <c r="G161" i="3" l="1"/>
  <c r="N161" i="3" a="1"/>
  <c r="N161" i="3" s="1"/>
  <c r="M164" i="3"/>
  <c r="F162" i="3"/>
  <c r="G162" i="3" l="1"/>
  <c r="N162" i="3" a="1"/>
  <c r="N162" i="3" s="1"/>
  <c r="M165" i="3"/>
  <c r="E164" i="3"/>
  <c r="M166" i="3" l="1"/>
  <c r="F164" i="3"/>
  <c r="E165" i="3"/>
  <c r="G164" i="3" l="1"/>
  <c r="N164" i="3" a="1"/>
  <c r="N164" i="3" s="1"/>
  <c r="E166" i="3"/>
  <c r="F165" i="3"/>
  <c r="M167" i="3"/>
  <c r="N167" i="3" s="1" a="1"/>
  <c r="N167" i="3" s="1"/>
  <c r="G165" i="3" l="1"/>
  <c r="N165" i="3" a="1"/>
  <c r="N165" i="3" s="1"/>
  <c r="F166" i="3"/>
  <c r="M168" i="3"/>
  <c r="G166" i="3" l="1"/>
  <c r="N166" i="3" a="1"/>
  <c r="N166" i="3" s="1"/>
  <c r="E168" i="3"/>
  <c r="M169" i="3"/>
  <c r="E169" i="3" l="1"/>
  <c r="F168" i="3"/>
  <c r="M170" i="3"/>
  <c r="G168" i="3" l="1"/>
  <c r="N168" i="3" a="1"/>
  <c r="N168" i="3" s="1"/>
  <c r="M171" i="3"/>
  <c r="N171" i="3" s="1" a="1"/>
  <c r="N171" i="3" s="1"/>
  <c r="F169" i="3"/>
  <c r="E170" i="3"/>
  <c r="G169" i="3" l="1"/>
  <c r="N169" i="3" a="1"/>
  <c r="N169" i="3" s="1"/>
  <c r="F170" i="3"/>
  <c r="M172" i="3"/>
  <c r="G170" i="3" l="1"/>
  <c r="N170" i="3" a="1"/>
  <c r="N170" i="3" s="1"/>
  <c r="M173" i="3"/>
  <c r="E172" i="3"/>
  <c r="F172" i="3" l="1"/>
  <c r="E173" i="3"/>
  <c r="M174" i="3"/>
  <c r="G172" i="3" l="1"/>
  <c r="N172" i="3" a="1"/>
  <c r="N172" i="3" s="1"/>
  <c r="M175" i="3"/>
  <c r="N175" i="3" s="1" a="1"/>
  <c r="N175" i="3" s="1"/>
  <c r="E174" i="3"/>
  <c r="F173" i="3"/>
  <c r="G173" i="3" l="1"/>
  <c r="N173" i="3" a="1"/>
  <c r="N173" i="3" s="1"/>
  <c r="F174" i="3"/>
  <c r="M176" i="3"/>
  <c r="G174" i="3" l="1"/>
  <c r="N174" i="3" a="1"/>
  <c r="N174" i="3" s="1"/>
  <c r="E176" i="3"/>
  <c r="M177" i="3"/>
  <c r="M179" i="3" l="1"/>
  <c r="N179" i="3" s="1" a="1"/>
  <c r="N179" i="3" s="1"/>
  <c r="F176" i="3"/>
  <c r="M178" i="3"/>
  <c r="E177" i="3"/>
  <c r="G176" i="3" l="1"/>
  <c r="N176" i="3" a="1"/>
  <c r="N176" i="3" s="1"/>
  <c r="M180" i="3"/>
  <c r="N180" i="3" s="1" a="1"/>
  <c r="N180" i="3" s="1"/>
  <c r="E178" i="3"/>
  <c r="F177" i="3"/>
  <c r="G177" i="3" l="1"/>
  <c r="N177" i="3" a="1"/>
  <c r="N177" i="3" s="1"/>
  <c r="M181" i="3"/>
  <c r="N181" i="3" s="1" a="1"/>
  <c r="N181" i="3" s="1"/>
  <c r="F178" i="3"/>
  <c r="B8" i="14" l="1" a="1"/>
  <c r="B8" i="14" s="1"/>
  <c r="A11" i="27" a="1"/>
  <c r="A11" i="27" s="1"/>
  <c r="G178" i="3"/>
  <c r="J7" i="3" a="1"/>
  <c r="J7" i="3" s="1"/>
  <c r="I8" i="3" s="1" a="1"/>
  <c r="I8" i="3" s="1"/>
  <c r="M2" i="3" a="1"/>
  <c r="M2" i="3" s="1"/>
  <c r="N178" i="3" a="1"/>
  <c r="N178" i="3" s="1"/>
  <c r="L2" i="3" a="1"/>
  <c r="L2" i="3" s="1"/>
  <c r="M182" i="3"/>
  <c r="N182" i="3" s="1" a="1"/>
  <c r="N182" i="3" s="1"/>
  <c r="M183" i="3" l="1"/>
  <c r="N183" i="3" s="1" a="1"/>
  <c r="N183" i="3" s="1"/>
  <c r="L2" i="27"/>
  <c r="M2" i="27"/>
  <c r="M184" i="3" l="1"/>
  <c r="N184" i="3" s="1" a="1"/>
  <c r="N184" i="3" s="1"/>
  <c r="F8" i="14" a="1"/>
  <c r="F8" i="14" s="1"/>
  <c r="A8" i="14" a="1"/>
  <c r="A8" i="14" s="1"/>
  <c r="J5" i="3"/>
  <c r="J7" i="27"/>
  <c r="J5" i="27" l="1"/>
  <c r="M185" i="3"/>
  <c r="N185" i="3" s="1" a="1"/>
  <c r="N185" i="3" s="1"/>
  <c r="G8" i="14" a="1"/>
  <c r="M186" i="3" l="1"/>
  <c r="N186" i="3" s="1" a="1"/>
  <c r="N186" i="3" s="1"/>
  <c r="G8" i="14"/>
  <c r="H8" i="14" a="1"/>
  <c r="H8" i="14" s="1"/>
  <c r="H4" i="14" s="1"/>
  <c r="M187" i="3" l="1"/>
  <c r="N187" i="3" s="1" a="1"/>
  <c r="N187" i="3" s="1"/>
  <c r="M188" i="3" l="1"/>
  <c r="N188" i="3" s="1" a="1"/>
  <c r="N188" i="3" s="1"/>
  <c r="M189" i="3" l="1"/>
  <c r="N189" i="3" s="1" a="1"/>
  <c r="N189" i="3" s="1"/>
  <c r="M190" i="3" l="1"/>
  <c r="N190" i="3" s="1" a="1"/>
  <c r="N190" i="3" s="1"/>
  <c r="M191" i="3" l="1"/>
  <c r="N191" i="3" s="1" a="1"/>
  <c r="N191" i="3" s="1"/>
  <c r="M192" i="3" l="1"/>
  <c r="N192" i="3" s="1" a="1"/>
  <c r="N192" i="3" s="1"/>
  <c r="M193" i="3" l="1"/>
  <c r="N193" i="3" s="1" a="1"/>
  <c r="N193" i="3" s="1"/>
  <c r="M194" i="3" l="1"/>
  <c r="N194" i="3" s="1" a="1"/>
  <c r="N194" i="3" s="1"/>
  <c r="M195" i="3" l="1"/>
  <c r="N195" i="3" s="1" a="1"/>
  <c r="N195" i="3" s="1"/>
  <c r="M196" i="3" l="1"/>
  <c r="N196" i="3" s="1" a="1"/>
  <c r="N196" i="3" s="1"/>
  <c r="M197" i="3" l="1"/>
  <c r="N197" i="3" s="1" a="1"/>
  <c r="N197" i="3" s="1"/>
  <c r="M198" i="3" l="1"/>
  <c r="N198" i="3" s="1" a="1"/>
  <c r="N198" i="3" s="1"/>
  <c r="M199" i="3" l="1"/>
  <c r="N199" i="3" s="1" a="1"/>
  <c r="N199" i="3" s="1"/>
  <c r="M200" i="3" l="1"/>
  <c r="N200" i="3" s="1" a="1"/>
  <c r="N200" i="3" s="1"/>
  <c r="M201" i="3" l="1"/>
  <c r="N201" i="3" s="1" a="1"/>
  <c r="N201" i="3" s="1"/>
  <c r="M202" i="3" l="1"/>
  <c r="N202" i="3" s="1" a="1"/>
  <c r="N202" i="3" s="1"/>
  <c r="M203" i="3" l="1"/>
  <c r="N203" i="3" s="1" a="1"/>
  <c r="N203" i="3" s="1"/>
  <c r="M204" i="3" l="1"/>
  <c r="N204" i="3" s="1" a="1"/>
  <c r="N204" i="3" s="1"/>
  <c r="M205" i="3" l="1"/>
  <c r="N205" i="3" s="1" a="1"/>
  <c r="N205" i="3" s="1"/>
  <c r="M206" i="3" l="1"/>
  <c r="N206" i="3" s="1" a="1"/>
  <c r="N206" i="3" s="1"/>
  <c r="M207" i="3" l="1"/>
  <c r="N207" i="3" s="1" a="1"/>
  <c r="N207" i="3" s="1"/>
  <c r="M208" i="3" l="1"/>
  <c r="N208" i="3" s="1" a="1"/>
  <c r="N208" i="3" s="1"/>
  <c r="M209" i="3" l="1"/>
  <c r="N209" i="3" s="1" a="1"/>
  <c r="N209" i="3" s="1"/>
  <c r="M210" i="3" l="1"/>
  <c r="N210" i="3" s="1" a="1"/>
  <c r="N210" i="3" s="1"/>
  <c r="M211" i="3" l="1"/>
  <c r="N211" i="3" s="1" a="1"/>
  <c r="N211" i="3" s="1"/>
  <c r="M212" i="3" l="1"/>
  <c r="N212" i="3" s="1" a="1"/>
  <c r="N212" i="3" s="1"/>
  <c r="M213" i="3" l="1"/>
  <c r="N213" i="3" s="1" a="1"/>
  <c r="N213" i="3" s="1"/>
  <c r="M214" i="3" l="1"/>
  <c r="N214" i="3" s="1" a="1"/>
  <c r="N214" i="3" s="1"/>
  <c r="M215" i="3" l="1"/>
  <c r="N215" i="3" s="1" a="1"/>
  <c r="N215" i="3" s="1"/>
  <c r="M216" i="3" l="1"/>
  <c r="N216" i="3" s="1" a="1"/>
  <c r="N216" i="3" s="1"/>
  <c r="M217" i="3" l="1"/>
  <c r="N217" i="3" s="1" a="1"/>
  <c r="N217" i="3" s="1"/>
  <c r="M218" i="3" l="1"/>
  <c r="N218" i="3" s="1" a="1"/>
  <c r="N218" i="3" s="1"/>
  <c r="M219" i="3" l="1"/>
  <c r="N219" i="3" s="1" a="1"/>
  <c r="N219" i="3" s="1"/>
  <c r="M220" i="3" l="1"/>
  <c r="N220" i="3" s="1" a="1"/>
  <c r="N220" i="3" s="1"/>
  <c r="M221" i="3" l="1"/>
  <c r="N221" i="3" s="1" a="1"/>
  <c r="N221" i="3" s="1"/>
  <c r="M222" i="3" l="1"/>
  <c r="N222" i="3" s="1" a="1"/>
  <c r="N222" i="3" s="1"/>
  <c r="M223" i="3" l="1"/>
  <c r="N223" i="3" s="1" a="1"/>
  <c r="N223" i="3" s="1"/>
  <c r="M224" i="3" l="1"/>
  <c r="N224" i="3" s="1" a="1"/>
  <c r="N224" i="3" s="1"/>
  <c r="M225" i="3" l="1"/>
  <c r="N225" i="3" s="1" a="1"/>
  <c r="N225" i="3" s="1"/>
  <c r="M226" i="3" l="1"/>
  <c r="N226" i="3" s="1" a="1"/>
  <c r="N226" i="3" s="1"/>
  <c r="M227" i="3" l="1"/>
  <c r="N227" i="3" s="1" a="1"/>
  <c r="N227" i="3" s="1"/>
  <c r="M228" i="3" l="1"/>
  <c r="N228" i="3" s="1" a="1"/>
  <c r="N228" i="3" s="1"/>
  <c r="M229" i="3" l="1"/>
  <c r="N229" i="3" s="1" a="1"/>
  <c r="N229" i="3" s="1"/>
  <c r="M230" i="3" l="1"/>
  <c r="N230" i="3" s="1" a="1"/>
  <c r="N230" i="3" s="1"/>
  <c r="M231" i="3" l="1"/>
  <c r="N231" i="3" s="1" a="1"/>
  <c r="N231" i="3" s="1"/>
  <c r="M232" i="3" l="1"/>
  <c r="N232" i="3" s="1" a="1"/>
  <c r="N232" i="3" s="1"/>
  <c r="M233" i="3" l="1"/>
  <c r="N233" i="3" s="1" a="1"/>
  <c r="N233" i="3" s="1"/>
  <c r="M234" i="3" l="1"/>
  <c r="N234" i="3" s="1" a="1"/>
  <c r="N234" i="3" s="1"/>
  <c r="M235" i="3" l="1"/>
  <c r="N235" i="3" s="1" a="1"/>
  <c r="N235" i="3" s="1"/>
  <c r="M236" i="3" l="1"/>
  <c r="N236" i="3" s="1" a="1"/>
  <c r="N236" i="3" s="1"/>
  <c r="M237" i="3" l="1"/>
  <c r="N237" i="3" s="1" a="1"/>
  <c r="N237" i="3" s="1"/>
  <c r="M238" i="3" l="1"/>
  <c r="N238" i="3" s="1" a="1"/>
  <c r="N238" i="3" s="1"/>
  <c r="M239" i="3" l="1"/>
  <c r="N239" i="3" s="1" a="1"/>
  <c r="N239" i="3" s="1"/>
  <c r="M240" i="3" l="1"/>
  <c r="N240" i="3" s="1" a="1"/>
  <c r="N240" i="3" s="1"/>
  <c r="M241" i="3" l="1"/>
  <c r="N241" i="3" s="1" a="1"/>
  <c r="N241" i="3" s="1"/>
  <c r="M242" i="3" l="1"/>
  <c r="N242" i="3" s="1" a="1"/>
  <c r="N242" i="3" s="1"/>
  <c r="M243" i="3" l="1"/>
  <c r="N243" i="3" s="1" a="1"/>
  <c r="N243" i="3" s="1"/>
  <c r="M244" i="3" l="1"/>
  <c r="N244" i="3" s="1" a="1"/>
  <c r="N244" i="3" s="1"/>
  <c r="M245" i="3" l="1"/>
  <c r="N245" i="3" s="1" a="1"/>
  <c r="N245" i="3" s="1"/>
  <c r="M246" i="3" l="1"/>
  <c r="N246" i="3" s="1" a="1"/>
  <c r="N246" i="3" s="1"/>
  <c r="M247" i="3" l="1"/>
  <c r="N247" i="3" s="1" a="1"/>
  <c r="N247" i="3" s="1"/>
  <c r="M248" i="3" l="1"/>
  <c r="N248" i="3" s="1" a="1"/>
  <c r="N248" i="3" s="1"/>
  <c r="M249" i="3" l="1"/>
  <c r="N249" i="3" s="1" a="1"/>
  <c r="N249" i="3" s="1"/>
  <c r="M250" i="3" l="1"/>
  <c r="N250" i="3" s="1" a="1"/>
  <c r="N250" i="3" s="1"/>
  <c r="M251" i="3" l="1"/>
  <c r="N251" i="3" s="1" a="1"/>
  <c r="N251" i="3" s="1"/>
  <c r="M252" i="3" l="1"/>
  <c r="N252" i="3" s="1" a="1"/>
  <c r="N252" i="3" s="1"/>
  <c r="M253" i="3" l="1"/>
  <c r="N253" i="3" s="1" a="1"/>
  <c r="N253" i="3" s="1"/>
  <c r="M254" i="3" l="1"/>
  <c r="N254" i="3" s="1" a="1"/>
  <c r="N254" i="3" s="1"/>
  <c r="M255" i="3" l="1"/>
  <c r="N255" i="3" s="1" a="1"/>
  <c r="N255" i="3" s="1"/>
  <c r="M256" i="3" l="1"/>
  <c r="N256" i="3" s="1" a="1"/>
  <c r="N256" i="3" s="1"/>
  <c r="M257" i="3" l="1"/>
  <c r="N257" i="3" s="1" a="1"/>
  <c r="N257" i="3" s="1"/>
  <c r="M258" i="3" l="1"/>
  <c r="N258" i="3" s="1" a="1"/>
  <c r="N258" i="3" s="1"/>
  <c r="M259" i="3" l="1"/>
  <c r="N259" i="3" s="1" a="1"/>
  <c r="N259" i="3" s="1"/>
  <c r="M260" i="3" l="1"/>
  <c r="N260" i="3" s="1" a="1"/>
  <c r="N260" i="3" s="1"/>
  <c r="M261" i="3" l="1"/>
  <c r="N261" i="3" s="1" a="1"/>
  <c r="N261" i="3" s="1"/>
  <c r="M262" i="3" l="1"/>
  <c r="N262" i="3" s="1" a="1"/>
  <c r="N262" i="3" s="1"/>
  <c r="M263" i="3" l="1"/>
  <c r="N263" i="3" s="1" a="1"/>
  <c r="N263" i="3" s="1"/>
  <c r="M264" i="3" l="1"/>
  <c r="N264" i="3" s="1" a="1"/>
  <c r="N264" i="3" s="1"/>
  <c r="M265" i="3" l="1"/>
  <c r="N265" i="3" s="1" a="1"/>
  <c r="N265" i="3" s="1"/>
  <c r="M266" i="3" l="1"/>
  <c r="N266" i="3" s="1" a="1"/>
  <c r="N266" i="3" s="1"/>
  <c r="M267" i="3" l="1"/>
  <c r="N267" i="3" s="1" a="1"/>
  <c r="N267" i="3" s="1"/>
  <c r="M268" i="3" l="1"/>
  <c r="N268" i="3" s="1" a="1"/>
  <c r="N268" i="3" s="1"/>
  <c r="M269" i="3" l="1"/>
  <c r="N269" i="3" s="1" a="1"/>
  <c r="N269" i="3" s="1"/>
  <c r="M270" i="3" l="1"/>
  <c r="N270" i="3" s="1" a="1"/>
  <c r="N270" i="3" s="1"/>
  <c r="M271" i="3" l="1"/>
  <c r="N271" i="3" s="1" a="1"/>
  <c r="N271" i="3" s="1"/>
  <c r="M272" i="3" l="1"/>
  <c r="N272" i="3" s="1" a="1"/>
  <c r="N272" i="3" s="1"/>
  <c r="M273" i="3" l="1"/>
  <c r="N273" i="3" s="1" a="1"/>
  <c r="N273" i="3" s="1"/>
  <c r="M274" i="3" l="1"/>
  <c r="N274" i="3" s="1" a="1"/>
  <c r="N274" i="3" s="1"/>
  <c r="M275" i="3" l="1"/>
  <c r="N275" i="3" s="1" a="1"/>
  <c r="N275" i="3" s="1"/>
  <c r="M276" i="3" l="1"/>
  <c r="N276" i="3" s="1" a="1"/>
  <c r="N276" i="3" s="1"/>
  <c r="M277" i="3" l="1"/>
  <c r="N277" i="3" s="1" a="1"/>
  <c r="N277" i="3" s="1"/>
  <c r="M278" i="3" l="1"/>
  <c r="N278" i="3" s="1" a="1"/>
  <c r="N278" i="3" s="1"/>
  <c r="M279" i="3" l="1"/>
  <c r="N279" i="3" s="1" a="1"/>
  <c r="N279" i="3" s="1"/>
  <c r="M280" i="3" l="1"/>
  <c r="N280" i="3" s="1" a="1"/>
  <c r="N280" i="3" s="1"/>
  <c r="M281" i="3" l="1"/>
  <c r="N281" i="3" s="1" a="1"/>
  <c r="N281" i="3" s="1"/>
  <c r="M282" i="3" l="1"/>
  <c r="N282" i="3" s="1" a="1"/>
  <c r="N282" i="3" s="1"/>
  <c r="M283" i="3" l="1"/>
  <c r="N283" i="3" s="1" a="1"/>
  <c r="N283" i="3" s="1"/>
  <c r="M284" i="3" l="1"/>
  <c r="N284" i="3" s="1" a="1"/>
  <c r="N284" i="3" s="1"/>
  <c r="M285" i="3" l="1"/>
  <c r="N285" i="3" s="1" a="1"/>
  <c r="N285" i="3" s="1"/>
  <c r="M286" i="3" l="1"/>
  <c r="N286" i="3" s="1" a="1"/>
  <c r="N286" i="3" s="1"/>
  <c r="M287" i="3" l="1"/>
  <c r="N287" i="3" s="1" a="1"/>
  <c r="N287" i="3" s="1"/>
  <c r="M288" i="3" l="1"/>
  <c r="N288" i="3" s="1" a="1"/>
  <c r="N288" i="3" s="1"/>
  <c r="M289" i="3" l="1"/>
  <c r="N289" i="3" s="1" a="1"/>
  <c r="N289" i="3" s="1"/>
  <c r="M290" i="3" l="1"/>
  <c r="N290" i="3" s="1" a="1"/>
  <c r="N290" i="3" s="1"/>
  <c r="M291" i="3" l="1"/>
  <c r="N291" i="3" s="1" a="1"/>
  <c r="N291" i="3" s="1"/>
  <c r="M292" i="3" l="1"/>
  <c r="N292" i="3" s="1" a="1"/>
  <c r="N292" i="3" s="1"/>
  <c r="M293" i="3" l="1"/>
  <c r="N293" i="3" s="1" a="1"/>
  <c r="N293" i="3" s="1"/>
  <c r="M294" i="3" l="1"/>
  <c r="N294" i="3" s="1" a="1"/>
  <c r="N294" i="3" s="1"/>
  <c r="M295" i="3" l="1"/>
  <c r="N295" i="3" s="1" a="1"/>
  <c r="N295" i="3" s="1"/>
  <c r="M296" i="3" l="1"/>
  <c r="N296" i="3" s="1" a="1"/>
  <c r="N296" i="3" s="1"/>
  <c r="M297" i="3" l="1"/>
  <c r="N297" i="3" s="1" a="1"/>
  <c r="N297" i="3" s="1"/>
  <c r="M298" i="3" l="1"/>
  <c r="N298" i="3" s="1" a="1"/>
  <c r="N298" i="3" s="1"/>
  <c r="M299" i="3" l="1"/>
  <c r="N299" i="3" s="1" a="1"/>
  <c r="N299" i="3" s="1"/>
  <c r="M300" i="3" l="1"/>
  <c r="N300" i="3" s="1" a="1"/>
  <c r="N300" i="3" s="1"/>
  <c r="M301" i="3" l="1"/>
  <c r="N301" i="3" s="1" a="1"/>
  <c r="N301" i="3" s="1"/>
  <c r="M302" i="3" l="1"/>
  <c r="N302" i="3" s="1" a="1"/>
  <c r="N302" i="3" s="1"/>
  <c r="M303" i="3" l="1"/>
  <c r="N303" i="3" s="1" a="1"/>
  <c r="N303" i="3" s="1"/>
  <c r="M304" i="3" l="1"/>
  <c r="N304" i="3" s="1" a="1"/>
  <c r="N304" i="3" s="1"/>
  <c r="M305" i="3" l="1"/>
  <c r="N305" i="3" s="1" a="1"/>
  <c r="N305" i="3" s="1"/>
  <c r="M306" i="3" l="1"/>
  <c r="N306" i="3" s="1" a="1"/>
  <c r="N306" i="3" s="1"/>
  <c r="M307" i="3" l="1"/>
  <c r="N307" i="3" s="1" a="1"/>
  <c r="N307" i="3" s="1"/>
  <c r="M308" i="3" l="1"/>
  <c r="N308" i="3" s="1" a="1"/>
  <c r="N308" i="3" s="1"/>
  <c r="M309" i="3" l="1"/>
  <c r="N309" i="3" s="1" a="1"/>
  <c r="N309" i="3" s="1"/>
  <c r="M310" i="3" l="1"/>
  <c r="N310" i="3" s="1" a="1"/>
  <c r="N310" i="3" s="1"/>
  <c r="M311" i="3" l="1"/>
  <c r="N311" i="3" s="1" a="1"/>
  <c r="N311" i="3" s="1"/>
  <c r="M312" i="3" l="1"/>
  <c r="N312" i="3" s="1" a="1"/>
  <c r="N312" i="3" s="1"/>
  <c r="M313" i="3" l="1"/>
  <c r="N313" i="3" s="1" a="1"/>
  <c r="N313" i="3" s="1"/>
  <c r="M314" i="3" l="1"/>
  <c r="N314" i="3" s="1" a="1"/>
  <c r="N314" i="3" s="1"/>
  <c r="M315" i="3" l="1"/>
  <c r="N315" i="3" s="1" a="1"/>
  <c r="N315" i="3" s="1"/>
  <c r="M316" i="3" l="1"/>
  <c r="N316" i="3" s="1" a="1"/>
  <c r="N316" i="3" s="1"/>
  <c r="M317" i="3" l="1"/>
  <c r="N317" i="3" s="1" a="1"/>
  <c r="N317" i="3" s="1"/>
  <c r="M318" i="3" l="1"/>
  <c r="N318" i="3" s="1" a="1"/>
  <c r="N318" i="3" s="1"/>
  <c r="M319" i="3" l="1"/>
  <c r="N319" i="3" s="1" a="1"/>
  <c r="N319" i="3" s="1"/>
  <c r="M320" i="3" l="1"/>
  <c r="N320" i="3" s="1" a="1"/>
  <c r="N320" i="3" s="1"/>
  <c r="M321" i="3" l="1"/>
  <c r="N321" i="3" s="1" a="1"/>
  <c r="N321" i="3" s="1"/>
  <c r="M322" i="3" l="1"/>
  <c r="N322" i="3" s="1" a="1"/>
  <c r="N322" i="3" s="1"/>
  <c r="M323" i="3" l="1"/>
  <c r="N323" i="3" s="1" a="1"/>
  <c r="N323" i="3" s="1"/>
  <c r="M324" i="3" l="1"/>
  <c r="N324" i="3" s="1" a="1"/>
  <c r="N324" i="3" s="1"/>
  <c r="M325" i="3" l="1"/>
  <c r="N325" i="3" s="1" a="1"/>
  <c r="N325" i="3" s="1"/>
  <c r="M326" i="3" l="1"/>
  <c r="N326" i="3" s="1" a="1"/>
  <c r="N326" i="3" s="1"/>
  <c r="M327" i="3" l="1"/>
  <c r="N327" i="3" s="1" a="1"/>
  <c r="N327" i="3" s="1"/>
  <c r="M328" i="3" l="1"/>
  <c r="N328" i="3" s="1" a="1"/>
  <c r="N328" i="3" s="1"/>
  <c r="M329" i="3" l="1"/>
  <c r="N329" i="3" s="1" a="1"/>
  <c r="N329" i="3" s="1"/>
  <c r="M330" i="3" l="1"/>
  <c r="N330" i="3" s="1" a="1"/>
  <c r="N330" i="3" s="1"/>
  <c r="M331" i="3" l="1"/>
  <c r="N331" i="3" s="1" a="1"/>
  <c r="N331" i="3" s="1"/>
  <c r="M332" i="3" l="1"/>
  <c r="N332" i="3" s="1" a="1"/>
  <c r="N332" i="3" s="1"/>
  <c r="M333" i="3" l="1"/>
  <c r="N333" i="3" s="1" a="1"/>
  <c r="N333" i="3" s="1"/>
  <c r="M334" i="3" l="1"/>
  <c r="N334" i="3" s="1" a="1"/>
  <c r="N334" i="3" s="1"/>
  <c r="M335" i="3" l="1"/>
  <c r="N335" i="3" s="1" a="1"/>
  <c r="N335" i="3" s="1"/>
  <c r="M336" i="3" l="1"/>
  <c r="N336" i="3" s="1" a="1"/>
  <c r="N336" i="3" s="1"/>
  <c r="M337" i="3" l="1"/>
  <c r="N337" i="3" s="1" a="1"/>
  <c r="N337" i="3" s="1"/>
  <c r="M338" i="3" l="1"/>
  <c r="N338" i="3" s="1" a="1"/>
  <c r="N338" i="3" s="1"/>
  <c r="M339" i="3" l="1"/>
  <c r="N339" i="3" s="1" a="1"/>
  <c r="N339" i="3" s="1"/>
  <c r="M340" i="3" l="1"/>
  <c r="N340" i="3" s="1" a="1"/>
  <c r="N340" i="3" s="1"/>
  <c r="M341" i="3" l="1"/>
  <c r="N341" i="3" s="1" a="1"/>
  <c r="N341" i="3" s="1"/>
  <c r="M342" i="3" l="1"/>
  <c r="N342" i="3" s="1" a="1"/>
  <c r="N342" i="3" s="1"/>
  <c r="M343" i="3" l="1"/>
  <c r="N343" i="3" s="1" a="1"/>
  <c r="N343" i="3" s="1"/>
  <c r="M344" i="3" l="1"/>
  <c r="N344" i="3" s="1" a="1"/>
  <c r="N344" i="3" s="1"/>
  <c r="M345" i="3" l="1"/>
  <c r="N345" i="3" s="1" a="1"/>
  <c r="N345" i="3" s="1"/>
  <c r="M346" i="3" l="1"/>
  <c r="N346" i="3" s="1" a="1"/>
  <c r="N346" i="3" s="1"/>
  <c r="M347" i="3" l="1"/>
  <c r="N347" i="3" s="1" a="1"/>
  <c r="N347" i="3" s="1"/>
  <c r="M348" i="3" l="1"/>
  <c r="N348" i="3" s="1" a="1"/>
  <c r="N348" i="3" s="1"/>
  <c r="M349" i="3" l="1"/>
  <c r="N349" i="3" s="1" a="1"/>
  <c r="N349" i="3" s="1"/>
  <c r="M350" i="3" l="1"/>
  <c r="N350" i="3" s="1" a="1"/>
  <c r="N350" i="3" s="1"/>
  <c r="M351" i="3" l="1"/>
  <c r="N351" i="3" s="1" a="1"/>
  <c r="N351" i="3" s="1"/>
  <c r="M352" i="3" l="1"/>
  <c r="N352" i="3" s="1" a="1"/>
  <c r="N352" i="3" s="1"/>
  <c r="M353" i="3" l="1"/>
  <c r="N353" i="3" s="1" a="1"/>
  <c r="N353" i="3" s="1"/>
  <c r="M354" i="3" l="1"/>
  <c r="N354" i="3" s="1" a="1"/>
  <c r="N354" i="3" s="1"/>
  <c r="M355" i="3" l="1"/>
  <c r="N355" i="3" s="1" a="1"/>
  <c r="N355" i="3" s="1"/>
  <c r="M356" i="3" l="1"/>
  <c r="N356" i="3" s="1" a="1"/>
  <c r="N356" i="3" s="1"/>
  <c r="M357" i="3" l="1"/>
  <c r="N357" i="3" s="1" a="1"/>
  <c r="N357" i="3" s="1"/>
  <c r="M358" i="3" l="1"/>
  <c r="N358" i="3" s="1" a="1"/>
  <c r="N358" i="3" s="1"/>
  <c r="M359" i="3" l="1"/>
  <c r="N359" i="3" s="1" a="1"/>
  <c r="N359" i="3" s="1"/>
  <c r="M360" i="3" l="1"/>
  <c r="N360" i="3" s="1" a="1"/>
  <c r="N360" i="3" s="1"/>
  <c r="M361" i="3" l="1"/>
  <c r="N361" i="3" s="1" a="1"/>
  <c r="N361" i="3" s="1"/>
  <c r="M362" i="3" l="1"/>
  <c r="N362" i="3" s="1" a="1"/>
  <c r="N362" i="3" s="1"/>
  <c r="M363" i="3" l="1"/>
  <c r="N363" i="3" s="1" a="1"/>
  <c r="N363" i="3" s="1"/>
  <c r="M364" i="3" l="1"/>
  <c r="N364" i="3" s="1" a="1"/>
  <c r="N364" i="3" s="1"/>
  <c r="M365" i="3" l="1"/>
  <c r="N365" i="3" s="1" a="1"/>
  <c r="N365" i="3" s="1"/>
  <c r="M366" i="3" l="1"/>
  <c r="N366" i="3" s="1" a="1"/>
  <c r="N366" i="3" s="1"/>
  <c r="M367" i="3" l="1"/>
  <c r="N367" i="3" s="1" a="1"/>
  <c r="N367" i="3" s="1"/>
  <c r="M368" i="3" l="1"/>
  <c r="N368" i="3" s="1" a="1"/>
  <c r="N368" i="3" s="1"/>
  <c r="M369" i="3" l="1"/>
  <c r="N369" i="3" s="1" a="1"/>
  <c r="N369" i="3" s="1"/>
  <c r="M370" i="3" l="1"/>
  <c r="N370" i="3" s="1" a="1"/>
  <c r="N370" i="3" s="1"/>
  <c r="M371" i="3" l="1"/>
  <c r="N371" i="3" s="1" a="1"/>
  <c r="N371" i="3" s="1"/>
  <c r="M372" i="3" l="1"/>
  <c r="N372" i="3" s="1" a="1"/>
  <c r="N372" i="3" s="1"/>
  <c r="M373" i="3" l="1"/>
  <c r="N373" i="3" s="1" a="1"/>
  <c r="N373" i="3" s="1"/>
  <c r="M374" i="3" l="1"/>
  <c r="N374" i="3" s="1" a="1"/>
  <c r="N374" i="3" s="1"/>
  <c r="M375" i="3" l="1"/>
  <c r="N375" i="3" s="1" a="1"/>
  <c r="N375" i="3" s="1"/>
  <c r="M376" i="3" l="1"/>
  <c r="N376" i="3" s="1" a="1"/>
  <c r="N376" i="3" s="1"/>
  <c r="M377" i="3" l="1"/>
  <c r="N377" i="3" s="1" a="1"/>
  <c r="N377" i="3" s="1"/>
  <c r="M378" i="3" l="1"/>
  <c r="N378" i="3" s="1" a="1"/>
  <c r="N378" i="3" s="1"/>
  <c r="M379" i="3" l="1"/>
  <c r="N379" i="3" s="1" a="1"/>
  <c r="N379" i="3" s="1"/>
  <c r="M380" i="3" l="1"/>
  <c r="N380" i="3" s="1" a="1"/>
  <c r="N380" i="3" s="1"/>
  <c r="M381" i="3" l="1"/>
  <c r="N381" i="3" s="1" a="1"/>
  <c r="N381" i="3" s="1"/>
  <c r="M382" i="3" l="1"/>
  <c r="N382" i="3" s="1" a="1"/>
  <c r="N382" i="3" s="1"/>
  <c r="M383" i="3" l="1"/>
  <c r="N383" i="3" s="1" a="1"/>
  <c r="N383" i="3" s="1"/>
  <c r="M384" i="3" l="1"/>
  <c r="N384" i="3" s="1" a="1"/>
  <c r="N384" i="3" s="1"/>
  <c r="M385" i="3" l="1"/>
  <c r="N385" i="3" s="1" a="1"/>
  <c r="N385" i="3" s="1"/>
  <c r="M386" i="3" l="1"/>
  <c r="N386" i="3" s="1" a="1"/>
  <c r="N386" i="3" s="1"/>
  <c r="M387" i="3" l="1"/>
  <c r="N387" i="3" s="1" a="1"/>
  <c r="N387" i="3" s="1"/>
  <c r="M388" i="3" l="1"/>
  <c r="N388" i="3" s="1" a="1"/>
  <c r="N388" i="3" s="1"/>
  <c r="M389" i="3" l="1"/>
  <c r="N389" i="3" s="1" a="1"/>
  <c r="N389" i="3" s="1"/>
  <c r="M390" i="3" l="1"/>
  <c r="N390" i="3" s="1" a="1"/>
  <c r="N390" i="3" s="1"/>
  <c r="M391" i="3" l="1"/>
  <c r="N391" i="3" s="1" a="1"/>
  <c r="N391" i="3" s="1"/>
  <c r="M392" i="3" l="1"/>
  <c r="N392" i="3" s="1" a="1"/>
  <c r="N392" i="3" s="1"/>
  <c r="M393" i="3" l="1"/>
  <c r="N393" i="3" s="1" a="1"/>
  <c r="N393" i="3" s="1"/>
  <c r="M394" i="3" l="1"/>
  <c r="N394" i="3" s="1" a="1"/>
  <c r="N394" i="3" s="1"/>
  <c r="M395" i="3" l="1"/>
  <c r="N395" i="3" s="1" a="1"/>
  <c r="N395" i="3" s="1"/>
  <c r="M396" i="3" l="1"/>
  <c r="N396" i="3" s="1" a="1"/>
  <c r="N396" i="3" s="1"/>
  <c r="M397" i="3" l="1"/>
  <c r="N397" i="3" s="1" a="1"/>
  <c r="N397" i="3" s="1"/>
  <c r="M398" i="3" l="1"/>
  <c r="N398" i="3" s="1" a="1"/>
  <c r="N398" i="3" s="1"/>
  <c r="M399" i="3" l="1"/>
  <c r="N399" i="3" s="1" a="1"/>
  <c r="N399" i="3" s="1"/>
  <c r="M400" i="3" l="1"/>
  <c r="N400" i="3" s="1" a="1"/>
  <c r="N400" i="3" s="1"/>
  <c r="M401" i="3" l="1"/>
  <c r="N401" i="3" s="1" a="1"/>
  <c r="N401" i="3" s="1"/>
  <c r="M402" i="3" l="1"/>
  <c r="N402" i="3" s="1" a="1"/>
  <c r="N402" i="3" s="1"/>
  <c r="M403" i="3" l="1"/>
  <c r="N403" i="3" s="1" a="1"/>
  <c r="N403" i="3" s="1"/>
  <c r="M404" i="3" l="1"/>
  <c r="N404" i="3" s="1" a="1"/>
  <c r="N404" i="3" s="1"/>
  <c r="M405" i="3" l="1"/>
  <c r="N405" i="3" s="1" a="1"/>
  <c r="N405" i="3" s="1"/>
  <c r="M406" i="3" l="1"/>
  <c r="N406" i="3" s="1" a="1"/>
  <c r="N406" i="3" s="1"/>
  <c r="M407" i="3" l="1"/>
  <c r="N407" i="3" s="1" a="1"/>
  <c r="N407" i="3" s="1"/>
  <c r="M408" i="3" l="1"/>
  <c r="N408" i="3" s="1" a="1"/>
  <c r="N408" i="3" s="1"/>
  <c r="M409" i="3" l="1"/>
  <c r="N409" i="3" s="1" a="1"/>
  <c r="N409" i="3" s="1"/>
  <c r="M410" i="3" l="1"/>
  <c r="N410" i="3" s="1" a="1"/>
  <c r="N410" i="3" s="1"/>
  <c r="M411" i="3" l="1"/>
  <c r="N411" i="3" s="1" a="1"/>
  <c r="N411" i="3" s="1"/>
  <c r="M412" i="3" l="1"/>
  <c r="N412" i="3" s="1" a="1"/>
  <c r="N412" i="3" s="1"/>
  <c r="M413" i="3" l="1"/>
  <c r="N413" i="3" s="1" a="1"/>
  <c r="N413" i="3" s="1"/>
  <c r="M414" i="3" l="1"/>
  <c r="N414" i="3" s="1" a="1"/>
  <c r="N414" i="3" s="1"/>
  <c r="M415" i="3" l="1"/>
  <c r="N415" i="3" s="1" a="1"/>
  <c r="N415" i="3" s="1"/>
  <c r="M416" i="3" l="1"/>
  <c r="N416" i="3" s="1" a="1"/>
  <c r="N416" i="3" s="1"/>
  <c r="M417" i="3" l="1"/>
  <c r="N417" i="3" s="1" a="1"/>
  <c r="N417" i="3" s="1"/>
  <c r="M418" i="3" l="1"/>
  <c r="N418" i="3" s="1" a="1"/>
  <c r="N418" i="3" s="1"/>
  <c r="M419" i="3" l="1"/>
  <c r="N419" i="3" s="1" a="1"/>
  <c r="N419" i="3" s="1"/>
  <c r="M420" i="3" l="1"/>
  <c r="N420" i="3" s="1" a="1"/>
  <c r="N420" i="3" s="1"/>
  <c r="M421" i="3" l="1"/>
  <c r="N421" i="3" s="1" a="1"/>
  <c r="N421" i="3" s="1"/>
  <c r="M422" i="3" l="1"/>
  <c r="N422" i="3" s="1" a="1"/>
  <c r="N422" i="3" s="1"/>
  <c r="M423" i="3" l="1"/>
  <c r="N423" i="3" s="1" a="1"/>
  <c r="N423" i="3" s="1"/>
  <c r="M424" i="3" l="1"/>
  <c r="N424" i="3" s="1" a="1"/>
  <c r="N424" i="3" s="1"/>
  <c r="M425" i="3" l="1"/>
  <c r="N425" i="3" s="1" a="1"/>
  <c r="N425" i="3" s="1"/>
  <c r="M426" i="3" l="1"/>
  <c r="N426" i="3" s="1" a="1"/>
  <c r="N426" i="3" s="1"/>
  <c r="M427" i="3" l="1"/>
  <c r="N427" i="3" s="1" a="1"/>
  <c r="N427" i="3" s="1"/>
  <c r="M428" i="3" l="1"/>
  <c r="N428" i="3" s="1" a="1"/>
  <c r="N428" i="3" s="1"/>
  <c r="M429" i="3" l="1"/>
  <c r="N429" i="3" s="1" a="1"/>
  <c r="N429" i="3" s="1"/>
  <c r="M430" i="3" l="1"/>
  <c r="N430" i="3" s="1" a="1"/>
  <c r="N430" i="3" s="1"/>
  <c r="M431" i="3" l="1"/>
  <c r="N431" i="3" s="1" a="1"/>
  <c r="N431" i="3" s="1"/>
  <c r="M432" i="3" l="1"/>
  <c r="N432" i="3" s="1" a="1"/>
  <c r="N432" i="3" s="1"/>
  <c r="M433" i="3" l="1"/>
  <c r="N433" i="3" s="1" a="1"/>
  <c r="N433" i="3" s="1"/>
  <c r="M434" i="3" l="1"/>
  <c r="N434" i="3" s="1" a="1"/>
  <c r="N434" i="3" s="1"/>
  <c r="M435" i="3" l="1"/>
  <c r="N435" i="3" s="1" a="1"/>
  <c r="N435" i="3" s="1"/>
  <c r="M436" i="3" l="1"/>
  <c r="N436" i="3" s="1" a="1"/>
  <c r="N436" i="3" s="1"/>
  <c r="M437" i="3" l="1"/>
  <c r="N437" i="3" s="1" a="1"/>
  <c r="N437" i="3" s="1"/>
  <c r="M438" i="3" l="1"/>
  <c r="N438" i="3" s="1" a="1"/>
  <c r="N438" i="3" s="1"/>
  <c r="M439" i="3" l="1"/>
  <c r="N439" i="3" s="1" a="1"/>
  <c r="N439" i="3" s="1"/>
  <c r="M440" i="3" l="1"/>
  <c r="N440" i="3" s="1" a="1"/>
  <c r="N440" i="3" s="1"/>
  <c r="M441" i="3" l="1"/>
  <c r="N441" i="3" s="1" a="1"/>
  <c r="N441" i="3" s="1"/>
  <c r="M442" i="3" l="1"/>
  <c r="N442" i="3" s="1" a="1"/>
  <c r="N442" i="3" s="1"/>
  <c r="M443" i="3" l="1"/>
  <c r="N443" i="3" s="1" a="1"/>
  <c r="N443" i="3" s="1"/>
  <c r="M444" i="3" l="1"/>
  <c r="N444" i="3" s="1" a="1"/>
  <c r="N444" i="3" s="1"/>
  <c r="M445" i="3" l="1"/>
  <c r="N445" i="3" s="1" a="1"/>
  <c r="N445" i="3" s="1"/>
  <c r="M446" i="3" l="1"/>
  <c r="N446" i="3" s="1" a="1"/>
  <c r="N446" i="3" s="1"/>
  <c r="M447" i="3" l="1"/>
  <c r="N447" i="3" s="1" a="1"/>
  <c r="N447" i="3" s="1"/>
  <c r="M448" i="3" l="1"/>
  <c r="N448" i="3" s="1" a="1"/>
  <c r="N448" i="3" s="1"/>
  <c r="M449" i="3" l="1"/>
  <c r="N449" i="3" s="1" a="1"/>
  <c r="N449" i="3" s="1"/>
  <c r="M450" i="3" l="1"/>
  <c r="N450" i="3" s="1" a="1"/>
  <c r="N450" i="3" s="1"/>
  <c r="M451" i="3" l="1"/>
  <c r="N451" i="3" s="1" a="1"/>
  <c r="N451" i="3" s="1"/>
  <c r="M452" i="3" l="1"/>
  <c r="N452" i="3" s="1" a="1"/>
  <c r="N452" i="3" s="1"/>
  <c r="M453" i="3" l="1"/>
  <c r="N453" i="3" s="1" a="1"/>
  <c r="N453" i="3" s="1"/>
  <c r="M454" i="3" l="1"/>
  <c r="N454" i="3" s="1" a="1"/>
  <c r="N454" i="3" s="1"/>
  <c r="M455" i="3" l="1"/>
  <c r="N455" i="3" s="1" a="1"/>
  <c r="N455" i="3" s="1"/>
  <c r="M456" i="3" l="1"/>
  <c r="N456" i="3" s="1" a="1"/>
  <c r="N456" i="3" s="1"/>
  <c r="M457" i="3" l="1"/>
  <c r="N457" i="3" s="1" a="1"/>
  <c r="N457" i="3" s="1"/>
  <c r="M458" i="3" l="1"/>
  <c r="N458" i="3" s="1" a="1"/>
  <c r="N458" i="3" s="1"/>
  <c r="M459" i="3" l="1"/>
  <c r="N459" i="3" s="1" a="1"/>
  <c r="N459" i="3" s="1"/>
  <c r="M460" i="3" l="1"/>
  <c r="N460" i="3" s="1" a="1"/>
  <c r="N460" i="3" s="1"/>
  <c r="M461" i="3" l="1"/>
  <c r="N461" i="3" s="1" a="1"/>
  <c r="N461" i="3" s="1"/>
  <c r="M462" i="3" l="1"/>
  <c r="N462" i="3" s="1" a="1"/>
  <c r="N462" i="3" s="1"/>
  <c r="M463" i="3" l="1"/>
  <c r="N463" i="3" s="1" a="1"/>
  <c r="N463" i="3" s="1"/>
  <c r="M464" i="3" l="1"/>
  <c r="N464" i="3" s="1" a="1"/>
  <c r="N464" i="3" s="1"/>
  <c r="M465" i="3" l="1"/>
  <c r="N465" i="3" s="1" a="1"/>
  <c r="N465" i="3" s="1"/>
  <c r="M466" i="3" l="1"/>
  <c r="N466" i="3" s="1" a="1"/>
  <c r="N466" i="3" s="1"/>
  <c r="M467" i="3" l="1"/>
  <c r="N467" i="3" s="1" a="1"/>
  <c r="N467" i="3" s="1"/>
  <c r="M468" i="3" l="1"/>
  <c r="N468" i="3" s="1" a="1"/>
  <c r="N468" i="3" s="1"/>
  <c r="M469" i="3" l="1"/>
  <c r="N469" i="3" s="1" a="1"/>
  <c r="N469" i="3" s="1"/>
  <c r="M470" i="3" l="1"/>
  <c r="N470" i="3" s="1" a="1"/>
  <c r="N470" i="3" s="1"/>
  <c r="M471" i="3" l="1"/>
  <c r="N471" i="3" s="1" a="1"/>
  <c r="N471" i="3" s="1"/>
  <c r="M472" i="3" l="1"/>
  <c r="N472" i="3" s="1" a="1"/>
  <c r="N472" i="3" s="1"/>
  <c r="M473" i="3" l="1"/>
  <c r="N473" i="3" s="1" a="1"/>
  <c r="N473" i="3" s="1"/>
  <c r="M474" i="3" l="1"/>
  <c r="N474" i="3" s="1" a="1"/>
  <c r="N474" i="3" s="1"/>
  <c r="M475" i="3" l="1"/>
  <c r="N475" i="3" s="1" a="1"/>
  <c r="N475" i="3" s="1"/>
  <c r="M476" i="3" l="1"/>
  <c r="N476" i="3" s="1" a="1"/>
  <c r="N476" i="3" s="1"/>
  <c r="M477" i="3" l="1"/>
  <c r="N477" i="3" s="1" a="1"/>
  <c r="N477" i="3" s="1"/>
  <c r="M478" i="3" l="1"/>
  <c r="N478" i="3" s="1" a="1"/>
  <c r="N478" i="3" s="1"/>
  <c r="M479" i="3" l="1"/>
  <c r="N479" i="3" s="1" a="1"/>
  <c r="N479" i="3" s="1"/>
  <c r="M480" i="3" l="1"/>
  <c r="N480" i="3" s="1" a="1"/>
  <c r="N480" i="3" s="1"/>
  <c r="M481" i="3" l="1"/>
  <c r="N481" i="3" s="1" a="1"/>
  <c r="N481" i="3" s="1"/>
  <c r="M482" i="3" l="1"/>
  <c r="N482" i="3" s="1" a="1"/>
  <c r="N482" i="3" s="1"/>
  <c r="M483" i="3" l="1"/>
  <c r="N483" i="3" s="1" a="1"/>
  <c r="N483" i="3" s="1"/>
  <c r="M484" i="3" l="1"/>
  <c r="N484" i="3" s="1" a="1"/>
  <c r="N484" i="3" s="1"/>
  <c r="M485" i="3" l="1"/>
  <c r="N485" i="3" s="1" a="1"/>
  <c r="N485" i="3" s="1"/>
  <c r="M486" i="3" l="1"/>
  <c r="N486" i="3" s="1" a="1"/>
  <c r="N486" i="3" s="1"/>
  <c r="M487" i="3" l="1"/>
  <c r="N487" i="3" s="1" a="1"/>
  <c r="N487" i="3" s="1"/>
  <c r="M488" i="3" l="1"/>
  <c r="N488" i="3" s="1" a="1"/>
  <c r="N488" i="3" s="1"/>
  <c r="M489" i="3" l="1"/>
  <c r="N489" i="3" s="1" a="1"/>
  <c r="N489" i="3" s="1"/>
  <c r="M490" i="3" l="1"/>
  <c r="N490" i="3" s="1" a="1"/>
  <c r="N490" i="3" s="1"/>
  <c r="M491" i="3" l="1"/>
  <c r="N491" i="3" s="1" a="1"/>
  <c r="N491" i="3" s="1"/>
  <c r="M492" i="3" l="1"/>
  <c r="N492" i="3" s="1" a="1"/>
  <c r="N492" i="3" s="1"/>
  <c r="M493" i="3" l="1"/>
  <c r="N493" i="3" s="1" a="1"/>
  <c r="N493" i="3" s="1"/>
  <c r="M494" i="3" l="1"/>
  <c r="N494" i="3" s="1" a="1"/>
  <c r="N494" i="3" s="1"/>
  <c r="M495" i="3" l="1"/>
  <c r="N495" i="3" s="1" a="1"/>
  <c r="N495" i="3" s="1"/>
  <c r="M496" i="3" l="1"/>
  <c r="N496" i="3" s="1" a="1"/>
  <c r="N496" i="3" s="1"/>
  <c r="M497" i="3" l="1"/>
  <c r="N497" i="3" s="1" a="1"/>
  <c r="N497" i="3" s="1"/>
  <c r="M498" i="3" l="1"/>
  <c r="N498" i="3" s="1" a="1"/>
  <c r="N498" i="3" s="1"/>
  <c r="M499" i="3" l="1"/>
  <c r="N499" i="3" s="1" a="1"/>
  <c r="N499" i="3" s="1"/>
  <c r="M500" i="3" l="1"/>
  <c r="N500" i="3" s="1" a="1"/>
  <c r="N500" i="3" s="1"/>
  <c r="M501" i="3" l="1"/>
  <c r="N501" i="3" s="1" a="1"/>
  <c r="N501" i="3" s="1"/>
  <c r="M502" i="3" l="1"/>
  <c r="N502" i="3" s="1" a="1"/>
  <c r="N502" i="3" s="1"/>
  <c r="M503" i="3" l="1"/>
  <c r="N503" i="3" s="1" a="1"/>
  <c r="N503" i="3" s="1"/>
  <c r="M504" i="3" l="1"/>
  <c r="N504" i="3" s="1" a="1"/>
  <c r="N504" i="3" s="1"/>
  <c r="M505" i="3" l="1"/>
  <c r="N505" i="3" s="1" a="1"/>
  <c r="N505" i="3" s="1"/>
  <c r="M506" i="3" l="1"/>
  <c r="N506" i="3" s="1" a="1"/>
  <c r="N506" i="3" s="1"/>
  <c r="M507" i="3" l="1"/>
  <c r="N507" i="3" s="1" a="1"/>
  <c r="N507" i="3" s="1"/>
  <c r="M508" i="3" l="1"/>
  <c r="N508" i="3" s="1" a="1"/>
  <c r="N508" i="3" s="1"/>
  <c r="M509" i="3" l="1"/>
  <c r="N509" i="3" s="1" a="1"/>
  <c r="N509" i="3" s="1"/>
  <c r="M510" i="3" l="1"/>
  <c r="N510" i="3" s="1" a="1"/>
  <c r="N510" i="3" s="1"/>
  <c r="M511" i="3" l="1"/>
  <c r="N511" i="3" s="1" a="1"/>
  <c r="N511" i="3" s="1"/>
  <c r="M512" i="3" l="1"/>
  <c r="N512" i="3" s="1" a="1"/>
  <c r="N512" i="3" s="1"/>
  <c r="M513" i="3" l="1"/>
  <c r="N513" i="3" s="1" a="1"/>
  <c r="N513" i="3" s="1"/>
  <c r="M514" i="3" l="1"/>
  <c r="N514" i="3" s="1" a="1"/>
  <c r="N514" i="3" s="1"/>
  <c r="M515" i="3" l="1"/>
  <c r="N515" i="3" s="1" a="1"/>
  <c r="N515" i="3" s="1"/>
  <c r="M516" i="3" l="1"/>
  <c r="N516" i="3" s="1" a="1"/>
  <c r="N516" i="3" s="1"/>
  <c r="M517" i="3" l="1"/>
  <c r="N517" i="3" s="1" a="1"/>
  <c r="N517" i="3" s="1"/>
  <c r="M518" i="3" l="1"/>
  <c r="N518" i="3" s="1" a="1"/>
  <c r="N518" i="3" s="1"/>
  <c r="M519" i="3" l="1"/>
  <c r="N519" i="3" s="1" a="1"/>
  <c r="N519" i="3" s="1"/>
  <c r="M520" i="3" l="1"/>
  <c r="N520" i="3" s="1" a="1"/>
  <c r="N520" i="3" s="1"/>
  <c r="M521" i="3" l="1"/>
  <c r="N521" i="3" s="1" a="1"/>
  <c r="N521" i="3" s="1"/>
  <c r="M522" i="3" l="1"/>
  <c r="N522" i="3" s="1" a="1"/>
  <c r="N522" i="3" s="1"/>
  <c r="M523" i="3" l="1"/>
  <c r="N523" i="3" s="1" a="1"/>
  <c r="N523" i="3" s="1"/>
  <c r="M524" i="3" l="1"/>
  <c r="N524" i="3" s="1" a="1"/>
  <c r="N524" i="3" s="1"/>
  <c r="M525" i="3" l="1"/>
  <c r="N525" i="3" s="1" a="1"/>
  <c r="N525" i="3" s="1"/>
  <c r="M526" i="3" l="1"/>
  <c r="N526" i="3" s="1" a="1"/>
  <c r="N526" i="3" s="1"/>
  <c r="M527" i="3" l="1"/>
  <c r="N527" i="3" s="1" a="1"/>
  <c r="N527" i="3" s="1"/>
  <c r="M528" i="3" l="1"/>
  <c r="N528" i="3" s="1" a="1"/>
  <c r="N528" i="3" s="1"/>
  <c r="M529" i="3" l="1"/>
  <c r="N529" i="3" s="1" a="1"/>
  <c r="N529" i="3" s="1"/>
  <c r="M530" i="3" l="1"/>
  <c r="N530" i="3" s="1" a="1"/>
  <c r="N530" i="3" s="1"/>
  <c r="M531" i="3" l="1"/>
  <c r="N531" i="3" s="1" a="1"/>
  <c r="N531" i="3" s="1"/>
  <c r="M532" i="3" l="1"/>
  <c r="N532" i="3" s="1" a="1"/>
  <c r="N532" i="3" s="1"/>
  <c r="M533" i="3" l="1"/>
  <c r="N533" i="3" s="1" a="1"/>
  <c r="N533" i="3" s="1"/>
  <c r="M534" i="3" l="1"/>
  <c r="N534" i="3" s="1" a="1"/>
  <c r="N534" i="3" s="1"/>
  <c r="M535" i="3" l="1"/>
  <c r="N535" i="3" s="1" a="1"/>
  <c r="N535" i="3" s="1"/>
  <c r="M536" i="3" l="1"/>
  <c r="N536" i="3" s="1" a="1"/>
  <c r="N536" i="3" s="1"/>
  <c r="M537" i="3" l="1"/>
  <c r="N537" i="3" s="1" a="1"/>
  <c r="N537" i="3" s="1"/>
  <c r="M538" i="3" l="1"/>
  <c r="N538" i="3" s="1" a="1"/>
  <c r="N538" i="3" s="1"/>
  <c r="M539" i="3" l="1"/>
  <c r="N539" i="3" s="1" a="1"/>
  <c r="N539" i="3" s="1"/>
  <c r="M540" i="3" l="1"/>
  <c r="N540" i="3" s="1" a="1"/>
  <c r="N540" i="3" s="1"/>
  <c r="M541" i="3" l="1"/>
  <c r="N541" i="3" s="1" a="1"/>
  <c r="N541" i="3" s="1"/>
  <c r="M542" i="3" l="1"/>
  <c r="N542" i="3" s="1" a="1"/>
  <c r="N542" i="3" s="1"/>
  <c r="M543" i="3" l="1"/>
  <c r="N543" i="3" s="1" a="1"/>
  <c r="N543" i="3" s="1"/>
  <c r="M544" i="3" l="1"/>
  <c r="N544" i="3" s="1" a="1"/>
  <c r="N544" i="3" s="1"/>
  <c r="M545" i="3" l="1"/>
  <c r="N545" i="3" s="1" a="1"/>
  <c r="N545" i="3" s="1"/>
  <c r="M546" i="3" l="1"/>
  <c r="N546" i="3" s="1" a="1"/>
  <c r="N546" i="3" s="1"/>
  <c r="M547" i="3" l="1"/>
  <c r="N547" i="3" s="1" a="1"/>
  <c r="N547" i="3" s="1"/>
  <c r="M548" i="3" l="1"/>
  <c r="N548" i="3" s="1" a="1"/>
  <c r="N548" i="3" s="1"/>
  <c r="M549" i="3" l="1"/>
  <c r="N549" i="3" s="1" a="1"/>
  <c r="N549" i="3" s="1"/>
  <c r="M550" i="3" l="1"/>
  <c r="N550" i="3" s="1" a="1"/>
  <c r="N550" i="3" s="1"/>
  <c r="M551" i="3" l="1"/>
  <c r="N551" i="3" s="1" a="1"/>
  <c r="N551" i="3" s="1"/>
  <c r="M552" i="3" l="1"/>
  <c r="N552" i="3" s="1" a="1"/>
  <c r="N552" i="3" s="1"/>
  <c r="M553" i="3" l="1"/>
  <c r="N553" i="3" s="1" a="1"/>
  <c r="N553" i="3" s="1"/>
  <c r="M554" i="3" l="1"/>
  <c r="N554" i="3" s="1" a="1"/>
  <c r="N554" i="3" s="1"/>
  <c r="M555" i="3" l="1"/>
  <c r="N555" i="3" s="1" a="1"/>
  <c r="N555" i="3" s="1"/>
  <c r="M556" i="3" l="1"/>
  <c r="N556" i="3" s="1" a="1"/>
  <c r="N556" i="3" s="1"/>
  <c r="M557" i="3" l="1"/>
  <c r="N557" i="3" s="1" a="1"/>
  <c r="N557" i="3" s="1"/>
  <c r="M558" i="3" l="1"/>
  <c r="N558" i="3" s="1" a="1"/>
  <c r="N558" i="3" s="1"/>
  <c r="M559" i="3" l="1"/>
  <c r="N559" i="3" s="1" a="1"/>
  <c r="N559" i="3" s="1"/>
  <c r="M560" i="3" l="1"/>
  <c r="N560" i="3" s="1" a="1"/>
  <c r="N560" i="3" s="1"/>
  <c r="M561" i="3" l="1"/>
  <c r="N561" i="3" s="1" a="1"/>
  <c r="N561" i="3" s="1"/>
  <c r="M562" i="3" l="1"/>
  <c r="N562" i="3" s="1" a="1"/>
  <c r="N562" i="3" s="1"/>
  <c r="M563" i="3" l="1"/>
  <c r="N563" i="3" s="1" a="1"/>
  <c r="N563" i="3" s="1"/>
  <c r="M564" i="3" l="1"/>
  <c r="N564" i="3" s="1" a="1"/>
  <c r="N564" i="3" s="1"/>
  <c r="M565" i="3" l="1"/>
  <c r="N565" i="3" s="1" a="1"/>
  <c r="N565" i="3" s="1"/>
  <c r="M566" i="3" l="1"/>
  <c r="N566" i="3" s="1" a="1"/>
  <c r="N566" i="3" s="1"/>
  <c r="M567" i="3" l="1"/>
  <c r="N567" i="3" s="1" a="1"/>
  <c r="N567" i="3" s="1"/>
  <c r="M568" i="3" l="1"/>
  <c r="N568" i="3" s="1" a="1"/>
  <c r="N568" i="3" s="1"/>
  <c r="M569" i="3" l="1"/>
  <c r="N569" i="3" s="1" a="1"/>
  <c r="N569" i="3" s="1"/>
  <c r="M570" i="3" l="1"/>
  <c r="N570" i="3" s="1" a="1"/>
  <c r="N570" i="3" s="1"/>
  <c r="M571" i="3" l="1"/>
  <c r="N571" i="3" s="1" a="1"/>
  <c r="N571" i="3" s="1"/>
  <c r="M572" i="3" l="1"/>
  <c r="N572" i="3" s="1" a="1"/>
  <c r="N572" i="3" s="1"/>
  <c r="M573" i="3" l="1"/>
  <c r="N573" i="3" s="1" a="1"/>
  <c r="N573" i="3" s="1"/>
  <c r="M574" i="3" l="1"/>
  <c r="N574" i="3" s="1" a="1"/>
  <c r="N574" i="3" s="1"/>
  <c r="M575" i="3" l="1"/>
  <c r="N575" i="3" s="1" a="1"/>
  <c r="N575" i="3" s="1"/>
  <c r="M576" i="3" l="1"/>
  <c r="N576" i="3" s="1" a="1"/>
  <c r="N576" i="3" s="1"/>
  <c r="M577" i="3" l="1"/>
  <c r="N577" i="3" s="1" a="1"/>
  <c r="N577" i="3" s="1"/>
  <c r="M578" i="3" l="1"/>
  <c r="N578" i="3" s="1" a="1"/>
  <c r="N578" i="3" s="1"/>
  <c r="M579" i="3" l="1"/>
  <c r="N579" i="3" s="1" a="1"/>
  <c r="N579" i="3" s="1"/>
  <c r="M580" i="3" l="1"/>
  <c r="N580" i="3" s="1" a="1"/>
  <c r="N580" i="3" s="1"/>
  <c r="M581" i="3" l="1"/>
  <c r="N581" i="3" s="1" a="1"/>
  <c r="N581" i="3" s="1"/>
  <c r="M582" i="3" l="1"/>
  <c r="N582" i="3" s="1" a="1"/>
  <c r="N582" i="3" s="1"/>
  <c r="M583" i="3" l="1"/>
  <c r="N583" i="3" s="1" a="1"/>
  <c r="N583" i="3" s="1"/>
  <c r="M584" i="3" l="1"/>
  <c r="N584" i="3" s="1" a="1"/>
  <c r="N584" i="3" s="1"/>
  <c r="M585" i="3" l="1"/>
  <c r="N585" i="3" s="1" a="1"/>
  <c r="N585" i="3" s="1"/>
  <c r="M586" i="3" l="1"/>
  <c r="N586" i="3" s="1" a="1"/>
  <c r="N586" i="3" s="1"/>
  <c r="M587" i="3" l="1"/>
  <c r="N587" i="3" s="1" a="1"/>
  <c r="N587" i="3" s="1"/>
  <c r="M588" i="3" l="1"/>
  <c r="N588" i="3" s="1" a="1"/>
  <c r="N588" i="3" s="1"/>
  <c r="M589" i="3" l="1"/>
  <c r="N589" i="3" s="1" a="1"/>
  <c r="N589" i="3" s="1"/>
  <c r="M590" i="3" l="1"/>
  <c r="N590" i="3" s="1" a="1"/>
  <c r="N590" i="3" s="1"/>
  <c r="M591" i="3" l="1"/>
  <c r="N591" i="3" s="1" a="1"/>
  <c r="N591" i="3" s="1"/>
  <c r="M592" i="3" l="1"/>
  <c r="N592" i="3" s="1" a="1"/>
  <c r="N592" i="3" s="1"/>
  <c r="M593" i="3" l="1"/>
  <c r="N593" i="3" s="1" a="1"/>
  <c r="N593" i="3" s="1"/>
  <c r="M594" i="3" l="1"/>
  <c r="N594" i="3" s="1" a="1"/>
  <c r="N594" i="3" s="1"/>
  <c r="M595" i="3" l="1"/>
  <c r="N595" i="3" s="1" a="1"/>
  <c r="N595" i="3" s="1"/>
  <c r="M596" i="3" l="1"/>
  <c r="N596" i="3" s="1" a="1"/>
  <c r="N596" i="3" s="1"/>
  <c r="M597" i="3" l="1"/>
  <c r="N597" i="3" s="1" a="1"/>
  <c r="N597" i="3" s="1"/>
  <c r="M598" i="3" l="1"/>
  <c r="N598" i="3" s="1" a="1"/>
  <c r="N598" i="3" s="1"/>
  <c r="M599" i="3" l="1"/>
  <c r="N599" i="3" s="1" a="1"/>
  <c r="N599" i="3" s="1"/>
  <c r="M600" i="3" l="1"/>
  <c r="N600" i="3" s="1" a="1"/>
  <c r="N600" i="3" s="1"/>
  <c r="M601" i="3" l="1"/>
  <c r="N601" i="3" s="1" a="1"/>
  <c r="N601" i="3" s="1"/>
  <c r="M602" i="3" l="1"/>
  <c r="N602" i="3" s="1" a="1"/>
  <c r="N602" i="3" s="1"/>
  <c r="M603" i="3" l="1"/>
  <c r="N603" i="3" s="1" a="1"/>
  <c r="N603" i="3" s="1"/>
  <c r="M604" i="3" l="1"/>
  <c r="N604" i="3" s="1" a="1"/>
  <c r="N604" i="3" s="1"/>
  <c r="M605" i="3" l="1"/>
  <c r="N605" i="3" s="1" a="1"/>
  <c r="N605" i="3" s="1"/>
  <c r="M606" i="3" l="1"/>
  <c r="N606" i="3" s="1" a="1"/>
  <c r="N606" i="3" s="1"/>
  <c r="M607" i="3" l="1"/>
  <c r="N607" i="3" s="1" a="1"/>
  <c r="N607" i="3" s="1"/>
  <c r="M608" i="3" l="1"/>
  <c r="N608" i="3" s="1" a="1"/>
  <c r="N608" i="3" s="1"/>
  <c r="M609" i="3" l="1"/>
  <c r="N609" i="3" s="1" a="1"/>
  <c r="N609" i="3" s="1"/>
  <c r="M610" i="3" l="1"/>
  <c r="N610" i="3" s="1" a="1"/>
  <c r="N610" i="3" s="1"/>
  <c r="M611" i="3" l="1"/>
  <c r="N611" i="3" s="1" a="1"/>
  <c r="N611" i="3" s="1"/>
  <c r="M612" i="3" l="1"/>
  <c r="N612" i="3" s="1" a="1"/>
  <c r="N612" i="3" s="1"/>
  <c r="M613" i="3" l="1"/>
  <c r="N613" i="3" s="1" a="1"/>
  <c r="N613" i="3" s="1"/>
  <c r="M614" i="3" l="1"/>
  <c r="N614" i="3" s="1" a="1"/>
  <c r="N614" i="3" s="1"/>
  <c r="M615" i="3" l="1"/>
  <c r="N615" i="3" s="1" a="1"/>
  <c r="N615" i="3" s="1"/>
  <c r="M616" i="3" l="1"/>
  <c r="N616" i="3" s="1" a="1"/>
  <c r="N616" i="3" s="1"/>
  <c r="M617" i="3" l="1"/>
  <c r="N617" i="3" s="1" a="1"/>
  <c r="N617" i="3" s="1"/>
  <c r="M618" i="3" l="1"/>
  <c r="N618" i="3" s="1" a="1"/>
  <c r="N618" i="3" s="1"/>
  <c r="M619" i="3" l="1"/>
  <c r="N619" i="3" s="1" a="1"/>
  <c r="N619" i="3" s="1"/>
  <c r="M620" i="3" l="1"/>
  <c r="N620" i="3" s="1" a="1"/>
  <c r="N620" i="3" s="1"/>
  <c r="M621" i="3" l="1"/>
  <c r="N621" i="3" s="1" a="1"/>
  <c r="N621" i="3" s="1"/>
  <c r="M622" i="3" l="1"/>
  <c r="N622" i="3" s="1" a="1"/>
  <c r="N622" i="3" s="1"/>
  <c r="M623" i="3" l="1"/>
  <c r="N623" i="3" s="1" a="1"/>
  <c r="N623" i="3" s="1"/>
  <c r="M624" i="3" l="1"/>
  <c r="N624" i="3" s="1" a="1"/>
  <c r="N624" i="3" s="1"/>
  <c r="M625" i="3" l="1"/>
  <c r="N625" i="3" s="1" a="1"/>
  <c r="N625" i="3" s="1"/>
  <c r="M626" i="3" l="1"/>
  <c r="N626" i="3" s="1" a="1"/>
  <c r="N626" i="3" s="1"/>
  <c r="M627" i="3" l="1"/>
  <c r="N627" i="3" s="1" a="1"/>
  <c r="N627" i="3" s="1"/>
  <c r="M628" i="3" l="1"/>
  <c r="N628" i="3" s="1" a="1"/>
  <c r="N628" i="3" s="1"/>
  <c r="M629" i="3" l="1"/>
  <c r="N629" i="3" s="1" a="1"/>
  <c r="N629" i="3" s="1"/>
  <c r="M630" i="3" l="1"/>
  <c r="N630" i="3" s="1" a="1"/>
  <c r="N630" i="3" s="1"/>
  <c r="M631" i="3" l="1"/>
  <c r="N631" i="3" s="1" a="1"/>
  <c r="N631" i="3" s="1"/>
  <c r="M632" i="3" l="1"/>
  <c r="N632" i="3" s="1" a="1"/>
  <c r="N632" i="3" s="1"/>
  <c r="M633" i="3" l="1"/>
  <c r="N633" i="3" s="1" a="1"/>
  <c r="N633" i="3" s="1"/>
  <c r="M634" i="3" l="1"/>
  <c r="N634" i="3" s="1" a="1"/>
  <c r="N634" i="3" s="1"/>
  <c r="M635" i="3" l="1"/>
  <c r="N635" i="3" s="1" a="1"/>
  <c r="N635" i="3" s="1"/>
  <c r="M636" i="3" l="1"/>
  <c r="N636" i="3" s="1" a="1"/>
  <c r="N636" i="3" s="1"/>
  <c r="M637" i="3" l="1"/>
  <c r="N637" i="3" s="1" a="1"/>
  <c r="N637" i="3" s="1"/>
  <c r="M638" i="3" l="1"/>
  <c r="N638" i="3" s="1" a="1"/>
  <c r="N638" i="3" s="1"/>
  <c r="M639" i="3" l="1"/>
  <c r="N639" i="3" s="1" a="1"/>
  <c r="N639" i="3" s="1"/>
  <c r="M640" i="3" l="1"/>
  <c r="N640" i="3" s="1" a="1"/>
  <c r="N640" i="3" s="1"/>
  <c r="M641" i="3" l="1"/>
  <c r="N641" i="3" s="1" a="1"/>
  <c r="N641" i="3" s="1"/>
  <c r="M642" i="3" l="1"/>
  <c r="N642" i="3" s="1" a="1"/>
  <c r="N642" i="3" s="1"/>
  <c r="M643" i="3" l="1"/>
  <c r="N643" i="3" s="1" a="1"/>
  <c r="N643" i="3" s="1"/>
  <c r="M644" i="3" l="1"/>
  <c r="N644" i="3" s="1" a="1"/>
  <c r="N644" i="3" s="1"/>
  <c r="M645" i="3" l="1"/>
  <c r="N645" i="3" s="1" a="1"/>
  <c r="N645" i="3" s="1"/>
  <c r="M646" i="3" l="1"/>
  <c r="N646" i="3" s="1" a="1"/>
  <c r="N646" i="3" s="1"/>
  <c r="M647" i="3" l="1"/>
  <c r="N647" i="3" s="1" a="1"/>
  <c r="N647" i="3" s="1"/>
  <c r="M648" i="3" l="1"/>
  <c r="N648" i="3" s="1" a="1"/>
  <c r="N648" i="3" s="1"/>
  <c r="M649" i="3" l="1"/>
  <c r="N649" i="3" s="1" a="1"/>
  <c r="N649" i="3" s="1"/>
  <c r="M650" i="3" l="1"/>
  <c r="N650" i="3" s="1" a="1"/>
  <c r="N650" i="3" s="1"/>
  <c r="M651" i="3" l="1"/>
  <c r="N651" i="3" s="1" a="1"/>
  <c r="N651" i="3" s="1"/>
  <c r="M652" i="3" l="1"/>
  <c r="N652" i="3" s="1" a="1"/>
  <c r="N652" i="3" s="1"/>
  <c r="M653" i="3" l="1"/>
  <c r="N653" i="3" s="1" a="1"/>
  <c r="N653" i="3" s="1"/>
  <c r="M654" i="3" l="1"/>
  <c r="N654" i="3" s="1" a="1"/>
  <c r="N654" i="3" s="1"/>
  <c r="M655" i="3" l="1"/>
  <c r="N655" i="3" s="1" a="1"/>
  <c r="N655" i="3" s="1"/>
  <c r="M656" i="3" l="1"/>
  <c r="N656" i="3" s="1" a="1"/>
  <c r="N656" i="3" s="1"/>
  <c r="M657" i="3" l="1"/>
  <c r="N657" i="3" s="1" a="1"/>
  <c r="N657" i="3" s="1"/>
  <c r="M658" i="3" l="1"/>
  <c r="N658" i="3" s="1" a="1"/>
  <c r="N658" i="3" s="1"/>
  <c r="M659" i="3" l="1"/>
  <c r="N659" i="3" s="1" a="1"/>
  <c r="N659" i="3" s="1"/>
  <c r="M660" i="3" l="1"/>
  <c r="N660" i="3" s="1" a="1"/>
  <c r="N660" i="3" s="1"/>
  <c r="M661" i="3" l="1"/>
  <c r="N661" i="3" s="1" a="1"/>
  <c r="N661" i="3" s="1"/>
  <c r="M662" i="3" l="1"/>
  <c r="N662" i="3" s="1" a="1"/>
  <c r="N662" i="3" s="1"/>
  <c r="M663" i="3" l="1"/>
  <c r="N663" i="3" s="1" a="1"/>
  <c r="N663" i="3" s="1"/>
  <c r="M664" i="3" l="1"/>
  <c r="N664" i="3" s="1" a="1"/>
  <c r="N664" i="3" s="1"/>
  <c r="M665" i="3" l="1"/>
  <c r="N665" i="3" s="1" a="1"/>
  <c r="N665" i="3" s="1"/>
  <c r="M666" i="3" l="1"/>
  <c r="N666" i="3" s="1" a="1"/>
  <c r="N666" i="3" s="1"/>
  <c r="M667" i="3" l="1"/>
  <c r="N667" i="3" s="1" a="1"/>
  <c r="N667" i="3" s="1"/>
  <c r="M668" i="3" l="1"/>
  <c r="N668" i="3" s="1" a="1"/>
  <c r="N668" i="3" s="1"/>
  <c r="M669" i="3" l="1"/>
  <c r="N669" i="3" s="1" a="1"/>
  <c r="N669" i="3" s="1"/>
  <c r="M670" i="3" l="1"/>
  <c r="N670" i="3" s="1" a="1"/>
  <c r="N670" i="3" s="1"/>
  <c r="M671" i="3" l="1"/>
  <c r="N671" i="3" s="1" a="1"/>
  <c r="N671" i="3" s="1"/>
  <c r="M672" i="3" l="1"/>
  <c r="N672" i="3" s="1" a="1"/>
  <c r="N672" i="3" s="1"/>
  <c r="M673" i="3" l="1"/>
  <c r="N673" i="3" s="1" a="1"/>
  <c r="N673" i="3" s="1"/>
  <c r="M674" i="3" l="1"/>
  <c r="N674" i="3" s="1" a="1"/>
  <c r="N674" i="3" s="1"/>
  <c r="M675" i="3" l="1"/>
  <c r="N675" i="3" s="1" a="1"/>
  <c r="N675" i="3" s="1"/>
  <c r="M676" i="3" l="1"/>
  <c r="N676" i="3" s="1" a="1"/>
  <c r="N676" i="3" s="1"/>
  <c r="M677" i="3" l="1"/>
  <c r="N677" i="3" s="1" a="1"/>
  <c r="N677" i="3" s="1"/>
  <c r="M678" i="3" l="1"/>
  <c r="N678" i="3" s="1" a="1"/>
  <c r="N678" i="3" s="1"/>
  <c r="M679" i="3" l="1"/>
  <c r="N679" i="3" s="1" a="1"/>
  <c r="N679" i="3" s="1"/>
  <c r="M680" i="3" l="1"/>
  <c r="N680" i="3" s="1" a="1"/>
  <c r="N680" i="3" s="1"/>
  <c r="M681" i="3" l="1"/>
  <c r="N681" i="3" s="1" a="1"/>
  <c r="N681" i="3" s="1"/>
  <c r="M682" i="3" l="1"/>
  <c r="N682" i="3" s="1" a="1"/>
  <c r="N682" i="3" s="1"/>
  <c r="M683" i="3" l="1"/>
  <c r="N683" i="3" s="1" a="1"/>
  <c r="N683" i="3" s="1"/>
  <c r="M684" i="3" l="1"/>
  <c r="N684" i="3" s="1" a="1"/>
  <c r="N684" i="3" s="1"/>
  <c r="M685" i="3" l="1"/>
  <c r="N685" i="3" s="1" a="1"/>
  <c r="N685" i="3" s="1"/>
  <c r="M686" i="3" l="1"/>
  <c r="N686" i="3" s="1" a="1"/>
  <c r="N686" i="3" s="1"/>
  <c r="M687" i="3" l="1"/>
  <c r="N687" i="3" s="1" a="1"/>
  <c r="N687" i="3" s="1"/>
  <c r="M688" i="3" l="1"/>
  <c r="N688" i="3" s="1" a="1"/>
  <c r="N688" i="3" s="1"/>
  <c r="M689" i="3" l="1"/>
  <c r="N689" i="3" s="1" a="1"/>
  <c r="N689" i="3" s="1"/>
  <c r="M690" i="3" l="1"/>
  <c r="N690" i="3" s="1" a="1"/>
  <c r="N690" i="3" s="1"/>
  <c r="M691" i="3" l="1"/>
  <c r="N691" i="3" s="1" a="1"/>
  <c r="N691" i="3" s="1"/>
  <c r="M692" i="3" l="1"/>
  <c r="N692" i="3" s="1" a="1"/>
  <c r="N692" i="3" s="1"/>
  <c r="M693" i="3" l="1"/>
  <c r="N693" i="3" s="1" a="1"/>
  <c r="N693" i="3" s="1"/>
  <c r="M694" i="3" l="1"/>
  <c r="N694" i="3" s="1" a="1"/>
  <c r="N694" i="3" s="1"/>
  <c r="M695" i="3" l="1"/>
  <c r="N695" i="3" s="1" a="1"/>
  <c r="N695" i="3" s="1"/>
  <c r="M696" i="3" l="1"/>
  <c r="N696" i="3" s="1" a="1"/>
  <c r="N696" i="3" s="1"/>
  <c r="M697" i="3" l="1"/>
  <c r="N697" i="3" s="1" a="1"/>
  <c r="N697" i="3" s="1"/>
  <c r="M698" i="3" l="1"/>
  <c r="N698" i="3" s="1" a="1"/>
  <c r="N698" i="3" s="1"/>
  <c r="M699" i="3" l="1"/>
  <c r="N699" i="3" s="1" a="1"/>
  <c r="N699" i="3" s="1"/>
  <c r="M700" i="3" l="1"/>
  <c r="N700" i="3" s="1" a="1"/>
  <c r="N700" i="3" s="1"/>
  <c r="M701" i="3" l="1"/>
  <c r="N701" i="3" s="1" a="1"/>
  <c r="N701" i="3" s="1"/>
  <c r="M702" i="3" l="1"/>
  <c r="N702" i="3" s="1" a="1"/>
  <c r="N702" i="3" s="1"/>
  <c r="M703" i="3" l="1"/>
  <c r="N703" i="3" s="1" a="1"/>
  <c r="N703" i="3" s="1"/>
  <c r="M704" i="3" l="1"/>
  <c r="N704" i="3" s="1" a="1"/>
  <c r="N704" i="3" s="1"/>
  <c r="M705" i="3" l="1"/>
  <c r="N705" i="3" s="1" a="1"/>
  <c r="N705" i="3" s="1"/>
  <c r="M706" i="3" l="1"/>
  <c r="N706" i="3" s="1" a="1"/>
  <c r="N706" i="3" s="1"/>
  <c r="M707" i="3" l="1"/>
  <c r="N707" i="3" s="1" a="1"/>
  <c r="N707" i="3" s="1"/>
  <c r="M708" i="3" l="1"/>
  <c r="N708" i="3" s="1" a="1"/>
  <c r="N708" i="3" s="1"/>
  <c r="M709" i="3" l="1"/>
  <c r="N709" i="3" s="1" a="1"/>
  <c r="N709" i="3" s="1"/>
  <c r="M710" i="3" l="1"/>
  <c r="N710" i="3" s="1" a="1"/>
  <c r="N710" i="3" s="1"/>
  <c r="M711" i="3" l="1"/>
  <c r="N711" i="3" s="1" a="1"/>
  <c r="N711" i="3" s="1"/>
  <c r="M712" i="3" l="1"/>
  <c r="N712" i="3" s="1" a="1"/>
  <c r="N712" i="3" s="1"/>
  <c r="M713" i="3" l="1"/>
  <c r="N713" i="3" s="1" a="1"/>
  <c r="N713" i="3" s="1"/>
  <c r="M714" i="3" l="1"/>
  <c r="N714" i="3" s="1" a="1"/>
  <c r="N714" i="3" s="1"/>
  <c r="M715" i="3" l="1"/>
  <c r="N715" i="3" s="1" a="1"/>
  <c r="N715" i="3" s="1"/>
  <c r="M716" i="3" l="1"/>
  <c r="N716" i="3" s="1" a="1"/>
  <c r="N716" i="3" s="1"/>
  <c r="M717" i="3" l="1"/>
  <c r="N717" i="3" s="1" a="1"/>
  <c r="N717" i="3" s="1"/>
  <c r="M718" i="3" l="1"/>
  <c r="N718" i="3" s="1" a="1"/>
  <c r="N718" i="3" s="1"/>
  <c r="M719" i="3" l="1"/>
  <c r="N719" i="3" s="1" a="1"/>
  <c r="N719" i="3" s="1"/>
  <c r="M720" i="3" l="1"/>
  <c r="N720" i="3" s="1" a="1"/>
  <c r="N720" i="3" s="1"/>
  <c r="M721" i="3" l="1"/>
  <c r="N721" i="3" s="1" a="1"/>
  <c r="N721" i="3" s="1"/>
  <c r="M722" i="3" l="1"/>
  <c r="N722" i="3" s="1" a="1"/>
  <c r="N722" i="3" s="1"/>
  <c r="M723" i="3" l="1"/>
  <c r="N723" i="3" s="1" a="1"/>
  <c r="N723" i="3" s="1"/>
  <c r="M724" i="3" l="1"/>
  <c r="N724" i="3" s="1" a="1"/>
  <c r="N724" i="3" s="1"/>
  <c r="M725" i="3" l="1"/>
  <c r="N725" i="3" s="1" a="1"/>
  <c r="N725" i="3" s="1"/>
  <c r="M726" i="3" l="1"/>
  <c r="N726" i="3" s="1" a="1"/>
  <c r="N726" i="3" s="1"/>
  <c r="M727" i="3" l="1"/>
  <c r="N727" i="3" s="1" a="1"/>
  <c r="N727" i="3" s="1"/>
  <c r="M728" i="3" l="1"/>
  <c r="N728" i="3" s="1" a="1"/>
  <c r="N728" i="3" s="1"/>
  <c r="M729" i="3" l="1"/>
  <c r="N729" i="3" s="1" a="1"/>
  <c r="N729" i="3" s="1"/>
  <c r="M730" i="3" l="1"/>
  <c r="N730" i="3" s="1" a="1"/>
  <c r="N730" i="3" s="1"/>
  <c r="M731" i="3" l="1"/>
  <c r="N731" i="3" s="1" a="1"/>
  <c r="N731" i="3" s="1"/>
  <c r="M732" i="3" l="1"/>
  <c r="N732" i="3" s="1" a="1"/>
  <c r="N732" i="3" s="1"/>
  <c r="M733" i="3" l="1"/>
  <c r="N733" i="3" s="1" a="1"/>
  <c r="N733" i="3" s="1"/>
  <c r="M734" i="3" l="1"/>
  <c r="N734" i="3" s="1" a="1"/>
  <c r="N734" i="3" s="1"/>
  <c r="M735" i="3" l="1"/>
  <c r="N735" i="3" s="1" a="1"/>
  <c r="N735" i="3" s="1"/>
  <c r="M736" i="3" l="1"/>
  <c r="N736" i="3" s="1" a="1"/>
  <c r="N736" i="3" s="1"/>
  <c r="M737" i="3" l="1"/>
  <c r="N737" i="3" s="1" a="1"/>
  <c r="N737" i="3" s="1"/>
  <c r="M738" i="3" l="1"/>
  <c r="N738" i="3" s="1" a="1"/>
  <c r="N738" i="3" s="1"/>
  <c r="M739" i="3" l="1"/>
  <c r="N739" i="3" s="1" a="1"/>
  <c r="N739" i="3" s="1"/>
  <c r="M740" i="3" l="1"/>
  <c r="N740" i="3" s="1" a="1"/>
  <c r="N740" i="3" s="1"/>
  <c r="M741" i="3" l="1"/>
  <c r="N741" i="3" s="1" a="1"/>
  <c r="N741" i="3" s="1"/>
  <c r="M742" i="3" l="1"/>
  <c r="N742" i="3" s="1" a="1"/>
  <c r="N742" i="3" s="1"/>
  <c r="M743" i="3" l="1"/>
  <c r="N743" i="3" s="1" a="1"/>
  <c r="N743" i="3" s="1"/>
  <c r="M744" i="3" l="1"/>
  <c r="N744" i="3" s="1" a="1"/>
  <c r="N744" i="3" s="1"/>
  <c r="M745" i="3" l="1"/>
  <c r="N745" i="3" s="1" a="1"/>
  <c r="N745" i="3" s="1"/>
  <c r="M746" i="3" l="1"/>
  <c r="N746" i="3" s="1" a="1"/>
  <c r="N746" i="3" s="1"/>
  <c r="M747" i="3" l="1"/>
  <c r="N747" i="3" s="1" a="1"/>
  <c r="N747" i="3" s="1"/>
  <c r="M748" i="3" l="1"/>
  <c r="N748" i="3" s="1" a="1"/>
  <c r="N748" i="3" s="1"/>
  <c r="M749" i="3" l="1"/>
  <c r="N749" i="3" s="1" a="1"/>
  <c r="N749" i="3" s="1"/>
  <c r="M750" i="3" l="1"/>
  <c r="N750" i="3" s="1" a="1"/>
  <c r="N750" i="3" s="1"/>
  <c r="M751" i="3" l="1"/>
  <c r="N751" i="3" s="1" a="1"/>
  <c r="N751" i="3" s="1"/>
  <c r="M752" i="3" l="1"/>
  <c r="N752" i="3" s="1" a="1"/>
  <c r="N752" i="3" s="1"/>
  <c r="M753" i="3" l="1"/>
  <c r="N753" i="3" s="1" a="1"/>
  <c r="N753" i="3" s="1"/>
  <c r="M754" i="3" l="1"/>
  <c r="N754" i="3" s="1" a="1"/>
  <c r="N754" i="3" s="1"/>
  <c r="M755" i="3" l="1"/>
  <c r="N755" i="3" s="1" a="1"/>
  <c r="N755" i="3" s="1"/>
  <c r="M756" i="3" l="1"/>
  <c r="N756" i="3" s="1" a="1"/>
  <c r="N756" i="3" s="1"/>
  <c r="M757" i="3" l="1"/>
  <c r="N757" i="3" s="1" a="1"/>
  <c r="N757" i="3" s="1"/>
  <c r="M758" i="3" l="1"/>
  <c r="N758" i="3" s="1" a="1"/>
  <c r="N758" i="3" s="1"/>
  <c r="M759" i="3" l="1"/>
  <c r="N759" i="3" s="1" a="1"/>
  <c r="N759" i="3" s="1"/>
  <c r="M760" i="3" l="1"/>
  <c r="N760" i="3" s="1" a="1"/>
  <c r="N760" i="3" s="1"/>
  <c r="M761" i="3" l="1"/>
  <c r="N761" i="3" s="1" a="1"/>
  <c r="N761" i="3" s="1"/>
  <c r="M762" i="3" l="1"/>
  <c r="N762" i="3" s="1" a="1"/>
  <c r="N762" i="3" s="1"/>
  <c r="M763" i="3" l="1"/>
  <c r="N763" i="3" s="1" a="1"/>
  <c r="N763" i="3" s="1"/>
  <c r="M764" i="3" l="1"/>
  <c r="N764" i="3" s="1" a="1"/>
  <c r="N764" i="3" s="1"/>
  <c r="M765" i="3" l="1"/>
  <c r="N765" i="3" s="1" a="1"/>
  <c r="N765" i="3" s="1"/>
  <c r="M766" i="3" l="1"/>
  <c r="N766" i="3" s="1" a="1"/>
  <c r="N766" i="3" s="1"/>
  <c r="M767" i="3" l="1"/>
  <c r="N767" i="3" s="1" a="1"/>
  <c r="N767" i="3" s="1"/>
  <c r="M768" i="3" l="1"/>
  <c r="N768" i="3" s="1" a="1"/>
  <c r="N768" i="3" s="1"/>
  <c r="M769" i="3" l="1"/>
  <c r="N769" i="3" s="1" a="1"/>
  <c r="N769" i="3" s="1"/>
  <c r="M770" i="3" l="1"/>
  <c r="N770" i="3" s="1" a="1"/>
  <c r="N770" i="3" s="1"/>
  <c r="M771" i="3" l="1"/>
  <c r="N771" i="3" s="1" a="1"/>
  <c r="N771" i="3" s="1"/>
  <c r="M772" i="3" l="1"/>
  <c r="N772" i="3" s="1" a="1"/>
  <c r="N772" i="3" s="1"/>
  <c r="M773" i="3" l="1"/>
  <c r="N773" i="3" s="1" a="1"/>
  <c r="N773" i="3" s="1"/>
  <c r="M774" i="3" l="1"/>
  <c r="N774" i="3" s="1" a="1"/>
  <c r="N774" i="3" s="1"/>
  <c r="M775" i="3" l="1"/>
  <c r="N775" i="3" s="1" a="1"/>
  <c r="N775" i="3" s="1"/>
  <c r="M776" i="3" l="1"/>
  <c r="N776" i="3" s="1" a="1"/>
  <c r="N776" i="3" s="1"/>
  <c r="M777" i="3" l="1"/>
  <c r="N777" i="3" s="1" a="1"/>
  <c r="N777" i="3" s="1"/>
  <c r="M778" i="3" l="1"/>
  <c r="N778" i="3" s="1" a="1"/>
  <c r="N778" i="3" s="1"/>
  <c r="M779" i="3" l="1"/>
  <c r="N779" i="3" s="1" a="1"/>
  <c r="N779" i="3" s="1"/>
  <c r="M780" i="3" l="1"/>
  <c r="N780" i="3" s="1" a="1"/>
  <c r="N780" i="3" s="1"/>
  <c r="M781" i="3" l="1"/>
  <c r="N781" i="3" s="1" a="1"/>
  <c r="N781" i="3" s="1"/>
  <c r="M782" i="3" l="1"/>
  <c r="N782" i="3" s="1" a="1"/>
  <c r="N782" i="3" s="1"/>
  <c r="M783" i="3" l="1"/>
  <c r="N783" i="3" s="1" a="1"/>
  <c r="N783" i="3" s="1"/>
  <c r="M784" i="3" l="1"/>
  <c r="N784" i="3" s="1" a="1"/>
  <c r="N784" i="3" s="1"/>
  <c r="M785" i="3" l="1"/>
  <c r="N785" i="3" s="1" a="1"/>
  <c r="N785" i="3" s="1"/>
  <c r="M786" i="3" l="1"/>
  <c r="N786" i="3" s="1" a="1"/>
  <c r="N786" i="3" s="1"/>
  <c r="M787" i="3" l="1"/>
  <c r="N787" i="3" s="1" a="1"/>
  <c r="N787" i="3" s="1"/>
  <c r="M788" i="3" l="1"/>
  <c r="N788" i="3" s="1" a="1"/>
  <c r="N788" i="3" s="1"/>
  <c r="M789" i="3" l="1"/>
  <c r="N789" i="3" s="1" a="1"/>
  <c r="N789" i="3" s="1"/>
  <c r="M790" i="3" l="1"/>
  <c r="N790" i="3" s="1" a="1"/>
  <c r="N790" i="3" s="1"/>
  <c r="M791" i="3" l="1"/>
  <c r="N791" i="3" s="1" a="1"/>
  <c r="N791" i="3" s="1"/>
  <c r="M792" i="3" l="1"/>
  <c r="N792" i="3" s="1" a="1"/>
  <c r="N792" i="3" s="1"/>
  <c r="M793" i="3" l="1"/>
  <c r="N793" i="3" s="1" a="1"/>
  <c r="N793" i="3" s="1"/>
  <c r="M794" i="3" l="1"/>
  <c r="N794" i="3" s="1" a="1"/>
  <c r="N794" i="3" s="1"/>
  <c r="M795" i="3" l="1"/>
  <c r="N795" i="3" s="1" a="1"/>
  <c r="N795" i="3" s="1"/>
  <c r="M796" i="3" l="1"/>
  <c r="N796" i="3" s="1" a="1"/>
  <c r="N796" i="3" s="1"/>
  <c r="M797" i="3" l="1"/>
  <c r="N797" i="3" s="1" a="1"/>
  <c r="N797" i="3" s="1"/>
  <c r="M798" i="3" l="1"/>
  <c r="N798" i="3" s="1" a="1"/>
  <c r="N798" i="3" s="1"/>
  <c r="M799" i="3" l="1"/>
  <c r="N799" i="3" s="1" a="1"/>
  <c r="N799" i="3" s="1"/>
  <c r="M800" i="3" l="1"/>
  <c r="N800" i="3" s="1" a="1"/>
  <c r="N800" i="3" s="1"/>
  <c r="M801" i="3" l="1"/>
  <c r="N801" i="3" s="1" a="1"/>
  <c r="N801" i="3" s="1"/>
  <c r="M802" i="3" l="1"/>
  <c r="N802" i="3" s="1" a="1"/>
  <c r="N802" i="3" s="1"/>
  <c r="M803" i="3" l="1"/>
  <c r="N803" i="3" s="1" a="1"/>
  <c r="N803" i="3" s="1"/>
  <c r="M804" i="3" l="1"/>
  <c r="N804" i="3" s="1" a="1"/>
  <c r="N804" i="3" s="1"/>
  <c r="M805" i="3" l="1"/>
  <c r="N805" i="3" s="1" a="1"/>
  <c r="N805" i="3" s="1"/>
  <c r="M806" i="3" l="1"/>
  <c r="N806" i="3" s="1" a="1"/>
  <c r="N806" i="3" s="1"/>
  <c r="M807" i="3" l="1"/>
  <c r="N807" i="3" s="1" a="1"/>
  <c r="N807" i="3" s="1"/>
  <c r="M808" i="3" l="1"/>
  <c r="N808" i="3" s="1" a="1"/>
  <c r="N808" i="3" s="1"/>
  <c r="M809" i="3" l="1"/>
  <c r="N809" i="3" s="1" a="1"/>
  <c r="N809" i="3" s="1"/>
  <c r="M810" i="3" l="1"/>
  <c r="M7" i="3" s="1" a="1"/>
  <c r="M7" i="3" s="1"/>
  <c r="N4" i="3" s="1"/>
  <c r="N810" i="3" l="1" a="1"/>
  <c r="N810" i="3" s="1"/>
  <c r="M5" i="3"/>
  <c r="M5" i="27" s="1"/>
  <c r="M7" i="27" l="1"/>
  <c r="D2" i="3"/>
  <c r="O11" i="15" a="1"/>
  <c r="O11" i="15" s="1"/>
  <c r="D3" i="3" l="1"/>
  <c r="D2" i="15"/>
  <c r="B7" i="27" s="1"/>
  <c r="P7" i="27" l="1"/>
  <c r="D3"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Chen, Jeffrey</author>
  </authors>
  <commentList>
    <comment ref="H2" authorId="0" shapeId="0" xr:uid="{5C35D216-151B-499B-939A-26C246E20673}">
      <text>
        <r>
          <rPr>
            <sz val="9"/>
            <color indexed="81"/>
            <rFont val="Tahoma"/>
            <family val="2"/>
          </rPr>
          <t>Enter only a development permit number: CN, DM, GR, or PH.</t>
        </r>
      </text>
    </comment>
    <comment ref="L4" authorId="0" shapeId="0" xr:uid="{CBE5B308-B4A7-4D3B-9CE5-F2ECBC410F03}">
      <text>
        <r>
          <rPr>
            <sz val="9"/>
            <color indexed="81"/>
            <rFont val="Tahoma"/>
            <family val="2"/>
          </rPr>
          <t>Required minimum for a new dwelling unit in NR zone. Value must be ≥0.</t>
        </r>
      </text>
    </comment>
    <comment ref="I5" authorId="0" shapeId="0" xr:uid="{E9E0BCDE-8B96-4A6C-A155-B2B9F597A823}">
      <text>
        <r>
          <rPr>
            <sz val="9"/>
            <color indexed="81"/>
            <rFont val="Tahoma"/>
            <family val="2"/>
          </rPr>
          <t>Difference of total mature canopy area proposed and total canopy area to be removed.</t>
        </r>
      </text>
    </comment>
    <comment ref="L5" authorId="0" shapeId="0" xr:uid="{586BC405-4E44-4D8F-B872-A61AD7E49662}">
      <text>
        <r>
          <rPr>
            <sz val="9"/>
            <color indexed="81"/>
            <rFont val="Tahoma"/>
            <family val="2"/>
          </rPr>
          <t>Proposed Tree Points from new plantings and existing trees.</t>
        </r>
      </text>
    </comment>
    <comment ref="I6" authorId="0" shapeId="0" xr:uid="{F13466EE-A273-4FD0-9C31-030A0DCDA130}">
      <text>
        <r>
          <rPr>
            <sz val="9"/>
            <color indexed="81"/>
            <rFont val="Tahoma"/>
            <family val="2"/>
          </rPr>
          <t>Tree canopy area of all proposed plantings at maturity. Total is from Tree Plantings Form.</t>
        </r>
      </text>
    </comment>
    <comment ref="L6" authorId="0" shapeId="0" xr:uid="{1A035D5E-B698-4455-8260-21E653355A64}">
      <text>
        <r>
          <rPr>
            <sz val="9"/>
            <color indexed="81"/>
            <rFont val="Tahoma"/>
            <family val="2"/>
          </rPr>
          <t>Sum of Tree Points from proposed plantings on Tree Plantings Form.</t>
        </r>
      </text>
    </comment>
    <comment ref="I7" authorId="0" shapeId="0" xr:uid="{36F97E77-F925-4299-B406-76186BC0E5AC}">
      <text>
        <r>
          <rPr>
            <sz val="9"/>
            <color indexed="81"/>
            <rFont val="Tahoma"/>
            <family val="2"/>
          </rPr>
          <t>Sum of existing tree canopy area to be removed that requires canopy replacement.</t>
        </r>
      </text>
    </comment>
    <comment ref="L7" authorId="0" shapeId="0" xr:uid="{2D858499-F72D-4DDF-BD13-29B71C289F04}">
      <text>
        <r>
          <rPr>
            <sz val="9"/>
            <color indexed="81"/>
            <rFont val="Tahoma"/>
            <family val="2"/>
          </rPr>
          <t>Sum of existing Tree Points on the site.</t>
        </r>
      </text>
    </comment>
    <comment ref="A10" authorId="0" shapeId="0" xr:uid="{45BC1FEF-5FEF-41BB-BEC6-31949823370B}">
      <text>
        <r>
          <rPr>
            <sz val="9"/>
            <color indexed="81"/>
            <rFont val="Tahoma"/>
            <family val="2"/>
          </rPr>
          <t>Number of rows in form.</t>
        </r>
      </text>
    </comment>
    <comment ref="B10" authorId="0" shapeId="0" xr:uid="{84704CF5-54E0-48F8-84B6-4F25D811ACD0}">
      <text>
        <r>
          <rPr>
            <sz val="9"/>
            <color indexed="81"/>
            <rFont val="Tahoma"/>
            <family val="2"/>
          </rPr>
          <t>Enter unique number/letter to identify tree and matches site plan. Ex. 1, 2, 3 or A, B, C.</t>
        </r>
      </text>
    </comment>
    <comment ref="C10" authorId="0" shapeId="0" xr:uid="{2BD0F828-E2C7-4E48-BD4A-217F0D68AA4E}">
      <text>
        <r>
          <rPr>
            <sz val="9"/>
            <color indexed="81"/>
            <rFont val="Tahoma"/>
            <family val="2"/>
          </rPr>
          <t>If the tree is not on the list, type in the scientific and common name. Ex. Salix Exigua / Sandbar Willow.</t>
        </r>
      </text>
    </comment>
    <comment ref="D10" authorId="0" shapeId="0" xr:uid="{5BE33557-982D-4077-902B-57D9AE2F6663}">
      <text>
        <r>
          <rPr>
            <sz val="9"/>
            <color indexed="81"/>
            <rFont val="Tahoma"/>
            <family val="2"/>
          </rPr>
          <t>Enter number in inches. No symbols.</t>
        </r>
      </text>
    </comment>
    <comment ref="E10" authorId="0" shapeId="0" xr:uid="{021616D7-5925-457F-A52E-DA7F11CBDE21}">
      <text>
        <r>
          <rPr>
            <b/>
            <sz val="9"/>
            <color indexed="81"/>
            <rFont val="Tahoma"/>
            <family val="2"/>
          </rPr>
          <t xml:space="preserve">Tier 1-4 Trees </t>
        </r>
        <r>
          <rPr>
            <sz val="9"/>
            <color indexed="81"/>
            <rFont val="Tahoma"/>
            <family val="2"/>
          </rPr>
          <t>- See SMC 25.11</t>
        </r>
        <r>
          <rPr>
            <b/>
            <sz val="9"/>
            <color indexed="81"/>
            <rFont val="Tahoma"/>
            <family val="2"/>
          </rPr>
          <t xml:space="preserve">
ECA/ Shoreline Tree </t>
        </r>
        <r>
          <rPr>
            <sz val="9"/>
            <color indexed="81"/>
            <rFont val="Tahoma"/>
            <family val="2"/>
          </rPr>
          <t>- In the ECA area or Shoreline District.</t>
        </r>
        <r>
          <rPr>
            <b/>
            <sz val="9"/>
            <color indexed="81"/>
            <rFont val="Tahoma"/>
            <family val="2"/>
          </rPr>
          <t xml:space="preserve">
Street Tree for Green Factor </t>
        </r>
        <r>
          <rPr>
            <sz val="9"/>
            <color indexed="81"/>
            <rFont val="Tahoma"/>
            <family val="2"/>
          </rPr>
          <t>- ROW tree for Green Factor standard.</t>
        </r>
        <r>
          <rPr>
            <b/>
            <sz val="9"/>
            <color indexed="81"/>
            <rFont val="Tahoma"/>
            <family val="2"/>
          </rPr>
          <t xml:space="preserve">
&lt;6" DSH for Tree Points </t>
        </r>
        <r>
          <rPr>
            <sz val="9"/>
            <color indexed="81"/>
            <rFont val="Tahoma"/>
            <family val="2"/>
          </rPr>
          <t>-  Tree outside of ECA/Shoreline &lt;6" DSH for LU standard</t>
        </r>
        <r>
          <rPr>
            <b/>
            <sz val="9"/>
            <color indexed="81"/>
            <rFont val="Tahoma"/>
            <family val="2"/>
          </rPr>
          <t xml:space="preserve">
Tier 2 Grove </t>
        </r>
        <r>
          <rPr>
            <sz val="9"/>
            <color indexed="81"/>
            <rFont val="Tahoma"/>
            <family val="2"/>
          </rPr>
          <t>- Excludes Red Alders, Black Cottonwoods, Bitter Cherries, Lombardy Poplars, King County invasive trees, and public place trees.</t>
        </r>
      </text>
    </comment>
    <comment ref="F10" authorId="0" shapeId="0" xr:uid="{CF9947FF-26C0-4892-AA5A-FFE3C986A3C0}">
      <text>
        <r>
          <rPr>
            <b/>
            <sz val="9"/>
            <color indexed="81"/>
            <rFont val="Tahoma"/>
            <family val="2"/>
          </rPr>
          <t>Retain</t>
        </r>
        <r>
          <rPr>
            <sz val="9"/>
            <color indexed="81"/>
            <rFont val="Tahoma"/>
            <family val="2"/>
          </rPr>
          <t xml:space="preserve">
Preserved </t>
        </r>
        <r>
          <rPr>
            <b/>
            <sz val="9"/>
            <color indexed="81"/>
            <rFont val="Tahoma"/>
            <family val="2"/>
          </rPr>
          <t>to meet tree-related standards.</t>
        </r>
        <r>
          <rPr>
            <sz val="9"/>
            <color indexed="81"/>
            <rFont val="Tahoma"/>
            <family val="2"/>
          </rPr>
          <t xml:space="preserve">
</t>
        </r>
        <r>
          <rPr>
            <b/>
            <sz val="9"/>
            <color indexed="81"/>
            <rFont val="Tahoma"/>
            <family val="2"/>
          </rPr>
          <t>Remove</t>
        </r>
        <r>
          <rPr>
            <sz val="9"/>
            <color indexed="81"/>
            <rFont val="Tahoma"/>
            <family val="2"/>
          </rPr>
          <t xml:space="preserve">
Proposed removal requires SDCI approval. Also for relocation.</t>
        </r>
      </text>
    </comment>
    <comment ref="G10" authorId="0" shapeId="0" xr:uid="{7476113F-30D4-4BA1-A705-09D3B55C0314}">
      <text>
        <r>
          <rPr>
            <sz val="9"/>
            <color indexed="81"/>
            <rFont val="Tahoma"/>
            <family val="2"/>
          </rPr>
          <t>Tree status symbol.
Green circle = Retain
Red box with "x" = Remove</t>
        </r>
      </text>
    </comment>
    <comment ref="H10" authorId="0" shapeId="0" xr:uid="{342774CB-E6A0-45EE-802D-6B5C4C57BFCE}">
      <text>
        <r>
          <rPr>
            <sz val="9"/>
            <color indexed="81"/>
            <rFont val="Tahoma"/>
            <family val="2"/>
          </rPr>
          <t>Select all the code requirements that apply.
See “Existing Trees Form Help” tab for more info.</t>
        </r>
      </text>
    </comment>
    <comment ref="I10" authorId="0" shapeId="0" xr:uid="{F06C853D-ACF4-47B7-8959-8D7DC84FD294}">
      <text>
        <r>
          <rPr>
            <sz val="9"/>
            <color indexed="81"/>
            <rFont val="Tahoma"/>
            <family val="2"/>
          </rPr>
          <t>Select mitigation option(s) for the to be removed tree.</t>
        </r>
      </text>
    </comment>
    <comment ref="J10" authorId="0" shapeId="0" xr:uid="{1E5E9E8E-43B4-41BE-B481-40542E8F61C3}">
      <text>
        <r>
          <rPr>
            <sz val="9"/>
            <color indexed="81"/>
            <rFont val="Tahoma"/>
            <family val="2"/>
          </rPr>
          <t>Applies to Tier 1-3 tree removals if canopy replacement is required.</t>
        </r>
      </text>
    </comment>
    <comment ref="K10" authorId="0" shapeId="0" xr:uid="{168B0BD5-9835-4AA6-9056-E6853868957B}">
      <text>
        <r>
          <rPr>
            <sz val="9"/>
            <color indexed="81"/>
            <rFont val="Tahoma"/>
            <family val="2"/>
          </rPr>
          <t xml:space="preserve">Based on canopy spread of the species at maturity:
</t>
        </r>
        <r>
          <rPr>
            <b/>
            <sz val="9"/>
            <color indexed="81"/>
            <rFont val="Tahoma"/>
            <family val="2"/>
          </rPr>
          <t>Small:</t>
        </r>
        <r>
          <rPr>
            <sz val="9"/>
            <color indexed="81"/>
            <rFont val="Tahoma"/>
            <family val="2"/>
          </rPr>
          <t xml:space="preserve"> ≤15 ft diameter
</t>
        </r>
        <r>
          <rPr>
            <b/>
            <sz val="9"/>
            <color indexed="81"/>
            <rFont val="Tahoma"/>
            <family val="2"/>
          </rPr>
          <t xml:space="preserve">Small/Medium: </t>
        </r>
        <r>
          <rPr>
            <sz val="9"/>
            <color indexed="81"/>
            <rFont val="Tahoma"/>
            <family val="2"/>
          </rPr>
          <t xml:space="preserve">&gt;15 and ≤20 feet diameter
</t>
        </r>
        <r>
          <rPr>
            <b/>
            <sz val="9"/>
            <color indexed="81"/>
            <rFont val="Tahoma"/>
            <family val="2"/>
          </rPr>
          <t xml:space="preserve">Medium/Large: </t>
        </r>
        <r>
          <rPr>
            <sz val="9"/>
            <color indexed="81"/>
            <rFont val="Tahoma"/>
            <family val="2"/>
          </rPr>
          <t xml:space="preserve">&gt;20 and ≤25 ft diameter
</t>
        </r>
        <r>
          <rPr>
            <b/>
            <sz val="9"/>
            <color indexed="81"/>
            <rFont val="Tahoma"/>
            <family val="2"/>
          </rPr>
          <t xml:space="preserve">Large: </t>
        </r>
        <r>
          <rPr>
            <sz val="9"/>
            <color indexed="81"/>
            <rFont val="Tahoma"/>
            <family val="2"/>
          </rPr>
          <t>&gt;25 feet diameter &amp; trunk &gt;6" DSH.</t>
        </r>
      </text>
    </comment>
    <comment ref="L10" authorId="0" shapeId="0" xr:uid="{6C692495-FB6D-4C69-8F50-68E38CBE58E7}">
      <text>
        <r>
          <rPr>
            <sz val="9"/>
            <color indexed="81"/>
            <rFont val="Tahoma"/>
            <family val="2"/>
          </rPr>
          <t>Tree Points of the specified species and size. Based on Table B for 23.44.120 - Tree Points.
See “Existing Trees Form Help” tab for more info.</t>
        </r>
      </text>
    </comment>
    <comment ref="M10" authorId="0" shapeId="0" xr:uid="{1E112B57-7078-49E3-B098-6C4840703405}">
      <text>
        <r>
          <rPr>
            <sz val="9"/>
            <color indexed="81"/>
            <rFont val="Tahoma"/>
            <family val="2"/>
          </rPr>
          <t xml:space="preserve">Not selectable field. Total Tree Points based on the tree type, species size, and tree size in DSH. Autocalculates based on Table B for 23.44.120. </t>
        </r>
      </text>
    </comment>
    <comment ref="N10" authorId="0" shapeId="0" xr:uid="{6A83F871-D75C-4A6E-ABFA-4FC377F94B60}">
      <text>
        <r>
          <rPr>
            <sz val="9"/>
            <color indexed="81"/>
            <rFont val="Tahoma"/>
            <family val="2"/>
          </rPr>
          <t>Resolve if red error message appears.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Chen, Jeffrey</author>
  </authors>
  <commentList>
    <comment ref="I5" authorId="0" shapeId="0" xr:uid="{AD048DD6-1200-410C-8FC3-6EDBBF50A650}">
      <text>
        <r>
          <rPr>
            <sz val="9"/>
            <color indexed="81"/>
            <rFont val="Tahoma"/>
            <family val="2"/>
          </rPr>
          <t>Tree canopy area of all proposed plantings at maturity.</t>
        </r>
      </text>
    </comment>
    <comment ref="L5" authorId="0" shapeId="0" xr:uid="{5303FE40-8CEF-424A-98AC-E06D04F2B746}">
      <text>
        <r>
          <rPr>
            <sz val="9"/>
            <color indexed="81"/>
            <rFont val="Tahoma"/>
            <family val="2"/>
          </rPr>
          <t>Sum of Tree Points from proposed plantings.</t>
        </r>
      </text>
    </comment>
    <comment ref="A10" authorId="0" shapeId="0" xr:uid="{4903763C-A210-46C8-894A-38DF6A77BB7B}">
      <text>
        <r>
          <rPr>
            <sz val="9"/>
            <color indexed="81"/>
            <rFont val="Tahoma"/>
            <family val="2"/>
          </rPr>
          <t>Number of rows in form.</t>
        </r>
      </text>
    </comment>
    <comment ref="B10" authorId="0" shapeId="0" xr:uid="{FD59F3C2-34D6-41E9-8514-2793C71D3027}">
      <text>
        <r>
          <rPr>
            <sz val="9"/>
            <color indexed="81"/>
            <rFont val="Tahoma"/>
            <family val="2"/>
          </rPr>
          <t xml:space="preserve">Enter unique number/letter to identify tree and matches site plan.
Ex. 1, 2, 3, or A, B, C, or A-C.
</t>
        </r>
      </text>
    </comment>
    <comment ref="C10" authorId="0" shapeId="0" xr:uid="{9E2087BE-FA34-4413-BC7F-CE3690E8AE7C}">
      <text>
        <r>
          <rPr>
            <sz val="9"/>
            <color indexed="81"/>
            <rFont val="Tahoma"/>
            <family val="2"/>
          </rPr>
          <t xml:space="preserve">If the tree is not on the list, type in the scientific </t>
        </r>
        <r>
          <rPr>
            <b/>
            <sz val="9"/>
            <color indexed="81"/>
            <rFont val="Tahoma"/>
            <family val="2"/>
          </rPr>
          <t>and</t>
        </r>
        <r>
          <rPr>
            <sz val="9"/>
            <color indexed="81"/>
            <rFont val="Tahoma"/>
            <family val="2"/>
          </rPr>
          <t xml:space="preserve"> common name. 
Ex. Salix Exigua / Sandbar Willow.</t>
        </r>
      </text>
    </comment>
    <comment ref="D10" authorId="0" shapeId="0" xr:uid="{FB35F706-17E3-479C-BFB8-EC1CC8BD6FF1}">
      <text>
        <r>
          <rPr>
            <b/>
            <sz val="9"/>
            <color indexed="81"/>
            <rFont val="Tahoma"/>
            <family val="2"/>
          </rPr>
          <t xml:space="preserve">On Site: </t>
        </r>
        <r>
          <rPr>
            <sz val="9"/>
            <color indexed="81"/>
            <rFont val="Tahoma"/>
            <family val="2"/>
          </rPr>
          <t>On subject property.</t>
        </r>
        <r>
          <rPr>
            <b/>
            <sz val="9"/>
            <color indexed="81"/>
            <rFont val="Tahoma"/>
            <family val="2"/>
          </rPr>
          <t xml:space="preserve"> Off Site: </t>
        </r>
        <r>
          <rPr>
            <sz val="9"/>
            <color indexed="81"/>
            <rFont val="Tahoma"/>
            <family val="2"/>
          </rPr>
          <t xml:space="preserve">On a different property. </t>
        </r>
        <r>
          <rPr>
            <b/>
            <sz val="9"/>
            <color indexed="81"/>
            <rFont val="Tahoma"/>
            <family val="2"/>
          </rPr>
          <t xml:space="preserve">Right-of-Way: </t>
        </r>
        <r>
          <rPr>
            <sz val="9"/>
            <color indexed="81"/>
            <rFont val="Tahoma"/>
            <family val="2"/>
          </rPr>
          <t>On SDOT property. Don't enter if only for SDOT code.</t>
        </r>
      </text>
    </comment>
    <comment ref="E10" authorId="0" shapeId="0" xr:uid="{50CD4420-C2CB-4937-9C94-3ACD730CD5B7}">
      <text>
        <r>
          <rPr>
            <sz val="9"/>
            <color indexed="81"/>
            <rFont val="Tahoma"/>
            <family val="2"/>
          </rPr>
          <t>Is this planting required by code to replace the removal or to mitigate ECA/Shoreline disturbance?</t>
        </r>
      </text>
    </comment>
    <comment ref="F10" authorId="0" shapeId="0" xr:uid="{8F891432-FFF8-40FD-A18E-5A342BCC7206}">
      <text>
        <r>
          <rPr>
            <sz val="9"/>
            <color indexed="81"/>
            <rFont val="Tahoma"/>
            <family val="2"/>
          </rPr>
          <t>Select all the code requirements that apply.
See “Tree Plantings Form Help” tab for more info.</t>
        </r>
      </text>
    </comment>
    <comment ref="G10" authorId="0" shapeId="0" xr:uid="{ED4EA69C-6D04-4A3F-96C8-39910681942F}">
      <text>
        <r>
          <rPr>
            <sz val="9"/>
            <color indexed="81"/>
            <rFont val="Tahoma"/>
            <family val="2"/>
          </rPr>
          <t>Tree caliper size at time of planting. Required for deciduous tree types.</t>
        </r>
      </text>
    </comment>
    <comment ref="H10" authorId="0" shapeId="0" xr:uid="{4B440A2D-816D-48FF-8AB1-9F989458FC26}">
      <text>
        <r>
          <rPr>
            <sz val="9"/>
            <color indexed="81"/>
            <rFont val="Tahoma"/>
            <family val="2"/>
          </rPr>
          <t>Tree height at time of planting. Required for conifer tree types.</t>
        </r>
      </text>
    </comment>
    <comment ref="I10" authorId="0" shapeId="0" xr:uid="{747B5D62-9C67-4132-89E6-D5447870E822}">
      <text>
        <r>
          <rPr>
            <sz val="9"/>
            <color indexed="81"/>
            <rFont val="Tahoma"/>
            <family val="2"/>
          </rPr>
          <t>Container size at time of planting. Enter number only.
Not required for Code Reference: Tree Code.</t>
        </r>
      </text>
    </comment>
    <comment ref="J10" authorId="0" shapeId="0" xr:uid="{18641F64-F15F-4AEF-8D29-F3B8746CE225}">
      <text>
        <r>
          <rPr>
            <sz val="9"/>
            <color indexed="81"/>
            <rFont val="Tahoma"/>
            <family val="2"/>
          </rPr>
          <t>Required if meeting Tree Code to replace canopy area of a Tier 1-3 tree removal.</t>
        </r>
      </text>
    </comment>
    <comment ref="K10" authorId="0" shapeId="0" xr:uid="{91347503-B439-4D6A-98E6-DF1430031FAA}">
      <text>
        <r>
          <rPr>
            <sz val="9"/>
            <color indexed="81"/>
            <rFont val="Tahoma"/>
            <family val="2"/>
          </rPr>
          <t>Based on canopy spread of the species at maturity. See “Tree Plantings Form Help” tab for more info.</t>
        </r>
      </text>
    </comment>
    <comment ref="L10" authorId="0" shapeId="0" xr:uid="{FFDBD741-F4DA-4C05-8FC9-6B915DA2A684}">
      <text>
        <r>
          <rPr>
            <sz val="9"/>
            <color indexed="81"/>
            <rFont val="Tahoma"/>
            <family val="2"/>
          </rPr>
          <t>Tree Points for one planting of the specified species.
Based on Table B for 23.44.120 - Tree Points.</t>
        </r>
      </text>
    </comment>
    <comment ref="M10" authorId="0" shapeId="0" xr:uid="{0B0FBB16-2BC7-4B0A-92DC-77825C778486}">
      <text>
        <r>
          <rPr>
            <sz val="9"/>
            <color indexed="81"/>
            <rFont val="Tahoma"/>
            <family val="2"/>
          </rPr>
          <t xml:space="preserve">Not selectable field. Autocalculates based on Table B for 23.44.120 and on the tree type, species size, and quantity. </t>
        </r>
      </text>
    </comment>
    <comment ref="N10" authorId="0" shapeId="0" xr:uid="{48CA2CE5-8DC4-45CC-936E-857CA85AD78A}">
      <text>
        <r>
          <rPr>
            <sz val="9"/>
            <color indexed="81"/>
            <rFont val="Tahoma"/>
            <family val="2"/>
          </rPr>
          <t>Number of plantings.
Note: For ECA/Shoreline code that overlaps with other code requirements, you must state exactly which plantings are used to meet the 1:1 replacement.</t>
        </r>
      </text>
    </comment>
    <comment ref="O10" authorId="0" shapeId="0" xr:uid="{DA4C659F-2A27-404C-8043-96BCD5BA9DCE}">
      <text>
        <r>
          <rPr>
            <sz val="9"/>
            <color indexed="81"/>
            <rFont val="Tahoma"/>
            <family val="2"/>
          </rPr>
          <t>Resolve if red error message appears.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Chen, Jeffrey</author>
  </authors>
  <commentList>
    <comment ref="F6" authorId="0" shapeId="0" xr:uid="{F90980F6-F379-43A5-A31A-9016E725F261}">
      <text>
        <r>
          <rPr>
            <sz val="9"/>
            <color indexed="81"/>
            <rFont val="Tahoma"/>
            <family val="2"/>
          </rPr>
          <t xml:space="preserve">Half the DSH. Only calculated for Tier 1 or Tier 2 trees &gt;24".
</t>
        </r>
      </text>
    </comment>
    <comment ref="G6" authorId="0" shapeId="0" xr:uid="{2DA026D7-D90A-4CE8-ACE4-0414D2B2F063}">
      <text>
        <r>
          <rPr>
            <sz val="9"/>
            <color indexed="81"/>
            <rFont val="Tahoma"/>
            <family val="2"/>
          </rPr>
          <t>Cross-section area of the trunk measured at DSH. Only calculated for Tier 1 or Tier 2 trees &gt;24".</t>
        </r>
      </text>
    </comment>
    <comment ref="H6" authorId="0" shapeId="0" xr:uid="{DBC91724-250B-4D89-BDFA-CD26F2A4F7DB}">
      <text>
        <r>
          <rPr>
            <sz val="9"/>
            <color indexed="81"/>
            <rFont val="Tahoma"/>
            <family val="2"/>
          </rPr>
          <t>Calculated based on DSH and Tier.</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<sst xmlns="http://schemas.openxmlformats.org/spreadsheetml/2006/main" count="5681" uniqueCount="2278">
  <si>
    <t>Tree Category</t>
  </si>
  <si>
    <t>Tier 3</t>
  </si>
  <si>
    <t>Tier 2</t>
  </si>
  <si>
    <t>Tier 4</t>
  </si>
  <si>
    <t>Tier 1</t>
  </si>
  <si>
    <t>Zoning - Street Tree</t>
  </si>
  <si>
    <t>Development Standard Modifications</t>
  </si>
  <si>
    <t>Shoreline</t>
  </si>
  <si>
    <t>TreeCategory</t>
  </si>
  <si>
    <t>CodeReference</t>
  </si>
  <si>
    <t>TreeStatus</t>
  </si>
  <si>
    <t>Environmental Critical Area / Shoreline</t>
  </si>
  <si>
    <t>Environmental Critical Area (ECA)</t>
  </si>
  <si>
    <t>TreeMitigation</t>
  </si>
  <si>
    <t>ECA / Shoreline Tree</t>
  </si>
  <si>
    <t>Payment In Lieu</t>
  </si>
  <si>
    <t>N/A (No replacement required)</t>
  </si>
  <si>
    <t>Required</t>
  </si>
  <si>
    <t>Code Reqd Pres Code Reference</t>
  </si>
  <si>
    <t>Tree Protection Code: Building Width</t>
  </si>
  <si>
    <t xml:space="preserve">Tree Protection Code: Development Capacity   </t>
  </si>
  <si>
    <t xml:space="preserve">Tree Protection Code: Necessary for Construction </t>
  </si>
  <si>
    <t>Tree Protection Code: Other removal allowance or exemption</t>
  </si>
  <si>
    <t>Tree Protection Code: Special Exception</t>
  </si>
  <si>
    <t xml:space="preserve">Tree Protection Code: Tier 3 or Tier 4 Allowance </t>
  </si>
  <si>
    <t>Tree Protection Code: Tier 3 or Tier 4 Allowance</t>
  </si>
  <si>
    <t>Tree Protection Code: Development Capacity</t>
  </si>
  <si>
    <t>Tree Protection Code: Necessary for Construction</t>
  </si>
  <si>
    <t>Tier 1 Code Req</t>
  </si>
  <si>
    <t>Tier 2 Code Req</t>
  </si>
  <si>
    <t>Tier 3 Code Req</t>
  </si>
  <si>
    <t>Tier 4 Code Req</t>
  </si>
  <si>
    <t>Other Tree Code Req</t>
  </si>
  <si>
    <t>ECA Shoreline Code Req</t>
  </si>
  <si>
    <t>Tree Points</t>
  </si>
  <si>
    <t>Relocation</t>
  </si>
  <si>
    <t>Tier 4 - Tier 3 or 4 Allowance</t>
  </si>
  <si>
    <t>Tree Protection Code and Shoreline and ECA</t>
  </si>
  <si>
    <t>Tree Protection Code - Others</t>
  </si>
  <si>
    <t>Street Tree for Green Factor</t>
  </si>
  <si>
    <t>King County Invasive/ Noxious Weed &gt; 24in</t>
  </si>
  <si>
    <t>Required Tree Points:</t>
  </si>
  <si>
    <t>Trunk Radius</t>
  </si>
  <si>
    <t>Square Inches</t>
  </si>
  <si>
    <t>Total Payment Amount</t>
  </si>
  <si>
    <t>Total Payment In Lieu Fee</t>
  </si>
  <si>
    <t>Proposed Location</t>
  </si>
  <si>
    <t>Yes</t>
  </si>
  <si>
    <t>No</t>
  </si>
  <si>
    <t>ECA / Shoreline</t>
  </si>
  <si>
    <t>ProposedLocation</t>
  </si>
  <si>
    <t>Tree Mitigation - Yes</t>
  </si>
  <si>
    <t>Tree Mitigation - No</t>
  </si>
  <si>
    <t>&lt;6in DSH for Tree Points</t>
  </si>
  <si>
    <t>Error Message</t>
  </si>
  <si>
    <t>Quantity</t>
  </si>
  <si>
    <t>Proposed
Location</t>
  </si>
  <si>
    <t>Planting
ID</t>
  </si>
  <si>
    <t>Mature Canopy
Area (sq ft)</t>
  </si>
  <si>
    <t>Total Planting
Tree Points</t>
  </si>
  <si>
    <t>Tree Size
(DSH)</t>
  </si>
  <si>
    <t>Total Existing
Tree Points</t>
  </si>
  <si>
    <t>For more information: Director's Rule 8-2023: Payment in lieu</t>
  </si>
  <si>
    <t>You have moved a cell. Please undo changes (pressing Ctrl + z) until this error is gone.</t>
  </si>
  <si>
    <t>Enter only the following:</t>
  </si>
  <si>
    <t>sp.</t>
  </si>
  <si>
    <t>Zelkova</t>
  </si>
  <si>
    <t>Deciduous</t>
  </si>
  <si>
    <t>Zelkova sp.</t>
  </si>
  <si>
    <t>Village Green Zelkova</t>
  </si>
  <si>
    <t>Zelkova serrata 'Village Green'</t>
  </si>
  <si>
    <t>Wireless Japanese Zelkova</t>
  </si>
  <si>
    <t>Zelkova serrata 'Schmidtlow'</t>
  </si>
  <si>
    <t>Musashino Zelkova</t>
  </si>
  <si>
    <t>Zelkova serrata 'Musashino'</t>
  </si>
  <si>
    <t>Green Vase Japanese Zelkova</t>
  </si>
  <si>
    <t>Zelkova serrata 'Green Vase'</t>
  </si>
  <si>
    <t>Japanese Zelkova</t>
  </si>
  <si>
    <t>Zelkova serrata</t>
  </si>
  <si>
    <t>Caucasian Zelkova</t>
  </si>
  <si>
    <t>Zelkova carpinifolia</t>
  </si>
  <si>
    <t>Broadleaf Evergreen</t>
  </si>
  <si>
    <t>Bay Laurel</t>
  </si>
  <si>
    <t>California Bay/Oregon Myrtle</t>
  </si>
  <si>
    <t>Umbellularia californica</t>
  </si>
  <si>
    <t>Patriot Elm</t>
  </si>
  <si>
    <t>Ulmus x 'Patriot'</t>
  </si>
  <si>
    <t>Homestead Elm</t>
  </si>
  <si>
    <t>Ulmus x 'Homestead'</t>
  </si>
  <si>
    <t>Dutch Elm</t>
  </si>
  <si>
    <t>Ulmus x hollandica</t>
  </si>
  <si>
    <t>Prospector Elm</t>
  </si>
  <si>
    <t>Ulmus wilsoniana</t>
  </si>
  <si>
    <t>Elm</t>
  </si>
  <si>
    <t>Ulmus sp.</t>
  </si>
  <si>
    <t>Slippery Elm</t>
  </si>
  <si>
    <t>Ulmus rubra</t>
  </si>
  <si>
    <t>Siberian Elm</t>
  </si>
  <si>
    <t>Ulmus pumila</t>
  </si>
  <si>
    <t>Emerald Sunshine Elm</t>
  </si>
  <si>
    <t>Ulmus propinqua 'JFS-Bieberich'</t>
  </si>
  <si>
    <t>English Elm</t>
  </si>
  <si>
    <t>Ulmus procera</t>
  </si>
  <si>
    <t>Lacebark Elm</t>
  </si>
  <si>
    <t>Ulmus parvifolia 'Allee'</t>
  </si>
  <si>
    <t>Chinese Elm</t>
  </si>
  <si>
    <t>Ulmus parvifolia</t>
  </si>
  <si>
    <t>Triumph Elm</t>
  </si>
  <si>
    <t>Ulmus 'Morton Glossy'</t>
  </si>
  <si>
    <t>Field Elm</t>
  </si>
  <si>
    <t>Ulmus minor</t>
  </si>
  <si>
    <t>European White Elm</t>
  </si>
  <si>
    <t>Ulmus laevis</t>
  </si>
  <si>
    <t>Wych Elm</t>
  </si>
  <si>
    <t>Ulmus glabra</t>
  </si>
  <si>
    <t>Frontier Elm</t>
  </si>
  <si>
    <t>Chenmoui Elm</t>
  </si>
  <si>
    <t>Ulmus chenmoui</t>
  </si>
  <si>
    <t>Smoothleaf Elm</t>
  </si>
  <si>
    <t>Ulmus carpinifolia</t>
  </si>
  <si>
    <t>American Elm</t>
  </si>
  <si>
    <t>Ulmus americana</t>
  </si>
  <si>
    <t>Coniferous</t>
  </si>
  <si>
    <t>Hemlock</t>
  </si>
  <si>
    <t>Tsuga sp.</t>
  </si>
  <si>
    <t>Mountain Hemlock</t>
  </si>
  <si>
    <t>Tsuga mertensiana</t>
  </si>
  <si>
    <t>Western Hemlock</t>
  </si>
  <si>
    <t>Tsuga heterophylla</t>
  </si>
  <si>
    <t>Eastern Hemlock</t>
  </si>
  <si>
    <t>Tsuga canadensis</t>
  </si>
  <si>
    <t>Wheel Tree</t>
  </si>
  <si>
    <t>California Nutmeg</t>
  </si>
  <si>
    <t>Torreya californica</t>
  </si>
  <si>
    <t>Crimean Linden</t>
  </si>
  <si>
    <t>Tilia x euchlora</t>
  </si>
  <si>
    <t>Silver Linden</t>
  </si>
  <si>
    <t>Tilia tomentosa</t>
  </si>
  <si>
    <t>Linden</t>
  </si>
  <si>
    <t>Tilia sp.</t>
  </si>
  <si>
    <t>Large-Leaved Linden</t>
  </si>
  <si>
    <t>Tilia platyphyllos</t>
  </si>
  <si>
    <t>Mongolian Linden</t>
  </si>
  <si>
    <t>Tilia mongolica</t>
  </si>
  <si>
    <t>White Basswood</t>
  </si>
  <si>
    <t>Tilia heterophylla</t>
  </si>
  <si>
    <t>Littleleaf Linden</t>
  </si>
  <si>
    <t>Tilia cordata</t>
  </si>
  <si>
    <t>American Linden</t>
  </si>
  <si>
    <t>Tilia americana</t>
  </si>
  <si>
    <t>Hiba Arborvitae</t>
  </si>
  <si>
    <t>Thuja Green Giant</t>
  </si>
  <si>
    <t>Thuja standishii</t>
  </si>
  <si>
    <t>Thuja plicata 'Excelsa'</t>
  </si>
  <si>
    <t>Western Red Cedar</t>
  </si>
  <si>
    <t>Thuja plicata</t>
  </si>
  <si>
    <t>Oriental Arborvitae</t>
  </si>
  <si>
    <t>Arborvitae</t>
  </si>
  <si>
    <t>Thuja occidentalis</t>
  </si>
  <si>
    <t>Yew</t>
  </si>
  <si>
    <t>Taxus sp.</t>
  </si>
  <si>
    <t>Pacific Yew</t>
  </si>
  <si>
    <t>Taxus brevifolia</t>
  </si>
  <si>
    <t>Irish Yew</t>
  </si>
  <si>
    <t>English Yew</t>
  </si>
  <si>
    <t>Taxus baccata</t>
  </si>
  <si>
    <t>Deciduous Conifer</t>
  </si>
  <si>
    <t>Bald Cypress</t>
  </si>
  <si>
    <t>Taxodium distichum</t>
  </si>
  <si>
    <t>Syringa vulgaris</t>
  </si>
  <si>
    <t>Tree Lilac</t>
  </si>
  <si>
    <t>Syringa sp.</t>
  </si>
  <si>
    <t>Japanese Tree Lilac</t>
  </si>
  <si>
    <t>Syringa reticulata</t>
  </si>
  <si>
    <t>Chinese Tree Lilac</t>
  </si>
  <si>
    <t>Syringa pekinensis</t>
  </si>
  <si>
    <t>Snowbell</t>
  </si>
  <si>
    <t>Styrax sp.</t>
  </si>
  <si>
    <t>Bigleaf Snowbell</t>
  </si>
  <si>
    <t>Styrax obassia</t>
  </si>
  <si>
    <t>Japanese Snowbell</t>
  </si>
  <si>
    <t>Styrax japonicus</t>
  </si>
  <si>
    <t>American Snowbell</t>
  </si>
  <si>
    <t>Styrax americanus</t>
  </si>
  <si>
    <t>Styphnolobium japonicum</t>
  </si>
  <si>
    <t>Stewartia</t>
  </si>
  <si>
    <t>Stewartia sp.</t>
  </si>
  <si>
    <t>Beaked Stewartia</t>
  </si>
  <si>
    <t>Stewartia rostrata</t>
  </si>
  <si>
    <t>Japanese Stewartia</t>
  </si>
  <si>
    <t>Stewartia pseudocamellia</t>
  </si>
  <si>
    <t>Sorbus x thuringiaca</t>
  </si>
  <si>
    <t>Hybrid Mountain Ash</t>
  </si>
  <si>
    <t>Sorbus x hybrida</t>
  </si>
  <si>
    <t>Turkestan Mountain Ash</t>
  </si>
  <si>
    <t>Sorbus tianschanica</t>
  </si>
  <si>
    <t>Mountain Ash</t>
  </si>
  <si>
    <t>Sorbus sp.</t>
  </si>
  <si>
    <t>Swedish Whitebeam</t>
  </si>
  <si>
    <t>Sorbus intermedia</t>
  </si>
  <si>
    <t>Sorbus domestica</t>
  </si>
  <si>
    <t>Sorbus aucuparia 'Mitchred'</t>
  </si>
  <si>
    <t>European Mountain Ash</t>
  </si>
  <si>
    <t>Sorbus aucuparia</t>
  </si>
  <si>
    <t>Whitebeam</t>
  </si>
  <si>
    <t>Sorbus aria</t>
  </si>
  <si>
    <t>American Mountain Ash</t>
  </si>
  <si>
    <t>Sorbus americana</t>
  </si>
  <si>
    <t>Korean Mountain Ash</t>
  </si>
  <si>
    <t>Sorbus alnifolia</t>
  </si>
  <si>
    <t>Giant Sequoia</t>
  </si>
  <si>
    <t>Sequoiadendron giganteum</t>
  </si>
  <si>
    <t>Coastal Redwood</t>
  </si>
  <si>
    <t>Sequoia sempervirens</t>
  </si>
  <si>
    <t>Sciadopitys verticillata</t>
  </si>
  <si>
    <t>White Sassafras</t>
  </si>
  <si>
    <t>Sassafras albidum</t>
  </si>
  <si>
    <t>Willow</t>
  </si>
  <si>
    <t>Salix sp.</t>
  </si>
  <si>
    <t>Sitka Willow</t>
  </si>
  <si>
    <t>Salix sitchensis</t>
  </si>
  <si>
    <t>Scouler's Willow</t>
  </si>
  <si>
    <t>Salix scouleriana</t>
  </si>
  <si>
    <t>Bay Willow</t>
  </si>
  <si>
    <t>Salix pentandra</t>
  </si>
  <si>
    <t>Dark-leaved Willow</t>
  </si>
  <si>
    <t>Salix nigricans</t>
  </si>
  <si>
    <t>Black Willow</t>
  </si>
  <si>
    <t>Salix nigra</t>
  </si>
  <si>
    <t>Corkscrew Willow</t>
  </si>
  <si>
    <t>Salix matsudana 'Tortuosa'</t>
  </si>
  <si>
    <t>Mackenzie's Willow</t>
  </si>
  <si>
    <t>Salix mackenzieana</t>
  </si>
  <si>
    <t>Pacific Willow</t>
  </si>
  <si>
    <t>Salix lasiandra</t>
  </si>
  <si>
    <t>Dune Willow</t>
  </si>
  <si>
    <t>Salix hookeriana</t>
  </si>
  <si>
    <t>Geyer's Willow</t>
  </si>
  <si>
    <t>Salix geyeriana var meleina</t>
  </si>
  <si>
    <t>Heart-leaved Willow</t>
  </si>
  <si>
    <t>Salix eriocephala</t>
  </si>
  <si>
    <t>Babylon Willow</t>
  </si>
  <si>
    <t>Salix babylonica</t>
  </si>
  <si>
    <t>White Willow</t>
  </si>
  <si>
    <t>Salix alba</t>
  </si>
  <si>
    <t>Pink Idaho Locust</t>
  </si>
  <si>
    <t>Robinia x ambigua</t>
  </si>
  <si>
    <t>Clammy Locust</t>
  </si>
  <si>
    <t>Robinia viscosa</t>
  </si>
  <si>
    <t>Locust</t>
  </si>
  <si>
    <t>Robinia sp.</t>
  </si>
  <si>
    <t>Black Locust</t>
  </si>
  <si>
    <t>Robinia pseudoacacia</t>
  </si>
  <si>
    <t>Common Buckthorn</t>
  </si>
  <si>
    <t>Rhamnus cathartica</t>
  </si>
  <si>
    <t>Chinese Rehderodendron</t>
  </si>
  <si>
    <t>Rehderodendron macrocarpum</t>
  </si>
  <si>
    <t>Regal Prince Oak</t>
  </si>
  <si>
    <t>Quercus x warei</t>
  </si>
  <si>
    <t>Eastern Black Oak</t>
  </si>
  <si>
    <t>Quercus velutina</t>
  </si>
  <si>
    <t>Cork Oak</t>
  </si>
  <si>
    <t>Quercus suber</t>
  </si>
  <si>
    <t>Oak</t>
  </si>
  <si>
    <t>Quercus sp.</t>
  </si>
  <si>
    <t>Shumard Oak</t>
  </si>
  <si>
    <t>Quercus shumardii</t>
  </si>
  <si>
    <t>Red Oak</t>
  </si>
  <si>
    <t>Quercus rubra</t>
  </si>
  <si>
    <t>English Oak</t>
  </si>
  <si>
    <t>Quercus robur</t>
  </si>
  <si>
    <t>Chestnut Oak</t>
  </si>
  <si>
    <t>Quercus prinus</t>
  </si>
  <si>
    <t>Willow Oak</t>
  </si>
  <si>
    <t>Quercus phellos</t>
  </si>
  <si>
    <t>Durmast/Irish Oak</t>
  </si>
  <si>
    <t>Quercus petraea</t>
  </si>
  <si>
    <t>Pin Oak</t>
  </si>
  <si>
    <t>Quercus palustris</t>
  </si>
  <si>
    <t>Water Oak</t>
  </si>
  <si>
    <t>Quercus nigra</t>
  </si>
  <si>
    <t>Bamboo Leaf Oak</t>
  </si>
  <si>
    <t>Quercus myrsinaefolia</t>
  </si>
  <si>
    <t>Chinkapin Oak</t>
  </si>
  <si>
    <t>Quercus muehlenbergii</t>
  </si>
  <si>
    <t>Bur Oak</t>
  </si>
  <si>
    <t>Quercus macrocarpa</t>
  </si>
  <si>
    <t>Quercus lobata</t>
  </si>
  <si>
    <t>Shingle Oak</t>
  </si>
  <si>
    <t>Quercus imbricaria</t>
  </si>
  <si>
    <t>Holly Oak</t>
  </si>
  <si>
    <t>Quercus ilex</t>
  </si>
  <si>
    <t>Silverleaf Oak</t>
  </si>
  <si>
    <t>Quercus garryana</t>
  </si>
  <si>
    <t>Italian Oak</t>
  </si>
  <si>
    <t>Quercus frainetto</t>
  </si>
  <si>
    <t>Scarlet Oak</t>
  </si>
  <si>
    <t>Quercus coccinea</t>
  </si>
  <si>
    <t>Canyon Live Oak</t>
  </si>
  <si>
    <t>Quercus chrysolepis</t>
  </si>
  <si>
    <t>Turkey Oak</t>
  </si>
  <si>
    <t>Quercus cerris</t>
  </si>
  <si>
    <t>Swamp White Oak</t>
  </si>
  <si>
    <t>Quercus bicolor</t>
  </si>
  <si>
    <t>White Oak</t>
  </si>
  <si>
    <t>Quercus alba</t>
  </si>
  <si>
    <t>Coast Live Oak</t>
  </si>
  <si>
    <t>Quercus agrifolia</t>
  </si>
  <si>
    <t>Sawtooth Oak</t>
  </si>
  <si>
    <t>Quercus acutissima</t>
  </si>
  <si>
    <t>Pear</t>
  </si>
  <si>
    <t>Pyrus sp.</t>
  </si>
  <si>
    <t>Flowering Pear</t>
  </si>
  <si>
    <t>Pyrus serrulata</t>
  </si>
  <si>
    <t>Willowleaf Pear</t>
  </si>
  <si>
    <t>Pyrus salicifolia</t>
  </si>
  <si>
    <t>Oriental Pear</t>
  </si>
  <si>
    <t>Pyrus pyrifolia</t>
  </si>
  <si>
    <t>Common Pear Tree</t>
  </si>
  <si>
    <t>Pyrus communis</t>
  </si>
  <si>
    <t>Chanticleer Pear</t>
  </si>
  <si>
    <t>Pyrus calleryana 'Chanticleer'</t>
  </si>
  <si>
    <t>Capital Pear</t>
  </si>
  <si>
    <t>Pyrus calleryana 'Capital'</t>
  </si>
  <si>
    <t>Cambridge Flowering Pear</t>
  </si>
  <si>
    <t>Pyrus calleryana 'Cambridge'</t>
  </si>
  <si>
    <t>Callery Pear</t>
  </si>
  <si>
    <t>Pyrus calleryana</t>
  </si>
  <si>
    <t>Fragrant Epaulette Tree</t>
  </si>
  <si>
    <t>Pterostyrax hispida</t>
  </si>
  <si>
    <t>Caucasian Wingnut</t>
  </si>
  <si>
    <t>Pterocarya fraxinifolia</t>
  </si>
  <si>
    <t>Douglas Fir</t>
  </si>
  <si>
    <t>Pseudotsuga menziesii</t>
  </si>
  <si>
    <t>Golden Larch</t>
  </si>
  <si>
    <t>Pseudolarix amabilis</t>
  </si>
  <si>
    <t>Yoshino Cherry</t>
  </si>
  <si>
    <t>Prunus x yedoensis</t>
  </si>
  <si>
    <t>Prunus x pugetensis</t>
  </si>
  <si>
    <t>European Plum</t>
  </si>
  <si>
    <t>Prunus x domestica</t>
  </si>
  <si>
    <t>Prunus x cistena</t>
  </si>
  <si>
    <t>Purple Leafed Plum</t>
  </si>
  <si>
    <t>Prunus x blireana</t>
  </si>
  <si>
    <t>Chokecherry</t>
  </si>
  <si>
    <t>Prunus virginiana</t>
  </si>
  <si>
    <t>Prunus subhirtella 'Pendula'</t>
  </si>
  <si>
    <t>Higan Cherry</t>
  </si>
  <si>
    <t>Prunus subhirtella</t>
  </si>
  <si>
    <t>Sierra Plum</t>
  </si>
  <si>
    <t>Prunus subcordata</t>
  </si>
  <si>
    <t>Cherry/Plum</t>
  </si>
  <si>
    <t>Prunus sp.</t>
  </si>
  <si>
    <t>Kwanzan Flowering Cherry</t>
  </si>
  <si>
    <t>Prunus serrulata 'Kwanzan'</t>
  </si>
  <si>
    <t>Flowering Cherry</t>
  </si>
  <si>
    <t>Prunus serrulata</t>
  </si>
  <si>
    <t>Birchbark Cherry</t>
  </si>
  <si>
    <t>Prunus serrula</t>
  </si>
  <si>
    <t>Black Cherry</t>
  </si>
  <si>
    <t>Prunus serotina</t>
  </si>
  <si>
    <t>Sargent Cherry</t>
  </si>
  <si>
    <t>Prunus sargentii</t>
  </si>
  <si>
    <t>Japanese Plum</t>
  </si>
  <si>
    <t>Prunus salicina</t>
  </si>
  <si>
    <t>Peach Tree</t>
  </si>
  <si>
    <t>Prunus persica</t>
  </si>
  <si>
    <t>Bird Cherry</t>
  </si>
  <si>
    <t>Prunus padus</t>
  </si>
  <si>
    <t>Okame Cherry</t>
  </si>
  <si>
    <t>Prunus 'Okame'</t>
  </si>
  <si>
    <t>Hollyleaf Cherry</t>
  </si>
  <si>
    <t>Prunus ilicifolia</t>
  </si>
  <si>
    <t>Bitter Cherry</t>
  </si>
  <si>
    <t>Prunus emarginata</t>
  </si>
  <si>
    <t>Almond Tree</t>
  </si>
  <si>
    <t>Prunus dulcis</t>
  </si>
  <si>
    <t>Sour Cherry</t>
  </si>
  <si>
    <t>Prunus cerasus</t>
  </si>
  <si>
    <t>Thundercloud Flowering Plum</t>
  </si>
  <si>
    <t>Prunus cerasifera 'Thundercloud'</t>
  </si>
  <si>
    <t>Flowering Plum</t>
  </si>
  <si>
    <t>Prunus cerasifera</t>
  </si>
  <si>
    <t>Cherry Laurel</t>
  </si>
  <si>
    <t>Prunus caroliniana</t>
  </si>
  <si>
    <t>Wild Cherry</t>
  </si>
  <si>
    <t>Prunus avium</t>
  </si>
  <si>
    <t>Common Apricot</t>
  </si>
  <si>
    <t>Prunus armeniaca</t>
  </si>
  <si>
    <t>American Plum</t>
  </si>
  <si>
    <t>Prunus americana</t>
  </si>
  <si>
    <t>Amanogawa Flowering Cherry</t>
  </si>
  <si>
    <t>Prunus 'Amanogawa'</t>
  </si>
  <si>
    <t>Hybrid Black Poplar</t>
  </si>
  <si>
    <t>Populus x canadensis</t>
  </si>
  <si>
    <t>Tristis Weeping Poplar</t>
  </si>
  <si>
    <t>Populus tristis</t>
  </si>
  <si>
    <t>Black Cottonwood</t>
  </si>
  <si>
    <t>Populus trichocarpa</t>
  </si>
  <si>
    <t>Quaking Aspen</t>
  </si>
  <si>
    <t>Populus tremuloides</t>
  </si>
  <si>
    <t>Columnar Swedish Aspen</t>
  </si>
  <si>
    <t>Populus tremula 'Erecta'</t>
  </si>
  <si>
    <t>Poplar</t>
  </si>
  <si>
    <t>Populus sp.</t>
  </si>
  <si>
    <t>Chinese Poplar</t>
  </si>
  <si>
    <t>Populus simonii</t>
  </si>
  <si>
    <t>Weeping Poplar</t>
  </si>
  <si>
    <t>Populus pendula</t>
  </si>
  <si>
    <t>Lombardy Poplar</t>
  </si>
  <si>
    <t>Populus nigra 'Italica'</t>
  </si>
  <si>
    <t>Black Poplar</t>
  </si>
  <si>
    <t>Populus nigra</t>
  </si>
  <si>
    <t>Fremont Cottonwood</t>
  </si>
  <si>
    <t>Populus fremontii</t>
  </si>
  <si>
    <t>Eastern Cottonwood</t>
  </si>
  <si>
    <t>Populus deltoides</t>
  </si>
  <si>
    <t>Gray Poplar</t>
  </si>
  <si>
    <t>Populus canescens</t>
  </si>
  <si>
    <t>Populus balsamifera</t>
  </si>
  <si>
    <t>White Poplar</t>
  </si>
  <si>
    <t>Populus alba</t>
  </si>
  <si>
    <t>London Plane</t>
  </si>
  <si>
    <t>Platanus x acerifolia</t>
  </si>
  <si>
    <t>Plane Tree</t>
  </si>
  <si>
    <t>Platanus sp.</t>
  </si>
  <si>
    <t>American Sycamore</t>
  </si>
  <si>
    <t>Platanus occidentalis</t>
  </si>
  <si>
    <t>Chinese Pistache</t>
  </si>
  <si>
    <t>Pistacia chinensis</t>
  </si>
  <si>
    <t>Himalayan Pine</t>
  </si>
  <si>
    <t>Pinus wallichiana</t>
  </si>
  <si>
    <t>Mountain Pine</t>
  </si>
  <si>
    <t>Pinus uncinata</t>
  </si>
  <si>
    <t>Japanese Black Pine</t>
  </si>
  <si>
    <t>Pinus thunbergii</t>
  </si>
  <si>
    <t>Scot's Pine</t>
  </si>
  <si>
    <t>Pinus sylvestris</t>
  </si>
  <si>
    <t>Eastern White Pine</t>
  </si>
  <si>
    <t>Pinus strobus</t>
  </si>
  <si>
    <t>Pine</t>
  </si>
  <si>
    <t>Pinus sp.</t>
  </si>
  <si>
    <t>Ghost Pine</t>
  </si>
  <si>
    <t>Pinus sabiniana</t>
  </si>
  <si>
    <t>Red Pine</t>
  </si>
  <si>
    <t>Pinus resinosa</t>
  </si>
  <si>
    <t>Monterey Pine</t>
  </si>
  <si>
    <t>Pinus radiata</t>
  </si>
  <si>
    <t>Table Mountain Pine</t>
  </si>
  <si>
    <t>Pinus pungens</t>
  </si>
  <si>
    <t>Ponderosa Pine</t>
  </si>
  <si>
    <t>Pinus ponderosa</t>
  </si>
  <si>
    <t>Italian Stone Pine</t>
  </si>
  <si>
    <t>Pinus pinea</t>
  </si>
  <si>
    <t>Cluster Pine</t>
  </si>
  <si>
    <t>Pinus pinaster</t>
  </si>
  <si>
    <t>Japanese White Pine</t>
  </si>
  <si>
    <t>Pinus parviflora</t>
  </si>
  <si>
    <t>Oregon Green Austrian Pine</t>
  </si>
  <si>
    <t>Pinus nigra 'Oregon Green'</t>
  </si>
  <si>
    <t>Austrian Black Pine</t>
  </si>
  <si>
    <t>Pinus nigra</t>
  </si>
  <si>
    <t>Bishop Pine</t>
  </si>
  <si>
    <t>Pinus muricata</t>
  </si>
  <si>
    <t>Western White Pine</t>
  </si>
  <si>
    <t>Pinus monticola</t>
  </si>
  <si>
    <t>Montezuma Pine</t>
  </si>
  <si>
    <t>Pinus montezumae</t>
  </si>
  <si>
    <t>Bosnian Pine</t>
  </si>
  <si>
    <t>Pinus leucodermis</t>
  </si>
  <si>
    <t>Sugar Pine</t>
  </si>
  <si>
    <t>Pinus lambertiana</t>
  </si>
  <si>
    <t>Jeffrey Pine</t>
  </si>
  <si>
    <t>Pinus jeffreyi</t>
  </si>
  <si>
    <t>Vanderwolf's Pine</t>
  </si>
  <si>
    <t>Limber Pine</t>
  </si>
  <si>
    <t>Pinus flexilis</t>
  </si>
  <si>
    <t>Umbrella Pine</t>
  </si>
  <si>
    <t>Pinus densiflora 'Umbraculifera'</t>
  </si>
  <si>
    <t>Japanese Red Pine</t>
  </si>
  <si>
    <t>Pinus densiflora</t>
  </si>
  <si>
    <t>Coulter Pine</t>
  </si>
  <si>
    <t>Pinus coulteri</t>
  </si>
  <si>
    <t>Shore Pine</t>
  </si>
  <si>
    <t>Mexican Pinon</t>
  </si>
  <si>
    <t>Pinus cembroides</t>
  </si>
  <si>
    <t>Knobcone Pine</t>
  </si>
  <si>
    <t>Pinus attenuata</t>
  </si>
  <si>
    <t>Bristlecone Pine</t>
  </si>
  <si>
    <t>Pinus aristata</t>
  </si>
  <si>
    <t>Whitebark Pine</t>
  </si>
  <si>
    <t>Pinus albicaulis</t>
  </si>
  <si>
    <t>Spruce</t>
  </si>
  <si>
    <t>Picea sp.</t>
  </si>
  <si>
    <t>Sitka Spruce</t>
  </si>
  <si>
    <t>Picea sitchensis</t>
  </si>
  <si>
    <t>Red Spruce</t>
  </si>
  <si>
    <t>Picea rubens</t>
  </si>
  <si>
    <t>Colorado Blue Spruce</t>
  </si>
  <si>
    <t>Picea pungens</t>
  </si>
  <si>
    <t>Oriental Spruce</t>
  </si>
  <si>
    <t>Picea orientalis</t>
  </si>
  <si>
    <t>Riverside Serbian Spruce</t>
  </si>
  <si>
    <t>Picea omorika 'Riverside'</t>
  </si>
  <si>
    <t>Serbian Spruce</t>
  </si>
  <si>
    <t>Picea omorika</t>
  </si>
  <si>
    <t>White Spruce</t>
  </si>
  <si>
    <t>Picea glauca</t>
  </si>
  <si>
    <t>Engelmann Spruce</t>
  </si>
  <si>
    <t>Picea engelmannii</t>
  </si>
  <si>
    <t>Columnar Norway Spruce</t>
  </si>
  <si>
    <t>Norway Spruce</t>
  </si>
  <si>
    <t>Picea abies</t>
  </si>
  <si>
    <t>Chinese Phellodendron</t>
  </si>
  <si>
    <t>Phellodendron chinense</t>
  </si>
  <si>
    <t>Amur Corktree</t>
  </si>
  <si>
    <t>Phellodendron amurense</t>
  </si>
  <si>
    <t>Empress Tree</t>
  </si>
  <si>
    <t>Paulownia tomentosa</t>
  </si>
  <si>
    <t>Vanessa Ironwood</t>
  </si>
  <si>
    <t>Parrotia persica 'Vanessa'</t>
  </si>
  <si>
    <t>Ruby Vase Persian Ironwood</t>
  </si>
  <si>
    <t>Parrotia persica 'Ruby Vase'</t>
  </si>
  <si>
    <t>Persian Ironwood</t>
  </si>
  <si>
    <t>Parrotia persica</t>
  </si>
  <si>
    <t>Sourwood</t>
  </si>
  <si>
    <t>Oxydendrum arboreum</t>
  </si>
  <si>
    <t>American Hop Hornbeam/Ironwood</t>
  </si>
  <si>
    <t>Ostrya virginiana</t>
  </si>
  <si>
    <t>European Fruiting Olive</t>
  </si>
  <si>
    <t>Olea europaea</t>
  </si>
  <si>
    <t>Wildfire Black Tupelo</t>
  </si>
  <si>
    <t>Nyssa sylvatica 'Wildfire'</t>
  </si>
  <si>
    <t>Red Rage Tupelo</t>
  </si>
  <si>
    <t>Nyssa sylvatica 'Haymanred'</t>
  </si>
  <si>
    <t>Firestarter Black Tupelo</t>
  </si>
  <si>
    <t>Nyssa sylvatica 'Firestarter'</t>
  </si>
  <si>
    <t>Tupelo</t>
  </si>
  <si>
    <t>Nyssa sylvatica</t>
  </si>
  <si>
    <t>Southern Beech</t>
  </si>
  <si>
    <t>Nothofagus sp.</t>
  </si>
  <si>
    <t>Rauli Beech</t>
  </si>
  <si>
    <t>Antarctic Beech</t>
  </si>
  <si>
    <t>Nothofagus antarctica</t>
  </si>
  <si>
    <t>White Mulberry</t>
  </si>
  <si>
    <t>Morus alba</t>
  </si>
  <si>
    <t>Dawn Redwood</t>
  </si>
  <si>
    <t>Metasequoia glyptostroboides</t>
  </si>
  <si>
    <t>Medlar</t>
  </si>
  <si>
    <t>Mespilus germanica</t>
  </si>
  <si>
    <t>Chinaberry Tree</t>
  </si>
  <si>
    <t>Melia azedarach</t>
  </si>
  <si>
    <t>Mayten Tree</t>
  </si>
  <si>
    <t>Maytenus boaria</t>
  </si>
  <si>
    <t>Yunnan Crabapple</t>
  </si>
  <si>
    <t>Malus yunnanensis</t>
  </si>
  <si>
    <t>Zumi Crabapple</t>
  </si>
  <si>
    <t>Purple Crabapple</t>
  </si>
  <si>
    <t>Malus x purpurea</t>
  </si>
  <si>
    <t>Japanese Crabapple</t>
  </si>
  <si>
    <t>Malus x floribunda</t>
  </si>
  <si>
    <t>Largeleaf Crabapple</t>
  </si>
  <si>
    <t>Malus tschonoskii</t>
  </si>
  <si>
    <t>Tibetan Crabapple</t>
  </si>
  <si>
    <t>Sugar Tyme Crabapple</t>
  </si>
  <si>
    <t>Malus Sugar Tyme</t>
  </si>
  <si>
    <t>Malus sp.</t>
  </si>
  <si>
    <t>Golden Raindrops Crabapple</t>
  </si>
  <si>
    <t>Lancelot Crabapple</t>
  </si>
  <si>
    <t>Malus 'Lancelot'</t>
  </si>
  <si>
    <t>Marilee Crabapple</t>
  </si>
  <si>
    <t>Malus 'Jarmin'</t>
  </si>
  <si>
    <t>Pacific Crabapple</t>
  </si>
  <si>
    <t>Malus fusca</t>
  </si>
  <si>
    <t>Apple</t>
  </si>
  <si>
    <t>Malus domestica</t>
  </si>
  <si>
    <t>American Crabapple</t>
  </si>
  <si>
    <t>Malus coronaria</t>
  </si>
  <si>
    <t>Chinese Crabapple</t>
  </si>
  <si>
    <t>Malus baccata</t>
  </si>
  <si>
    <t>Magnolia</t>
  </si>
  <si>
    <t>Veitch Magnolia</t>
  </si>
  <si>
    <t>Magnolia x veitchii</t>
  </si>
  <si>
    <t>Saucer Magnolia</t>
  </si>
  <si>
    <t>Magnolia x Soulangiana</t>
  </si>
  <si>
    <t>Loebner Magnolia</t>
  </si>
  <si>
    <t>Magnolia x loebneri</t>
  </si>
  <si>
    <t>Wada's Memory Magnolia</t>
  </si>
  <si>
    <t>Magnolia x kewensis</t>
  </si>
  <si>
    <t>Elizabeth Magnolia</t>
  </si>
  <si>
    <t>Moonglow Sweet Bay Magnolia</t>
  </si>
  <si>
    <t>Magnolia virginiana 'Jim Wilson'</t>
  </si>
  <si>
    <t>Star Magnolia</t>
  </si>
  <si>
    <t>Magnolia stellata</t>
  </si>
  <si>
    <t>Magnolia sp.</t>
  </si>
  <si>
    <t>Bigleaf Magnolia</t>
  </si>
  <si>
    <t>Magnolia macrophylla</t>
  </si>
  <si>
    <t>Kobus Magnolia</t>
  </si>
  <si>
    <t>Magnolia kobus</t>
  </si>
  <si>
    <t>Japanese Silverleaf Magnolia</t>
  </si>
  <si>
    <t>Magnolia hypoleuca</t>
  </si>
  <si>
    <t>Victoria Magnolia</t>
  </si>
  <si>
    <t>Magnolia grandiflora 'Victoria'</t>
  </si>
  <si>
    <t>Little Gem Magnolia</t>
  </si>
  <si>
    <t>Magnolia grandiflora 'Little Gem'</t>
  </si>
  <si>
    <t>Southern Magnolia</t>
  </si>
  <si>
    <t>Magnolia grandiflora</t>
  </si>
  <si>
    <t>Galaxy Magnolia</t>
  </si>
  <si>
    <t>Magnolia 'Galaxy'</t>
  </si>
  <si>
    <t>Yulan Magnolia</t>
  </si>
  <si>
    <t>Magnolia denudata</t>
  </si>
  <si>
    <t>Butterfly Magnolia</t>
  </si>
  <si>
    <t>Magnolia acuminata 'Butterflies'</t>
  </si>
  <si>
    <t>Cucumber Tree</t>
  </si>
  <si>
    <t>Magnolia acuminata</t>
  </si>
  <si>
    <t>Osage Orange</t>
  </si>
  <si>
    <t>Maclura pomifera</t>
  </si>
  <si>
    <t>Amur Maackia</t>
  </si>
  <si>
    <t>Maackia amurensis</t>
  </si>
  <si>
    <t>Tanoak</t>
  </si>
  <si>
    <t>Columnar Tulip Tree</t>
  </si>
  <si>
    <t>Liriodendron tulipifera 'Fastigiatum'</t>
  </si>
  <si>
    <t>Emerald City Tulip Tree</t>
  </si>
  <si>
    <t>Liriodendron tulipifera 'Emerald City'</t>
  </si>
  <si>
    <t>Tulip Tree</t>
  </si>
  <si>
    <t>Liriodendron tulipifera</t>
  </si>
  <si>
    <t>Liquidambar styraciflua 'Slender Silhouette'</t>
  </si>
  <si>
    <t>American Sweetgum</t>
  </si>
  <si>
    <t>Liquidambar styraciflua</t>
  </si>
  <si>
    <t>Liquidambar sp.</t>
  </si>
  <si>
    <t>Oriental Sweetgum</t>
  </si>
  <si>
    <t>Liquidambar orientalis</t>
  </si>
  <si>
    <t>Laurus nobilis</t>
  </si>
  <si>
    <t>Larch</t>
  </si>
  <si>
    <t>Larix sp.</t>
  </si>
  <si>
    <t>Western Larch</t>
  </si>
  <si>
    <t>Larix occidentalis</t>
  </si>
  <si>
    <t>Japanese Larch</t>
  </si>
  <si>
    <t>Larix kaempferi</t>
  </si>
  <si>
    <t>European Larch</t>
  </si>
  <si>
    <t>Larix decidua</t>
  </si>
  <si>
    <t>Crape Myrtle</t>
  </si>
  <si>
    <t>Lagerstroemia sp.</t>
  </si>
  <si>
    <t>Natchez Crape Myrtle</t>
  </si>
  <si>
    <t>Arapaho Crape Myrtle</t>
  </si>
  <si>
    <t>Common Crape Myrtle</t>
  </si>
  <si>
    <t>Lagerstroemia indica</t>
  </si>
  <si>
    <t>Hybrid Goldenchain</t>
  </si>
  <si>
    <t>Laburnum x Watereri</t>
  </si>
  <si>
    <t>Goldenchain</t>
  </si>
  <si>
    <t>Laburnum sp.</t>
  </si>
  <si>
    <t>Chain Tree</t>
  </si>
  <si>
    <t>Laburnum anagyroides</t>
  </si>
  <si>
    <t>Golden Rain Tree</t>
  </si>
  <si>
    <t>Koelreuteria paniculata</t>
  </si>
  <si>
    <t>Bougainvillea Golden Rain Tree</t>
  </si>
  <si>
    <t>Koelreuteria bipinnata</t>
  </si>
  <si>
    <t>Eastern Redcedar</t>
  </si>
  <si>
    <t>Juniperus virginiana</t>
  </si>
  <si>
    <t>Juniperus squamata</t>
  </si>
  <si>
    <t>Juniper</t>
  </si>
  <si>
    <t>Juniperus sp.</t>
  </si>
  <si>
    <t>Rocky Mountain Juniper</t>
  </si>
  <si>
    <t>Juniperus scopulorum</t>
  </si>
  <si>
    <t>Western Juniper</t>
  </si>
  <si>
    <t>Juniperus occidentalis</t>
  </si>
  <si>
    <t>Juniperus communis</t>
  </si>
  <si>
    <t>Chinese Juniper</t>
  </si>
  <si>
    <t>Juniperus chinensis</t>
  </si>
  <si>
    <t>English Walnut</t>
  </si>
  <si>
    <t>Juglans regia</t>
  </si>
  <si>
    <t>Eastern Black Walnut</t>
  </si>
  <si>
    <t>Juglans nigra</t>
  </si>
  <si>
    <t>Walnut</t>
  </si>
  <si>
    <t>Juglans major</t>
  </si>
  <si>
    <t>Butternut</t>
  </si>
  <si>
    <t>Juglans cinerea</t>
  </si>
  <si>
    <t>Japanese Walnut</t>
  </si>
  <si>
    <t>Juglans Ailantifolia</t>
  </si>
  <si>
    <t>Highclere Hybrid Holly</t>
  </si>
  <si>
    <t>Ilex x altaclerensis</t>
  </si>
  <si>
    <t>Holly</t>
  </si>
  <si>
    <t>Ilex sp.</t>
  </si>
  <si>
    <t>American Holly</t>
  </si>
  <si>
    <t>Ilex opaca</t>
  </si>
  <si>
    <t>English Holly</t>
  </si>
  <si>
    <t>Ilex aquifolium</t>
  </si>
  <si>
    <t>Carolina Silverbell</t>
  </si>
  <si>
    <t>Halesia tetraptera</t>
  </si>
  <si>
    <t>Mountain Silverbell</t>
  </si>
  <si>
    <t>Halesia monticola</t>
  </si>
  <si>
    <t>Halesia carolina</t>
  </si>
  <si>
    <t>Kentucky Coffeetree 'Espresso'</t>
  </si>
  <si>
    <t>Gymnocladus dioicus 'Espresso-JFS'</t>
  </si>
  <si>
    <t>Kentucky Coffeetree</t>
  </si>
  <si>
    <t>Gymnocladus dioicus</t>
  </si>
  <si>
    <t>Honey Locust</t>
  </si>
  <si>
    <t>Gleditsia triacanthos</t>
  </si>
  <si>
    <t>Ginkgo</t>
  </si>
  <si>
    <t>Princeton Sentry Ginkgo</t>
  </si>
  <si>
    <t>Ginkgo biloba 'Princeton Sentry'</t>
  </si>
  <si>
    <t>Magyar Ginkgo</t>
  </si>
  <si>
    <t>Ginkgo biloba 'Magyar'</t>
  </si>
  <si>
    <t>Fastigiata Ginkgo</t>
  </si>
  <si>
    <t>Ginkgo biloba 'Fastigiata'</t>
  </si>
  <si>
    <t>Autumn Gold Ginkgo</t>
  </si>
  <si>
    <t>Ginkgo biloba 'Autumn Gold'</t>
  </si>
  <si>
    <t>Ginkgo biloba</t>
  </si>
  <si>
    <t>Arizona Ash</t>
  </si>
  <si>
    <t>Fraxinus velutina</t>
  </si>
  <si>
    <t>Ash</t>
  </si>
  <si>
    <t>Fraxinus sp.</t>
  </si>
  <si>
    <t>Green Ash</t>
  </si>
  <si>
    <t>Fraxinus pennsylvanica</t>
  </si>
  <si>
    <t>Raywood Ash</t>
  </si>
  <si>
    <t>Fraxinus oxycarpa</t>
  </si>
  <si>
    <t>Manna Ash</t>
  </si>
  <si>
    <t>Fraxinus ornus</t>
  </si>
  <si>
    <t>Oregon Ash</t>
  </si>
  <si>
    <t>Fraxinus latifolia</t>
  </si>
  <si>
    <t>European Ash</t>
  </si>
  <si>
    <t>Fraxinus excelsior</t>
  </si>
  <si>
    <t>Narrow Leafed Ash</t>
  </si>
  <si>
    <t>Fraxinus angustifolia</t>
  </si>
  <si>
    <t>American Ash</t>
  </si>
  <si>
    <t>Fraxinus americana</t>
  </si>
  <si>
    <t>Fig</t>
  </si>
  <si>
    <t>Ficus sp.</t>
  </si>
  <si>
    <t>Common Fig</t>
  </si>
  <si>
    <t>Ficus carica</t>
  </si>
  <si>
    <t>Purple European Beech</t>
  </si>
  <si>
    <t>Fagus sylvatica 'Dawyck Purple'</t>
  </si>
  <si>
    <t>Fernleaf Beech</t>
  </si>
  <si>
    <t>Fagus sylvatica 'Asplenifolia'</t>
  </si>
  <si>
    <t>European Beech</t>
  </si>
  <si>
    <t>Fagus sylvatica</t>
  </si>
  <si>
    <t>Beech</t>
  </si>
  <si>
    <t>Fagus sp.</t>
  </si>
  <si>
    <t>American Beech</t>
  </si>
  <si>
    <t>Fagus grandifolia</t>
  </si>
  <si>
    <t>Korean Evodia</t>
  </si>
  <si>
    <t>Hardy Rubber Tree</t>
  </si>
  <si>
    <t>Eucommia ulmoides</t>
  </si>
  <si>
    <t>Eucalyptus/Gum</t>
  </si>
  <si>
    <t>Eucalyptus sp.</t>
  </si>
  <si>
    <t>Silver Leaved Mountain Gum</t>
  </si>
  <si>
    <t>Eucalyptus pulverulenta</t>
  </si>
  <si>
    <t>Snow Gum</t>
  </si>
  <si>
    <t>Eucalyptus pauciflora</t>
  </si>
  <si>
    <t>Eucalyptus niphophila</t>
  </si>
  <si>
    <t>Cider Gum</t>
  </si>
  <si>
    <t>Eucalyptus gunnii</t>
  </si>
  <si>
    <t>Silver Gum Eucalyptus</t>
  </si>
  <si>
    <t>Eucalyptus crenulata</t>
  </si>
  <si>
    <t>Red Gum Eucalyptus</t>
  </si>
  <si>
    <t>Eucalyptus camaldulensis</t>
  </si>
  <si>
    <t>Loquat</t>
  </si>
  <si>
    <t>Eriobotrya japonica</t>
  </si>
  <si>
    <t>Chilean Fire Tree</t>
  </si>
  <si>
    <t>Embothrium coccineum</t>
  </si>
  <si>
    <t>Olive</t>
  </si>
  <si>
    <t>Elaeagnus sp.</t>
  </si>
  <si>
    <t>Russian Olive/Oleaster</t>
  </si>
  <si>
    <t>Elaeagnus angustifolia</t>
  </si>
  <si>
    <t>Persimmon</t>
  </si>
  <si>
    <t>Diospyros virginiana</t>
  </si>
  <si>
    <t>Diospyros lotus</t>
  </si>
  <si>
    <t>Japanese Persimmon</t>
  </si>
  <si>
    <t>Diospyros kaki</t>
  </si>
  <si>
    <t>Dove Tree</t>
  </si>
  <si>
    <t>Davidia involucrata</t>
  </si>
  <si>
    <t>Quince</t>
  </si>
  <si>
    <t>Cydonia oblonga</t>
  </si>
  <si>
    <t>Leyland Cypress</t>
  </si>
  <si>
    <t>Cupressus x leylandii</t>
  </si>
  <si>
    <t>Cypress</t>
  </si>
  <si>
    <t>Cupressus sp.</t>
  </si>
  <si>
    <t>Italian Cypress</t>
  </si>
  <si>
    <t>Cupressus sempervirens</t>
  </si>
  <si>
    <t>Green Arrow Nootka Cypress</t>
  </si>
  <si>
    <t>China Fir</t>
  </si>
  <si>
    <t>Cunninghamia lanceolata</t>
  </si>
  <si>
    <t>Japanese Cedar</t>
  </si>
  <si>
    <t>Cryptomeria japonica</t>
  </si>
  <si>
    <t>Suksdorf's Hawthorn</t>
  </si>
  <si>
    <t>Crataegus suksdorfii</t>
  </si>
  <si>
    <t>Hawthorn</t>
  </si>
  <si>
    <t>Crataegus sp.</t>
  </si>
  <si>
    <t>Washington Hawthorn</t>
  </si>
  <si>
    <t>Crataegus phaenopyrum</t>
  </si>
  <si>
    <t>Single Seed Hawthorn</t>
  </si>
  <si>
    <t>Crataegus monogyna</t>
  </si>
  <si>
    <t>Downy Hawthorn</t>
  </si>
  <si>
    <t>Crataegus mollis</t>
  </si>
  <si>
    <t>Lavellee's Hawthorn</t>
  </si>
  <si>
    <t>Crataegus lavallei</t>
  </si>
  <si>
    <t>Common Hawthorn</t>
  </si>
  <si>
    <t>Crataegus laevigata</t>
  </si>
  <si>
    <t>Black Hawthorn</t>
  </si>
  <si>
    <t>Crataegus douglasii</t>
  </si>
  <si>
    <t>Cockspur Hawthorn</t>
  </si>
  <si>
    <t>Crataegus crus-galli</t>
  </si>
  <si>
    <t>Smoke Tree</t>
  </si>
  <si>
    <t>Cotinus sp.</t>
  </si>
  <si>
    <t>American Smoke Tree</t>
  </si>
  <si>
    <t>Cotinus obovatus</t>
  </si>
  <si>
    <t>European Smoke Tree</t>
  </si>
  <si>
    <t>Cotinus coggygria</t>
  </si>
  <si>
    <t>Hazel</t>
  </si>
  <si>
    <t>Corylus sp.</t>
  </si>
  <si>
    <t>Giant Hazel/Filbert</t>
  </si>
  <si>
    <t>Corylus maxima</t>
  </si>
  <si>
    <t>Turkish Hazel</t>
  </si>
  <si>
    <t>Corylus colurna</t>
  </si>
  <si>
    <t>Corylus avellana</t>
  </si>
  <si>
    <t>American Hazel</t>
  </si>
  <si>
    <t>Corylus americana</t>
  </si>
  <si>
    <t>Dogwood</t>
  </si>
  <si>
    <t>Cornus sp.</t>
  </si>
  <si>
    <t>Cornus nuttallii X Florida</t>
  </si>
  <si>
    <t>Pacific Dogwood</t>
  </si>
  <si>
    <t>Cornus nuttallii</t>
  </si>
  <si>
    <t>Cornelian Cherry Dogwood</t>
  </si>
  <si>
    <t>Cornus mas</t>
  </si>
  <si>
    <t>Venus Dogwood</t>
  </si>
  <si>
    <t>Cornus kousa x nuttalii 'Venus'</t>
  </si>
  <si>
    <t>Starlight Dogwood</t>
  </si>
  <si>
    <t>Cornus kousa x nuttalii 'Starlight'</t>
  </si>
  <si>
    <t>Kousa Dogwood</t>
  </si>
  <si>
    <t>Cornus kousa</t>
  </si>
  <si>
    <t>Eastern Dogwood</t>
  </si>
  <si>
    <t>Cornus florida</t>
  </si>
  <si>
    <t>Giant Dogwood</t>
  </si>
  <si>
    <t>Cornus controversa</t>
  </si>
  <si>
    <t>Pagoda Dogwood</t>
  </si>
  <si>
    <t>Cornus alternifolia</t>
  </si>
  <si>
    <t>Yellowwood</t>
  </si>
  <si>
    <t>Cladrastis kentukea</t>
  </si>
  <si>
    <t>Chinese Fringe Tree</t>
  </si>
  <si>
    <t>Chionanthus retusus</t>
  </si>
  <si>
    <t>False Cypress</t>
  </si>
  <si>
    <t>Chamaecyparis sp.</t>
  </si>
  <si>
    <t>Chamaecyparis pisifera 'Filifera'</t>
  </si>
  <si>
    <t>Boulevard Cypress</t>
  </si>
  <si>
    <t>Chamaecyparis pisifera 'Boulevard'</t>
  </si>
  <si>
    <t>Sawara Cypress</t>
  </si>
  <si>
    <t>Chamaecyparis pisifera</t>
  </si>
  <si>
    <t>Slender Hinoki Cypress</t>
  </si>
  <si>
    <t>Chamaecyparis obtusa 'Gracilis'</t>
  </si>
  <si>
    <t>Hinoki Cypress</t>
  </si>
  <si>
    <t>Chamaecyparis obtusa</t>
  </si>
  <si>
    <t>Chamaecyparis nootkatensis 'Pendula'</t>
  </si>
  <si>
    <t>Alaska Cedar</t>
  </si>
  <si>
    <t>Lawson's Cypress</t>
  </si>
  <si>
    <t>Chamaecyparis lawsoniana</t>
  </si>
  <si>
    <t>Redbud</t>
  </si>
  <si>
    <t>Cercis sp.</t>
  </si>
  <si>
    <t>Judas Tree</t>
  </si>
  <si>
    <t>Cercis siliquastrum</t>
  </si>
  <si>
    <t>Chain Flowered Redbud</t>
  </si>
  <si>
    <t>Cercis racemosa</t>
  </si>
  <si>
    <t>Western Redbud</t>
  </si>
  <si>
    <t>Cercis occidentalis</t>
  </si>
  <si>
    <t>Summer's Tower Redbud</t>
  </si>
  <si>
    <t>Cercis canadensis 'Summer's Tower'</t>
  </si>
  <si>
    <t>Eastern Redbud</t>
  </si>
  <si>
    <t>Cercis canadensis</t>
  </si>
  <si>
    <t>Katsura</t>
  </si>
  <si>
    <t>Cercidiphyllum sp.</t>
  </si>
  <si>
    <t>Red Fox Katsura</t>
  </si>
  <si>
    <t>Cercidiphyllum japonicum 'Rotfuchs'</t>
  </si>
  <si>
    <t>Hanna's Heart Katsura</t>
  </si>
  <si>
    <t>Cercidiphyllum japonicum 'Hanna's Heart'</t>
  </si>
  <si>
    <t>Japanese Katsura</t>
  </si>
  <si>
    <t>Cercidiphyllum japonicum</t>
  </si>
  <si>
    <t>Japanese Hackberry</t>
  </si>
  <si>
    <t>Celtis sinensis</t>
  </si>
  <si>
    <t>Common Hackberry</t>
  </si>
  <si>
    <t>Celtis occidentalis</t>
  </si>
  <si>
    <t>Cedar</t>
  </si>
  <si>
    <t>Cedrus sp.</t>
  </si>
  <si>
    <t>Lebanese Cedar</t>
  </si>
  <si>
    <t>Cedrus libani</t>
  </si>
  <si>
    <t>Cedrus deodara</t>
  </si>
  <si>
    <t>Atlas Cedar</t>
  </si>
  <si>
    <t>Cedrus atlantica</t>
  </si>
  <si>
    <t>Catalpa</t>
  </si>
  <si>
    <t>Hybrid Catalpa</t>
  </si>
  <si>
    <t>Catalpa x erubescens</t>
  </si>
  <si>
    <t>Northern Catalpa</t>
  </si>
  <si>
    <t>Catalpa speciosa</t>
  </si>
  <si>
    <t>Catalpa sp.</t>
  </si>
  <si>
    <t>Southern Catalpa</t>
  </si>
  <si>
    <t>Catalpa bignonioides</t>
  </si>
  <si>
    <t>Chestnut</t>
  </si>
  <si>
    <t>Castanea sp.</t>
  </si>
  <si>
    <t>European Chestnut</t>
  </si>
  <si>
    <t>Castanea sativa</t>
  </si>
  <si>
    <t>Chinese Chestnut</t>
  </si>
  <si>
    <t>Castanea mollissima</t>
  </si>
  <si>
    <t>American Chestnut</t>
  </si>
  <si>
    <t>Castanea dentata</t>
  </si>
  <si>
    <t>Hornbeam</t>
  </si>
  <si>
    <t>Carpinus sp.</t>
  </si>
  <si>
    <t>Japanese Hornbeam</t>
  </si>
  <si>
    <t>Carpinus japonica</t>
  </si>
  <si>
    <t>American Hornbeam</t>
  </si>
  <si>
    <t>Carpinus caroliniana</t>
  </si>
  <si>
    <t>Pryamidal European Hornbeam</t>
  </si>
  <si>
    <t>Carpinus betulus 'Fastigiata'</t>
  </si>
  <si>
    <t>European Hornbeam</t>
  </si>
  <si>
    <t>Carpinus betulus</t>
  </si>
  <si>
    <t>Incense Cedar</t>
  </si>
  <si>
    <t>Calocedrus decurrens</t>
  </si>
  <si>
    <t>Himalayan Birch</t>
  </si>
  <si>
    <t>Betula utilis</t>
  </si>
  <si>
    <t>Birch</t>
  </si>
  <si>
    <t>Betula sp.</t>
  </si>
  <si>
    <t>Downy Birch</t>
  </si>
  <si>
    <t>Betula pubescens</t>
  </si>
  <si>
    <t>Gray Birch</t>
  </si>
  <si>
    <t>Betula populifolia</t>
  </si>
  <si>
    <t>Japanese White Birch</t>
  </si>
  <si>
    <t>Betula platyphylla</t>
  </si>
  <si>
    <t>European White Birch</t>
  </si>
  <si>
    <t>Betula pendula</t>
  </si>
  <si>
    <t>Renaissance Paper Birch</t>
  </si>
  <si>
    <t>Betula papyrifera 'Renci'</t>
  </si>
  <si>
    <t>Paper Birch</t>
  </si>
  <si>
    <t>Betula papyrifera</t>
  </si>
  <si>
    <t>Water Birch</t>
  </si>
  <si>
    <t>Betula occidentalis</t>
  </si>
  <si>
    <t>River Birch</t>
  </si>
  <si>
    <t>Betula nigra</t>
  </si>
  <si>
    <t>Sweet Birch</t>
  </si>
  <si>
    <t>Betula lenta</t>
  </si>
  <si>
    <t>Jacquemontii Birch</t>
  </si>
  <si>
    <t>Betula jacquemontii</t>
  </si>
  <si>
    <t>Yellow Birch</t>
  </si>
  <si>
    <t>Betula alleghaniensis</t>
  </si>
  <si>
    <t>Chinese Red Birch</t>
  </si>
  <si>
    <t>Betula albosinensis</t>
  </si>
  <si>
    <t>Paw Paw</t>
  </si>
  <si>
    <t>Asimina triloba</t>
  </si>
  <si>
    <t>Arbutus</t>
  </si>
  <si>
    <t>Strawberry Tree</t>
  </si>
  <si>
    <t>Arbutus unedo</t>
  </si>
  <si>
    <t>Arbutus sp.</t>
  </si>
  <si>
    <t>Madrona</t>
  </si>
  <si>
    <t>Arbutus menziesii</t>
  </si>
  <si>
    <t>Monkey Puzzle Tree</t>
  </si>
  <si>
    <t>Araucaria araucana</t>
  </si>
  <si>
    <t>Japanese Angelica Tree</t>
  </si>
  <si>
    <t>Aralia elata</t>
  </si>
  <si>
    <t>Chinese Angelica Tree</t>
  </si>
  <si>
    <t>Aralia chinensis</t>
  </si>
  <si>
    <t>Autumn Brilliance Serviceberry</t>
  </si>
  <si>
    <t>Amelanchier x grandiflora 'Autumn Brilliance'</t>
  </si>
  <si>
    <t>Apple Serviceberry</t>
  </si>
  <si>
    <t>Amelanchier x grandiflora</t>
  </si>
  <si>
    <t>Serviceberry</t>
  </si>
  <si>
    <t>Amelanchier sp.</t>
  </si>
  <si>
    <t>Smooth-leaved Serviceberry</t>
  </si>
  <si>
    <t>Amelanchier laevis</t>
  </si>
  <si>
    <t>Common Serviceberry</t>
  </si>
  <si>
    <t>Amelanchier arborea</t>
  </si>
  <si>
    <t>Western Serviceberry</t>
  </si>
  <si>
    <t>Amelanchier alnifolia</t>
  </si>
  <si>
    <t>Alder</t>
  </si>
  <si>
    <t>Alnus sp.</t>
  </si>
  <si>
    <t>Sitka Alder</t>
  </si>
  <si>
    <t>Alnus sinuata</t>
  </si>
  <si>
    <t>Red Alder</t>
  </si>
  <si>
    <t>Alnus rubra</t>
  </si>
  <si>
    <t>White Alder</t>
  </si>
  <si>
    <t>Alnus rhombifolia</t>
  </si>
  <si>
    <t>Black Alder</t>
  </si>
  <si>
    <t>Alnus glutinosa</t>
  </si>
  <si>
    <t>Silk Tree</t>
  </si>
  <si>
    <t>Albizia julibrissin</t>
  </si>
  <si>
    <t>Tree of Heaven</t>
  </si>
  <si>
    <t>Ailanthus altissima</t>
  </si>
  <si>
    <t>Red Horse Chestnut</t>
  </si>
  <si>
    <t>Aesculus x carnea</t>
  </si>
  <si>
    <t>Buckeye</t>
  </si>
  <si>
    <t>Aesculus sp.</t>
  </si>
  <si>
    <t>Horse Chestnut</t>
  </si>
  <si>
    <t>Aesculus hippocastanum</t>
  </si>
  <si>
    <t>Ohio Buckeye</t>
  </si>
  <si>
    <t>Aesculus glabra</t>
  </si>
  <si>
    <t>Yellow Buckeye</t>
  </si>
  <si>
    <t>Aesculus flava</t>
  </si>
  <si>
    <t>Acer tschonoskii</t>
  </si>
  <si>
    <t>Pacific Sunset Maple</t>
  </si>
  <si>
    <t>Acer truncatum x A. platanoides 'Warrensred'</t>
  </si>
  <si>
    <t>Three-Flowered Maple</t>
  </si>
  <si>
    <t>Acer triflorum</t>
  </si>
  <si>
    <t>Tatarian Maple</t>
  </si>
  <si>
    <t>Acer tataricum</t>
  </si>
  <si>
    <t>Maple</t>
  </si>
  <si>
    <t>Acer sp.</t>
  </si>
  <si>
    <t>Autumn Moon Maple</t>
  </si>
  <si>
    <t>Sugar Maple</t>
  </si>
  <si>
    <t>Acer saccharum</t>
  </si>
  <si>
    <t>Silver Maple</t>
  </si>
  <si>
    <t>Acer saccharinum</t>
  </si>
  <si>
    <t>Karpick Maple</t>
  </si>
  <si>
    <t>Acer rubrum 'Karpick'</t>
  </si>
  <si>
    <t>Bowhall Red Maple</t>
  </si>
  <si>
    <t>Acer rubrum 'Bowhall'</t>
  </si>
  <si>
    <t>Red Maple</t>
  </si>
  <si>
    <t>Acer rubrum</t>
  </si>
  <si>
    <t>Sycamore Maple</t>
  </si>
  <si>
    <t>Acer pseudoplatanus</t>
  </si>
  <si>
    <t>Crimson King Maple</t>
  </si>
  <si>
    <t>Acer platanoides 'Crimson King'</t>
  </si>
  <si>
    <t>Norway Maple</t>
  </si>
  <si>
    <t>Acer platanoides</t>
  </si>
  <si>
    <t>Acer pensylvanicum</t>
  </si>
  <si>
    <t>Columnar Red Japanese Maple</t>
  </si>
  <si>
    <t>Acer palmatum 'Winter's Red'</t>
  </si>
  <si>
    <t>Laceleaf Japanese Maple</t>
  </si>
  <si>
    <t>Acer palmatum var. dissectum</t>
  </si>
  <si>
    <t>Coralbark Maple</t>
  </si>
  <si>
    <t>Acer palmatum 'Sango Kaku'</t>
  </si>
  <si>
    <t>Osakazuki Japanese Maple</t>
  </si>
  <si>
    <t>Acer palmatum 'Osakazuki'</t>
  </si>
  <si>
    <t>Bloodgood Japanese Maple</t>
  </si>
  <si>
    <t>Acer palmatum 'Bloodgood'</t>
  </si>
  <si>
    <t>Japanese Maple</t>
  </si>
  <si>
    <t>Acer palmatum</t>
  </si>
  <si>
    <t>Nikko Maple</t>
  </si>
  <si>
    <t>Acer nikoense</t>
  </si>
  <si>
    <t>Black Maple</t>
  </si>
  <si>
    <t>Acer nigrum</t>
  </si>
  <si>
    <t>Box Elder</t>
  </si>
  <si>
    <t>Acer negundo</t>
  </si>
  <si>
    <t>Montpelier Maple</t>
  </si>
  <si>
    <t>Acer monspessulanum</t>
  </si>
  <si>
    <t>Miyabe Maple</t>
  </si>
  <si>
    <t>Acer miyabei</t>
  </si>
  <si>
    <t>Bigleaf Maple</t>
  </si>
  <si>
    <t>Acer macrophyllum</t>
  </si>
  <si>
    <t>Fullmoon Maple</t>
  </si>
  <si>
    <t>Acer japonicum</t>
  </si>
  <si>
    <t>Paperbark Maple</t>
  </si>
  <si>
    <t>Acer griseum</t>
  </si>
  <si>
    <t>Acer grandidentatum 'Schmidt'</t>
  </si>
  <si>
    <t>Bigtooth Maple</t>
  </si>
  <si>
    <t>Acer grandidentatum</t>
  </si>
  <si>
    <t>Dwarf or Rocky Mountain Maple</t>
  </si>
  <si>
    <t>Acer glabrum</t>
  </si>
  <si>
    <t>Amur Maple</t>
  </si>
  <si>
    <t>Acer ginnala</t>
  </si>
  <si>
    <t>Freeman Maple</t>
  </si>
  <si>
    <t>Acer freemanii</t>
  </si>
  <si>
    <t>David Maple</t>
  </si>
  <si>
    <t>Acer davidii</t>
  </si>
  <si>
    <t>Hawthorn-Leaf Maple</t>
  </si>
  <si>
    <t>Acer crataegifolium</t>
  </si>
  <si>
    <t>Pacific Fire Vine Maple</t>
  </si>
  <si>
    <t>Acer circinatum 'Pacific Fire'</t>
  </si>
  <si>
    <t>Vine Maple</t>
  </si>
  <si>
    <t>Acer circinatum</t>
  </si>
  <si>
    <t>Coliseum Maple</t>
  </si>
  <si>
    <t>Acer cappadocicum</t>
  </si>
  <si>
    <t>Snakebark Maple</t>
  </si>
  <si>
    <t>Acer capillipes</t>
  </si>
  <si>
    <t>Hedge Maple</t>
  </si>
  <si>
    <t>Acer campestre</t>
  </si>
  <si>
    <t>Trident Maple</t>
  </si>
  <si>
    <t>Acer buergerianum</t>
  </si>
  <si>
    <t>Veitch Fir</t>
  </si>
  <si>
    <t>Abies veitchii</t>
  </si>
  <si>
    <t>Fir</t>
  </si>
  <si>
    <t>Abies sp.</t>
  </si>
  <si>
    <t>Noble Fir</t>
  </si>
  <si>
    <t>Abies procera</t>
  </si>
  <si>
    <t>Spanish Fir</t>
  </si>
  <si>
    <t>Abies pinsapo</t>
  </si>
  <si>
    <t>Nordmann Fir</t>
  </si>
  <si>
    <t>Alpine Fir</t>
  </si>
  <si>
    <t>Abies lasiocarpa</t>
  </si>
  <si>
    <t>Grand Fir</t>
  </si>
  <si>
    <t>Abies grandis</t>
  </si>
  <si>
    <t>White Fir</t>
  </si>
  <si>
    <t>Abies concolor</t>
  </si>
  <si>
    <t>Balsam Fir</t>
  </si>
  <si>
    <t>Abies balsamea</t>
  </si>
  <si>
    <t>KING_COUNTY_WEED_LIST</t>
  </si>
  <si>
    <t>TIER_2_DSH_THRESHOLD</t>
  </si>
  <si>
    <t>SPECIES_NAME</t>
  </si>
  <si>
    <t>GENUS_NAME</t>
  </si>
  <si>
    <t>TREE_TYPE</t>
  </si>
  <si>
    <t>COMMON_NAME</t>
  </si>
  <si>
    <t>SCIENTIFIC_NAME</t>
  </si>
  <si>
    <t>Error Messages</t>
  </si>
  <si>
    <t>Tier 2 Grove</t>
  </si>
  <si>
    <t>Tier 2 Trees</t>
  </si>
  <si>
    <t>Exception</t>
  </si>
  <si>
    <t>King_County_Weed_List</t>
  </si>
  <si>
    <t>Non-Threshold Trees</t>
  </si>
  <si>
    <t>Tree ID</t>
  </si>
  <si>
    <t>Tier 1-4 Trees</t>
  </si>
  <si>
    <t>Retain</t>
  </si>
  <si>
    <t>SMC 23.44.120 - Tree requirements</t>
  </si>
  <si>
    <t>See general provisions for regulated tree categories under 25.11.050 Tree Protection Code.</t>
  </si>
  <si>
    <t>SMC 25.11.050 - General provisions for regulated tree categories</t>
  </si>
  <si>
    <t>ECA/ Shoreline Tree</t>
  </si>
  <si>
    <t>SMC 23.60A - Seattle Shoreline Master Program Regulations</t>
  </si>
  <si>
    <t>SMC 25.09 - Regulations For Environmentally Critical Areas</t>
  </si>
  <si>
    <t>Seattle Green Factor Webpage</t>
  </si>
  <si>
    <t>&lt;6" DSH for Tree Points</t>
  </si>
  <si>
    <t>"Tree grove" definition:</t>
  </si>
  <si>
    <t>SMC 25.11.070 - Tree protection on sites undergoing development in Neighborhood Residential, Lowrise, Midrise, commercial, and Seattle Mixed zones</t>
  </si>
  <si>
    <t>Tip242B - Tree Removal on Private Property</t>
  </si>
  <si>
    <t>Directors Rule 7-2024 Designation of Tier 2 Trees</t>
  </si>
  <si>
    <t>King County Noxious Weeds List</t>
  </si>
  <si>
    <t>SMC 25.11.115 - Modification of tree removal, replacement, and voluntary in-lieu payment requirements</t>
  </si>
  <si>
    <t>SDCI Property Information Map (GIS)</t>
  </si>
  <si>
    <t>Planting ID</t>
  </si>
  <si>
    <t>Tree
Replacement</t>
  </si>
  <si>
    <t>Tree Replacement</t>
  </si>
  <si>
    <t xml:space="preserve"> </t>
  </si>
  <si>
    <t>¥</t>
  </si>
  <si>
    <t>x</t>
  </si>
  <si>
    <t>Scientific Name / Common Name</t>
  </si>
  <si>
    <t>Amelanchier x grandiflora 'Autumn Brilliance' / Autumn Brilliance Serviceberry</t>
  </si>
  <si>
    <t>Acer buergerianum / Trident Maple</t>
  </si>
  <si>
    <t>Acer circinatum / Vine Maple</t>
  </si>
  <si>
    <t>Alnus rubra / Red Alder</t>
  </si>
  <si>
    <t>Populus trichocarpa / Black Cottonwood</t>
  </si>
  <si>
    <t>Populus nigra 'Italica' / Lombardy Poplar</t>
  </si>
  <si>
    <t>Prunus emarginata / Bitter Cherry</t>
  </si>
  <si>
    <t>Ailanthus altissima / Tree of Heaven</t>
  </si>
  <si>
    <t>Crataegus monogyna / Single Seed Hawthorn</t>
  </si>
  <si>
    <t>Ilex aquifolium / English Holly</t>
  </si>
  <si>
    <t>Prunus avium / Wild Cherry</t>
  </si>
  <si>
    <t>Sorbus aucuparia / European Mountain Ash</t>
  </si>
  <si>
    <t>Acer circinatum 'Pacific Fire' / Pacific Fire Vine Maple</t>
  </si>
  <si>
    <t>Acer glabrum / Dwarf or Rocky Mountain Maple</t>
  </si>
  <si>
    <t>Acer griseum / Paperbark Maple</t>
  </si>
  <si>
    <t>Acer palmatum / Japanese Maple</t>
  </si>
  <si>
    <t>Acer palmatum 'Bloodgood' / Bloodgood Japanese Maple</t>
  </si>
  <si>
    <t>Acer palmatum 'Osakazuki' / Osakazuki Japanese Maple</t>
  </si>
  <si>
    <t>Acer palmatum 'Sango Kaku' / Coralbark Maple</t>
  </si>
  <si>
    <t>Acer palmatum var. dissectum / Laceleaf Japanese Maple</t>
  </si>
  <si>
    <t>Acer palmatum 'Winter's Red' / Columnar Red Japanese Maple</t>
  </si>
  <si>
    <t>Alnus sinuata / Sitka Alder</t>
  </si>
  <si>
    <t>Amelanchier alnifolia / Western Serviceberry</t>
  </si>
  <si>
    <t>Araucaria araucana / Monkey Puzzle Tree</t>
  </si>
  <si>
    <t>Arbutus menziesii / Madrona</t>
  </si>
  <si>
    <t>Betula papyrifera / Paper Birch</t>
  </si>
  <si>
    <t>Betula papyrifera 'Renci' / Renaissance Paper Birch</t>
  </si>
  <si>
    <t>Carpinus betulus / European Hornbeam</t>
  </si>
  <si>
    <t>Carpinus betulus 'Fastigiata' / Pryamidal European Hornbeam</t>
  </si>
  <si>
    <t>Cornus florida / Eastern Dogwood</t>
  </si>
  <si>
    <t>Cornus kousa / Kousa Dogwood</t>
  </si>
  <si>
    <t>Cornus kousa x nuttalii 'Starlight' / Starlight Dogwood</t>
  </si>
  <si>
    <t>Cornus kousa x nuttalii 'Venus' / Venus Dogwood</t>
  </si>
  <si>
    <t>Cornus nuttallii / Pacific Dogwood</t>
  </si>
  <si>
    <t>Crataegus douglasii / Black Hawthorn</t>
  </si>
  <si>
    <t>Crataegus phaenopyrum / Washington Hawthorn</t>
  </si>
  <si>
    <t>Fraxinus excelsior / European Ash</t>
  </si>
  <si>
    <t>Gleditsia triacanthos / Honey Locust</t>
  </si>
  <si>
    <t>Magnolia grandiflora / Southern Magnolia</t>
  </si>
  <si>
    <t>Magnolia grandiflora 'Little Gem' / Little Gem Magnolia</t>
  </si>
  <si>
    <t>Magnolia grandiflora 'Victoria' / Victoria Magnolia</t>
  </si>
  <si>
    <t>Malus baccata / Chinese Crabapple</t>
  </si>
  <si>
    <t>Malus coronaria / American Crabapple</t>
  </si>
  <si>
    <t>Malus fusca / Pacific Crabapple</t>
  </si>
  <si>
    <t>Malus 'Jarmin' / Marilee Crabapple</t>
  </si>
  <si>
    <t>Malus 'Lancelot' / Lancelot Crabapple</t>
  </si>
  <si>
    <t>Malus Sugar Tyme / Sugar Tyme Crabapple</t>
  </si>
  <si>
    <t>Malus tschonoskii / Largeleaf Crabapple</t>
  </si>
  <si>
    <t>Malus x floribunda / Japanese Crabapple</t>
  </si>
  <si>
    <t>Malus x purpurea / Purple Crabapple</t>
  </si>
  <si>
    <t>Malus yunnanensis / Yunnan Crabapple</t>
  </si>
  <si>
    <t>Picea sitchensis / Sitka Spruce</t>
  </si>
  <si>
    <t>Populus tremuloides / Quaking Aspen</t>
  </si>
  <si>
    <t>Prunus cerasifera / Flowering Plum</t>
  </si>
  <si>
    <t>Prunus cerasifera 'Thundercloud' / Thundercloud Flowering Plum</t>
  </si>
  <si>
    <t>Prunus sargentii / Sargent Cherry</t>
  </si>
  <si>
    <t>Prunus serrula / Birchbark Cherry</t>
  </si>
  <si>
    <t>Prunus serrulata / Flowering Cherry</t>
  </si>
  <si>
    <t>Prunus serrulata 'Kwanzan' / Kwanzan Flowering Cherry</t>
  </si>
  <si>
    <t>Prunus subhirtella / Higan Cherry</t>
  </si>
  <si>
    <t>Prunus x yedoensis / Yoshino Cherry</t>
  </si>
  <si>
    <t>Pyrus calleryana / Callery Pear</t>
  </si>
  <si>
    <t>Pyrus calleryana 'Cambridge' / Cambridge Flowering Pear</t>
  </si>
  <si>
    <t>Pyrus calleryana 'Capital' / Capital Pear</t>
  </si>
  <si>
    <t>Pyrus calleryana 'Chanticleer' / Chanticleer Pear</t>
  </si>
  <si>
    <t>Salix eriocephala / Heart-leaved Willow</t>
  </si>
  <si>
    <t>Salix geyeriana var meleina / Geyer's Willow</t>
  </si>
  <si>
    <t>Salix hookeriana / Dune Willow</t>
  </si>
  <si>
    <t>Salix mackenzieana / Mackenzie's Willow</t>
  </si>
  <si>
    <t>Salix scouleriana / Scouler's Willow</t>
  </si>
  <si>
    <t>Salix sitchensis / Sitka Willow</t>
  </si>
  <si>
    <t>Salix sp. / Willow</t>
  </si>
  <si>
    <t>Styrax japonicus / Japanese Snowbell</t>
  </si>
  <si>
    <t>Taxus brevifolia / Pacific Yew</t>
  </si>
  <si>
    <t>Abies balsamea / Balsam Fir</t>
  </si>
  <si>
    <t>Abies concolor / White Fir</t>
  </si>
  <si>
    <t>Abies grandis / Grand Fir</t>
  </si>
  <si>
    <t>Abies lasiocarpa / Alpine Fir</t>
  </si>
  <si>
    <t>Abies pinsapo / Spanish Fir</t>
  </si>
  <si>
    <t>Abies procera / Noble Fir</t>
  </si>
  <si>
    <t>Abies sp. / Fir</t>
  </si>
  <si>
    <t>Abies veitchii / Veitch Fir</t>
  </si>
  <si>
    <t>Acer campestre / Hedge Maple</t>
  </si>
  <si>
    <t>Acer capillipes / Snakebark Maple</t>
  </si>
  <si>
    <t>Acer cappadocicum / Coliseum Maple</t>
  </si>
  <si>
    <t>Acer crataegifolium / Hawthorn-Leaf Maple</t>
  </si>
  <si>
    <t>Acer davidii / David Maple</t>
  </si>
  <si>
    <t>Acer freemanii / Freeman Maple</t>
  </si>
  <si>
    <t>Acer ginnala / Amur Maple</t>
  </si>
  <si>
    <t>Acer grandidentatum / Bigtooth Maple</t>
  </si>
  <si>
    <t>Acer japonicum / Fullmoon Maple</t>
  </si>
  <si>
    <t>Acer macrophyllum / Bigleaf Maple</t>
  </si>
  <si>
    <t>Acer miyabei / Miyabe Maple</t>
  </si>
  <si>
    <t>Acer monspessulanum / Montpelier Maple</t>
  </si>
  <si>
    <t>Acer negundo / Box Elder</t>
  </si>
  <si>
    <t>Acer nigrum / Black Maple</t>
  </si>
  <si>
    <t>Acer nikoense / Nikko Maple</t>
  </si>
  <si>
    <t>Acer platanoides / Norway Maple</t>
  </si>
  <si>
    <t>Acer platanoides 'Crimson King' / Crimson King Maple</t>
  </si>
  <si>
    <t>Acer pseudoplatanus / Sycamore Maple</t>
  </si>
  <si>
    <t>Acer rubrum / Red Maple</t>
  </si>
  <si>
    <t>Acer rubrum 'Bowhall' / Bowhall Red Maple</t>
  </si>
  <si>
    <t>Acer rubrum 'Karpick' / Karpick Maple</t>
  </si>
  <si>
    <t>Acer saccharinum / Silver Maple</t>
  </si>
  <si>
    <t>Acer saccharum / Sugar Maple</t>
  </si>
  <si>
    <t>Acer sp. / Maple</t>
  </si>
  <si>
    <t>Acer tataricum / Tatarian Maple</t>
  </si>
  <si>
    <t>Acer triflorum / Three-Flowered Maple</t>
  </si>
  <si>
    <t>Acer truncatum x A. platanoides 'Warrensred' / Pacific Sunset Maple</t>
  </si>
  <si>
    <t>Aesculus flava / Yellow Buckeye</t>
  </si>
  <si>
    <t>Aesculus glabra / Ohio Buckeye</t>
  </si>
  <si>
    <t>Aesculus hippocastanum / Horse Chestnut</t>
  </si>
  <si>
    <t>Aesculus sp. / Buckeye</t>
  </si>
  <si>
    <t>Aesculus x carnea / Red Horse Chestnut</t>
  </si>
  <si>
    <t>Albizia julibrissin / Silk Tree</t>
  </si>
  <si>
    <t>Alnus glutinosa / Black Alder</t>
  </si>
  <si>
    <t>Alnus rhombifolia / White Alder</t>
  </si>
  <si>
    <t>Alnus sp. / Alder</t>
  </si>
  <si>
    <t>Amelanchier arborea / Common Serviceberry</t>
  </si>
  <si>
    <t>Amelanchier laevis / Smooth-leaved Serviceberry</t>
  </si>
  <si>
    <t>Amelanchier sp. / Serviceberry</t>
  </si>
  <si>
    <t>Amelanchier x grandiflora / Apple Serviceberry</t>
  </si>
  <si>
    <t>Aralia chinensis / Chinese Angelica Tree</t>
  </si>
  <si>
    <t>Aralia elata / Japanese Angelica Tree</t>
  </si>
  <si>
    <t>Arbutus sp. / Arbutus</t>
  </si>
  <si>
    <t>Arbutus unedo / Strawberry Tree</t>
  </si>
  <si>
    <t>Asimina triloba / Paw Paw</t>
  </si>
  <si>
    <t>Betula albosinensis / Chinese Red Birch</t>
  </si>
  <si>
    <t>Betula alleghaniensis / Yellow Birch</t>
  </si>
  <si>
    <t>Betula jacquemontii / Jacquemontii Birch</t>
  </si>
  <si>
    <t>Betula lenta / Sweet Birch</t>
  </si>
  <si>
    <t>Betula nigra / River Birch</t>
  </si>
  <si>
    <t>Betula occidentalis / Water Birch</t>
  </si>
  <si>
    <t>Betula pendula / European White Birch</t>
  </si>
  <si>
    <t>Betula platyphylla / Japanese White Birch</t>
  </si>
  <si>
    <t>Betula populifolia / Gray Birch</t>
  </si>
  <si>
    <t>Betula pubescens / Downy Birch</t>
  </si>
  <si>
    <t>Betula sp. / Birch</t>
  </si>
  <si>
    <t>Betula utilis / Himalayan Birch</t>
  </si>
  <si>
    <t>Calocedrus decurrens / Incense Cedar</t>
  </si>
  <si>
    <t>Carpinus caroliniana / American Hornbeam</t>
  </si>
  <si>
    <t>Carpinus japonica / Japanese Hornbeam</t>
  </si>
  <si>
    <t>Carpinus sp. / Hornbeam</t>
  </si>
  <si>
    <t>Castanea dentata / American Chestnut</t>
  </si>
  <si>
    <t>Castanea mollissima / Chinese Chestnut</t>
  </si>
  <si>
    <t>Castanea sativa / European Chestnut</t>
  </si>
  <si>
    <t>Castanea sp. / Chestnut</t>
  </si>
  <si>
    <t>Catalpa bignonioides / Southern Catalpa</t>
  </si>
  <si>
    <t>Catalpa sp. / Catalpa</t>
  </si>
  <si>
    <t>Catalpa speciosa / Northern Catalpa</t>
  </si>
  <si>
    <t>Catalpa x erubescens / Hybrid Catalpa</t>
  </si>
  <si>
    <t>Cedrus atlantica / Atlas Cedar</t>
  </si>
  <si>
    <t>Cedrus libani / Lebanese Cedar</t>
  </si>
  <si>
    <t>Cedrus sp. / Cedar</t>
  </si>
  <si>
    <t>Celtis occidentalis / Common Hackberry</t>
  </si>
  <si>
    <t>Celtis sinensis / Japanese Hackberry</t>
  </si>
  <si>
    <t>Cercidiphyllum japonicum / Japanese Katsura</t>
  </si>
  <si>
    <t>Cercidiphyllum japonicum 'Hanna's Heart' / Hanna's Heart Katsura</t>
  </si>
  <si>
    <t>Cercidiphyllum japonicum 'Rotfuchs' / Red Fox Katsura</t>
  </si>
  <si>
    <t>Cercidiphyllum sp. / Katsura</t>
  </si>
  <si>
    <t>Cercis canadensis / Eastern Redbud</t>
  </si>
  <si>
    <t>Cercis canadensis 'Summer's Tower' / Summer's Tower Redbud</t>
  </si>
  <si>
    <t>Cercis occidentalis / Western Redbud</t>
  </si>
  <si>
    <t>Cercis racemosa / Chain Flowered Redbud</t>
  </si>
  <si>
    <t>Cercis siliquastrum / Judas Tree</t>
  </si>
  <si>
    <t>Cercis sp. / Redbud</t>
  </si>
  <si>
    <t>Chamaecyparis lawsoniana / Lawson's Cypress</t>
  </si>
  <si>
    <t>Chamaecyparis obtusa / Hinoki Cypress</t>
  </si>
  <si>
    <t>Chamaecyparis obtusa 'Gracilis' / Slender Hinoki Cypress</t>
  </si>
  <si>
    <t>Chamaecyparis pisifera / Sawara Cypress</t>
  </si>
  <si>
    <t>Chamaecyparis pisifera 'Boulevard' / Boulevard Cypress</t>
  </si>
  <si>
    <t>Chamaecyparis sp. / False Cypress</t>
  </si>
  <si>
    <t>Chionanthus retusus / Chinese Fringe Tree</t>
  </si>
  <si>
    <t>Cladrastis kentukea / Yellowwood</t>
  </si>
  <si>
    <t>Cornus alternifolia / Pagoda Dogwood</t>
  </si>
  <si>
    <t>Cornus controversa / Giant Dogwood</t>
  </si>
  <si>
    <t>Cornus mas / Cornelian Cherry Dogwood</t>
  </si>
  <si>
    <t>Cornus sp. / Dogwood</t>
  </si>
  <si>
    <t>Corylus americana / American Hazel</t>
  </si>
  <si>
    <t>Corylus colurna / Turkish Hazel</t>
  </si>
  <si>
    <t>Corylus maxima / Giant Hazel/Filbert</t>
  </si>
  <si>
    <t>Corylus sp. / Hazel</t>
  </si>
  <si>
    <t>Cotinus coggygria / European Smoke Tree</t>
  </si>
  <si>
    <t>Cotinus obovatus / American Smoke Tree</t>
  </si>
  <si>
    <t>Cotinus sp. / Smoke Tree</t>
  </si>
  <si>
    <t>Crataegus crus-galli / Cockspur Hawthorn</t>
  </si>
  <si>
    <t>Crataegus laevigata / Common Hawthorn</t>
  </si>
  <si>
    <t>Crataegus lavallei / Lavellee's Hawthorn</t>
  </si>
  <si>
    <t>Crataegus mollis / Downy Hawthorn</t>
  </si>
  <si>
    <t>Crataegus sp. / Hawthorn</t>
  </si>
  <si>
    <t>Crataegus suksdorfii / Suksdorf's Hawthorn</t>
  </si>
  <si>
    <t>Cryptomeria japonica / Japanese Cedar</t>
  </si>
  <si>
    <t>Cunninghamia lanceolata / China Fir</t>
  </si>
  <si>
    <t>Cupressus sempervirens / Italian Cypress</t>
  </si>
  <si>
    <t>Cupressus sp. / Cypress</t>
  </si>
  <si>
    <t>Cupressus x leylandii / Leyland Cypress</t>
  </si>
  <si>
    <t>Cydonia oblonga / Quince</t>
  </si>
  <si>
    <t>Davidia involucrata / Dove Tree</t>
  </si>
  <si>
    <t>Diospyros kaki / Japanese Persimmon</t>
  </si>
  <si>
    <t>Diospyros lotus / Persimmon</t>
  </si>
  <si>
    <t>Elaeagnus angustifolia / Russian Olive/Oleaster</t>
  </si>
  <si>
    <t>Elaeagnus sp. / Olive</t>
  </si>
  <si>
    <t>Embothrium coccineum / Chilean Fire Tree</t>
  </si>
  <si>
    <t>Eriobotrya japonica / Loquat</t>
  </si>
  <si>
    <t>Eucalyptus camaldulensis / Red Gum Eucalyptus</t>
  </si>
  <si>
    <t>Eucalyptus crenulata / Silver Gum Eucalyptus</t>
  </si>
  <si>
    <t>Eucalyptus gunnii / Cider Gum</t>
  </si>
  <si>
    <t>Eucalyptus pauciflora / Snow Gum</t>
  </si>
  <si>
    <t>Eucalyptus pulverulenta / Silver Leaved Mountain Gum</t>
  </si>
  <si>
    <t>Eucalyptus sp. / Eucalyptus/Gum</t>
  </si>
  <si>
    <t>Eucommia ulmoides / Hardy Rubber Tree</t>
  </si>
  <si>
    <t>Fagus grandifolia / American Beech</t>
  </si>
  <si>
    <t>Fagus sp. / Beech</t>
  </si>
  <si>
    <t>Fagus sylvatica / European Beech</t>
  </si>
  <si>
    <t>Fagus sylvatica 'Asplenifolia' / Fernleaf Beech</t>
  </si>
  <si>
    <t>Fagus sylvatica 'Dawyck Purple' / Purple European Beech</t>
  </si>
  <si>
    <t>Ficus carica / Common Fig</t>
  </si>
  <si>
    <t>Ficus sp. / Fig</t>
  </si>
  <si>
    <t>Fraxinus americana / American Ash</t>
  </si>
  <si>
    <t>Fraxinus angustifolia / Narrow Leafed Ash</t>
  </si>
  <si>
    <t>Fraxinus latifolia / Oregon Ash</t>
  </si>
  <si>
    <t>Fraxinus ornus / Manna Ash</t>
  </si>
  <si>
    <t>Fraxinus oxycarpa / Raywood Ash</t>
  </si>
  <si>
    <t>Fraxinus pennsylvanica / Green Ash</t>
  </si>
  <si>
    <t>Fraxinus sp. / Ash</t>
  </si>
  <si>
    <t>Fraxinus velutina / Arizona Ash</t>
  </si>
  <si>
    <t>Ginkgo biloba / Ginkgo</t>
  </si>
  <si>
    <t>Ginkgo biloba 'Autumn Gold' / Autumn Gold Ginkgo</t>
  </si>
  <si>
    <t>Ginkgo biloba 'Fastigiata' / Fastigiata Ginkgo</t>
  </si>
  <si>
    <t>Ginkgo biloba 'Magyar' / Magyar Ginkgo</t>
  </si>
  <si>
    <t>Ginkgo biloba 'Princeton Sentry' / Princeton Sentry Ginkgo</t>
  </si>
  <si>
    <t>Gymnocladus dioicus / Kentucky Coffeetree</t>
  </si>
  <si>
    <t>Gymnocladus dioicus 'Espresso-JFS' / Kentucky Coffeetree 'Espresso'</t>
  </si>
  <si>
    <t>Halesia carolina / Silverbell Tree/Wild Olive</t>
  </si>
  <si>
    <t>Halesia monticola / Mountain Silverbell</t>
  </si>
  <si>
    <t>Halesia tetraptera / Carolina Silverbell</t>
  </si>
  <si>
    <t>Ilex opaca / American Holly</t>
  </si>
  <si>
    <t>Ilex sp. / Holly</t>
  </si>
  <si>
    <t>Ilex x altaclerensis / Highclere Hybrid Holly</t>
  </si>
  <si>
    <t>Juglans Ailantifolia / Japanese Walnut</t>
  </si>
  <si>
    <t>Juglans cinerea / Butternut</t>
  </si>
  <si>
    <t>Juglans major / Walnut</t>
  </si>
  <si>
    <t>Juglans nigra / Eastern Black Walnut</t>
  </si>
  <si>
    <t>Juglans regia / English Walnut</t>
  </si>
  <si>
    <t>Juniperus chinensis / Chinese Juniper</t>
  </si>
  <si>
    <t>Juniperus occidentalis / Western Juniper</t>
  </si>
  <si>
    <t>Juniperus scopulorum / Rocky Mountain Juniper</t>
  </si>
  <si>
    <t>Juniperus sp. / Juniper</t>
  </si>
  <si>
    <t>Juniperus virginiana / Eastern Redcedar</t>
  </si>
  <si>
    <t>Koelreuteria bipinnata / Bougainvillea Golden Rain Tree</t>
  </si>
  <si>
    <t>Koelreuteria paniculata / Golden Rain Tree</t>
  </si>
  <si>
    <t>Laburnum anagyroides / Chain Tree</t>
  </si>
  <si>
    <t>Laburnum sp. / Goldenchain</t>
  </si>
  <si>
    <t>Laburnum x Watereri / Hybrid Goldenchain</t>
  </si>
  <si>
    <t>Lagerstroemia indica / Common Crape Myrtle</t>
  </si>
  <si>
    <t>Lagerstroemia sp. / Crape Myrtle</t>
  </si>
  <si>
    <t>Larix decidua / European Larch</t>
  </si>
  <si>
    <t>Larix kaempferi / Japanese Larch</t>
  </si>
  <si>
    <t>Larix occidentalis / Western Larch</t>
  </si>
  <si>
    <t>Larix sp. / Larch</t>
  </si>
  <si>
    <t>Liquidambar orientalis / Oriental Sweetgum</t>
  </si>
  <si>
    <t>Liquidambar styraciflua / American Sweetgum</t>
  </si>
  <si>
    <t>Liriodendron tulipifera / Tulip Tree</t>
  </si>
  <si>
    <t>Liriodendron tulipifera 'Emerald City' / Emerald City Tulip Tree</t>
  </si>
  <si>
    <t>Liriodendron tulipifera 'Fastigiatum' / Columnar Tulip Tree</t>
  </si>
  <si>
    <t>Maackia amurensis / Amur Maackia</t>
  </si>
  <si>
    <t>Maclura pomifera / Osage Orange</t>
  </si>
  <si>
    <t>Magnolia acuminata / Cucumber Tree</t>
  </si>
  <si>
    <t>Magnolia acuminata 'Butterflies' / Butterfly Magnolia</t>
  </si>
  <si>
    <t>Magnolia denudata / Yulan Magnolia</t>
  </si>
  <si>
    <t>Magnolia 'Galaxy' / Galaxy Magnolia</t>
  </si>
  <si>
    <t>Magnolia hypoleuca / Japanese Silverleaf Magnolia</t>
  </si>
  <si>
    <t>Magnolia kobus / Kobus Magnolia</t>
  </si>
  <si>
    <t>Magnolia macrophylla / Bigleaf Magnolia</t>
  </si>
  <si>
    <t>Magnolia sp. / Magnolia</t>
  </si>
  <si>
    <t>Magnolia stellata / Star Magnolia</t>
  </si>
  <si>
    <t>Magnolia virginiana 'Jim Wilson' / Moonglow Sweet Bay Magnolia</t>
  </si>
  <si>
    <t>Magnolia x kewensis / Wada's Memory Magnolia</t>
  </si>
  <si>
    <t>Magnolia x loebneri / Loebner Magnolia</t>
  </si>
  <si>
    <t>Magnolia x Soulangiana / Saucer Magnolia</t>
  </si>
  <si>
    <t>Magnolia x veitchii / Veitch Magnolia</t>
  </si>
  <si>
    <t>Maytenus boaria / Mayten Tree</t>
  </si>
  <si>
    <t>Melia azedarach / Chinaberry Tree</t>
  </si>
  <si>
    <t>Mespilus germanica / Medlar</t>
  </si>
  <si>
    <t>Metasequoia glyptostroboides / Dawn Redwood</t>
  </si>
  <si>
    <t>Morus alba / White Mulberry</t>
  </si>
  <si>
    <t>Nothofagus antarctica / Antarctic Beech</t>
  </si>
  <si>
    <t>Nothofagus sp. / Southern Beech</t>
  </si>
  <si>
    <t>Nyssa sylvatica / Tupelo</t>
  </si>
  <si>
    <t>Nyssa sylvatica 'Firestarter' / Firestarter Black Tupelo</t>
  </si>
  <si>
    <t>Nyssa sylvatica 'Haymanred' / Red Rage Tupelo</t>
  </si>
  <si>
    <t>Nyssa sylvatica 'Wildfire' / Wildfire Black Tupelo</t>
  </si>
  <si>
    <t>Olea europaea / European Fruiting Olive</t>
  </si>
  <si>
    <t>Ostrya virginiana / American Hop Hornbeam/Ironwood</t>
  </si>
  <si>
    <t>Oxydendrum arboreum / Sourwood</t>
  </si>
  <si>
    <t>Parrotia persica / Persian Ironwood</t>
  </si>
  <si>
    <t>Parrotia persica 'Ruby Vase' / Ruby Vase Persian Ironwood</t>
  </si>
  <si>
    <t>Parrotia persica 'Vanessa' / Vanessa Ironwood</t>
  </si>
  <si>
    <t>Paulownia tomentosa / Empress Tree</t>
  </si>
  <si>
    <t>Phellodendron amurense / Amur Corktree</t>
  </si>
  <si>
    <t>Phellodendron chinense / Chinese Phellodendron</t>
  </si>
  <si>
    <t>Picea abies / Norway Spruce</t>
  </si>
  <si>
    <t>Picea engelmannii / Engelmann Spruce</t>
  </si>
  <si>
    <t>Picea glauca / White Spruce</t>
  </si>
  <si>
    <t>Picea omorika / Serbian Spruce</t>
  </si>
  <si>
    <t>Picea omorika 'Riverside' / Riverside Serbian Spruce</t>
  </si>
  <si>
    <t>Picea orientalis / Oriental Spruce</t>
  </si>
  <si>
    <t>Picea pungens / Colorado Blue Spruce</t>
  </si>
  <si>
    <t>Picea rubens / Red Spruce</t>
  </si>
  <si>
    <t>Picea sp. / Spruce</t>
  </si>
  <si>
    <t>Pinus albicaulis / Whitebark Pine</t>
  </si>
  <si>
    <t>Pinus aristata / Bristlecone Pine</t>
  </si>
  <si>
    <t>Pinus attenuata / Knobcone Pine</t>
  </si>
  <si>
    <t>Pinus cembroides / Mexican Pinon</t>
  </si>
  <si>
    <t>Pinus coulteri / Coulter Pine</t>
  </si>
  <si>
    <t>Pinus densiflora / Japanese Red Pine</t>
  </si>
  <si>
    <t>Pinus densiflora 'Umbraculifera' / Umbrella Pine</t>
  </si>
  <si>
    <t>Pinus flexilis / Limber Pine</t>
  </si>
  <si>
    <t>Pinus jeffreyi / Jeffrey Pine</t>
  </si>
  <si>
    <t>Pinus lambertiana / Sugar Pine</t>
  </si>
  <si>
    <t>Pinus leucodermis / Bosnian Pine</t>
  </si>
  <si>
    <t>Pinus montezumae / Montezuma Pine</t>
  </si>
  <si>
    <t>Pinus monticola / Western White Pine</t>
  </si>
  <si>
    <t>Pinus muricata / Bishop Pine</t>
  </si>
  <si>
    <t>Pinus nigra / Austrian Black Pine</t>
  </si>
  <si>
    <t>Pinus nigra 'Oregon Green' / Oregon Green Austrian Pine</t>
  </si>
  <si>
    <t>Pinus parviflora / Japanese White Pine</t>
  </si>
  <si>
    <t>Pinus pinaster / Cluster Pine</t>
  </si>
  <si>
    <t>Pinus pinea / Italian Stone Pine</t>
  </si>
  <si>
    <t>Pinus ponderosa / Ponderosa Pine</t>
  </si>
  <si>
    <t>Pinus pungens / Table Mountain Pine</t>
  </si>
  <si>
    <t>Pinus radiata / Monterey Pine</t>
  </si>
  <si>
    <t>Pinus resinosa / Red Pine</t>
  </si>
  <si>
    <t>Pinus sabiniana / Ghost Pine</t>
  </si>
  <si>
    <t>Pinus sp. / Pine</t>
  </si>
  <si>
    <t>Pinus strobus / Eastern White Pine</t>
  </si>
  <si>
    <t>Pinus sylvestris / Scot's Pine</t>
  </si>
  <si>
    <t>Pinus thunbergii / Japanese Black Pine</t>
  </si>
  <si>
    <t>Pinus uncinata / Mountain Pine</t>
  </si>
  <si>
    <t>Pinus wallichiana / Himalayan Pine</t>
  </si>
  <si>
    <t>Pistacia chinensis / Chinese Pistache</t>
  </si>
  <si>
    <t>Platanus occidentalis / American Sycamore</t>
  </si>
  <si>
    <t>Platanus sp. / Plane Tree</t>
  </si>
  <si>
    <t>Platanus x acerifolia / London Plane</t>
  </si>
  <si>
    <t>Populus alba / White Poplar</t>
  </si>
  <si>
    <t>Populus canescens / Gray Poplar</t>
  </si>
  <si>
    <t>Populus deltoides / Eastern Cottonwood</t>
  </si>
  <si>
    <t>Populus fremontii / Fremont Cottonwood</t>
  </si>
  <si>
    <t>Populus nigra / Black Poplar</t>
  </si>
  <si>
    <t>Populus pendula / Weeping Poplar</t>
  </si>
  <si>
    <t>Populus simonii / Chinese Poplar</t>
  </si>
  <si>
    <t>Populus sp. / Poplar</t>
  </si>
  <si>
    <t>Populus tremula 'Erecta' / Columnar Swedish Aspen</t>
  </si>
  <si>
    <t>Populus tristis / Tristis Weeping Poplar</t>
  </si>
  <si>
    <t>Populus x canadensis / Hybrid Black Poplar</t>
  </si>
  <si>
    <t>Prunus 'Amanogawa' / Amanogawa Flowering Cherry</t>
  </si>
  <si>
    <t>Prunus americana / American Plum</t>
  </si>
  <si>
    <t>Prunus armeniaca / Common Apricot</t>
  </si>
  <si>
    <t>Prunus caroliniana / Cherry Laurel</t>
  </si>
  <si>
    <t>Prunus cerasus / Sour Cherry</t>
  </si>
  <si>
    <t>Prunus dulcis / Almond Tree</t>
  </si>
  <si>
    <t>Prunus ilicifolia / Hollyleaf Cherry</t>
  </si>
  <si>
    <t>Prunus 'Okame' / Okame Cherry</t>
  </si>
  <si>
    <t>Prunus padus / Bird Cherry</t>
  </si>
  <si>
    <t>Prunus persica / Peach Tree</t>
  </si>
  <si>
    <t>Prunus salicina / Japanese Plum</t>
  </si>
  <si>
    <t>Prunus serotina / Black Cherry</t>
  </si>
  <si>
    <t>Prunus sp. / Cherry/Plum</t>
  </si>
  <si>
    <t>Prunus subcordata / Sierra Plum</t>
  </si>
  <si>
    <t>Prunus virginiana / Chokecherry</t>
  </si>
  <si>
    <t>Prunus x blireana / Purple Leafed Plum</t>
  </si>
  <si>
    <t>Prunus x domestica / European Plum</t>
  </si>
  <si>
    <t>Pseudolarix amabilis / Golden Larch</t>
  </si>
  <si>
    <t>Pseudotsuga menziesii / Douglas Fir</t>
  </si>
  <si>
    <t>Pterocarya fraxinifolia / Caucasian Wingnut</t>
  </si>
  <si>
    <t>Pterostyrax hispida / Fragrant Epaulette Tree</t>
  </si>
  <si>
    <t>Pyrus communis / Common Pear Tree</t>
  </si>
  <si>
    <t>Pyrus pyrifolia / Oriental Pear</t>
  </si>
  <si>
    <t>Pyrus salicifolia / Willowleaf Pear</t>
  </si>
  <si>
    <t>Pyrus serrulata / Flowering Pear</t>
  </si>
  <si>
    <t>Pyrus sp. / Pear</t>
  </si>
  <si>
    <t>Quercus acutissima / Sawtooth Oak</t>
  </si>
  <si>
    <t>Quercus agrifolia / Coast Live Oak</t>
  </si>
  <si>
    <t>Quercus alba / White Oak</t>
  </si>
  <si>
    <t>Quercus bicolor / Swamp White Oak</t>
  </si>
  <si>
    <t>Quercus cerris / Turkey Oak</t>
  </si>
  <si>
    <t>Quercus chrysolepis / Canyon Live Oak</t>
  </si>
  <si>
    <t>Quercus coccinea / Scarlet Oak</t>
  </si>
  <si>
    <t>Quercus frainetto / Italian Oak</t>
  </si>
  <si>
    <t>Quercus ilex / Holly Oak</t>
  </si>
  <si>
    <t>Quercus imbricaria / Shingle Oak</t>
  </si>
  <si>
    <t>Quercus macrocarpa / Bur Oak</t>
  </si>
  <si>
    <t>Quercus muehlenbergii / Chinkapin Oak</t>
  </si>
  <si>
    <t>Quercus myrsinaefolia / Bamboo Leaf Oak</t>
  </si>
  <si>
    <t>Quercus nigra / Water Oak</t>
  </si>
  <si>
    <t>Quercus palustris / Pin Oak</t>
  </si>
  <si>
    <t>Quercus petraea / Durmast/Irish Oak</t>
  </si>
  <si>
    <t>Quercus phellos / Willow Oak</t>
  </si>
  <si>
    <t>Quercus prinus / Chestnut Oak</t>
  </si>
  <si>
    <t>Quercus robur / English Oak</t>
  </si>
  <si>
    <t>Quercus rubra / Red Oak</t>
  </si>
  <si>
    <t>Quercus shumardii / Shumard Oak</t>
  </si>
  <si>
    <t>Quercus sp. / Oak</t>
  </si>
  <si>
    <t>Quercus suber / Cork Oak</t>
  </si>
  <si>
    <t>Quercus velutina / Eastern Black Oak</t>
  </si>
  <si>
    <t>Quercus x warei / Regal Prince Oak</t>
  </si>
  <si>
    <t>Rehderodendron macrocarpum / Chinese Rehderodendron</t>
  </si>
  <si>
    <t>Robinia pseudoacacia / Black Locust</t>
  </si>
  <si>
    <t>Robinia sp. / Locust</t>
  </si>
  <si>
    <t>Robinia viscosa / Clammy Locust</t>
  </si>
  <si>
    <t>Robinia x ambigua / Pink Idaho Locust</t>
  </si>
  <si>
    <t>Salix alba / White Willow</t>
  </si>
  <si>
    <t>Salix babylonica / Babylon Willow</t>
  </si>
  <si>
    <t>Salix lasiandra / Pacific Willow</t>
  </si>
  <si>
    <t>Salix matsudana 'Tortuosa' / Corkscrew Willow</t>
  </si>
  <si>
    <t>Salix nigra / Black Willow</t>
  </si>
  <si>
    <t>Salix nigricans / Dark-leaved Willow</t>
  </si>
  <si>
    <t>Salix pentandra / Bay Willow</t>
  </si>
  <si>
    <t>Sassafras albidum / White Sassafras</t>
  </si>
  <si>
    <t>Sequoia sempervirens / Coastal Redwood</t>
  </si>
  <si>
    <t>Sequoiadendron giganteum / Giant Sequoia</t>
  </si>
  <si>
    <t>Sorbus alnifolia / Korean Mountain Ash</t>
  </si>
  <si>
    <t>Sorbus americana / American Mountain Ash</t>
  </si>
  <si>
    <t>Sorbus aria / Whitebeam</t>
  </si>
  <si>
    <t>Sorbus intermedia / Swedish Whitebeam</t>
  </si>
  <si>
    <t>Sorbus sp. / Mountain Ash</t>
  </si>
  <si>
    <t>Sorbus tianschanica / Turkestan Mountain Ash</t>
  </si>
  <si>
    <t>Sorbus x hybrida / Hybrid Mountain Ash</t>
  </si>
  <si>
    <t>Stewartia pseudocamellia / Japanese Stewartia</t>
  </si>
  <si>
    <t>Stewartia rostrata / Beaked Stewartia</t>
  </si>
  <si>
    <t>Stewartia sp. / Stewartia</t>
  </si>
  <si>
    <t>Styrax americanus / American Snowbell</t>
  </si>
  <si>
    <t>Styrax obassia / Bigleaf Snowbell</t>
  </si>
  <si>
    <t>Styrax sp. / Snowbell</t>
  </si>
  <si>
    <t>Syringa pekinensis / Chinese Tree Lilac</t>
  </si>
  <si>
    <t>Syringa reticulata / Japanese Tree Lilac</t>
  </si>
  <si>
    <t>Syringa sp. / Tree Lilac</t>
  </si>
  <si>
    <t>Taxodium distichum / Bald Cypress</t>
  </si>
  <si>
    <t>Taxus baccata / English Yew</t>
  </si>
  <si>
    <t>Taxus sp. / Yew</t>
  </si>
  <si>
    <t>Thuja occidentalis / Arborvitae</t>
  </si>
  <si>
    <t>Thuja plicata / Western Red Cedar</t>
  </si>
  <si>
    <t>Thuja standishii / Thuja Green Giant</t>
  </si>
  <si>
    <t>Tilia americana / American Linden</t>
  </si>
  <si>
    <t>Tilia cordata / Littleleaf Linden</t>
  </si>
  <si>
    <t>Tilia heterophylla / White Basswood</t>
  </si>
  <si>
    <t>Tilia mongolica / Mongolian Linden</t>
  </si>
  <si>
    <t>Tilia platyphyllos / Large-Leaved Linden</t>
  </si>
  <si>
    <t>Tilia sp. / Linden</t>
  </si>
  <si>
    <t>Tilia tomentosa / Silver Linden</t>
  </si>
  <si>
    <t>Tilia x euchlora / Crimean Linden</t>
  </si>
  <si>
    <t>Torreya californica / California Nutmeg</t>
  </si>
  <si>
    <t>Tsuga canadensis / Eastern Hemlock</t>
  </si>
  <si>
    <t>Tsuga heterophylla / Western Hemlock</t>
  </si>
  <si>
    <t>Tsuga mertensiana / Mountain Hemlock</t>
  </si>
  <si>
    <t>Tsuga sp. / Hemlock</t>
  </si>
  <si>
    <t>Ulmus americana / American Elm</t>
  </si>
  <si>
    <t>Ulmus carpinifolia / Smoothleaf Elm</t>
  </si>
  <si>
    <t>Ulmus chenmoui / Chenmoui Elm</t>
  </si>
  <si>
    <t>Ulmus glabra / Wych Elm</t>
  </si>
  <si>
    <t>Ulmus laevis / European White Elm</t>
  </si>
  <si>
    <t>Ulmus minor / Field Elm</t>
  </si>
  <si>
    <t>Ulmus 'Morton Glossy' / Triumph Elm</t>
  </si>
  <si>
    <t>Ulmus parvifolia / Chinese Elm</t>
  </si>
  <si>
    <t>Ulmus parvifolia 'Allee' / Lacebark Elm</t>
  </si>
  <si>
    <t>Ulmus procera / English Elm</t>
  </si>
  <si>
    <t>Ulmus propinqua 'JFS-Bieberich' / Emerald Sunshine Elm</t>
  </si>
  <si>
    <t>Ulmus pumila / Siberian Elm</t>
  </si>
  <si>
    <t>Ulmus rubra / Slippery Elm</t>
  </si>
  <si>
    <t>Ulmus sp. / Elm</t>
  </si>
  <si>
    <t>Ulmus wilsoniana / Prospector Elm</t>
  </si>
  <si>
    <t>Ulmus x hollandica / Dutch Elm</t>
  </si>
  <si>
    <t>Ulmus x 'Homestead' / Homestead Elm</t>
  </si>
  <si>
    <t>Ulmus x 'Patriot' / Patriot Elm</t>
  </si>
  <si>
    <t>Umbellularia californica / California Bay/Oregon Myrtle</t>
  </si>
  <si>
    <t>Zelkova carpinifolia / Caucasian Zelkova</t>
  </si>
  <si>
    <t>Zelkova serrata / Japanese Zelkova</t>
  </si>
  <si>
    <t>Zelkova serrata 'Green Vase' / Green Vase Japanese Zelkova</t>
  </si>
  <si>
    <t>Zelkova serrata 'Musashino' / Musashino Zelkova</t>
  </si>
  <si>
    <t>Zelkova serrata 'Schmidtlow' / Wireless Japanese Zelkova</t>
  </si>
  <si>
    <t>Zelkova serrata 'Village Green' / Village Green Zelkova</t>
  </si>
  <si>
    <t>Zelkova sp. / Zelkova</t>
  </si>
  <si>
    <t>TREE_NAME</t>
  </si>
  <si>
    <t>SPECIES_SIZE</t>
  </si>
  <si>
    <t>MATURE_SPREAD</t>
  </si>
  <si>
    <t>Tree Species Size</t>
  </si>
  <si>
    <t>Points Per Inch of Diameter</t>
  </si>
  <si>
    <t>Large</t>
  </si>
  <si>
    <t>Medium/Large</t>
  </si>
  <si>
    <t>Small</t>
  </si>
  <si>
    <t>Small/Medium</t>
  </si>
  <si>
    <t>Points Per Planting</t>
  </si>
  <si>
    <t>Row</t>
  </si>
  <si>
    <t>Tier 1 - Other Removal</t>
  </si>
  <si>
    <t>Dev Capacity, Necessary for Const, Special Exception</t>
  </si>
  <si>
    <t>Code Requirement(s) Met</t>
  </si>
  <si>
    <t>Right-of-Way</t>
  </si>
  <si>
    <t>Points</t>
  </si>
  <si>
    <t>SpeciesSize</t>
  </si>
  <si>
    <t>Net Canopy Area (sq ft)</t>
  </si>
  <si>
    <t>Total Tree Points Proposed</t>
  </si>
  <si>
    <t>Permit Number:</t>
  </si>
  <si>
    <r>
      <t xml:space="preserve">Caliper (Inches)
</t>
    </r>
    <r>
      <rPr>
        <sz val="12"/>
        <color rgb="FF000000"/>
        <rFont val="Aptos Narrow"/>
        <family val="2"/>
        <scheme val="minor"/>
      </rPr>
      <t>(Deciduous Types)</t>
    </r>
  </si>
  <si>
    <r>
      <t xml:space="preserve">Height (Feet)
</t>
    </r>
    <r>
      <rPr>
        <sz val="12"/>
        <color rgb="FF000000"/>
        <rFont val="Aptos Narrow"/>
        <family val="2"/>
        <scheme val="minor"/>
      </rPr>
      <t>(Conifer Types)</t>
    </r>
  </si>
  <si>
    <r>
      <t xml:space="preserve">Gallons
</t>
    </r>
    <r>
      <rPr>
        <sz val="12"/>
        <color rgb="FF000000"/>
        <rFont val="Aptos Narrow"/>
        <family val="2"/>
        <scheme val="minor"/>
      </rPr>
      <t>(ECA/Shoreline)</t>
    </r>
  </si>
  <si>
    <t>Fill in tree information in each white cell starting  left to right. If more info is required, dark gray cells will unlock and turn white.</t>
  </si>
  <si>
    <t>Shrub List</t>
  </si>
  <si>
    <t>Elaeagnus umbellata</t>
  </si>
  <si>
    <t>Myrica californica</t>
  </si>
  <si>
    <t>Taxus baccata 'Erecta'</t>
  </si>
  <si>
    <t>Cotoneaster</t>
  </si>
  <si>
    <t>Australian Tree Fern</t>
  </si>
  <si>
    <t>Clerodendrum trichotomum</t>
  </si>
  <si>
    <t>Camellia</t>
  </si>
  <si>
    <t>Melaleuca quinquenervia</t>
  </si>
  <si>
    <t>Rosa nutkana</t>
  </si>
  <si>
    <t>Magnolia 'Susan'</t>
  </si>
  <si>
    <t>Cornus alba</t>
  </si>
  <si>
    <t>Ulmus thomasii</t>
  </si>
  <si>
    <t>Taxus baccata 'Stricta'</t>
  </si>
  <si>
    <t>Morella cerifera</t>
  </si>
  <si>
    <t>Flacourtia Jangomas</t>
  </si>
  <si>
    <t>Andromeda</t>
  </si>
  <si>
    <t>Autumn Olive</t>
  </si>
  <si>
    <t>Boxleaf Azara</t>
  </si>
  <si>
    <t>Columnar English Yew</t>
  </si>
  <si>
    <t>Dicksonia antarctica</t>
  </si>
  <si>
    <t>Emerald Green Arborvitae </t>
  </si>
  <si>
    <t>Emerald Green Arborvitae  </t>
  </si>
  <si>
    <t>Harlequin Glorybower</t>
  </si>
  <si>
    <t>Broad leaved paperbark</t>
  </si>
  <si>
    <t>Nootka rose</t>
  </si>
  <si>
    <t>Susan Magnolia</t>
  </si>
  <si>
    <t>Tamarisk parviflora</t>
  </si>
  <si>
    <t>Tanner's Sumac</t>
  </si>
  <si>
    <t>Tatarian Dogwood</t>
  </si>
  <si>
    <t>Rock Elm</t>
  </si>
  <si>
    <t>Upright Irish Yew</t>
  </si>
  <si>
    <t>Wax Myrtle</t>
  </si>
  <si>
    <t>Indian plum</t>
  </si>
  <si>
    <t>CN, PH, GR - N/A Replacement</t>
  </si>
  <si>
    <t>Select a dropdown from Columns C - F</t>
  </si>
  <si>
    <t>Select a dropdown from Columns C &amp; E - I</t>
  </si>
  <si>
    <t>Abies nordmanniana</t>
  </si>
  <si>
    <t>Abies nordmanniana / Nordmann Fir</t>
  </si>
  <si>
    <t>Generic Species</t>
  </si>
  <si>
    <t>Acer glabrum Torr. var. douglasii</t>
  </si>
  <si>
    <t>Douglas Maple</t>
  </si>
  <si>
    <t>Acer glabrum Torr. var. douglasii / Douglas Maple</t>
  </si>
  <si>
    <t>Rocky Mountain Glow Maple</t>
  </si>
  <si>
    <t>Acer grandidentatum 'Schmidt' / Rocky Mountain Glow Maple</t>
  </si>
  <si>
    <t>Moosewood/Striped Maple</t>
  </si>
  <si>
    <t>Acer pensylvanicum / Moosewood/Striped Maple</t>
  </si>
  <si>
    <t>Acer shirasawanum 'Autumn Moon'</t>
  </si>
  <si>
    <t>Acer shirasawanum 'Autumn Moon' / Autumn Moon Maple</t>
  </si>
  <si>
    <t>Aesculus x carnea 'Briottii'</t>
  </si>
  <si>
    <t>Amelanchier x grandiflora 'Princess Diana'</t>
  </si>
  <si>
    <t>Princess Diana Serviceberry</t>
  </si>
  <si>
    <t>Amelanchier x grandiflora 'Princess Diana' / Princess Diana Serviceberry</t>
  </si>
  <si>
    <t>Arbutus 'Marina'</t>
  </si>
  <si>
    <t>Marina Strawberry Tree</t>
  </si>
  <si>
    <t>Arbutus 'Marina' / Marina Strawberry Tree</t>
  </si>
  <si>
    <t>Betula nigra 'BNMTF'</t>
  </si>
  <si>
    <t>Dura-Heat River Birch</t>
  </si>
  <si>
    <t>Betula nigra 'BNMTF' / Dura-Heat River Birch</t>
  </si>
  <si>
    <t>Betula nigra 'Cully'</t>
  </si>
  <si>
    <t>Heritage River Birch</t>
  </si>
  <si>
    <t>Betula nigra 'Cully' / Heritage River Birch</t>
  </si>
  <si>
    <t>Betula nigra 'Dickinson'</t>
  </si>
  <si>
    <t>Northern Tribute Birch</t>
  </si>
  <si>
    <t>Betula nigra 'Dickinson' / Northern Tribute Birch</t>
  </si>
  <si>
    <t>Betula nigra 'Whit XXV'</t>
  </si>
  <si>
    <t>City Slicker Birch</t>
  </si>
  <si>
    <t>Betula nigra 'Whit XXV' / City Slicker Birch</t>
  </si>
  <si>
    <t>Callitropsis nootkatensis</t>
  </si>
  <si>
    <t>Callitropsis nootkatensis / Alaska Cedar</t>
  </si>
  <si>
    <t>Callitropsis nootkatensis 'Green Arrow'</t>
  </si>
  <si>
    <t>Callitropsis nootkatensis 'Green Arrow' / Green Arrow Nootka Cypress</t>
  </si>
  <si>
    <t>Callitropsis nootkatensis 'Jubilee'</t>
  </si>
  <si>
    <t>Jubilee Alaska Yellow Cedar</t>
  </si>
  <si>
    <t>Callitropsis nootkatensis 'Jubilee' / Jubilee Alaska Yellow Cedar</t>
  </si>
  <si>
    <t>Carpinus betulus 'JFS-KW1CB'</t>
  </si>
  <si>
    <t>Emerald Avenue Hornbeam</t>
  </si>
  <si>
    <t>Carpinus betulus 'JFS-KW1CB' / Emerald Avenue Hornbeam</t>
  </si>
  <si>
    <t>Carpinus caroliniana 'JFS-KW6'</t>
  </si>
  <si>
    <t>Native Flame American Hornbeam</t>
  </si>
  <si>
    <t>Carpinus caroliniana 'JFS-KW6' / Native Flame American Hornbeam</t>
  </si>
  <si>
    <t>Carpinus caroliniana 'Uxbridge'</t>
  </si>
  <si>
    <t>Rising Fire American Hornbeam</t>
  </si>
  <si>
    <t>Carpinus caroliniana 'Uxbridge' / Rising Fire American Hornbeam</t>
  </si>
  <si>
    <t>Catalpa speciosa 'Hiawatha 2'</t>
  </si>
  <si>
    <t>Heartland Catalpa</t>
  </si>
  <si>
    <t>Catalpa speciosa 'Hiawatha 2' / Heartland Catalpa</t>
  </si>
  <si>
    <t>Cedrus atlantica 'glauca'</t>
  </si>
  <si>
    <t>Blue Atlas Cedar</t>
  </si>
  <si>
    <t>Cedrus atlantica 'glauca' / Blue Atlas Cedar</t>
  </si>
  <si>
    <t>Chamaecyparis lawsoniana 'Alumii'</t>
  </si>
  <si>
    <t>Alumi Falsecypress</t>
  </si>
  <si>
    <t>Chamaecyparis lawsoniana 'Alumii' / Alumi Falsecypress</t>
  </si>
  <si>
    <t>Threadleaf False Cypress</t>
  </si>
  <si>
    <t>Chamaecyparis pisifera 'Filifera' / Threadleaf False Cypress</t>
  </si>
  <si>
    <t>Chamaecyparis pisifera 'Filifera Aurea'</t>
  </si>
  <si>
    <t>Golden Threadleaf False Cypress</t>
  </si>
  <si>
    <t>Chamaecyparis pisifera 'Filifera Aurea' / Golden Threadleaf False Cypress</t>
  </si>
  <si>
    <t>Cladrastis kentukea 'Perkins Pink'</t>
  </si>
  <si>
    <t>Perkins Pink Yellowwood</t>
  </si>
  <si>
    <t>Cladrastis kentukea 'Perkins Pink' / Perkins Pink Yellowwood</t>
  </si>
  <si>
    <t>Cornus 'NCCH3' PP 36596</t>
  </si>
  <si>
    <t>Cloudburst Dogwood</t>
  </si>
  <si>
    <t>Cornus 'NCCH3' PP 36596 / Cloudburst Dogwood</t>
  </si>
  <si>
    <t>Eddie's White Wonder Dogwood</t>
  </si>
  <si>
    <t>Cornus nuttallii X Florida / Eddie's White Wonder Dogwood</t>
  </si>
  <si>
    <t>Common Filbert/Hazel</t>
  </si>
  <si>
    <t>Corylus avellana / Common Filbert/Hazel</t>
  </si>
  <si>
    <t>Cryptomeria japonica 'Elegans'</t>
  </si>
  <si>
    <t>Plume Cedar</t>
  </si>
  <si>
    <t>Cryptomeria japonica 'Elegans' / Plume Cedar</t>
  </si>
  <si>
    <t>Cryptomeria japonica 'Rein's Dense Jade'</t>
  </si>
  <si>
    <t>Rein's Dense Jade Japanese Cedar</t>
  </si>
  <si>
    <t>Cryptomeria japonica 'Rein's Dense Jade' / Rein's Dense Jade Japanese Cedar</t>
  </si>
  <si>
    <t>Common/American Persimmon</t>
  </si>
  <si>
    <t>Diospyros virginiana / Common/American Persimmon</t>
  </si>
  <si>
    <t>Alpine Snow Gum</t>
  </si>
  <si>
    <t>Eucalyptus niphophila / Alpine Snow Gum</t>
  </si>
  <si>
    <t>Medium/large</t>
  </si>
  <si>
    <t>Frangula purshiana</t>
  </si>
  <si>
    <t>Cascara</t>
  </si>
  <si>
    <t>Frangula purshiana / Cascara</t>
  </si>
  <si>
    <t>Gymnocladus dioicus 'Morton'</t>
  </si>
  <si>
    <t>Skinny Latte Kentucky Coffeetree</t>
  </si>
  <si>
    <t>Gymnocladus dioicus 'Morton' / Skinny Latte Kentucky Coffeetree</t>
  </si>
  <si>
    <t>Hesperocyparis macrocarpa</t>
  </si>
  <si>
    <t>Common Juniper</t>
  </si>
  <si>
    <t>Juniperus communis / Common Juniper</t>
  </si>
  <si>
    <t>Shrub</t>
  </si>
  <si>
    <t>Lagerstroemia indica x fauriei 'Natchez'</t>
  </si>
  <si>
    <t>Lagerstroemia indica x fauriei 'Natchez' / Natchez Crape Myrtle</t>
  </si>
  <si>
    <t>Larix laricina</t>
  </si>
  <si>
    <t>Tamarack</t>
  </si>
  <si>
    <t>Larix laricina / Tamarack</t>
  </si>
  <si>
    <t>Laurus nobilis / Bay Laurel</t>
  </si>
  <si>
    <t>Sweetgum</t>
  </si>
  <si>
    <t>Liquidambar sp. / Sweetgum</t>
  </si>
  <si>
    <t>Magnolia 'Elizabeth'</t>
  </si>
  <si>
    <t>Magnolia 'Elizabeth' / Elizabeth Magnolia</t>
  </si>
  <si>
    <t>Both</t>
  </si>
  <si>
    <t>Malus ‘Schmidtcutleaf’</t>
  </si>
  <si>
    <t>Malus ‘Schmidtcutleaf’ / Golden Raindrops Crabapple</t>
  </si>
  <si>
    <t>Common Apple</t>
  </si>
  <si>
    <t>Malus domestica / Common Apple</t>
  </si>
  <si>
    <t>Malus sp. / Apple</t>
  </si>
  <si>
    <t>Malus transitoria 'Schmidtcutleaf'</t>
  </si>
  <si>
    <t>Malus transitoria 'Schmidtcutleaf' / Tibetan Crabapple</t>
  </si>
  <si>
    <t>Malus x zumi</t>
  </si>
  <si>
    <t>Malus x zumi / Zumi Crabapple</t>
  </si>
  <si>
    <t>Malus x zumi 'Calocarpa'</t>
  </si>
  <si>
    <t>Zumi Calocarpa Crabapple</t>
  </si>
  <si>
    <t>Malus x zumi 'Calocarpa' / Zumi Calocarpa Crabapple</t>
  </si>
  <si>
    <t>Malus 'Prairifire'</t>
  </si>
  <si>
    <t>Prairifire Crabapple</t>
  </si>
  <si>
    <t>Malus 'Prairifire' / Prairifire Crabapple</t>
  </si>
  <si>
    <t>Metasequoia glyptostroboides 'JFS-PN3Legacy'</t>
  </si>
  <si>
    <t>Jade Prince Dawn Redwood</t>
  </si>
  <si>
    <t>Metasequoia glyptostroboides 'JFS-PN3Legacy' / Jade Prince Dawn Redwood</t>
  </si>
  <si>
    <t>Metasequoia glyptostroboides 'Ogon'</t>
  </si>
  <si>
    <t>Gold Rush Dawn Redwood</t>
  </si>
  <si>
    <t>Metasequoia glyptostroboides 'Ogon' / Gold Rush Dawn Redwood</t>
  </si>
  <si>
    <t>Metasequoia glyptostroboides 'WAH-08AG'</t>
  </si>
  <si>
    <t>Amber Glow Dawn Redwood</t>
  </si>
  <si>
    <t>Metasequoia glyptostroboides 'WAH-08AG' / Amber Glow Dawn Redwood</t>
  </si>
  <si>
    <t>Nothofagus alpina</t>
  </si>
  <si>
    <t>Nothofagus alpina / Rauli Beech</t>
  </si>
  <si>
    <t>Notholithocarpus densiflorus</t>
  </si>
  <si>
    <t>Notholithocarpus densiflorus / Tanoak</t>
  </si>
  <si>
    <t>Nyssa sylvatica 'David Odom'</t>
  </si>
  <si>
    <t>Afterburner Tupelo</t>
  </si>
  <si>
    <t>Nyssa sylvatica 'David Odom' / Afterburner Tupelo</t>
  </si>
  <si>
    <t>Nyssa sylvatica 'JFS-PN Legacy1'</t>
  </si>
  <si>
    <t>Gum Drop Tupelo</t>
  </si>
  <si>
    <t>Nyssa sylvatica 'JFS-PN Legacy1' / Gum Drop Tupelo</t>
  </si>
  <si>
    <t>Nyssa sylvatica 'JFS-red'</t>
  </si>
  <si>
    <t>Firestarter Tupelo</t>
  </si>
  <si>
    <t>Nyssa sylvatica 'JFS-red' / Firestarter Tupelo</t>
  </si>
  <si>
    <t>Nyssa sylvatica 'NSUHH'</t>
  </si>
  <si>
    <t>Green Gable Tupelo</t>
  </si>
  <si>
    <t>Nyssa sylvatica 'NSUHH' / Green Gable Tupelo</t>
  </si>
  <si>
    <t>Parrotia persica 'Chrishaven1'</t>
  </si>
  <si>
    <t>Golden BellTower Parrotia</t>
  </si>
  <si>
    <t>Parrotia persica 'Chrishaven1' / Golden BellTower Parrotia</t>
  </si>
  <si>
    <t>Parrotia persica 'JL Columnar'</t>
  </si>
  <si>
    <t>Persian Spire Parrotia</t>
  </si>
  <si>
    <t>Parrotia persica 'JL Columnar' / Persian Spire Parrotia</t>
  </si>
  <si>
    <t>Pinus bungeana</t>
  </si>
  <si>
    <t>Lacebark Pine</t>
  </si>
  <si>
    <t>Pinus bungeana / Lacebark Pine</t>
  </si>
  <si>
    <t>Pinus contorta</t>
  </si>
  <si>
    <t>Lodgepole</t>
  </si>
  <si>
    <t>Pinus contorta / Lodgepole</t>
  </si>
  <si>
    <t>Rocky Mountain Lodgepole Pine</t>
  </si>
  <si>
    <t>Pinus flexilis 'Vanderwolf's Pyramid'</t>
  </si>
  <si>
    <t>Pinus flexilis 'Vanderwolf's Pyramid' / Vanderwolf's Pine</t>
  </si>
  <si>
    <t>Pinus heldreichii var. leucodermis</t>
  </si>
  <si>
    <t>Pinus mugo</t>
  </si>
  <si>
    <t>Mugo Pine</t>
  </si>
  <si>
    <t>Pinus mugo / Mugo Pine</t>
  </si>
  <si>
    <t>Platycladus orientalis</t>
  </si>
  <si>
    <t>Platycladus orientalis / Oriental Arborvitae</t>
  </si>
  <si>
    <t>Prunus sargentii 'Columnaris'</t>
  </si>
  <si>
    <t>Columnar Sargent Cherry</t>
  </si>
  <si>
    <t>Prunus sargentii 'Columnaris' / Columnar Sargent Cherry</t>
  </si>
  <si>
    <t>Wild Weeping Higan Cherry</t>
  </si>
  <si>
    <t>Prunus subhirtella 'Pendula' / Wild Weeping Higan Cherry</t>
  </si>
  <si>
    <t>Purple Leaf Sand Cherry</t>
  </si>
  <si>
    <t>Prunus x cistena / Purple Leaf Sand Cherry</t>
  </si>
  <si>
    <t>Prunus x hillieri 'Spire'</t>
  </si>
  <si>
    <t>Spire Cherry</t>
  </si>
  <si>
    <t>Prunus x hillieri 'Spire' / Spire Cherry</t>
  </si>
  <si>
    <t>Puget Sound Cherry</t>
  </si>
  <si>
    <t>Prunus x pugetensis / Puget Sound Cherry</t>
  </si>
  <si>
    <t>Quercus hypoleucoides</t>
  </si>
  <si>
    <t>Quercus hypoleucoides / Silverleaf Oak</t>
  </si>
  <si>
    <t>Quercus kelloggii</t>
  </si>
  <si>
    <t>California Black Oak</t>
  </si>
  <si>
    <t>Quercus kelloggii / California Black Oak</t>
  </si>
  <si>
    <t>Valley Oak</t>
  </si>
  <si>
    <t>Quercus lobata / Valley Oak</t>
  </si>
  <si>
    <t>Quercus robur 'Fastigiata'</t>
  </si>
  <si>
    <t>Quercus x bimundorum 'Crimschmidt'</t>
  </si>
  <si>
    <t>Crimson Spire Oak</t>
  </si>
  <si>
    <t>Quercus x bimundorum 'Crimschmidt' / Crimson Spire Oak</t>
  </si>
  <si>
    <t>Japanese Umbrella Pine</t>
  </si>
  <si>
    <t>Sciadopitys verticillata / Japanese Umbrella Pine</t>
  </si>
  <si>
    <t>Cardinal Royal Mountain Ash</t>
  </si>
  <si>
    <t>Sorbus aucuparia 'Mitchred' / Cardinal Royal Mountain Ash</t>
  </si>
  <si>
    <t>Service Tree</t>
  </si>
  <si>
    <t>Sorbus domestica / Service Tree</t>
  </si>
  <si>
    <t>Oakleaf Royal Mountain Ash</t>
  </si>
  <si>
    <t>Sorbus x thuringiaca / Oakleaf Royal Mountain Ash</t>
  </si>
  <si>
    <t>Orangebark Stewartia</t>
  </si>
  <si>
    <t>Japanese Pagoda Tree</t>
  </si>
  <si>
    <t>Styphnolobium japonicum / Japanese Pagoda Tree</t>
  </si>
  <si>
    <t>Taxodium distichum 'Mickelson'</t>
  </si>
  <si>
    <t>Shawnee Brave Baldcypress</t>
  </si>
  <si>
    <t>Taxodium distichum 'Mickelson' / Shawnee Brave Baldcypress</t>
  </si>
  <si>
    <t>Taxus baccata 'Fastigiata'</t>
  </si>
  <si>
    <t>Taxus baccata 'Fastigiata' / Irish Yew</t>
  </si>
  <si>
    <t>Tetradium daniellii</t>
  </si>
  <si>
    <t>Tetradium daniellii / Korean Evodia</t>
  </si>
  <si>
    <t>Excelsa Western Red Cedar</t>
  </si>
  <si>
    <t>Thuja plicata 'Excelsa' / Excelsa Western Red Cedar</t>
  </si>
  <si>
    <t>Thuja plicata 'Hogan'</t>
  </si>
  <si>
    <t>Hogan Western Redcedar</t>
  </si>
  <si>
    <t>Thuja plicata 'Hogan' / Hogan Western Redcedar</t>
  </si>
  <si>
    <t>Thuja plicata x standishii 'Green Giant'</t>
  </si>
  <si>
    <t>Green Giant Western Redcedar</t>
  </si>
  <si>
    <t>Thuja plicata x standishii 'Green Giant' / Green Giant Western Redcedar</t>
  </si>
  <si>
    <t>Thuja plicata 'Atrovirens'</t>
  </si>
  <si>
    <t>Atrovirens Western Redcedar</t>
  </si>
  <si>
    <t>Thuja plicata 'Atrovirens' / Atrovirens Western Redcedar</t>
  </si>
  <si>
    <t>Thujopsis dolabrata</t>
  </si>
  <si>
    <t>Thujopsis dolabrata / Hiba Arborvitae</t>
  </si>
  <si>
    <t>Tilia americana 'Boulevard'</t>
  </si>
  <si>
    <t>Boulevard Linden</t>
  </si>
  <si>
    <t>Tilia americana 'Boulevard' / Boulevard Linden</t>
  </si>
  <si>
    <t>Tilia americana 'McKSentry'</t>
  </si>
  <si>
    <t>American Sentry</t>
  </si>
  <si>
    <t>Tilia americana 'McKSentry' / American Sentry</t>
  </si>
  <si>
    <t>Tilia americana 'Redmond'</t>
  </si>
  <si>
    <t>Redmond Linden</t>
  </si>
  <si>
    <t>Tilia americana 'Redmond' / Redmond Linden</t>
  </si>
  <si>
    <t>Tilia cordata 'Baileyi'</t>
  </si>
  <si>
    <t>Shamrock Linden</t>
  </si>
  <si>
    <t>Tilia cordata 'Baileyi' / Shamrock Linden</t>
  </si>
  <si>
    <t>Tilia cordata 'Chancole'</t>
  </si>
  <si>
    <t>Tilia cordata 'Corzam'</t>
  </si>
  <si>
    <t>Corinthian Linden</t>
  </si>
  <si>
    <t>Tilia cordata 'Corzam' / Corinthian Linden</t>
  </si>
  <si>
    <t>Tilia cordata 'De Groot'</t>
  </si>
  <si>
    <t>De Groot Littleleaf Linden</t>
  </si>
  <si>
    <t>Tilia cordata 'De Groot' / De Groot Littleleaf Linden</t>
  </si>
  <si>
    <t>Tilia cordata 'Greenspire'</t>
  </si>
  <si>
    <t>Greenspire Linden</t>
  </si>
  <si>
    <t>Tilia cordata 'Greenspire' / Greenspire Linden</t>
  </si>
  <si>
    <t>Tilia cordata 'Halka'</t>
  </si>
  <si>
    <t>Summer Sprite Linden</t>
  </si>
  <si>
    <t>Tilia cordata 'Halka' / Summer Sprite Linden</t>
  </si>
  <si>
    <t>Tilia cordata x mongolica 'Harvest Gold'</t>
  </si>
  <si>
    <t>Harvest Gold Linden</t>
  </si>
  <si>
    <t>Tilia cordata x mongolica 'Harvest Gold' / Harvest Gold Linden</t>
  </si>
  <si>
    <t>Tilia tomentosa 'PNI 6051'</t>
  </si>
  <si>
    <t>Green Mountain Linden</t>
  </si>
  <si>
    <t>Tilia tomentosa 'PNI 6051' / Green Mountain Linden</t>
  </si>
  <si>
    <t>Tilia tomentosa 'Sterling'</t>
  </si>
  <si>
    <t>Sterling Linden</t>
  </si>
  <si>
    <t>Tilia tomentosa 'Sterling' / Sterling Linden</t>
  </si>
  <si>
    <t>Tilia x flavescens 'Glenleven'</t>
  </si>
  <si>
    <t>Glenleven Linden</t>
  </si>
  <si>
    <t>Tilia x flavescens 'Glenleven' / Glenleven Linden</t>
  </si>
  <si>
    <t>Trochodendron aralioides</t>
  </si>
  <si>
    <t>Trochodendron aralioides / Wheel Tree</t>
  </si>
  <si>
    <t>Ulmus 'Frontier'</t>
  </si>
  <si>
    <t>Ulmus 'Frontier' / Frontier Elm</t>
  </si>
  <si>
    <t>Ulmus x hollandica 'Pioneer'</t>
  </si>
  <si>
    <t>Pioneer Elm</t>
  </si>
  <si>
    <t>Ulmus x hollandica 'Pioneer' / Pioneer Elm</t>
  </si>
  <si>
    <t>Zelkova serrata 'JFS KW4ZS'</t>
  </si>
  <si>
    <t>Zileration Zelkova</t>
  </si>
  <si>
    <t>Zelkova serrata 'JFS KW4ZS' / Zileration Zelkova</t>
  </si>
  <si>
    <t>Zelkova serrata 'JFS-KW1'</t>
  </si>
  <si>
    <t>City Sprite Zelkova</t>
  </si>
  <si>
    <t>Zelkova serrata 'JFS-KW1' / City Sprite Zelkova</t>
  </si>
  <si>
    <t>Column1</t>
  </si>
  <si>
    <t>Column2</t>
  </si>
  <si>
    <t>Broussonetia papyrifera</t>
  </si>
  <si>
    <t>Corylus cornuta</t>
  </si>
  <si>
    <t>Morus rubra</t>
  </si>
  <si>
    <t>Prunus laurocerasus</t>
  </si>
  <si>
    <t>Prunus lusitanica</t>
  </si>
  <si>
    <t>Rhaphiolepis umbellata</t>
  </si>
  <si>
    <t>Thuja occidentalis ‘Emerald Green’</t>
  </si>
  <si>
    <t>Thuja occidentalis ‘Smaragd’</t>
  </si>
  <si>
    <t>Paper Mulberry</t>
  </si>
  <si>
    <t>Beaked Hazel</t>
  </si>
  <si>
    <t>Red Mulberry</t>
  </si>
  <si>
    <t>English Laurel</t>
  </si>
  <si>
    <t>Portugal Laurel</t>
  </si>
  <si>
    <t>Roundleaf hawthorn</t>
  </si>
  <si>
    <t>Corylus cornuta ssp.californica</t>
  </si>
  <si>
    <t>Corylus cornuta var. californica</t>
  </si>
  <si>
    <t>Shellbark Hickory</t>
  </si>
  <si>
    <t>Shagbark Hickory</t>
  </si>
  <si>
    <t>Spindletree</t>
  </si>
  <si>
    <t>Witch Hazel</t>
  </si>
  <si>
    <t>American Witchhazel</t>
  </si>
  <si>
    <t>Evergreen Privet</t>
  </si>
  <si>
    <t>Honeysuckle</t>
  </si>
  <si>
    <t>Mock Orange</t>
  </si>
  <si>
    <t>Taiwanese Photinia</t>
  </si>
  <si>
    <t>Photinia</t>
  </si>
  <si>
    <t>Fraser's Photinia</t>
  </si>
  <si>
    <t>Rhododendron or Azalea</t>
  </si>
  <si>
    <t>Smooth Sumac</t>
  </si>
  <si>
    <t>Staghorn Sumac</t>
  </si>
  <si>
    <t>Chinese Lacquer</t>
  </si>
  <si>
    <t>Japanese camellia</t>
  </si>
  <si>
    <t>Chinese Fan Palm</t>
  </si>
  <si>
    <t>Chinese Windmill Palm</t>
  </si>
  <si>
    <t>Palm Tree Windmill</t>
  </si>
  <si>
    <t>Tree Code: Required to Retain Tier 1-2 Tree</t>
  </si>
  <si>
    <t>Fill in tree information in each white cell starting from left to right. If more info is required, dark gray cells will turn white.</t>
  </si>
  <si>
    <t>Zoning: Tree Points</t>
  </si>
  <si>
    <t>Zoning: Street Tree</t>
  </si>
  <si>
    <t>Zoning: Green Factor</t>
  </si>
  <si>
    <t>Tree Code: Replacement Required</t>
  </si>
  <si>
    <t>Shrubs</t>
  </si>
  <si>
    <t>Tree Status  &amp;</t>
  </si>
  <si>
    <t>Sym</t>
  </si>
  <si>
    <t>TREE_NAME (Planting Form)</t>
  </si>
  <si>
    <t>Rhus verniciflua</t>
  </si>
  <si>
    <t>Azara microphylla</t>
  </si>
  <si>
    <t>Carya ovata</t>
  </si>
  <si>
    <t>Hamamelis virginiana</t>
  </si>
  <si>
    <t>Photinia serratifolia</t>
  </si>
  <si>
    <t>Photinia x Fraseri</t>
  </si>
  <si>
    <t>Rhus glabra</t>
  </si>
  <si>
    <t>Rhus typhina</t>
  </si>
  <si>
    <t>Tamarisk</t>
  </si>
  <si>
    <t>Viburnum</t>
  </si>
  <si>
    <t>California Wax myrtle</t>
  </si>
  <si>
    <t>Pacific wax myrtle</t>
  </si>
  <si>
    <t>Western Beaked Hazel</t>
  </si>
  <si>
    <t>California Hazel</t>
  </si>
  <si>
    <t>Western Hazel</t>
  </si>
  <si>
    <t>Both existing or planting</t>
  </si>
  <si>
    <t>Existing or Planting</t>
  </si>
  <si>
    <t>Planting Only</t>
  </si>
  <si>
    <t>'Tree Size' in DSH (Column D) is required.</t>
  </si>
  <si>
    <t>Select at least one dropdown from 'Code Requirement(s) Met' (Column H).</t>
  </si>
  <si>
    <t>'Tree Size' (Column D) must be &lt;6" DSH.</t>
  </si>
  <si>
    <t>Tier 3 trees must be ≥12" DSH but &lt;24" DSH.</t>
  </si>
  <si>
    <t>Tier 4 trees must be ≥6" DSH but &lt;12" DSH.</t>
  </si>
  <si>
    <t>Trees used for Green Factor must be ≥6" DSH.</t>
  </si>
  <si>
    <t>Code requirement(s) Met' (Column H) is invalid. Reselect from dropdown.</t>
  </si>
  <si>
    <t>ECA &amp; Shoreline can't both be selected under Column H. If tree is in both, select 'Shoreline'.</t>
  </si>
  <si>
    <t>Tree Replacement (Column I) is invalid. Reselect from dropdown.</t>
  </si>
  <si>
    <t>Select a dropdown from 'Tree Replacement' (Column I).</t>
  </si>
  <si>
    <t>Select 'Tree Species Size' (Column K) dropdown. Then select 'Points per Planting' (Column L).</t>
  </si>
  <si>
    <t>'Tree ID' &amp; 'Scientific Name / Common Name' (Column B-C) is required.</t>
  </si>
  <si>
    <t>Select at least one dropdown from 'Code Requirement(s) Met' (Column F).</t>
  </si>
  <si>
    <t>Code requirement(s) Met' (Column F) is invalid. Reselect from dropdown.</t>
  </si>
  <si>
    <t>Tree Replacement (Column E) invalid. Reselect from dropdown.</t>
  </si>
  <si>
    <t>Minimum height for plantings must be ≥4ft tall.</t>
  </si>
  <si>
    <t>Enter in 'Mature Canopy Area (sq ft)' (Column J).</t>
  </si>
  <si>
    <t>Enter in quantity (Column N) of the planting species.</t>
  </si>
  <si>
    <t>Enter in the 'Caliper Inches' and/or 'Height (Feet)' according to code requirements.</t>
  </si>
  <si>
    <t>Enter in 'Caliper Inches' and/or 'Height (Feet)'. 'Gallons' is not required for code requirement(s) selected.</t>
  </si>
  <si>
    <t>Tier 2 trees must be ≥5.88" DSH.</t>
  </si>
  <si>
    <t>Tier 2 grove trees must be ≥12" DSH.</t>
  </si>
  <si>
    <t>Minimum caliper size for selected code requirement(s) is 1.5".</t>
  </si>
  <si>
    <t>Per Director’s Rule 7-2024, the tree species and size entered is a Tier 2 tree. Reselect 'Tree Category' (Column E).</t>
  </si>
  <si>
    <t>Per Director’s Rule 7-2024, the tree species and size entered is a Tier 3 tree. Reselect 'Tree Category' (Column E).</t>
  </si>
  <si>
    <t>[Tree Code: Required to Retain Tier 1-2 Tree] must be at least one of code requirements (Column H).</t>
  </si>
  <si>
    <t>Select only one code requirement type (Column H) for this removal.</t>
  </si>
  <si>
    <t>'Caliper (Inches)' is required for this tree type and code requirement(s) selected.</t>
  </si>
  <si>
    <t>'Height (Feet)' is required for this tree type and code requirement(s) selected.</t>
  </si>
  <si>
    <t>Minimum height must be ≥4ft tall. Multi-stemmed deciduous trees must be ≥6ft tall.</t>
  </si>
  <si>
    <t>'Caliper (Inches)' required for tree type and code requirement(s) selected. 'Gallons' is not required.</t>
  </si>
  <si>
    <t>'Height (feet)' required for tree type and code requirement(s) selected. 'Gallons' is not required.</t>
  </si>
  <si>
    <t>Per Director’s Rule 7-2024, the species and size entered is not a Tier 2 tree. Reselect 'Tree Category' (Column E).</t>
  </si>
  <si>
    <t>The species entered is a shrub/grass. Don't enter shrubs/grasses.</t>
  </si>
  <si>
    <t>Not a valid dropdown for 'Tree Species Size' (Column K). Select from dropdown.</t>
  </si>
  <si>
    <t>Replacement is required. Reselect dropdown from 'Tree Placement' (Column I).</t>
  </si>
  <si>
    <t>Proposed Location (Column D) is invalid. Select from dropdown.</t>
  </si>
  <si>
    <t>The species you entered is not allowed for planting or replacement.</t>
  </si>
  <si>
    <t>Relocation isn't allowed under demolition permit. Select [N/A (No Replacement Required].</t>
  </si>
  <si>
    <t>[Retired]</t>
  </si>
  <si>
    <t>A Tier 3 category of that species must be ≥12" DSH.</t>
  </si>
  <si>
    <t>Existing</t>
  </si>
  <si>
    <t>Planting</t>
  </si>
  <si>
    <t>N/A</t>
  </si>
  <si>
    <r>
      <t xml:space="preserve">View the </t>
    </r>
    <r>
      <rPr>
        <i/>
        <sz val="11"/>
        <color theme="1"/>
        <rFont val="Aptos Narrow"/>
        <family val="2"/>
        <scheme val="minor"/>
      </rPr>
      <t>SDCI Property Information Map (GIS)</t>
    </r>
    <r>
      <rPr>
        <sz val="11"/>
        <color theme="1"/>
        <rFont val="Aptos Narrow"/>
        <family val="2"/>
        <scheme val="minor"/>
      </rPr>
      <t>to see if your subject property has any mapped ECAs. Turn on the ECA layer under the "Layer List" on the right-hand side of the map. Most of these maps are advisory.</t>
    </r>
  </si>
  <si>
    <t>Tier 1 tree removal due to hardship of retaining the existing tree.</t>
  </si>
  <si>
    <t>Tier 2 tree removal necessary for site improvements.
Ex. Remove an existing tree to accommodate for required pedestrian walkway.</t>
  </si>
  <si>
    <t>Tier 2 tree removal allowed to achieve lot coverage or development area.</t>
  </si>
  <si>
    <t>Tier 3 or Tier 4 tree removal allowed with development permit.</t>
  </si>
  <si>
    <t>Select this category only for trees outside of an ECA/Shoreline.</t>
  </si>
  <si>
    <t>Tier 1 and Tier 2 trees are required by code to be retained.</t>
  </si>
  <si>
    <t>Existing tree &lt;6 inches DSH used to meet Tree Points standard in Neighborhood Residential (NR) zone.</t>
  </si>
  <si>
    <t xml:space="preserve">Large </t>
  </si>
  <si>
    <t>Seattle Trees &amp; Codes</t>
  </si>
  <si>
    <t xml:space="preserve">Medium/Large </t>
  </si>
  <si>
    <t>Table B for 23.44.120 - Tree Points</t>
  </si>
  <si>
    <t>SMC 23.84A - Definitions</t>
  </si>
  <si>
    <t>Enter a unique number and/or letter to identify each tree. This ID should match the trees on your site plan.
Use consecutive numbers and letters. Ex. #1, #2, #3, or A, B, C.</t>
  </si>
  <si>
    <t>Number of rows in form.</t>
  </si>
  <si>
    <t>Reference Links</t>
  </si>
  <si>
    <t>These fields have a selectable dropdown.</t>
  </si>
  <si>
    <t>This field has a selectable dropdown.</t>
  </si>
  <si>
    <t>Total Existing Tree Points</t>
  </si>
  <si>
    <t>• Retained street trees used to meet Green Factor standard.</t>
  </si>
  <si>
    <t>• Retained trees used to meet tree-related standards.</t>
  </si>
  <si>
    <t>Enter only the following trees:</t>
  </si>
  <si>
    <t>Number of retained trees used to meet tree-related standards.</t>
  </si>
  <si>
    <t>Total Existing Trees:
(Used to meet Code Reqs)</t>
  </si>
  <si>
    <t>3. The permit has trees that meet tree-related standards in Seattle Municipal Code (SMC) Title 23 and/or 25.</t>
  </si>
  <si>
    <t xml:space="preserve">
2. The permit application intake date is on or after January 4, 2027</t>
  </si>
  <si>
    <t>1. You are submitting for development permit (CN, DM, GR, PH, or its revisions) that is not a Subject-to-Field Inspection (STFI) permit.</t>
  </si>
  <si>
    <t>The Existing Trees Form is required if all 3 permit criteria are met:</t>
  </si>
  <si>
    <t>View the SDCI Property Information Map (GIS)to see if your subject property has any mapped ECAs. Turn on the ECA layer under the "Layer List" on the right-hand side of the map. Most of these maps are advisory.</t>
  </si>
  <si>
    <t xml:space="preserve">Mitigation in an environmental critical area or shoreline district. 
</t>
  </si>
  <si>
    <t>Planting height in feet at time of planting.
Enter one number only. If it's a range, enter the minimum.</t>
  </si>
  <si>
    <t>Planting size in caliper inches at time of planting.
Enter one number only. If it's a range, enter the minimum.</t>
  </si>
  <si>
    <t xml:space="preserve">Planting used to meet Tree Points standard in the Neighborhood Residential (NR) Zone.
</t>
  </si>
  <si>
    <t>Enter a unique number and/or letter to identify each planting. This ID should match the trees on your site plan.
Use consecutive numbers and letters.
Ex. #1, #2, #3; A, B, C; or A-C.</t>
  </si>
  <si>
    <r>
      <t>Gallons</t>
    </r>
    <r>
      <rPr>
        <sz val="12"/>
        <color rgb="FF000000"/>
        <rFont val="Aptos Narrow"/>
        <family val="2"/>
        <scheme val="minor"/>
      </rPr>
      <t xml:space="preserve">
(ECA/Shoreline)</t>
    </r>
  </si>
  <si>
    <t>These columns have a selectable dropdown.</t>
  </si>
  <si>
    <t>1. You are submitting for development permit (CN, GR, PH, or its revisions) that is not a Subject-to-Field Inspection (STFI) permit.</t>
  </si>
  <si>
    <t>The Tree Plantings Form is required if all 3 permit criteria are met:</t>
  </si>
  <si>
    <t>Existing Trees Form</t>
  </si>
  <si>
    <t>Tree Plantings Form</t>
  </si>
  <si>
    <t>Payment in Lieu (PIL) Summary</t>
  </si>
  <si>
    <t>Trachycarpus</t>
  </si>
  <si>
    <t>Carya</t>
  </si>
  <si>
    <t>Euonymus</t>
  </si>
  <si>
    <t>Hamamelis</t>
  </si>
  <si>
    <t>Ligustrum</t>
  </si>
  <si>
    <t>Lonicera</t>
  </si>
  <si>
    <t>Philadelphus</t>
  </si>
  <si>
    <t>Pieris</t>
  </si>
  <si>
    <t>Rhododendron</t>
  </si>
  <si>
    <t>Rhus</t>
  </si>
  <si>
    <r>
      <t xml:space="preserve">• Do </t>
    </r>
    <r>
      <rPr>
        <u/>
        <sz val="11"/>
        <rFont val="Aptos Narrow"/>
        <family val="2"/>
        <scheme val="minor"/>
      </rPr>
      <t>not</t>
    </r>
    <r>
      <rPr>
        <sz val="11"/>
        <rFont val="Aptos Narrow"/>
        <family val="2"/>
        <scheme val="minor"/>
      </rPr>
      <t xml:space="preserve"> use this Tree Plantings Form for demolition permits.</t>
    </r>
  </si>
  <si>
    <r>
      <t xml:space="preserve">• Do </t>
    </r>
    <r>
      <rPr>
        <u/>
        <sz val="11"/>
        <color theme="1"/>
        <rFont val="Aptos Narrow"/>
        <family val="2"/>
        <scheme val="minor"/>
      </rPr>
      <t>not</t>
    </r>
    <r>
      <rPr>
        <sz val="11"/>
        <color theme="1"/>
        <rFont val="Aptos Narrow"/>
        <family val="2"/>
        <scheme val="minor"/>
      </rPr>
      <t xml:space="preserve"> include shrubs or voluntary plantings.</t>
    </r>
  </si>
  <si>
    <r>
      <t xml:space="preserve">• Do </t>
    </r>
    <r>
      <rPr>
        <u/>
        <sz val="11"/>
        <color theme="1"/>
        <rFont val="Aptos Narrow"/>
        <family val="2"/>
        <scheme val="minor"/>
      </rPr>
      <t>not</t>
    </r>
    <r>
      <rPr>
        <sz val="11"/>
        <color theme="1"/>
        <rFont val="Aptos Narrow"/>
        <family val="2"/>
        <scheme val="minor"/>
      </rPr>
      <t xml:space="preserve"> include shrubs or voluntary plantings.</t>
    </r>
  </si>
  <si>
    <t xml:space="preserve">Scientific Name/ Common Name </t>
  </si>
  <si>
    <t>Instructions</t>
  </si>
  <si>
    <t>Total New Plantings:
(Used to meet code)</t>
  </si>
  <si>
    <t>Auto-filled from Existing Trees Form</t>
  </si>
  <si>
    <t>Tree Plantings Form Help</t>
  </si>
  <si>
    <t xml:space="preserve"> This guide provides information how to enter tree plantings into the Tree Plantings Form.</t>
  </si>
  <si>
    <r>
      <t>Enter number only. 
DSH must be in inches and within two decimal places.
See Tip242B - T</t>
    </r>
    <r>
      <rPr>
        <i/>
        <sz val="11"/>
        <color rgb="FF000000"/>
        <rFont val="Aptos Narrow"/>
        <family val="2"/>
        <scheme val="minor"/>
      </rPr>
      <t xml:space="preserve">ree Removal on Private Property </t>
    </r>
    <r>
      <rPr>
        <sz val="11"/>
        <color rgb="FF000000"/>
        <rFont val="Aptos Narrow"/>
        <family val="2"/>
        <scheme val="minor"/>
      </rPr>
      <t>for how trees are measured.
If the tree is located on the property line, enter in entire DSH of the tree.</t>
    </r>
  </si>
  <si>
    <t>Tree Status &amp; Sym</t>
  </si>
  <si>
    <t>Enter permit number. It will appear in the Tree Plantings Form &amp; Payment in Lieu (PIL) Summary.</t>
  </si>
  <si>
    <t>Existing Trees Form Help</t>
  </si>
  <si>
    <t>Note: Don't enter if planting is ONLY to meet SDOT standards and not SDCI standards.</t>
  </si>
  <si>
    <t>Planting can't be used to meet [Zoning: Street Tree] &amp; [ECA / Shoreline]. Select only one (Column F).</t>
  </si>
  <si>
    <t>Planting can't be used to meet [Zoning: Street Tree] &amp; [Zoning: Tree Points]. Select only one (Column F).</t>
  </si>
  <si>
    <t>Planting can't be used to meet [Zoning: Street Tree] &amp; [Tree Code: Replacement Required]. Select only one (Column F).</t>
  </si>
  <si>
    <t>Enter planting size in 'Height (Feet)' (Column H) or 'Gallons' (Column I).</t>
  </si>
  <si>
    <t>Minimum caliper size for a street tree is 2".</t>
  </si>
  <si>
    <t>This sheet has highly involved formulas and cells that may not meet accessible standards. For accessibility assistance, contact SDCI staff: sdci-trees@seattle.gov. This Existing Trees Form is a table to enter existing trees on your site that are used to meet tree-related standards.</t>
  </si>
  <si>
    <t>This sheet has highly involved formulas and cells that may not meet accessible standards. For accessibility assistance, contact SDCI staff: sdci-trees@seattle.gov. This Tree Plantings Form is a table to enter tree plantings on your site that are used to meet tree-related standards.</t>
  </si>
  <si>
    <t>This sheet has highly involved formulas and cells that may not meet accessible standards. For accessibility assistance, contact SDCI staff: sdci-trees@seattle.gov. This Payment in Lieu (PIL) Summary is a read-only table showing tree removals mitigated by the PIL option.</t>
  </si>
  <si>
    <t>[ECA/Shoreline] must be at least one of the 'Code Requirement(s) Met' (Column H).</t>
  </si>
  <si>
    <t>Lagerstroemia indica x fauriei 'Arapaho'</t>
  </si>
  <si>
    <t>Balsam Poplar</t>
  </si>
  <si>
    <t>Blue Star Singleseed Juniper</t>
  </si>
  <si>
    <t>Briotti Red Horse Chestnut</t>
  </si>
  <si>
    <t>Populus balsamifera / Balsam Poplar</t>
  </si>
  <si>
    <t>Juniperus squamata / Blue Star Singleseed Juniper</t>
  </si>
  <si>
    <t>Aesculus x carnea 'Briottii' / Briotti Red Horse Chestnut</t>
  </si>
  <si>
    <t>Chancellor Linden</t>
  </si>
  <si>
    <t>Tilia cordata 'Chancole' / Chancellor Linden</t>
  </si>
  <si>
    <t>Columnar English Oak</t>
  </si>
  <si>
    <t>Quercus robur 'Fastigiata' / Columnar English Oak</t>
  </si>
  <si>
    <t>Deodar Cedar</t>
  </si>
  <si>
    <t>Cedrus deodara / Deodar Cedar</t>
  </si>
  <si>
    <t>Lagerstroemia indica x fauriei 'Arapaho'/ Arapaho Crape Myrtle</t>
  </si>
  <si>
    <t>Monterey Cypress</t>
  </si>
  <si>
    <t>Hesperocyparis macrocarpa / Monterey Cypress</t>
  </si>
  <si>
    <t>Oregon White Oak</t>
  </si>
  <si>
    <t>Quercus garryana / Oregon White Oak</t>
  </si>
  <si>
    <t>Picea abies 'Cupressina'</t>
  </si>
  <si>
    <t>Picea abies 'Cupressina' / Columnar Norway Spruce</t>
  </si>
  <si>
    <t>Pinus contorta var. contorta</t>
  </si>
  <si>
    <t>Pinus contorta var. contorta / Shore Pine</t>
  </si>
  <si>
    <t>Pinus contorta var. 'latifolia'</t>
  </si>
  <si>
    <t>Pinus contorta var. 'latifolia' / Rocky Mountain Lodgepole Pine</t>
  </si>
  <si>
    <t>Slender Silhouette Sweetgum</t>
  </si>
  <si>
    <t>Liquidambar styraciflua 'Slender Silhouette' / Slender Silhouette Sweetgum</t>
  </si>
  <si>
    <t>Smidt Bosnian Pine</t>
  </si>
  <si>
    <t>Pinus heldreichii var. leucodermis / Smidt Bosnian Pine</t>
  </si>
  <si>
    <t>Stewartia monadelpha</t>
  </si>
  <si>
    <t>Stewartia monadelpha / Orangebark Stewartia</t>
  </si>
  <si>
    <t>Tschonoski's Maple</t>
  </si>
  <si>
    <t>Acer tschonoskii / Tschonoski's Maple</t>
  </si>
  <si>
    <t>Weeping Alaska Cedar</t>
  </si>
  <si>
    <t>Chamaecyparis nootkatensis 'Pendula' / Weeping Alaska Cedar</t>
  </si>
  <si>
    <t>• Tree removals regulated by tree-related standards located within the development area impact area.</t>
  </si>
  <si>
    <t>• Enter only new tree plantings used to meet tree-related standards.</t>
  </si>
  <si>
    <t>Silverbell Tree</t>
  </si>
  <si>
    <t>Halesia carolina / Silverbell Tree</t>
  </si>
  <si>
    <t>RemoveCanopy</t>
  </si>
  <si>
    <t>Remove</t>
  </si>
  <si>
    <t>Remove Code Reference</t>
  </si>
  <si>
    <t>Tier 1 Remove</t>
  </si>
  <si>
    <t>Tier 2 Remove</t>
  </si>
  <si>
    <t>Tier 3 Remove</t>
  </si>
  <si>
    <t>Tier 4 Remove</t>
  </si>
  <si>
    <t>Other Tree Remove</t>
  </si>
  <si>
    <t>ECA Shoreline Remove</t>
  </si>
  <si>
    <t>• Retain trees used to meet tree-related standards.</t>
  </si>
  <si>
    <t>• Retain street trees used to meet Green Factor standard.</t>
  </si>
  <si>
    <t>Canopy Area of
Removal (sq ft)</t>
  </si>
  <si>
    <t>Net Canopy Area</t>
  </si>
  <si>
    <t>Total Mature Canopy Area
Proposed</t>
  </si>
  <si>
    <t>Total Canopy Area of
Removals</t>
  </si>
  <si>
    <t>Tree ID of Removal</t>
  </si>
  <si>
    <t>Scientific Name / Common Name of Removal</t>
  </si>
  <si>
    <t>Tree DSH</t>
  </si>
  <si>
    <t>This summary table is not fillable and is autogenerated based on the Existing Trees Form.</t>
  </si>
  <si>
    <t>'Tree Category' (Column E) is invalid. Reselect from dropdown.</t>
  </si>
  <si>
    <t>'Tree Status' (Column F) is required.</t>
  </si>
  <si>
    <t>Tree Status' (Column F) must be [Retain]. Don't enter street tree removals.</t>
  </si>
  <si>
    <t>'Canopy Area of Removal' (Column J) is required.</t>
  </si>
  <si>
    <t>Note: A &lt;6" DSH tree removal outside an ECA/Shoreline is not regulated. Don't enter it.</t>
  </si>
  <si>
    <t>'Tree Status' (Column F) is invalid. Select a valid dropdown.</t>
  </si>
  <si>
    <t>Enter quantity (Column N). Be EXACT for ECA/Shoreline 1:1 replacement, you may need to separate plantings into different rows/Planting IDs.</t>
  </si>
  <si>
    <t>Replacement not required yet under demolition permit. Select [N/A (No Replacement Required)] from Tree Replacement (Column I).</t>
  </si>
  <si>
    <t>Total Planting Tree Points</t>
  </si>
  <si>
    <t>Off-site replacement</t>
  </si>
  <si>
    <t>On-site replacement</t>
  </si>
  <si>
    <t>On Site</t>
  </si>
  <si>
    <t>Off Site</t>
  </si>
  <si>
    <t>Off Site - Yes</t>
  </si>
  <si>
    <t>Lagerstroemia indica x fauriei 'Arapaho' / Arapaho Crape Myrtle</t>
  </si>
  <si>
    <t xml:space="preserve"> This guide provides information how to enter trees to be removed or retained into the Existing Tree Form.</t>
  </si>
  <si>
    <t>Total Removals:</t>
  </si>
  <si>
    <t>Number of to be removed trees that are regulated by tree-related standards and are within the development area impact area.</t>
  </si>
  <si>
    <t>Total Retained:</t>
  </si>
  <si>
    <t>^ Number of retained trees used to meet tree-related standards plus the number of to be removed trees regulated by tree-related standards all within the development impact area.</t>
  </si>
  <si>
    <t>Autocalculates total sum of tree points proposed through existing trees and new tree plantings.</t>
  </si>
  <si>
    <t>Autocalculates difference of "Total Mature Tree Canopy Area Proposed" and "Total Canopy Area of Removals".</t>
  </si>
  <si>
    <t>Autocalculates sum of tree points added through new tree plantings.</t>
  </si>
  <si>
    <t>Autocalculates sum of mature canopy area from tree plantings used for canopy replacement.</t>
  </si>
  <si>
    <t>Autocalculates sum of tree points added through existing trees.</t>
  </si>
  <si>
    <t>Autocalculates sum of existing tree canopy area to be removed that requires canopy replacement. See SMC 25.11 Tree Protection.</t>
  </si>
  <si>
    <t xml:space="preserve"> 'Tree Species Size' and 'Points Per Inch of Diameter' autocalculate, except when tree name is typed.</t>
  </si>
  <si>
    <t>Tree Size (DSH)</t>
  </si>
  <si>
    <t>On-site Replacement</t>
  </si>
  <si>
    <t>On-site trees, within the subject property, used to meet the Tree Points standard in the  Neighborhood Residential (NR) Zone.</t>
  </si>
  <si>
    <r>
      <rPr>
        <sz val="11"/>
        <color rgb="FF000000"/>
        <rFont val="Aptos Narrow"/>
        <family val="2"/>
        <scheme val="minor"/>
      </rPr>
      <t>New required tree planting located within subject property</t>
    </r>
    <r>
      <rPr>
        <b/>
        <sz val="11"/>
        <color rgb="FF000000"/>
        <rFont val="Aptos Narrow"/>
        <family val="2"/>
        <scheme val="minor"/>
      </rPr>
      <t>.</t>
    </r>
  </si>
  <si>
    <t xml:space="preserve">The on-site or off-site tree replacement planting option requires you to enter the canopy area of the to be removed Tier 1, Tier 2, or Tier 3 tree. </t>
  </si>
  <si>
    <t>This field autocalculates based on tree information entered and on the tree size definitions of SMC 23.84A.038 - "Tree".
If you typed in a Scientific / Common Name that is not in the dropdown, the autocalculation does not work. You must then manually select the following size below that applies to the tree:</t>
  </si>
  <si>
    <t>This field autocalculates based on tree information entered in this form and based on Table B for 23.44.120 - Tree Points.</t>
  </si>
  <si>
    <t>Off-site Replacement</t>
  </si>
  <si>
    <t>SDCI Tree List has mature spread, tree size, and other tree information.</t>
  </si>
  <si>
    <t>New required tree planting located in right-of-way or on a different property.</t>
  </si>
  <si>
    <t>Tree canopy spread is less than or equal to 15 feet in diameter at maturity.</t>
  </si>
  <si>
    <t>If you typed in a Scientific / Common Name that is not in the dropdown, the autocalculation does not work. You must then manually select the Points Per Inch of Diameter value that matches the species size at maturity and tree type.</t>
  </si>
  <si>
    <t xml:space="preserve"> - Street trees
 - Not regulated &lt;6" DSH trees
 - Off-site or a neighbor's tree located entirely outside of subject property</t>
  </si>
  <si>
    <t>On-site or right-of-way trees &gt;6 inches in DSH and used to meet Green Factor standard.</t>
  </si>
  <si>
    <t>Voluntary fee payment option instead of tree replacement planting.</t>
  </si>
  <si>
    <t xml:space="preserve">Tree canopy spread is greater than 15 feet and less than or equal to 20 feet in diameter at maturity. </t>
  </si>
  <si>
    <r>
      <t xml:space="preserve">Tree is located in right-of-way, contiguous to subject site, and used for Green Factor standard.
Do </t>
    </r>
    <r>
      <rPr>
        <b/>
        <u/>
        <sz val="11"/>
        <color rgb="FF000000"/>
        <rFont val="Aptos Narrow"/>
        <family val="2"/>
        <scheme val="minor"/>
      </rPr>
      <t>not</t>
    </r>
    <r>
      <rPr>
        <sz val="11"/>
        <color rgb="FF000000"/>
        <rFont val="Aptos Narrow"/>
        <family val="2"/>
        <scheme val="minor"/>
      </rPr>
      <t xml:space="preserve"> enter in street tree removals.</t>
    </r>
  </si>
  <si>
    <r>
      <t xml:space="preserve">Tree status symbols (sym):
</t>
    </r>
    <r>
      <rPr>
        <sz val="11"/>
        <color theme="6"/>
        <rFont val="Wingdings"/>
        <charset val="2"/>
      </rPr>
      <t>¥</t>
    </r>
    <r>
      <rPr>
        <sz val="11"/>
        <color theme="1"/>
        <rFont val="Aptos Narrow"/>
        <family val="2"/>
        <scheme val="minor"/>
      </rPr>
      <t xml:space="preserve"> = Retain
</t>
    </r>
    <r>
      <rPr>
        <b/>
        <sz val="11"/>
        <color rgb="FFFF0000"/>
        <rFont val="Aptos Narrow"/>
        <family val="2"/>
        <scheme val="minor"/>
      </rPr>
      <t>⮽</t>
    </r>
    <r>
      <rPr>
        <sz val="11"/>
        <color theme="1"/>
        <rFont val="Aptos Narrow"/>
        <family val="2"/>
        <scheme val="minor"/>
      </rPr>
      <t xml:space="preserve"> = Remove</t>
    </r>
  </si>
  <si>
    <r>
      <t>Tier 1-4 tree retained in exchange for adjustments to development standards.</t>
    </r>
    <r>
      <rPr>
        <b/>
        <sz val="11"/>
        <color theme="1"/>
        <rFont val="Aptos Narrow"/>
        <family val="2"/>
        <scheme val="minor"/>
      </rPr>
      <t xml:space="preserve">
</t>
    </r>
    <r>
      <rPr>
        <sz val="11"/>
        <color theme="1"/>
        <rFont val="Aptos Narrow"/>
        <family val="2"/>
        <scheme val="minor"/>
      </rPr>
      <t>Ex. Choose to retain a tree for additional building height.</t>
    </r>
  </si>
  <si>
    <t>Moving an existing tree within the subject property or off-site property.</t>
  </si>
  <si>
    <t xml:space="preserve">Tree canopy spread is greater than 20 and less than or equal to 25 feet in diameter at maturity. </t>
  </si>
  <si>
    <r>
      <t xml:space="preserve">Tree mitigation not required according to code.
</t>
    </r>
    <r>
      <rPr>
        <b/>
        <sz val="11"/>
        <color theme="1"/>
        <rFont val="Aptos Narrow"/>
        <family val="2"/>
        <scheme val="minor"/>
      </rPr>
      <t xml:space="preserve">Note: </t>
    </r>
    <r>
      <rPr>
        <sz val="11"/>
        <color theme="1"/>
        <rFont val="Aptos Narrow"/>
        <family val="2"/>
        <scheme val="minor"/>
      </rPr>
      <t>This option should be selected for tree removals under demolition permits.</t>
    </r>
  </si>
  <si>
    <t>Tree canopy spread is greater than 25 feet in diameter at maturity and trunk diameter exceeds 6 inches when measured at 4.5 feet above the ground.</t>
  </si>
  <si>
    <t>Tier 2 tree category within a grove and on the subject property.</t>
  </si>
  <si>
    <t>Tier 1 or Tier 2 tree to be removed for exemption or allowance.</t>
  </si>
  <si>
    <t>Number of new tree plantings to meet tree-related standards.</t>
  </si>
  <si>
    <t xml:space="preserve">Autocalculates sum of tree points added through proposed plantings. </t>
  </si>
  <si>
    <t xml:space="preserve"> 'Tree Species Size' and 'Points Per Planting' autocalculate, except when tree name is typed.</t>
  </si>
  <si>
    <t>Location of proposed planting is on the subject property.</t>
  </si>
  <si>
    <t>Planting required by SMC Chapter 25.11 to replace a tree removal or mitigate disturbance in ECA/Shoreline District.</t>
  </si>
  <si>
    <t>Planting container size in gallons at time of planting.
Enter one number only. If it's a range, enter the minimum.
Gallon size required only for ECA/ Shoreline mitigation. Gallon size does not need to be provided if planting is also used for [Tree Code: Replacement Required].</t>
  </si>
  <si>
    <t>Canopy replacement may be required for to be removed Tier 1, Tier 2, and Tier 3 trees.</t>
  </si>
  <si>
    <r>
      <t xml:space="preserve">The number of plantings for this row.
</t>
    </r>
    <r>
      <rPr>
        <b/>
        <sz val="11"/>
        <rFont val="Aptos Narrow"/>
        <family val="2"/>
        <scheme val="minor"/>
      </rPr>
      <t>Note:</t>
    </r>
    <r>
      <rPr>
        <sz val="11"/>
        <rFont val="Aptos Narrow"/>
        <family val="2"/>
        <scheme val="minor"/>
      </rPr>
      <t xml:space="preserve"> For plantings used to meet ECA/Shoreline code and it overlaps with other code requirements, you must clearly state the exactly which plantings are used to meet the 1:1 replacement. You may need to separate the same species of plantings into different rows and Planting IDs.</t>
    </r>
  </si>
  <si>
    <r>
      <rPr>
        <sz val="11"/>
        <rFont val="Aptos Narrow"/>
        <family val="2"/>
        <scheme val="minor"/>
      </rPr>
      <t>Location of proposed planting is on a different property</t>
    </r>
    <r>
      <rPr>
        <sz val="11"/>
        <color rgb="FF000000"/>
        <rFont val="Aptos Narrow"/>
        <family val="2"/>
        <scheme val="minor"/>
      </rPr>
      <t>.</t>
    </r>
  </si>
  <si>
    <r>
      <t xml:space="preserve">Planting to meet only SMC Title 23 and </t>
    </r>
    <r>
      <rPr>
        <b/>
        <u/>
        <sz val="11"/>
        <color rgb="FF000000"/>
        <rFont val="Aptos Narrow"/>
        <family val="2"/>
        <scheme val="minor"/>
      </rPr>
      <t>not</t>
    </r>
    <r>
      <rPr>
        <sz val="11"/>
        <color rgb="FF000000"/>
        <rFont val="Aptos Narrow"/>
        <family val="2"/>
        <scheme val="minor"/>
      </rPr>
      <t xml:space="preserve"> to meet  SMC Chapter 25.11 for  replacement requirements or mitigate disturbance in ECA/Shoreline District.</t>
    </r>
  </si>
  <si>
    <t>Tree canopy spread less than or equal to 15 feet in diameter at maturity.</t>
  </si>
  <si>
    <t>If you typed in a Scientific / Common Name that is not in the dropdown, the autocalculation does not work. You must then manually select the Points Per Planting value that matches the species size at maturity and tree type.</t>
  </si>
  <si>
    <r>
      <t xml:space="preserve">Planting is located in the right-of-way, that is contiguous to the subject property, </t>
    </r>
    <r>
      <rPr>
        <b/>
        <u/>
        <sz val="11"/>
        <color rgb="FF000000"/>
        <rFont val="Aptos Narrow"/>
        <family val="2"/>
        <scheme val="minor"/>
      </rPr>
      <t>and</t>
    </r>
    <r>
      <rPr>
        <sz val="11"/>
        <color rgb="FF000000"/>
        <rFont val="Aptos Narrow"/>
        <family val="2"/>
        <scheme val="minor"/>
      </rPr>
      <t xml:space="preserve"> is used to meet Land Use street tree standards.
Do </t>
    </r>
    <r>
      <rPr>
        <b/>
        <u/>
        <sz val="11"/>
        <color rgb="FF000000"/>
        <rFont val="Aptos Narrow"/>
        <family val="2"/>
        <scheme val="minor"/>
      </rPr>
      <t>NOT</t>
    </r>
    <r>
      <rPr>
        <sz val="11"/>
        <color rgb="FF000000"/>
        <rFont val="Aptos Narrow"/>
        <family val="2"/>
        <scheme val="minor"/>
      </rPr>
      <t xml:space="preserve"> include if planting is  used only for SDOT standards and not SDCI standards.</t>
    </r>
  </si>
  <si>
    <r>
      <t xml:space="preserve">Planting use to meet Land Use street tree requirement.
Planting can </t>
    </r>
    <r>
      <rPr>
        <b/>
        <u/>
        <sz val="11"/>
        <color rgb="FF000000"/>
        <rFont val="Aptos Narrow"/>
        <family val="2"/>
        <scheme val="minor"/>
      </rPr>
      <t>not</t>
    </r>
    <r>
      <rPr>
        <sz val="11"/>
        <color rgb="FF000000"/>
        <rFont val="Aptos Narrow"/>
        <family val="2"/>
        <scheme val="minor"/>
      </rPr>
      <t xml:space="preserve"> overlap with any other planting requirement except Green Factor.</t>
    </r>
  </si>
  <si>
    <t xml:space="preserve">Tree canopy spread greater than 15 feet and less than or equal to 20 feet in diameter at maturity. </t>
  </si>
  <si>
    <t>On-site or right-of-way tree planting used to meet Green Factor standard.</t>
  </si>
  <si>
    <t xml:space="preserve">Tree canopy spread greater than 20 and less than or equal to 25 feet in diameter at maturity. </t>
  </si>
  <si>
    <t xml:space="preserve">Tree canopy spread greater than 25 feet in diameter at maturity and trunk diameter exceeds 6 inches when measured at 4.5 feet above the ground. </t>
  </si>
  <si>
    <r>
      <rPr>
        <b/>
        <sz val="11"/>
        <color theme="1"/>
        <rFont val="Aptos Narrow"/>
        <family val="2"/>
        <scheme val="minor"/>
      </rPr>
      <t>Important:</t>
    </r>
    <r>
      <rPr>
        <sz val="11"/>
        <color theme="1"/>
        <rFont val="Aptos Narrow"/>
        <family val="2"/>
        <scheme val="minor"/>
      </rPr>
      <t xml:space="preserve"> Under the 'Quantity' field of this form, you must clearly quantify exactly which plantings are used for the 1:1 replacement. You may need to separate the same species of plantings into different rows and Planting IDs.</t>
    </r>
  </si>
  <si>
    <t xml:space="preserve">
Mitigation for Tier 1-3 tree removals.</t>
  </si>
  <si>
    <t>Total Mature
Canopy Area</t>
  </si>
  <si>
    <t>'Points per Inch of Diameter' (Column L) is not a valid value. Reselect dropdown(s).</t>
  </si>
  <si>
    <t>'Points per Planting' (Column L) is not a valid value. Reselect dropdown(s).</t>
  </si>
  <si>
    <r>
      <t xml:space="preserve">View </t>
    </r>
    <r>
      <rPr>
        <b/>
        <u/>
        <sz val="12"/>
        <color rgb="FF081EC4"/>
        <rFont val="Aptos Narrow"/>
        <family val="2"/>
        <scheme val="minor"/>
      </rPr>
      <t>Seattle Trees &amp; Codes</t>
    </r>
    <r>
      <rPr>
        <u/>
        <sz val="12"/>
        <color rgb="FF081EC4"/>
        <rFont val="Aptos Narrow"/>
        <family val="2"/>
        <scheme val="minor"/>
      </rPr>
      <t xml:space="preserve"> website for tree regulations, resources, and contact information.</t>
    </r>
  </si>
  <si>
    <t>Enter minimum tree points required if the site is in a Neighborhood Residential Zone and dwelling unit(s) are added. See SMC 23.44.120 - Tree Points.</t>
  </si>
  <si>
    <r>
      <t xml:space="preserve">Read the </t>
    </r>
    <r>
      <rPr>
        <b/>
        <u/>
        <sz val="12"/>
        <color rgb="FF081EC4"/>
        <rFont val="Aptos Narrow"/>
        <family val="2"/>
        <scheme val="minor"/>
      </rPr>
      <t>Get Started Guide</t>
    </r>
    <r>
      <rPr>
        <u/>
        <sz val="12"/>
        <color rgb="FF081EC4"/>
        <rFont val="Aptos Narrow"/>
        <family val="2"/>
        <scheme val="minor"/>
      </rPr>
      <t xml:space="preserve"> for FAQs and examples to help you complete the forms.</t>
    </r>
  </si>
  <si>
    <r>
      <t xml:space="preserve">Select the closest and accurate tree name from the dropdown list. Ex. If a specific variant of Japanese Maple isn't on the list, select Acer palmatum.
Tree names that are not on the dropdown list are either uncommon or not recommended. If you type the name in, include both the scientific </t>
    </r>
    <r>
      <rPr>
        <b/>
        <u/>
        <sz val="11"/>
        <color rgb="FF000000"/>
        <rFont val="Aptos Narrow"/>
        <family val="2"/>
        <scheme val="minor"/>
      </rPr>
      <t>and</t>
    </r>
    <r>
      <rPr>
        <sz val="11"/>
        <color rgb="FF000000"/>
        <rFont val="Aptos Narrow"/>
        <family val="2"/>
        <scheme val="minor"/>
      </rPr>
      <t xml:space="preserve"> common name.
</t>
    </r>
    <r>
      <rPr>
        <b/>
        <sz val="11"/>
        <color rgb="FF000000"/>
        <rFont val="Aptos Narrow"/>
        <family val="2"/>
        <scheme val="minor"/>
      </rPr>
      <t xml:space="preserve">Note: </t>
    </r>
    <r>
      <rPr>
        <sz val="11"/>
        <color rgb="FF000000"/>
        <rFont val="Aptos Narrow"/>
        <family val="2"/>
        <scheme val="minor"/>
      </rPr>
      <t>Typing or pasting in a tree name may disable the feedback messages or automation features of the row.</t>
    </r>
  </si>
  <si>
    <r>
      <t xml:space="preserve">Keeping or relocating a tree to be used to meet SDCI tree-related standards.
Do </t>
    </r>
    <r>
      <rPr>
        <b/>
        <u/>
        <sz val="11"/>
        <color rgb="FF000000"/>
        <rFont val="Aptos Narrow"/>
        <family val="2"/>
        <scheme val="minor"/>
      </rPr>
      <t>NOT</t>
    </r>
    <r>
      <rPr>
        <sz val="11"/>
        <color rgb="FF000000"/>
        <rFont val="Aptos Narrow"/>
        <family val="2"/>
        <scheme val="minor"/>
      </rPr>
      <t xml:space="preserve"> include these retained trees:
 - Street trees only used to meet SDOT standards
 - Off-site or a neighbor's tree located entirely outside of subject property</t>
    </r>
  </si>
  <si>
    <t xml:space="preserve">Tree Points is not a selectable field. This field autocalculates based on tree information entered in this form and based on Table B for 23.44.120.
</t>
  </si>
  <si>
    <t>Error message is specific to each tree and its row.
An error message shows up when the dropdown selected or value entered is not allowed. The message will disappear once the error is resolved.</t>
  </si>
  <si>
    <t>Tree located in an environmental critical area or Shoreline District
Shoreline code:</t>
  </si>
  <si>
    <r>
      <t xml:space="preserve">Proposed tree removal that requires SDCI approval.
Do </t>
    </r>
    <r>
      <rPr>
        <b/>
        <u/>
        <sz val="11"/>
        <color theme="1"/>
        <rFont val="Aptos Narrow"/>
        <family val="2"/>
        <scheme val="minor"/>
      </rPr>
      <t>NOT</t>
    </r>
    <r>
      <rPr>
        <sz val="11"/>
        <color theme="1"/>
        <rFont val="Aptos Narrow"/>
        <family val="2"/>
        <scheme val="minor"/>
      </rPr>
      <t xml:space="preserve"> include to be removed:</t>
    </r>
  </si>
  <si>
    <t>SDCI Tree List</t>
  </si>
  <si>
    <t>Environmentally critical areas code:</t>
  </si>
  <si>
    <t xml:space="preserve">SMC 25.11.050 - General provisions for regulated tree categories
</t>
  </si>
  <si>
    <t>SMC 25.11.130 - Definitions</t>
  </si>
  <si>
    <t>Removal due to
- hazard,
- emergency action,
- insect/pest/pathogen infestation,
- ADA compliance,
- invasive, or
- dead tree.</t>
  </si>
  <si>
    <t>King County invasive/nuisance list:</t>
  </si>
  <si>
    <t>Environmental Critical Area (ECA) / Shoreline</t>
  </si>
  <si>
    <t>Trees located in an environmental critical area or Shoreline District.
Shoreline code:</t>
  </si>
  <si>
    <t xml:space="preserve">
SMC 25.09 - Regulations For Environmentally Critical Areas</t>
  </si>
  <si>
    <t>Total Mature
Canopy Area (sq ft)</t>
  </si>
  <si>
    <r>
      <t xml:space="preserve">Select the closest and accurate tree name from the dropdown list.
Ex. If a specific variant of Japanese Maple isn't on the list, select Acer palmatum.
Tree names that are not on the dropdown list are either uncommon or not recommended. If you type the name in, include both the scientific </t>
    </r>
    <r>
      <rPr>
        <b/>
        <u/>
        <sz val="11"/>
        <color rgb="FF000000"/>
        <rFont val="Aptos Narrow"/>
        <family val="2"/>
        <scheme val="minor"/>
      </rPr>
      <t>and</t>
    </r>
    <r>
      <rPr>
        <sz val="11"/>
        <color rgb="FF000000"/>
        <rFont val="Aptos Narrow"/>
        <family val="2"/>
        <scheme val="minor"/>
      </rPr>
      <t xml:space="preserve"> common name.
</t>
    </r>
    <r>
      <rPr>
        <b/>
        <sz val="11"/>
        <color rgb="FF000000"/>
        <rFont val="Aptos Narrow"/>
        <family val="2"/>
        <scheme val="minor"/>
      </rPr>
      <t>Note:</t>
    </r>
    <r>
      <rPr>
        <sz val="11"/>
        <color rgb="FF000000"/>
        <rFont val="Aptos Narrow"/>
        <family val="2"/>
        <scheme val="minor"/>
      </rPr>
      <t xml:space="preserve"> Typing or pasting in a tree name may disable the feedback messages or automation features of the row.</t>
    </r>
  </si>
  <si>
    <t>Tree Points is not a selectable field. This field autocalculates based on tree information entered in this form and based on Table B for 23.44.120.</t>
  </si>
  <si>
    <t>Error message is specific to each tree and its rows.
An error message shows up when the dropdown selected or value entered is not allowed. The message will disappear once the error is resolved.</t>
  </si>
  <si>
    <r>
      <t xml:space="preserve">You must resolve all errors in the Existing Trees Form and Tree Plantings Form. The PIL Summary must be printed or exported separately. </t>
    </r>
    <r>
      <rPr>
        <b/>
        <sz val="16"/>
        <color theme="1"/>
        <rFont val="Aptos Narrow"/>
        <family val="2"/>
        <scheme val="minor"/>
      </rPr>
      <t>Please embed the two forms and PIL Summary (if applicable) into our plan set.</t>
    </r>
  </si>
  <si>
    <t>(TIF Version 1.04.4)</t>
  </si>
  <si>
    <t>Share your feedback on this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</si>
</sst>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4" formatCode="_(&quot;$&quot;* #,##0.00_);_(&quot;$&quot;* \(#,##0.00\);_(&quot;$&quot;* &quot;-&quot;??_);_(@_)"/>
    <numFmt numFmtId="43" formatCode="_(* #,##0.00_);_(* \(#,##0.00\);_(* &quot;-&quot;??_);_(@_)"/>
    <numFmt numFmtId="164" formatCode="0.00\ &quot;inches&quot;"/>
    <numFmt numFmtId="165" formatCode="0.00\ &quot;CAL in&quot;"/>
    <numFmt numFmtId="166" formatCode="0.00\ &quot;gal&quot;"/>
    <numFmt numFmtId="167" formatCode="0.00\ &quot;sq ft&quot;"/>
    <numFmt numFmtId="168" formatCode="0.00\ &quot;ft&quot;"/>
    <numFmt numFmtId="169" formatCode="0.00\ &quot;pts&quot;"/>
    <numFmt numFmtId="170" formatCode="#,##0.00\ &quot;sq ft&quot;"/>
    <numFmt numFmtId="171" formatCode="#,##0.00\ &quot;pts&quot;"/>
    <numFmt numFmtId="172" formatCode="#,##0.00\ &quot;in&quot;"/>
    <numFmt numFmtId="173" formatCode="#,##0.00\ &quot;in²&quot;"/>
  </numFmts>
  <fonts count="96" x14ac:knownFonts="1">
    <font>
      <sz val="11"/>
      <color theme="1"/>
      <name val="Aptos Narrow"/>
      <family val="2"/>
      <scheme val="minor"/>
    </font>
    <font>
      <b/>
      <sz val="11"/>
      <color rgb="FF000000"/>
      <name val="Aptos Narrow"/>
      <family val="2"/>
      <scheme val="minor"/>
    </font>
    <font>
      <sz val="11"/>
      <color rgb="FF000000"/>
      <name val="Aptos Narrow"/>
      <family val="2"/>
      <scheme val="minor"/>
    </font>
    <font>
      <b/>
      <sz val="12"/>
      <color rgb="FF000000"/>
      <name val="Aptos Narrow"/>
      <family val="2"/>
      <scheme val="minor"/>
    </font>
    <font>
      <sz val="11"/>
      <color theme="4" tint="-0.249977111117893"/>
      <name val="Aptos Narrow"/>
      <family val="2"/>
      <scheme val="minor"/>
    </font>
    <font>
      <sz val="8"/>
      <name val="Aptos Narrow"/>
      <family val="2"/>
      <scheme val="minor"/>
    </font>
    <font>
      <b/>
      <u/>
      <sz val="24"/>
      <color theme="1"/>
      <name val="Aptos Narrow"/>
      <family val="2"/>
      <scheme val="minor"/>
    </font>
    <font>
      <b/>
      <sz val="11"/>
      <color theme="4" tint="-0.249977111117893"/>
      <name val="Aptos Narrow"/>
      <family val="2"/>
      <scheme val="minor"/>
    </font>
    <font>
      <b/>
      <sz val="12"/>
      <color theme="1"/>
      <name val="Aptos Narrow"/>
      <family val="2"/>
      <scheme val="minor"/>
    </font>
    <font>
      <b/>
      <u/>
      <sz val="12"/>
      <color theme="1"/>
      <name val="Aptos Narrow"/>
      <family val="2"/>
      <scheme val="minor"/>
    </font>
    <font>
      <sz val="12"/>
      <color theme="1"/>
      <name val="Aptos Narrow"/>
      <family val="2"/>
      <scheme val="minor"/>
    </font>
    <font>
      <b/>
      <sz val="11"/>
      <color theme="1"/>
      <name val="Aptos Narrow"/>
      <family val="2"/>
      <scheme val="minor"/>
    </font>
    <font>
      <sz val="11"/>
      <name val="Aptos Narrow"/>
      <family val="2"/>
      <scheme val="minor"/>
    </font>
    <font>
      <sz val="11"/>
      <color theme="1"/>
      <name val="Aptos Narrow"/>
      <family val="2"/>
      <scheme val="minor"/>
    </font>
    <font>
      <u/>
      <sz val="11"/>
      <color theme="10"/>
      <name val="Aptos Narrow"/>
      <family val="2"/>
      <scheme val="minor"/>
    </font>
    <font>
      <b/>
      <sz val="12"/>
      <name val="Aptos Narrow"/>
      <family val="2"/>
      <scheme val="minor"/>
    </font>
    <font>
      <b/>
      <sz val="11"/>
      <name val="Aptos Narrow"/>
      <family val="2"/>
      <scheme val="minor"/>
    </font>
    <font>
      <b/>
      <sz val="12"/>
      <color rgb="FFFF0000"/>
      <name val="Aptos Narrow"/>
      <family val="2"/>
      <scheme val="minor"/>
    </font>
    <font>
      <b/>
      <sz val="11"/>
      <color theme="0"/>
      <name val="Aptos Narrow"/>
      <family val="2"/>
      <scheme val="minor"/>
    </font>
    <font>
      <sz val="12"/>
      <color rgb="FFFF0000"/>
      <name val="Aptos Narrow"/>
      <family val="2"/>
      <scheme val="minor"/>
    </font>
    <font>
      <sz val="9"/>
      <color indexed="81"/>
      <name val="Tahoma"/>
      <family val="2"/>
    </font>
    <font>
      <b/>
      <sz val="9"/>
      <color indexed="81"/>
      <name val="Tahoma"/>
      <family val="2"/>
    </font>
    <font>
      <sz val="10.5"/>
      <color theme="0"/>
      <name val="Aptos Narrow"/>
      <family val="2"/>
      <scheme val="minor"/>
    </font>
    <font>
      <sz val="11.5"/>
      <color theme="1"/>
      <name val="Aptos Narrow"/>
      <family val="2"/>
      <scheme val="minor"/>
    </font>
    <font>
      <sz val="12"/>
      <color rgb="FFFF0000"/>
      <name val="Segoe UI"/>
      <family val="2"/>
    </font>
    <font>
      <sz val="10.5"/>
      <color theme="1"/>
      <name val="Aptos Narrow"/>
      <family val="2"/>
      <scheme val="minor"/>
    </font>
    <font>
      <sz val="12"/>
      <name val="Aptos Narrow"/>
      <family val="2"/>
      <scheme val="minor"/>
    </font>
    <font>
      <b/>
      <sz val="10.5"/>
      <color theme="1"/>
      <name val="Aptos Narrow"/>
      <family val="2"/>
      <scheme val="minor"/>
    </font>
    <font>
      <b/>
      <u/>
      <sz val="11"/>
      <color theme="1"/>
      <name val="Aptos Narrow"/>
      <family val="2"/>
      <scheme val="minor"/>
    </font>
    <font>
      <sz val="11"/>
      <color theme="1"/>
      <name val="Aptos"/>
      <family val="2"/>
    </font>
    <font>
      <b/>
      <sz val="14"/>
      <name val="Aptos Narrow"/>
      <family val="2"/>
      <scheme val="minor"/>
    </font>
    <font>
      <sz val="10"/>
      <name val="Aptos Narrow"/>
      <family val="2"/>
      <scheme val="minor"/>
    </font>
    <font>
      <b/>
      <sz val="13"/>
      <name val="Aptos Narrow"/>
      <family val="2"/>
      <scheme val="minor"/>
    </font>
    <font>
      <sz val="13"/>
      <color theme="1"/>
      <name val="Aptos Narrow"/>
      <family val="2"/>
      <scheme val="minor"/>
    </font>
    <font>
      <b/>
      <sz val="13"/>
      <color rgb="FFC00000"/>
      <name val="Aptos Narrow"/>
      <family val="2"/>
      <scheme val="minor"/>
    </font>
    <font>
      <b/>
      <u/>
      <sz val="13"/>
      <color theme="1"/>
      <name val="Aptos Narrow"/>
      <family val="2"/>
      <scheme val="minor"/>
    </font>
    <font>
      <sz val="11"/>
      <color rgb="FF1E1E1E"/>
      <name val="Segoe UI"/>
      <family val="2"/>
    </font>
    <font>
      <sz val="11"/>
      <color theme="0"/>
      <name val="Aptos Narrow"/>
      <family val="2"/>
      <scheme val="minor"/>
    </font>
    <font>
      <sz val="10"/>
      <color theme="1"/>
      <name val="Aptos Narrow"/>
      <family val="2"/>
      <scheme val="minor"/>
    </font>
    <font>
      <b/>
      <sz val="10"/>
      <color theme="1"/>
      <name val="Aptos Narrow"/>
      <family val="2"/>
      <scheme val="minor"/>
    </font>
    <font>
      <b/>
      <u/>
      <sz val="18"/>
      <color theme="1"/>
      <name val="Aptos Narrow"/>
      <family val="2"/>
      <scheme val="minor"/>
    </font>
    <font>
      <i/>
      <sz val="11"/>
      <color theme="1"/>
      <name val="Aptos Narrow"/>
      <family val="2"/>
      <scheme val="minor"/>
    </font>
    <font>
      <sz val="12"/>
      <color rgb="FF000000"/>
      <name val="Aptos Narrow"/>
      <family val="2"/>
      <scheme val="minor"/>
    </font>
    <font>
      <b/>
      <sz val="16"/>
      <color theme="1"/>
      <name val="Aptos Narrow"/>
      <family val="2"/>
      <scheme val="minor"/>
    </font>
    <font>
      <sz val="16"/>
      <color theme="1"/>
      <name val="Aptos Narrow"/>
      <family val="2"/>
      <scheme val="minor"/>
    </font>
    <font>
      <b/>
      <u/>
      <sz val="28"/>
      <color theme="1"/>
      <name val="Aptos Narrow"/>
      <family val="2"/>
      <scheme val="minor"/>
    </font>
    <font>
      <b/>
      <sz val="16"/>
      <name val="Aptos Narrow"/>
      <family val="2"/>
      <scheme val="minor"/>
    </font>
    <font>
      <sz val="11"/>
      <color theme="1"/>
      <name val="Wingdings"/>
      <charset val="2"/>
    </font>
    <font>
      <sz val="10.5"/>
      <color theme="1" tint="0.34998626667073579"/>
      <name val="Aptos Narrow"/>
      <family val="2"/>
      <scheme val="minor"/>
    </font>
    <font>
      <b/>
      <sz val="12"/>
      <color rgb="FFED0000"/>
      <name val="Aptos Narrow"/>
      <family val="2"/>
      <scheme val="minor"/>
    </font>
    <font>
      <b/>
      <sz val="12"/>
      <color theme="1" tint="0.34998626667073579"/>
      <name val="Aptos Narrow"/>
      <family val="2"/>
      <scheme val="minor"/>
    </font>
    <font>
      <b/>
      <u/>
      <sz val="11"/>
      <color theme="4" tint="-0.499984740745262"/>
      <name val="Aptos Narrow"/>
      <family val="2"/>
      <scheme val="minor"/>
    </font>
    <font>
      <b/>
      <sz val="11"/>
      <color rgb="FFED0000"/>
      <name val="Aptos Narrow"/>
      <family val="2"/>
      <scheme val="minor"/>
    </font>
    <font>
      <b/>
      <sz val="11"/>
      <color theme="1" tint="0.34998626667073579"/>
      <name val="Aptos Narrow"/>
      <family val="2"/>
      <scheme val="minor"/>
    </font>
    <font>
      <b/>
      <sz val="11.5"/>
      <color theme="1"/>
      <name val="Aptos Narrow"/>
      <family val="2"/>
      <scheme val="minor"/>
    </font>
    <font>
      <b/>
      <sz val="11.5"/>
      <name val="Aptos Narrow"/>
      <family val="2"/>
      <scheme val="minor"/>
    </font>
    <font>
      <b/>
      <u/>
      <sz val="20"/>
      <color theme="1"/>
      <name val="Aptos Narrow"/>
      <family val="2"/>
      <scheme val="minor"/>
    </font>
    <font>
      <b/>
      <sz val="20"/>
      <color theme="1"/>
      <name val="Aptos Narrow"/>
      <family val="2"/>
      <scheme val="minor"/>
    </font>
    <font>
      <b/>
      <sz val="18"/>
      <color theme="1"/>
      <name val="Aptos Narrow"/>
      <family val="2"/>
      <scheme val="minor"/>
    </font>
    <font>
      <b/>
      <sz val="11"/>
      <color rgb="FFFF0000"/>
      <name val="Aptos Narrow"/>
      <family val="2"/>
      <scheme val="minor"/>
    </font>
    <font>
      <sz val="10.5"/>
      <name val="Aptos Narrow"/>
      <family val="2"/>
      <scheme val="minor"/>
    </font>
    <font>
      <sz val="10.5"/>
      <name val="Wingdings"/>
      <charset val="2"/>
    </font>
    <font>
      <b/>
      <sz val="10.5"/>
      <color rgb="FFED0000"/>
      <name val="Aptos Narrow"/>
      <family val="2"/>
      <scheme val="minor"/>
    </font>
    <font>
      <sz val="10.5"/>
      <color theme="0"/>
      <name val="Wingdings"/>
      <charset val="2"/>
    </font>
    <font>
      <sz val="10.5"/>
      <color rgb="FF000000"/>
      <name val="Aptos Narrow"/>
      <family val="2"/>
      <scheme val="minor"/>
    </font>
    <font>
      <sz val="10.5"/>
      <color theme="2" tint="-0.249977111117893"/>
      <name val="Aptos Narrow"/>
      <family val="2"/>
      <scheme val="minor"/>
    </font>
    <font>
      <b/>
      <sz val="13.5"/>
      <color theme="1"/>
      <name val="Aptos Narrow"/>
      <family val="2"/>
      <scheme val="minor"/>
    </font>
    <font>
      <sz val="12"/>
      <color theme="1" tint="0.34998626667073579"/>
      <name val="Aptos Narrow"/>
      <family val="2"/>
      <scheme val="minor"/>
    </font>
    <font>
      <sz val="11"/>
      <color theme="1" tint="0.34998626667073579"/>
      <name val="Aptos Narrow"/>
      <family val="2"/>
      <scheme val="minor"/>
    </font>
    <font>
      <sz val="8"/>
      <color rgb="FF000000"/>
      <name val="Aptos Narrow"/>
      <family val="2"/>
      <scheme val="minor"/>
    </font>
    <font>
      <sz val="10"/>
      <color rgb="FF000000"/>
      <name val="Calibri"/>
      <family val="2"/>
    </font>
    <font>
      <b/>
      <sz val="24"/>
      <color theme="1"/>
      <name val="Aptos Narrow"/>
      <family val="2"/>
      <scheme val="minor"/>
    </font>
    <font>
      <sz val="11"/>
      <name val="Wingdings"/>
      <charset val="2"/>
    </font>
    <font>
      <sz val="11"/>
      <color theme="2" tint="-0.249977111117893"/>
      <name val="Aptos Narrow"/>
      <family val="2"/>
      <scheme val="minor"/>
    </font>
    <font>
      <sz val="11"/>
      <color theme="0"/>
      <name val="Wingdings"/>
      <charset val="2"/>
    </font>
    <font>
      <sz val="11"/>
      <color rgb="FFFF0000"/>
      <name val="Aptos Narrow"/>
      <family val="2"/>
      <scheme val="minor"/>
    </font>
    <font>
      <b/>
      <u/>
      <sz val="11"/>
      <color theme="4"/>
      <name val="Aptos Narrow"/>
      <family val="2"/>
      <scheme val="minor"/>
    </font>
    <font>
      <u/>
      <sz val="12"/>
      <color theme="4"/>
      <name val="Aptos Narrow"/>
      <family val="2"/>
      <scheme val="minor"/>
    </font>
    <font>
      <sz val="11"/>
      <color theme="1" tint="0.499984740745262"/>
      <name val="Aptos Narrow"/>
      <family val="2"/>
      <scheme val="minor"/>
    </font>
    <font>
      <u/>
      <sz val="11"/>
      <color rgb="FF0033CC"/>
      <name val="Aptos Narrow"/>
      <family val="2"/>
      <scheme val="minor"/>
    </font>
    <font>
      <sz val="11"/>
      <color rgb="FF0033CC"/>
      <name val="Aptos Narrow"/>
      <family val="2"/>
      <scheme val="minor"/>
    </font>
    <font>
      <b/>
      <u/>
      <sz val="11"/>
      <color rgb="FF000000"/>
      <name val="Aptos Narrow"/>
      <family val="2"/>
      <scheme val="minor"/>
    </font>
    <font>
      <i/>
      <sz val="11"/>
      <color rgb="FF000000"/>
      <name val="Aptos Narrow"/>
      <family val="2"/>
      <scheme val="minor"/>
    </font>
    <font>
      <b/>
      <sz val="16"/>
      <color rgb="FFED0000"/>
      <name val="Aptos Narrow"/>
      <family val="2"/>
      <scheme val="minor"/>
    </font>
    <font>
      <b/>
      <sz val="28"/>
      <color rgb="FF000000"/>
      <name val="Aptos Narrow"/>
      <family val="2"/>
    </font>
    <font>
      <u/>
      <sz val="11"/>
      <name val="Aptos Narrow"/>
      <family val="2"/>
      <scheme val="minor"/>
    </font>
    <font>
      <u/>
      <sz val="11"/>
      <color theme="1"/>
      <name val="Aptos Narrow"/>
      <family val="2"/>
      <scheme val="minor"/>
    </font>
    <font>
      <sz val="11"/>
      <color theme="6"/>
      <name val="Wingdings"/>
      <charset val="2"/>
    </font>
    <font>
      <sz val="11"/>
      <color rgb="FFFF0000"/>
      <name val="Segoe UI"/>
      <family val="2"/>
    </font>
    <font>
      <sz val="8"/>
      <color theme="1"/>
      <name val="Aptos Narrow"/>
      <family val="2"/>
      <scheme val="minor"/>
    </font>
    <font>
      <b/>
      <sz val="8"/>
      <color theme="1"/>
      <name val="Aptos Narrow"/>
      <family val="2"/>
      <scheme val="minor"/>
    </font>
    <font>
      <u/>
      <sz val="12"/>
      <color rgb="FF081EC4"/>
      <name val="Aptos Narrow"/>
      <family val="2"/>
      <scheme val="minor"/>
    </font>
    <font>
      <b/>
      <u/>
      <sz val="12"/>
      <color rgb="FF081EC4"/>
      <name val="Aptos Narrow"/>
      <family val="2"/>
      <scheme val="minor"/>
    </font>
    <font>
      <b/>
      <sz val="16"/>
      <color rgb="FFFF0000"/>
      <name val="Aptos Narrow"/>
      <family val="2"/>
      <scheme val="minor"/>
    </font>
    <font>
      <b/>
      <sz val="14"/>
      <color rgb="FFFF0000"/>
      <name val="Aptos Narrow"/>
      <family val="2"/>
      <scheme val="minor"/>
    </font>
    <font>
      <b/>
      <sz val="18"/>
      <color rgb="FFFF0000"/>
      <name val="Aptos Narrow"/>
      <family val="2"/>
      <scheme val="minor"/>
    </font>
  </fonts>
  <fills count="17">
    <fill>
      <patternFill patternType="none"/>
    </fill>
    <fill>
      <patternFill patternType="gray125"/>
    </fill>
    <fill>
      <patternFill patternType="solid">
        <fgColor theme="4" tint="0.79998168889431442"/>
        <bgColor theme="4" tint="0.79998168889431442"/>
      </patternFill>
    </fill>
    <fill>
      <patternFill patternType="solid">
        <fgColor theme="0"/>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4"/>
        <bgColor theme="4"/>
      </patternFill>
    </fill>
    <fill>
      <patternFill patternType="solid">
        <fgColor theme="2" tint="-0.249977111117893"/>
        <bgColor indexed="64"/>
      </patternFill>
    </fill>
    <fill>
      <patternFill patternType="solid">
        <fgColor theme="3" tint="0.74999237037263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theme="9"/>
        <bgColor indexed="64"/>
      </patternFill>
    </fill>
    <fill>
      <patternFill patternType="solid">
        <fgColor rgb="FFDAE9F8"/>
        <bgColor indexed="64"/>
      </patternFill>
    </fill>
    <fill>
      <patternFill patternType="solid">
        <fgColor theme="0" tint="-0.14999847407452621"/>
        <bgColor indexed="64"/>
      </patternFill>
    </fill>
  </fills>
  <borders count="8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theme="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theme="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theme="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theme="4" tint="0.39997558519241921"/>
      </top>
      <bottom style="medium">
        <color indexed="64"/>
      </bottom>
      <diagonal/>
    </border>
    <border>
      <left style="medium">
        <color indexed="64"/>
      </left>
      <right style="medium">
        <color indexed="64"/>
      </right>
      <top style="thin">
        <color theme="4" tint="0.39997558519241921"/>
      </top>
      <bottom/>
      <diagonal/>
    </border>
    <border>
      <left style="medium">
        <color indexed="64"/>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auto="1"/>
      </left>
      <right style="medium">
        <color indexed="64"/>
      </right>
      <top style="thin">
        <color auto="1"/>
      </top>
      <bottom style="thin">
        <color auto="1"/>
      </bottom>
      <diagonal/>
    </border>
    <border>
      <left style="medium">
        <color indexed="64"/>
      </left>
      <right/>
      <top style="thin">
        <color theme="4"/>
      </top>
      <bottom/>
      <diagonal/>
    </border>
    <border>
      <left/>
      <right style="medium">
        <color indexed="64"/>
      </right>
      <top style="thin">
        <color theme="4"/>
      </top>
      <bottom/>
      <diagonal/>
    </border>
    <border>
      <left style="medium">
        <color indexed="64"/>
      </left>
      <right/>
      <top style="thin">
        <color theme="4"/>
      </top>
      <bottom style="medium">
        <color indexed="64"/>
      </bottom>
      <diagonal/>
    </border>
    <border>
      <left/>
      <right style="medium">
        <color indexed="64"/>
      </right>
      <top style="thin">
        <color theme="4"/>
      </top>
      <bottom style="medium">
        <color indexed="64"/>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theme="4" tint="0.39997558519241921"/>
      </bottom>
      <diagonal/>
    </border>
    <border>
      <left/>
      <right style="medium">
        <color indexed="64"/>
      </right>
      <top style="medium">
        <color indexed="64"/>
      </top>
      <bottom style="thin">
        <color theme="4" tint="0.39997558519241921"/>
      </bottom>
      <diagonal/>
    </border>
    <border>
      <left style="medium">
        <color indexed="64"/>
      </left>
      <right/>
      <top style="thin">
        <color theme="4" tint="0.39997558519241921"/>
      </top>
      <bottom style="thin">
        <color theme="4" tint="0.39997558519241921"/>
      </bottom>
      <diagonal/>
    </border>
    <border>
      <left/>
      <right style="medium">
        <color indexed="64"/>
      </right>
      <top style="thin">
        <color theme="4" tint="0.39997558519241921"/>
      </top>
      <bottom style="thin">
        <color theme="4" tint="0.39997558519241921"/>
      </bottom>
      <diagonal/>
    </border>
    <border>
      <left style="medium">
        <color indexed="64"/>
      </left>
      <right/>
      <top style="thin">
        <color theme="4" tint="0.39997558519241921"/>
      </top>
      <bottom style="medium">
        <color indexed="64"/>
      </bottom>
      <diagonal/>
    </border>
    <border>
      <left/>
      <right style="medium">
        <color indexed="64"/>
      </right>
      <top style="thin">
        <color theme="4" tint="0.39997558519241921"/>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theme="4" tint="0.39997558519241921"/>
      </top>
      <bottom style="thin">
        <color theme="4" tint="0.39997558519241921"/>
      </bottom>
      <diagonal/>
    </border>
    <border>
      <left style="medium">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s>
  <cellStyleXfs count="4">
    <xf numFmtId="0" fontId="0" fillId="0" borderId="0"/>
    <xf numFmtId="44" fontId="13" fillId="0" borderId="0" applyFont="0" applyFill="0" applyBorder="0" applyAlignment="0" applyProtection="0"/>
    <xf numFmtId="0" fontId="14" fillId="0" borderId="0" applyNumberFormat="0" applyFill="0" applyBorder="0" applyAlignment="0" applyProtection="0"/>
    <xf numFmtId="43" fontId="13" fillId="0" borderId="0" applyFont="0" applyFill="0" applyBorder="0" applyAlignment="0" applyProtection="0"/>
  </cellStyleXfs>
  <cellXfs count="778">
    <xf numFmtId="0" fontId="0" fillId="0" borderId="0" xfId="0"/>
    <xf numFmtId="0" fontId="2" fillId="0" borderId="0" xfId="0" applyFont="1"/>
    <xf numFmtId="0" fontId="0" fillId="0" borderId="0" xfId="0" applyAlignment="1">
      <alignment wrapText="1"/>
    </xf>
    <xf numFmtId="0" fontId="4" fillId="2" borderId="2" xfId="0" applyFont="1" applyFill="1" applyBorder="1"/>
    <xf numFmtId="0" fontId="4" fillId="0" borderId="2" xfId="0" applyFont="1" applyBorder="1"/>
    <xf numFmtId="0" fontId="4" fillId="2" borderId="2" xfId="0" applyFont="1" applyFill="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2" borderId="3" xfId="0" applyFont="1" applyFill="1" applyBorder="1" applyAlignment="1">
      <alignment wrapText="1"/>
    </xf>
    <xf numFmtId="0" fontId="7" fillId="0" borderId="1" xfId="0" applyFont="1" applyBorder="1"/>
    <xf numFmtId="0" fontId="4" fillId="2" borderId="4" xfId="0" applyFont="1" applyFill="1" applyBorder="1"/>
    <xf numFmtId="0" fontId="7" fillId="0" borderId="5" xfId="0" applyFont="1" applyBorder="1"/>
    <xf numFmtId="0" fontId="0" fillId="0" borderId="0" xfId="0" applyProtection="1">
      <protection locked="0"/>
    </xf>
    <xf numFmtId="0" fontId="4" fillId="2" borderId="12" xfId="0" applyFont="1" applyFill="1" applyBorder="1"/>
    <xf numFmtId="0" fontId="7" fillId="0" borderId="13" xfId="0" applyFont="1" applyBorder="1"/>
    <xf numFmtId="0" fontId="4" fillId="0" borderId="3" xfId="0" applyFont="1" applyBorder="1"/>
    <xf numFmtId="0" fontId="4" fillId="0" borderId="5" xfId="0" applyFont="1" applyBorder="1" applyAlignment="1">
      <alignment wrapText="1"/>
    </xf>
    <xf numFmtId="0" fontId="4" fillId="2" borderId="1" xfId="0" applyFont="1" applyFill="1" applyBorder="1" applyAlignment="1">
      <alignment wrapText="1"/>
    </xf>
    <xf numFmtId="0" fontId="0" fillId="0" borderId="0" xfId="0" applyAlignment="1" applyProtection="1">
      <alignment horizontal="center"/>
      <protection hidden="1"/>
    </xf>
    <xf numFmtId="0" fontId="0" fillId="0" borderId="0" xfId="0" applyProtection="1">
      <protection hidden="1"/>
    </xf>
    <xf numFmtId="0" fontId="0" fillId="0" borderId="0" xfId="0" applyAlignment="1" applyProtection="1">
      <alignment wrapText="1"/>
      <protection hidden="1"/>
    </xf>
    <xf numFmtId="0" fontId="10" fillId="0" borderId="0" xfId="0" applyFont="1" applyAlignment="1" applyProtection="1">
      <alignment vertical="center" wrapText="1"/>
      <protection hidden="1"/>
    </xf>
    <xf numFmtId="0" fontId="4" fillId="0" borderId="0" xfId="0" applyFont="1" applyAlignment="1">
      <alignment wrapText="1"/>
    </xf>
    <xf numFmtId="0" fontId="4" fillId="2" borderId="3" xfId="0" applyFont="1" applyFill="1" applyBorder="1"/>
    <xf numFmtId="0" fontId="1" fillId="0" borderId="30" xfId="0" applyFont="1" applyBorder="1" applyAlignment="1">
      <alignment horizontal="center"/>
    </xf>
    <xf numFmtId="0" fontId="1" fillId="0" borderId="29" xfId="0" applyFont="1" applyBorder="1" applyAlignment="1">
      <alignment horizontal="center"/>
    </xf>
    <xf numFmtId="0" fontId="1" fillId="0" borderId="28" xfId="0" applyFont="1" applyBorder="1" applyAlignment="1">
      <alignment horizontal="center"/>
    </xf>
    <xf numFmtId="0" fontId="1" fillId="0" borderId="11" xfId="0" applyFont="1" applyBorder="1" applyAlignment="1" applyProtection="1">
      <alignment horizontal="center"/>
      <protection hidden="1"/>
    </xf>
    <xf numFmtId="2" fontId="1" fillId="0" borderId="11" xfId="0" applyNumberFormat="1" applyFont="1" applyBorder="1" applyAlignment="1" applyProtection="1">
      <alignment horizontal="center"/>
      <protection hidden="1"/>
    </xf>
    <xf numFmtId="44" fontId="1" fillId="0" borderId="35" xfId="1" applyFont="1" applyBorder="1" applyAlignment="1" applyProtection="1">
      <alignment horizontal="center"/>
      <protection hidden="1"/>
    </xf>
    <xf numFmtId="2" fontId="0" fillId="0" borderId="0" xfId="0" applyNumberFormat="1" applyAlignment="1" applyProtection="1">
      <alignment horizontal="center"/>
      <protection hidden="1"/>
    </xf>
    <xf numFmtId="44" fontId="0" fillId="0" borderId="0" xfId="1" applyFont="1" applyBorder="1" applyAlignment="1" applyProtection="1">
      <alignment horizontal="center"/>
      <protection hidden="1"/>
    </xf>
    <xf numFmtId="0" fontId="7" fillId="0" borderId="34" xfId="0" applyFont="1" applyBorder="1"/>
    <xf numFmtId="2" fontId="15" fillId="0" borderId="0" xfId="0" applyNumberFormat="1" applyFont="1" applyAlignment="1" applyProtection="1">
      <alignment horizontal="center" vertical="center"/>
      <protection hidden="1"/>
    </xf>
    <xf numFmtId="2" fontId="11" fillId="0" borderId="10" xfId="0" applyNumberFormat="1" applyFont="1" applyBorder="1" applyAlignment="1" applyProtection="1">
      <alignment horizontal="center" vertical="center"/>
      <protection hidden="1"/>
    </xf>
    <xf numFmtId="2" fontId="0" fillId="0" borderId="0" xfId="0" applyNumberFormat="1"/>
    <xf numFmtId="44" fontId="0" fillId="0" borderId="0" xfId="1" applyFont="1" applyAlignment="1" applyProtection="1">
      <alignment horizontal="center"/>
      <protection hidden="1"/>
    </xf>
    <xf numFmtId="0" fontId="18" fillId="7" borderId="1" xfId="0" applyFont="1" applyFill="1" applyBorder="1" applyAlignment="1">
      <alignment horizontal="left"/>
    </xf>
    <xf numFmtId="0" fontId="0" fillId="2" borderId="1" xfId="0" applyFill="1" applyBorder="1" applyAlignment="1">
      <alignment horizontal="left"/>
    </xf>
    <xf numFmtId="0" fontId="0" fillId="0" borderId="40" xfId="0" applyBorder="1" applyAlignment="1">
      <alignment horizontal="left"/>
    </xf>
    <xf numFmtId="0" fontId="0" fillId="2" borderId="40" xfId="0" applyFill="1" applyBorder="1" applyAlignment="1">
      <alignment horizontal="left"/>
    </xf>
    <xf numFmtId="0" fontId="0" fillId="2" borderId="39" xfId="0" applyFill="1" applyBorder="1" applyAlignment="1">
      <alignment horizontal="left"/>
    </xf>
    <xf numFmtId="0" fontId="18" fillId="7" borderId="1" xfId="0" applyFont="1" applyFill="1" applyBorder="1"/>
    <xf numFmtId="0" fontId="0" fillId="2" borderId="1" xfId="0" applyFill="1" applyBorder="1"/>
    <xf numFmtId="0" fontId="0" fillId="0" borderId="40" xfId="0" applyBorder="1"/>
    <xf numFmtId="0" fontId="0" fillId="2" borderId="39" xfId="0" applyFill="1" applyBorder="1"/>
    <xf numFmtId="44" fontId="11" fillId="11" borderId="25" xfId="1" applyFont="1" applyFill="1" applyBorder="1" applyAlignment="1" applyProtection="1">
      <alignment horizontal="center" vertical="center"/>
      <protection hidden="1"/>
    </xf>
    <xf numFmtId="0" fontId="0" fillId="0" borderId="0" xfId="0" applyAlignment="1" applyProtection="1">
      <alignment horizontal="center" vertical="center"/>
      <protection hidden="1"/>
    </xf>
    <xf numFmtId="2" fontId="0" fillId="0" borderId="0" xfId="0" applyNumberFormat="1" applyAlignment="1" applyProtection="1">
      <alignment horizontal="center" vertical="center"/>
      <protection hidden="1"/>
    </xf>
    <xf numFmtId="44" fontId="0" fillId="0" borderId="0" xfId="1" applyFont="1" applyAlignment="1" applyProtection="1">
      <alignment horizontal="center" vertical="center"/>
      <protection hidden="1"/>
    </xf>
    <xf numFmtId="0" fontId="0" fillId="0" borderId="0" xfId="0" applyAlignment="1" applyProtection="1">
      <alignment vertical="center"/>
      <protection hidden="1"/>
    </xf>
    <xf numFmtId="0" fontId="10" fillId="0" borderId="0" xfId="0" applyFont="1" applyProtection="1">
      <protection hidden="1"/>
    </xf>
    <xf numFmtId="0" fontId="11" fillId="0" borderId="0" xfId="0" applyFont="1" applyProtection="1">
      <protection hidden="1"/>
    </xf>
    <xf numFmtId="2" fontId="11" fillId="0" borderId="0" xfId="0" applyNumberFormat="1" applyFont="1" applyProtection="1">
      <protection hidden="1"/>
    </xf>
    <xf numFmtId="0" fontId="11" fillId="0" borderId="0" xfId="0" applyFont="1" applyAlignment="1" applyProtection="1">
      <alignment vertical="center"/>
      <protection hidden="1"/>
    </xf>
    <xf numFmtId="2" fontId="11" fillId="0" borderId="0" xfId="0" applyNumberFormat="1" applyFont="1" applyAlignment="1" applyProtection="1">
      <alignment vertical="center"/>
      <protection hidden="1"/>
    </xf>
    <xf numFmtId="0" fontId="4" fillId="0" borderId="1" xfId="0" applyFont="1" applyBorder="1"/>
    <xf numFmtId="0" fontId="28" fillId="0" borderId="0" xfId="0" applyFont="1"/>
    <xf numFmtId="0" fontId="2" fillId="2" borderId="1" xfId="0" applyFont="1" applyFill="1" applyBorder="1"/>
    <xf numFmtId="0" fontId="2" fillId="2" borderId="3" xfId="0" applyFont="1" applyFill="1" applyBorder="1"/>
    <xf numFmtId="0" fontId="11" fillId="10" borderId="27" xfId="0" applyFont="1" applyFill="1" applyBorder="1" applyProtection="1">
      <protection hidden="1"/>
    </xf>
    <xf numFmtId="0" fontId="11" fillId="10" borderId="17" xfId="0" applyFont="1" applyFill="1" applyBorder="1" applyAlignment="1" applyProtection="1">
      <alignment vertical="center"/>
      <protection hidden="1"/>
    </xf>
    <xf numFmtId="0" fontId="14" fillId="3" borderId="0" xfId="2" applyFill="1" applyAlignment="1" applyProtection="1">
      <alignment horizontal="left" vertical="top"/>
    </xf>
    <xf numFmtId="2" fontId="0" fillId="3" borderId="0" xfId="0" applyNumberFormat="1" applyFill="1" applyAlignment="1" applyProtection="1">
      <alignment horizontal="center" vertical="center"/>
      <protection hidden="1"/>
    </xf>
    <xf numFmtId="0" fontId="6" fillId="12" borderId="26" xfId="0" applyFont="1" applyFill="1" applyBorder="1" applyAlignment="1" applyProtection="1">
      <alignment horizontal="left" vertical="center"/>
      <protection hidden="1"/>
    </xf>
    <xf numFmtId="0" fontId="0" fillId="12" borderId="27" xfId="0" applyFill="1" applyBorder="1" applyAlignment="1" applyProtection="1">
      <alignment horizontal="center"/>
      <protection hidden="1"/>
    </xf>
    <xf numFmtId="2" fontId="0" fillId="12" borderId="42" xfId="0" applyNumberFormat="1" applyFill="1" applyBorder="1" applyAlignment="1" applyProtection="1">
      <alignment horizontal="center"/>
      <protection hidden="1"/>
    </xf>
    <xf numFmtId="2" fontId="0" fillId="12" borderId="44" xfId="0" applyNumberFormat="1" applyFill="1" applyBorder="1" applyAlignment="1" applyProtection="1">
      <alignment horizontal="center"/>
      <protection hidden="1"/>
    </xf>
    <xf numFmtId="0" fontId="0" fillId="12" borderId="17" xfId="0" applyFill="1" applyBorder="1" applyAlignment="1" applyProtection="1">
      <alignment horizontal="center" vertical="center"/>
      <protection hidden="1"/>
    </xf>
    <xf numFmtId="2" fontId="0" fillId="12" borderId="43" xfId="0" applyNumberFormat="1" applyFill="1" applyBorder="1" applyAlignment="1" applyProtection="1">
      <alignment horizontal="center" vertical="center"/>
      <protection hidden="1"/>
    </xf>
    <xf numFmtId="0" fontId="10" fillId="9" borderId="44" xfId="0" applyFont="1" applyFill="1" applyBorder="1" applyAlignment="1" applyProtection="1">
      <alignment horizontal="left"/>
      <protection hidden="1"/>
    </xf>
    <xf numFmtId="0" fontId="10" fillId="9" borderId="17" xfId="0" applyFont="1" applyFill="1" applyBorder="1" applyAlignment="1" applyProtection="1">
      <alignment horizontal="left"/>
      <protection hidden="1"/>
    </xf>
    <xf numFmtId="0" fontId="12" fillId="0" borderId="0" xfId="0" applyFont="1"/>
    <xf numFmtId="0" fontId="0" fillId="0" borderId="0" xfId="0" applyAlignment="1">
      <alignment horizontal="center"/>
    </xf>
    <xf numFmtId="0" fontId="0" fillId="9" borderId="27" xfId="0" applyFill="1" applyBorder="1" applyAlignment="1" applyProtection="1">
      <alignment horizontal="left" indent="1"/>
      <protection hidden="1"/>
    </xf>
    <xf numFmtId="0" fontId="6" fillId="9" borderId="26" xfId="0" applyFont="1" applyFill="1" applyBorder="1" applyAlignment="1">
      <alignment horizontal="left" vertical="center" indent="1"/>
    </xf>
    <xf numFmtId="0" fontId="30" fillId="9" borderId="36" xfId="0" applyFont="1" applyFill="1" applyBorder="1" applyAlignment="1" applyProtection="1">
      <alignment horizontal="left" indent="1"/>
      <protection hidden="1"/>
    </xf>
    <xf numFmtId="0" fontId="34" fillId="9" borderId="36" xfId="0" applyFont="1" applyFill="1" applyBorder="1" applyAlignment="1" applyProtection="1">
      <alignment horizontal="left" vertical="center" indent="1"/>
      <protection hidden="1"/>
    </xf>
    <xf numFmtId="0" fontId="35" fillId="9" borderId="36" xfId="0" applyFont="1" applyFill="1" applyBorder="1" applyAlignment="1" applyProtection="1">
      <alignment horizontal="left" vertical="center" indent="1"/>
      <protection hidden="1"/>
    </xf>
    <xf numFmtId="2" fontId="0" fillId="0" borderId="0" xfId="0" applyNumberFormat="1" applyAlignment="1">
      <alignment horizontal="center" vertical="top"/>
    </xf>
    <xf numFmtId="0" fontId="10" fillId="0" borderId="0" xfId="0" applyFont="1" applyProtection="1">
      <protection locked="0"/>
    </xf>
    <xf numFmtId="0" fontId="46" fillId="0" borderId="0" xfId="0" applyFont="1" applyAlignment="1" applyProtection="1">
      <alignment horizontal="left" vertical="center"/>
      <protection locked="0"/>
    </xf>
    <xf numFmtId="2" fontId="0" fillId="0" borderId="0" xfId="0" applyNumberFormat="1" applyAlignment="1" applyProtection="1">
      <alignment horizontal="center" vertical="top"/>
      <protection hidden="1"/>
    </xf>
    <xf numFmtId="0" fontId="0" fillId="0" borderId="0" xfId="0" applyAlignment="1" applyProtection="1">
      <alignment vertical="top"/>
      <protection hidden="1"/>
    </xf>
    <xf numFmtId="0" fontId="10" fillId="0" borderId="0" xfId="0" applyFont="1" applyAlignment="1" applyProtection="1">
      <alignment horizontal="center"/>
      <protection hidden="1"/>
    </xf>
    <xf numFmtId="0" fontId="47" fillId="0" borderId="0" xfId="0" applyFont="1"/>
    <xf numFmtId="0" fontId="47" fillId="0" borderId="1" xfId="0" applyFont="1" applyBorder="1"/>
    <xf numFmtId="0" fontId="47" fillId="0" borderId="3" xfId="0" applyFont="1" applyBorder="1"/>
    <xf numFmtId="0" fontId="51" fillId="12" borderId="33" xfId="2" applyFont="1" applyFill="1" applyBorder="1" applyAlignment="1" applyProtection="1">
      <alignment horizontal="left" vertical="top"/>
    </xf>
    <xf numFmtId="0" fontId="11" fillId="10" borderId="27" xfId="0" applyFont="1" applyFill="1" applyBorder="1" applyAlignment="1" applyProtection="1">
      <alignment horizontal="left" vertical="center" indent="1"/>
      <protection hidden="1"/>
    </xf>
    <xf numFmtId="0" fontId="6" fillId="10" borderId="26" xfId="0" applyFont="1" applyFill="1" applyBorder="1" applyAlignment="1" applyProtection="1">
      <alignment horizontal="left" indent="1"/>
      <protection hidden="1"/>
    </xf>
    <xf numFmtId="0" fontId="11" fillId="10" borderId="0" xfId="0" applyFont="1" applyFill="1" applyAlignment="1" applyProtection="1">
      <alignment vertical="center"/>
      <protection hidden="1"/>
    </xf>
    <xf numFmtId="0" fontId="22" fillId="3" borderId="36" xfId="0" applyFont="1" applyFill="1" applyBorder="1" applyAlignment="1" applyProtection="1">
      <alignment horizontal="center" vertical="center"/>
      <protection hidden="1"/>
    </xf>
    <xf numFmtId="0" fontId="11" fillId="0" borderId="0" xfId="0" applyFont="1" applyAlignment="1" applyProtection="1">
      <alignment horizontal="center" vertical="center" wrapText="1"/>
      <protection hidden="1"/>
    </xf>
    <xf numFmtId="167" fontId="10" fillId="0" borderId="0" xfId="0" applyNumberFormat="1" applyFont="1" applyAlignment="1" applyProtection="1">
      <alignment horizontal="center" vertical="center"/>
      <protection hidden="1"/>
    </xf>
    <xf numFmtId="0" fontId="11" fillId="0" borderId="5" xfId="0" applyFont="1" applyBorder="1" applyAlignment="1" applyProtection="1">
      <alignment horizontal="center" vertical="center" wrapText="1"/>
      <protection hidden="1"/>
    </xf>
    <xf numFmtId="0" fontId="22" fillId="3" borderId="33" xfId="0" applyFont="1" applyFill="1" applyBorder="1" applyAlignment="1" applyProtection="1">
      <alignment horizontal="center" vertical="center"/>
      <protection hidden="1"/>
    </xf>
    <xf numFmtId="0" fontId="53" fillId="0" borderId="23" xfId="0" applyFont="1" applyBorder="1" applyAlignment="1">
      <alignment horizontal="center" wrapText="1"/>
    </xf>
    <xf numFmtId="0" fontId="0" fillId="12" borderId="0" xfId="0" applyFill="1" applyAlignment="1" applyProtection="1">
      <alignment horizontal="center"/>
      <protection hidden="1"/>
    </xf>
    <xf numFmtId="0" fontId="3" fillId="0" borderId="4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5" xfId="0" applyFont="1" applyBorder="1" applyAlignment="1">
      <alignment horizontal="center" vertical="center"/>
    </xf>
    <xf numFmtId="0" fontId="0" fillId="0" borderId="42" xfId="0" applyBorder="1"/>
    <xf numFmtId="0" fontId="11" fillId="0" borderId="26" xfId="0" applyFont="1" applyBorder="1"/>
    <xf numFmtId="0" fontId="18" fillId="7" borderId="58" xfId="0" applyFont="1" applyFill="1" applyBorder="1"/>
    <xf numFmtId="0" fontId="18" fillId="7" borderId="59" xfId="0" applyFont="1" applyFill="1" applyBorder="1"/>
    <xf numFmtId="0" fontId="0" fillId="0" borderId="58" xfId="0" applyBorder="1"/>
    <xf numFmtId="0" fontId="0" fillId="0" borderId="59" xfId="0" applyBorder="1"/>
    <xf numFmtId="0" fontId="0" fillId="0" borderId="60" xfId="0" applyBorder="1"/>
    <xf numFmtId="0" fontId="0" fillId="0" borderId="61" xfId="0" applyBorder="1"/>
    <xf numFmtId="0" fontId="11" fillId="0" borderId="5" xfId="0" applyFont="1" applyBorder="1"/>
    <xf numFmtId="0" fontId="1" fillId="0" borderId="23" xfId="0" applyFont="1" applyBorder="1" applyAlignment="1" applyProtection="1">
      <alignment horizontal="center" vertical="center" wrapText="1"/>
      <protection hidden="1"/>
    </xf>
    <xf numFmtId="0" fontId="4" fillId="2" borderId="0" xfId="0" applyFont="1" applyFill="1"/>
    <xf numFmtId="0" fontId="4" fillId="0" borderId="0" xfId="0" applyFont="1"/>
    <xf numFmtId="0" fontId="1" fillId="0" borderId="0" xfId="0" applyFont="1" applyAlignment="1">
      <alignment horizontal="center"/>
    </xf>
    <xf numFmtId="2" fontId="4" fillId="2" borderId="0" xfId="0" applyNumberFormat="1" applyFont="1" applyFill="1"/>
    <xf numFmtId="2" fontId="4" fillId="0" borderId="0" xfId="0" applyNumberFormat="1" applyFont="1"/>
    <xf numFmtId="0" fontId="1" fillId="0" borderId="17" xfId="0" applyFont="1" applyBorder="1" applyAlignment="1">
      <alignment horizontal="center"/>
    </xf>
    <xf numFmtId="0" fontId="1" fillId="0" borderId="0" xfId="0" applyFont="1"/>
    <xf numFmtId="0" fontId="1" fillId="0" borderId="0" xfId="0" applyFont="1" applyAlignment="1">
      <alignment wrapText="1"/>
    </xf>
    <xf numFmtId="2" fontId="54" fillId="6" borderId="10" xfId="0" applyNumberFormat="1" applyFont="1" applyFill="1" applyBorder="1" applyAlignment="1">
      <alignment horizontal="center" vertical="center" wrapText="1"/>
    </xf>
    <xf numFmtId="1" fontId="54" fillId="6" borderId="48" xfId="0" applyNumberFormat="1" applyFont="1" applyFill="1" applyBorder="1" applyAlignment="1">
      <alignment horizontal="center" vertical="center" wrapText="1"/>
    </xf>
    <xf numFmtId="0" fontId="11" fillId="0" borderId="25" xfId="0" applyFont="1" applyBorder="1" applyAlignment="1" applyProtection="1">
      <alignment horizontal="centerContinuous" vertical="center"/>
      <protection hidden="1"/>
    </xf>
    <xf numFmtId="0" fontId="11" fillId="0" borderId="0" xfId="0" applyFont="1" applyAlignment="1" applyProtection="1">
      <alignment horizontal="centerContinuous"/>
      <protection hidden="1"/>
    </xf>
    <xf numFmtId="0" fontId="56" fillId="0" borderId="0" xfId="0" applyFont="1" applyAlignment="1" applyProtection="1">
      <alignment horizontal="right"/>
      <protection hidden="1"/>
    </xf>
    <xf numFmtId="0" fontId="58" fillId="3" borderId="0" xfId="0" applyFont="1" applyFill="1" applyAlignment="1" applyProtection="1">
      <alignment horizontal="left"/>
      <protection hidden="1"/>
    </xf>
    <xf numFmtId="1" fontId="16" fillId="5" borderId="10" xfId="0" applyNumberFormat="1" applyFont="1" applyFill="1" applyBorder="1" applyAlignment="1" applyProtection="1">
      <alignment horizontal="center" vertical="center" wrapText="1"/>
      <protection hidden="1"/>
    </xf>
    <xf numFmtId="1" fontId="16" fillId="6" borderId="10" xfId="0" applyNumberFormat="1"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2" fontId="0" fillId="12" borderId="27" xfId="0" applyNumberFormat="1" applyFill="1" applyBorder="1" applyAlignment="1" applyProtection="1">
      <alignment horizontal="center" wrapText="1"/>
      <protection hidden="1"/>
    </xf>
    <xf numFmtId="2" fontId="0" fillId="12" borderId="0" xfId="0" applyNumberFormat="1" applyFill="1" applyAlignment="1" applyProtection="1">
      <alignment horizontal="center" wrapText="1"/>
      <protection hidden="1"/>
    </xf>
    <xf numFmtId="2" fontId="0" fillId="12" borderId="17" xfId="0" applyNumberFormat="1" applyFill="1" applyBorder="1" applyAlignment="1" applyProtection="1">
      <alignment horizontal="center" vertical="center" wrapText="1"/>
      <protection hidden="1"/>
    </xf>
    <xf numFmtId="0" fontId="0" fillId="3" borderId="0" xfId="0" applyFill="1" applyAlignment="1" applyProtection="1">
      <alignment horizontal="center" vertical="center" wrapText="1"/>
      <protection hidden="1"/>
    </xf>
    <xf numFmtId="0" fontId="1" fillId="0" borderId="11" xfId="0" applyFont="1" applyBorder="1" applyAlignment="1" applyProtection="1">
      <alignment horizontal="center" wrapText="1"/>
      <protection hidden="1"/>
    </xf>
    <xf numFmtId="0" fontId="3" fillId="0" borderId="31" xfId="0" applyFont="1" applyBorder="1" applyAlignment="1">
      <alignment horizontal="center" vertical="center" wrapText="1"/>
    </xf>
    <xf numFmtId="0" fontId="11" fillId="10" borderId="42" xfId="0" applyFont="1" applyFill="1" applyBorder="1" applyAlignment="1" applyProtection="1">
      <alignment wrapText="1"/>
      <protection hidden="1"/>
    </xf>
    <xf numFmtId="0" fontId="11" fillId="10" borderId="44" xfId="0" applyFont="1" applyFill="1" applyBorder="1" applyAlignment="1" applyProtection="1">
      <alignment wrapText="1"/>
      <protection hidden="1"/>
    </xf>
    <xf numFmtId="0" fontId="11" fillId="0" borderId="0" xfId="0" applyFont="1" applyAlignment="1" applyProtection="1">
      <alignment wrapText="1"/>
      <protection hidden="1"/>
    </xf>
    <xf numFmtId="0" fontId="11" fillId="10" borderId="27" xfId="0" applyFont="1" applyFill="1" applyBorder="1" applyAlignment="1" applyProtection="1">
      <alignment wrapText="1"/>
      <protection hidden="1"/>
    </xf>
    <xf numFmtId="0" fontId="0" fillId="0" borderId="0" xfId="0" applyAlignment="1">
      <alignment horizontal="center" wrapText="1"/>
    </xf>
    <xf numFmtId="0" fontId="0" fillId="9" borderId="27" xfId="0" applyFill="1" applyBorder="1" applyAlignment="1" applyProtection="1">
      <alignment horizontal="center" wrapText="1"/>
      <protection hidden="1"/>
    </xf>
    <xf numFmtId="0" fontId="0" fillId="0" borderId="0" xfId="0" applyAlignment="1" applyProtection="1">
      <alignment horizontal="center" vertical="center" wrapText="1"/>
      <protection hidden="1"/>
    </xf>
    <xf numFmtId="0" fontId="16" fillId="0" borderId="0" xfId="0" applyFont="1" applyAlignment="1" applyProtection="1">
      <alignment horizontal="center" vertical="center" wrapText="1"/>
      <protection hidden="1"/>
    </xf>
    <xf numFmtId="2" fontId="19" fillId="9" borderId="44" xfId="0" applyNumberFormat="1" applyFont="1" applyFill="1" applyBorder="1" applyAlignment="1" applyProtection="1">
      <alignment horizontal="left" vertical="top"/>
      <protection hidden="1"/>
    </xf>
    <xf numFmtId="0" fontId="2" fillId="0" borderId="0" xfId="0" applyFont="1" applyAlignment="1">
      <alignment horizontal="center"/>
    </xf>
    <xf numFmtId="0" fontId="47" fillId="0" borderId="0" xfId="0" applyFont="1" applyAlignment="1">
      <alignment horizontal="center"/>
    </xf>
    <xf numFmtId="2" fontId="4" fillId="0" borderId="0" xfId="0" applyNumberFormat="1" applyFont="1" applyAlignment="1">
      <alignment horizontal="center"/>
    </xf>
    <xf numFmtId="0" fontId="57" fillId="13" borderId="0" xfId="0" applyFont="1" applyFill="1" applyAlignment="1" applyProtection="1">
      <alignment horizontal="left"/>
      <protection locked="0"/>
    </xf>
    <xf numFmtId="0" fontId="8" fillId="9" borderId="27" xfId="0" applyFont="1" applyFill="1" applyBorder="1" applyAlignment="1" applyProtection="1">
      <alignment horizontal="left" wrapText="1"/>
      <protection hidden="1"/>
    </xf>
    <xf numFmtId="0" fontId="0" fillId="9" borderId="27" xfId="0" applyFill="1" applyBorder="1" applyAlignment="1" applyProtection="1">
      <alignment horizontal="left" wrapText="1"/>
      <protection hidden="1"/>
    </xf>
    <xf numFmtId="2" fontId="8" fillId="9" borderId="42" xfId="0" applyNumberFormat="1" applyFont="1" applyFill="1" applyBorder="1" applyAlignment="1" applyProtection="1">
      <alignment horizontal="left" vertical="center"/>
      <protection hidden="1"/>
    </xf>
    <xf numFmtId="2" fontId="8" fillId="9" borderId="44" xfId="0" applyNumberFormat="1" applyFont="1" applyFill="1" applyBorder="1" applyAlignment="1" applyProtection="1">
      <alignment horizontal="left" vertical="top"/>
      <protection hidden="1"/>
    </xf>
    <xf numFmtId="0" fontId="52" fillId="0" borderId="0" xfId="0" applyFont="1" applyAlignment="1" applyProtection="1">
      <alignment horizontal="left" vertical="top"/>
      <protection hidden="1"/>
    </xf>
    <xf numFmtId="0" fontId="56" fillId="0" borderId="0" xfId="0" applyFont="1" applyAlignment="1" applyProtection="1">
      <alignment horizontal="right" wrapText="1" indent="1"/>
      <protection hidden="1"/>
    </xf>
    <xf numFmtId="0" fontId="22" fillId="3" borderId="17" xfId="0" applyFont="1" applyFill="1" applyBorder="1" applyAlignment="1" applyProtection="1">
      <alignment horizontal="center" vertical="center"/>
      <protection hidden="1"/>
    </xf>
    <xf numFmtId="0" fontId="12" fillId="0" borderId="0" xfId="0" applyFont="1" applyAlignment="1" applyProtection="1">
      <alignment horizontal="centerContinuous" vertical="top"/>
      <protection hidden="1"/>
    </xf>
    <xf numFmtId="0" fontId="0" fillId="0" borderId="0" xfId="0" applyAlignment="1" applyProtection="1">
      <alignment horizontal="centerContinuous"/>
      <protection hidden="1"/>
    </xf>
    <xf numFmtId="0" fontId="22" fillId="3" borderId="27" xfId="0" applyFont="1" applyFill="1" applyBorder="1" applyAlignment="1" applyProtection="1">
      <alignment horizontal="center" vertical="center"/>
      <protection hidden="1"/>
    </xf>
    <xf numFmtId="165" fontId="64" fillId="0" borderId="11" xfId="0" applyNumberFormat="1" applyFont="1" applyBorder="1" applyAlignment="1" applyProtection="1">
      <alignment horizontal="center" vertical="center"/>
      <protection locked="0"/>
    </xf>
    <xf numFmtId="165" fontId="25" fillId="3" borderId="26" xfId="0" applyNumberFormat="1" applyFont="1" applyFill="1" applyBorder="1" applyAlignment="1" applyProtection="1">
      <alignment horizontal="center" vertical="center"/>
      <protection hidden="1"/>
    </xf>
    <xf numFmtId="165" fontId="25" fillId="3" borderId="36" xfId="0" applyNumberFormat="1" applyFont="1" applyFill="1" applyBorder="1" applyAlignment="1" applyProtection="1">
      <alignment horizontal="center" vertical="center"/>
      <protection hidden="1"/>
    </xf>
    <xf numFmtId="165" fontId="25" fillId="3" borderId="33" xfId="0" applyNumberFormat="1" applyFont="1" applyFill="1" applyBorder="1" applyAlignment="1" applyProtection="1">
      <alignment horizontal="center" vertical="center"/>
      <protection hidden="1"/>
    </xf>
    <xf numFmtId="0" fontId="11" fillId="0" borderId="0" xfId="0" applyFont="1" applyAlignment="1" applyProtection="1">
      <alignment horizontal="left" indent="1"/>
      <protection hidden="1"/>
    </xf>
    <xf numFmtId="0" fontId="49" fillId="0" borderId="0" xfId="0" applyFont="1" applyAlignment="1" applyProtection="1">
      <alignment horizontal="left" vertical="center" indent="1"/>
      <protection hidden="1"/>
    </xf>
    <xf numFmtId="0" fontId="17" fillId="0" borderId="0" xfId="0" applyFont="1" applyAlignment="1" applyProtection="1">
      <alignment horizontal="left" indent="1"/>
      <protection hidden="1"/>
    </xf>
    <xf numFmtId="0" fontId="9" fillId="0" borderId="0" xfId="0" applyFont="1" applyAlignment="1" applyProtection="1">
      <alignment horizontal="left" indent="1"/>
      <protection hidden="1"/>
    </xf>
    <xf numFmtId="0" fontId="17" fillId="0" borderId="0" xfId="0" applyFont="1" applyAlignment="1" applyProtection="1">
      <alignment horizontal="left" indent="2"/>
      <protection hidden="1"/>
    </xf>
    <xf numFmtId="0" fontId="59" fillId="0" borderId="0" xfId="0" applyFont="1" applyAlignment="1" applyProtection="1">
      <alignment vertical="center"/>
      <protection hidden="1"/>
    </xf>
    <xf numFmtId="0" fontId="15" fillId="9" borderId="10"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8" fillId="5" borderId="48" xfId="0" applyFont="1" applyFill="1" applyBorder="1" applyAlignment="1">
      <alignment horizontal="center" vertical="center" wrapText="1"/>
    </xf>
    <xf numFmtId="0" fontId="38" fillId="0" borderId="0" xfId="0" applyFont="1" applyAlignment="1" applyProtection="1">
      <alignment horizontal="centerContinuous"/>
      <protection hidden="1"/>
    </xf>
    <xf numFmtId="167" fontId="65" fillId="8" borderId="31" xfId="0" applyNumberFormat="1" applyFont="1" applyFill="1" applyBorder="1" applyAlignment="1" applyProtection="1">
      <alignment horizontal="center" vertical="center"/>
      <protection locked="0" hidden="1"/>
    </xf>
    <xf numFmtId="169" fontId="65" fillId="8" borderId="31" xfId="0" applyNumberFormat="1" applyFont="1" applyFill="1" applyBorder="1" applyAlignment="1" applyProtection="1">
      <alignment horizontal="center" vertical="center"/>
      <protection locked="0" hidden="1"/>
    </xf>
    <xf numFmtId="167" fontId="65" fillId="3" borderId="27" xfId="0" applyNumberFormat="1" applyFont="1" applyFill="1" applyBorder="1" applyAlignment="1" applyProtection="1">
      <alignment horizontal="center" vertical="center"/>
      <protection hidden="1"/>
    </xf>
    <xf numFmtId="169" fontId="65" fillId="3" borderId="27" xfId="0" applyNumberFormat="1" applyFont="1" applyFill="1" applyBorder="1" applyAlignment="1" applyProtection="1">
      <alignment horizontal="center" vertical="center"/>
      <protection hidden="1"/>
    </xf>
    <xf numFmtId="167" fontId="65" fillId="3" borderId="17" xfId="0" applyNumberFormat="1" applyFont="1" applyFill="1" applyBorder="1" applyAlignment="1" applyProtection="1">
      <alignment horizontal="center" vertical="center"/>
      <protection hidden="1"/>
    </xf>
    <xf numFmtId="169" fontId="65" fillId="3" borderId="17" xfId="0" applyNumberFormat="1" applyFont="1" applyFill="1" applyBorder="1" applyAlignment="1" applyProtection="1">
      <alignment horizontal="center" vertical="center"/>
      <protection hidden="1"/>
    </xf>
    <xf numFmtId="166" fontId="65" fillId="8" borderId="11" xfId="0" applyNumberFormat="1" applyFont="1" applyFill="1" applyBorder="1" applyAlignment="1" applyProtection="1">
      <alignment horizontal="center" vertical="center"/>
      <protection locked="0"/>
    </xf>
    <xf numFmtId="166" fontId="65" fillId="3" borderId="27" xfId="0" applyNumberFormat="1" applyFont="1" applyFill="1" applyBorder="1" applyAlignment="1" applyProtection="1">
      <alignment horizontal="center" vertical="center"/>
      <protection hidden="1"/>
    </xf>
    <xf numFmtId="166" fontId="65" fillId="3" borderId="17" xfId="0" applyNumberFormat="1" applyFont="1" applyFill="1" applyBorder="1" applyAlignment="1" applyProtection="1">
      <alignment horizontal="center" vertical="center"/>
      <protection hidden="1"/>
    </xf>
    <xf numFmtId="168" fontId="60" fillId="0" borderId="11" xfId="0" applyNumberFormat="1" applyFont="1" applyBorder="1" applyAlignment="1" applyProtection="1">
      <alignment horizontal="center" vertical="center"/>
      <protection locked="0"/>
    </xf>
    <xf numFmtId="168" fontId="60" fillId="3" borderId="27" xfId="0" applyNumberFormat="1" applyFont="1" applyFill="1" applyBorder="1" applyAlignment="1" applyProtection="1">
      <alignment horizontal="center" vertical="center"/>
      <protection hidden="1"/>
    </xf>
    <xf numFmtId="168" fontId="60" fillId="3" borderId="17" xfId="0" applyNumberFormat="1" applyFont="1" applyFill="1" applyBorder="1" applyAlignment="1" applyProtection="1">
      <alignment horizontal="center" vertical="center"/>
      <protection hidden="1"/>
    </xf>
    <xf numFmtId="0" fontId="66" fillId="9" borderId="27" xfId="0" applyFont="1" applyFill="1" applyBorder="1" applyAlignment="1" applyProtection="1">
      <alignment horizontal="left" vertical="center" indent="1"/>
      <protection hidden="1"/>
    </xf>
    <xf numFmtId="0" fontId="25" fillId="4" borderId="23" xfId="0" applyFont="1" applyFill="1" applyBorder="1" applyAlignment="1" applyProtection="1">
      <alignment horizontal="centerContinuous"/>
      <protection hidden="1"/>
    </xf>
    <xf numFmtId="0" fontId="25" fillId="4" borderId="24" xfId="0" applyFont="1" applyFill="1" applyBorder="1" applyAlignment="1" applyProtection="1">
      <alignment horizontal="centerContinuous"/>
      <protection hidden="1"/>
    </xf>
    <xf numFmtId="0" fontId="27" fillId="4" borderId="24" xfId="0" applyFont="1" applyFill="1" applyBorder="1" applyAlignment="1" applyProtection="1">
      <alignment horizontal="centerContinuous"/>
      <protection hidden="1"/>
    </xf>
    <xf numFmtId="0" fontId="25" fillId="4" borderId="25" xfId="0" applyFont="1" applyFill="1" applyBorder="1" applyAlignment="1" applyProtection="1">
      <alignment horizontal="centerContinuous" wrapText="1"/>
      <protection hidden="1"/>
    </xf>
    <xf numFmtId="0" fontId="3" fillId="3" borderId="11" xfId="0" applyFont="1" applyFill="1" applyBorder="1" applyAlignment="1">
      <alignment horizontal="center" vertical="center"/>
    </xf>
    <xf numFmtId="0" fontId="11" fillId="0" borderId="23" xfId="0" applyFont="1" applyBorder="1" applyAlignment="1" applyProtection="1">
      <alignment horizontal="centerContinuous" vertical="center" wrapText="1"/>
      <protection hidden="1"/>
    </xf>
    <xf numFmtId="0" fontId="11" fillId="3" borderId="0" xfId="0" applyFont="1" applyFill="1" applyAlignment="1" applyProtection="1">
      <alignment vertical="center"/>
      <protection hidden="1"/>
    </xf>
    <xf numFmtId="0" fontId="11" fillId="3" borderId="23" xfId="0" applyFont="1" applyFill="1" applyBorder="1" applyAlignment="1" applyProtection="1">
      <alignment horizontal="centerContinuous" vertical="center" wrapText="1"/>
      <protection hidden="1"/>
    </xf>
    <xf numFmtId="0" fontId="11" fillId="3" borderId="25" xfId="0" applyFont="1" applyFill="1" applyBorder="1" applyAlignment="1" applyProtection="1">
      <alignment horizontal="centerContinuous" vertical="center"/>
      <protection hidden="1"/>
    </xf>
    <xf numFmtId="2" fontId="11"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0" fillId="3" borderId="0" xfId="0" applyFill="1" applyAlignment="1" applyProtection="1">
      <alignment vertical="center" wrapText="1"/>
      <protection hidden="1"/>
    </xf>
    <xf numFmtId="2" fontId="0" fillId="3" borderId="0" xfId="0" applyNumberFormat="1" applyFill="1" applyAlignment="1" applyProtection="1">
      <alignment vertical="center"/>
      <protection hidden="1"/>
    </xf>
    <xf numFmtId="0" fontId="38" fillId="3" borderId="0" xfId="0" applyFont="1" applyFill="1" applyAlignment="1" applyProtection="1">
      <alignment horizontal="centerContinuous" vertical="center"/>
      <protection hidden="1"/>
    </xf>
    <xf numFmtId="0" fontId="11" fillId="3" borderId="0" xfId="0" applyFont="1" applyFill="1" applyAlignment="1" applyProtection="1">
      <alignment horizontal="left" vertical="center"/>
      <protection hidden="1"/>
    </xf>
    <xf numFmtId="0" fontId="25" fillId="3" borderId="0" xfId="0" applyFont="1" applyFill="1" applyAlignment="1" applyProtection="1">
      <alignment vertical="center"/>
      <protection hidden="1"/>
    </xf>
    <xf numFmtId="0" fontId="27" fillId="3" borderId="0" xfId="0" applyFont="1" applyFill="1" applyAlignment="1" applyProtection="1">
      <alignment vertical="center"/>
      <protection hidden="1"/>
    </xf>
    <xf numFmtId="0" fontId="57" fillId="3" borderId="0" xfId="0" applyFont="1" applyFill="1" applyAlignment="1" applyProtection="1">
      <alignment horizontal="left" vertical="center" indent="1"/>
      <protection hidden="1"/>
    </xf>
    <xf numFmtId="165" fontId="60" fillId="0" borderId="0" xfId="0" applyNumberFormat="1" applyFont="1" applyAlignment="1" applyProtection="1">
      <alignment horizontal="center" vertical="center"/>
      <protection hidden="1"/>
    </xf>
    <xf numFmtId="168" fontId="60" fillId="0" borderId="0" xfId="0" applyNumberFormat="1" applyFont="1" applyAlignment="1" applyProtection="1">
      <alignment horizontal="center" vertical="center"/>
      <protection hidden="1"/>
    </xf>
    <xf numFmtId="166" fontId="60" fillId="0" borderId="0" xfId="0" applyNumberFormat="1" applyFont="1" applyAlignment="1" applyProtection="1">
      <alignment horizontal="center" vertical="center"/>
      <protection hidden="1"/>
    </xf>
    <xf numFmtId="167" fontId="60" fillId="0" borderId="0" xfId="0" applyNumberFormat="1" applyFont="1" applyAlignment="1" applyProtection="1">
      <alignment horizontal="center" vertical="center"/>
      <protection hidden="1"/>
    </xf>
    <xf numFmtId="169" fontId="60" fillId="0" borderId="0" xfId="0" applyNumberFormat="1" applyFont="1" applyAlignment="1" applyProtection="1">
      <alignment horizontal="center" vertical="center"/>
      <protection hidden="1"/>
    </xf>
    <xf numFmtId="2" fontId="60" fillId="0" borderId="0" xfId="0" applyNumberFormat="1" applyFont="1" applyAlignment="1" applyProtection="1">
      <alignment horizontal="center" vertical="center"/>
      <protection hidden="1"/>
    </xf>
    <xf numFmtId="0" fontId="8" fillId="0" borderId="31" xfId="0" applyFont="1" applyBorder="1" applyAlignment="1">
      <alignment horizontal="center" vertical="center" wrapText="1"/>
    </xf>
    <xf numFmtId="0" fontId="0" fillId="3" borderId="0" xfId="0" applyFill="1" applyAlignment="1" applyProtection="1">
      <alignment horizontal="center" vertical="center"/>
      <protection hidden="1"/>
    </xf>
    <xf numFmtId="0" fontId="25" fillId="3" borderId="0" xfId="0" applyFont="1" applyFill="1" applyAlignment="1" applyProtection="1">
      <alignment horizontal="center" vertical="center" wrapText="1"/>
      <protection hidden="1"/>
    </xf>
    <xf numFmtId="0" fontId="12" fillId="3" borderId="0" xfId="0" applyFont="1" applyFill="1" applyAlignment="1" applyProtection="1">
      <alignment vertical="center"/>
      <protection hidden="1"/>
    </xf>
    <xf numFmtId="0" fontId="0" fillId="3" borderId="0" xfId="0" applyFill="1" applyAlignment="1" applyProtection="1">
      <alignment horizontal="left" vertical="center" wrapText="1"/>
      <protection hidden="1"/>
    </xf>
    <xf numFmtId="2" fontId="8" fillId="3" borderId="0" xfId="0" applyNumberFormat="1" applyFont="1" applyFill="1" applyAlignment="1" applyProtection="1">
      <alignment horizontal="left" vertical="center"/>
      <protection hidden="1"/>
    </xf>
    <xf numFmtId="0" fontId="49" fillId="3" borderId="0" xfId="0" applyFont="1" applyFill="1" applyAlignment="1" applyProtection="1">
      <alignment horizontal="center" vertical="center" wrapText="1"/>
      <protection hidden="1"/>
    </xf>
    <xf numFmtId="0" fontId="16" fillId="3" borderId="23" xfId="0" applyFont="1" applyFill="1" applyBorder="1" applyAlignment="1" applyProtection="1">
      <alignment horizontal="center" vertical="center" wrapText="1"/>
      <protection hidden="1"/>
    </xf>
    <xf numFmtId="0" fontId="16" fillId="3" borderId="5" xfId="0" applyFont="1" applyFill="1" applyBorder="1" applyAlignment="1" applyProtection="1">
      <alignment horizontal="center" vertical="center" wrapText="1"/>
      <protection hidden="1"/>
    </xf>
    <xf numFmtId="0" fontId="59" fillId="3" borderId="0" xfId="0" applyFont="1" applyFill="1" applyAlignment="1" applyProtection="1">
      <alignment vertical="center"/>
      <protection hidden="1"/>
    </xf>
    <xf numFmtId="0" fontId="12" fillId="3" borderId="0" xfId="0" applyFont="1" applyFill="1" applyAlignment="1" applyProtection="1">
      <alignment horizontal="centerContinuous" vertical="center"/>
      <protection hidden="1"/>
    </xf>
    <xf numFmtId="0" fontId="19" fillId="3" borderId="0" xfId="0" applyFont="1" applyFill="1" applyAlignment="1" applyProtection="1">
      <alignment horizontal="left" vertical="center"/>
      <protection hidden="1"/>
    </xf>
    <xf numFmtId="2" fontId="19" fillId="3" borderId="0" xfId="0" applyNumberFormat="1" applyFont="1" applyFill="1" applyAlignment="1" applyProtection="1">
      <alignment horizontal="left" vertical="center"/>
      <protection hidden="1"/>
    </xf>
    <xf numFmtId="0" fontId="16" fillId="3" borderId="0" xfId="0" applyFont="1" applyFill="1" applyAlignment="1" applyProtection="1">
      <alignment horizontal="center" vertical="center" wrapText="1"/>
      <protection hidden="1"/>
    </xf>
    <xf numFmtId="0" fontId="23" fillId="3" borderId="0" xfId="0" applyFont="1" applyFill="1" applyAlignment="1" applyProtection="1">
      <alignment horizontal="left" vertical="center"/>
      <protection hidden="1"/>
    </xf>
    <xf numFmtId="0" fontId="10" fillId="3" borderId="0" xfId="0" applyFont="1" applyFill="1" applyAlignment="1" applyProtection="1">
      <alignment horizontal="left" vertical="center"/>
      <protection hidden="1"/>
    </xf>
    <xf numFmtId="0" fontId="25" fillId="3" borderId="0" xfId="0" applyFont="1" applyFill="1" applyAlignment="1" applyProtection="1">
      <alignment horizontal="center" vertical="center"/>
      <protection hidden="1"/>
    </xf>
    <xf numFmtId="167" fontId="26" fillId="3" borderId="0" xfId="0" applyNumberFormat="1" applyFont="1" applyFill="1" applyAlignment="1" applyProtection="1">
      <alignment horizontal="center" vertical="center"/>
      <protection hidden="1"/>
    </xf>
    <xf numFmtId="0" fontId="10" fillId="0" borderId="0" xfId="0" applyFont="1" applyAlignment="1" applyProtection="1">
      <alignment vertical="center"/>
      <protection hidden="1"/>
    </xf>
    <xf numFmtId="0" fontId="33" fillId="3" borderId="0" xfId="0" applyFont="1" applyFill="1" applyAlignment="1" applyProtection="1">
      <alignment horizontal="left" vertical="center"/>
      <protection hidden="1"/>
    </xf>
    <xf numFmtId="0" fontId="10" fillId="3" borderId="0" xfId="0" applyFont="1" applyFill="1" applyAlignment="1" applyProtection="1">
      <alignment horizontal="center" vertical="center" wrapText="1"/>
      <protection hidden="1"/>
    </xf>
    <xf numFmtId="2" fontId="10" fillId="3" borderId="0" xfId="0" applyNumberFormat="1" applyFont="1" applyFill="1" applyAlignment="1" applyProtection="1">
      <alignment horizontal="left" vertical="center"/>
      <protection hidden="1"/>
    </xf>
    <xf numFmtId="0" fontId="10" fillId="3" borderId="0" xfId="0" applyFont="1" applyFill="1" applyAlignment="1" applyProtection="1">
      <alignment vertical="center"/>
      <protection hidden="1"/>
    </xf>
    <xf numFmtId="0" fontId="10" fillId="3" borderId="0" xfId="0" applyFont="1" applyFill="1" applyAlignment="1" applyProtection="1">
      <alignment vertical="center" wrapText="1"/>
      <protection hidden="1"/>
    </xf>
    <xf numFmtId="0" fontId="52" fillId="3" borderId="0" xfId="0" applyFont="1" applyFill="1" applyAlignment="1" applyProtection="1">
      <alignment horizontal="left" vertical="center"/>
      <protection hidden="1"/>
    </xf>
    <xf numFmtId="0" fontId="26" fillId="3" borderId="0" xfId="0" applyFont="1" applyFill="1" applyAlignment="1" applyProtection="1">
      <alignment vertical="center" wrapText="1"/>
      <protection hidden="1"/>
    </xf>
    <xf numFmtId="0" fontId="50" fillId="0" borderId="10" xfId="0" applyFont="1" applyBorder="1" applyAlignment="1" applyProtection="1">
      <alignment horizontal="center" vertical="center" wrapText="1"/>
      <protection hidden="1"/>
    </xf>
    <xf numFmtId="0" fontId="3" fillId="0" borderId="11"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47" xfId="0" applyFont="1" applyBorder="1" applyAlignment="1" applyProtection="1">
      <alignment horizontal="center" vertical="center" wrapText="1"/>
      <protection hidden="1"/>
    </xf>
    <xf numFmtId="0" fontId="3" fillId="0" borderId="31" xfId="0" applyFont="1" applyBorder="1" applyAlignment="1" applyProtection="1">
      <alignment horizontal="center" vertical="center" wrapText="1"/>
      <protection hidden="1"/>
    </xf>
    <xf numFmtId="0" fontId="8" fillId="0" borderId="31" xfId="0" applyFont="1" applyBorder="1" applyAlignment="1" applyProtection="1">
      <alignment horizontal="center" vertical="center"/>
      <protection hidden="1"/>
    </xf>
    <xf numFmtId="2" fontId="3" fillId="0" borderId="5" xfId="0" applyNumberFormat="1" applyFont="1" applyBorder="1" applyAlignment="1" applyProtection="1">
      <alignment horizontal="center" vertical="center" wrapText="1"/>
      <protection hidden="1"/>
    </xf>
    <xf numFmtId="0" fontId="67" fillId="0" borderId="0" xfId="0" applyFont="1" applyAlignment="1" applyProtection="1">
      <alignment horizontal="center" vertical="center" wrapText="1"/>
      <protection hidden="1"/>
    </xf>
    <xf numFmtId="0" fontId="42" fillId="0" borderId="0" xfId="0" applyFont="1" applyAlignment="1" applyProtection="1">
      <alignment horizontal="center" vertical="center" wrapText="1"/>
      <protection hidden="1"/>
    </xf>
    <xf numFmtId="0" fontId="42" fillId="3" borderId="0" xfId="0" applyFont="1" applyFill="1" applyAlignment="1" applyProtection="1">
      <alignment horizontal="center" vertical="center"/>
      <protection hidden="1"/>
    </xf>
    <xf numFmtId="0" fontId="42" fillId="0" borderId="0" xfId="0" applyFont="1" applyAlignment="1" applyProtection="1">
      <alignment horizontal="center" vertical="center"/>
      <protection hidden="1"/>
    </xf>
    <xf numFmtId="0" fontId="69" fillId="3" borderId="0" xfId="0" applyFont="1" applyFill="1" applyAlignment="1" applyProtection="1">
      <alignment horizontal="center" vertical="center" wrapText="1"/>
      <protection hidden="1"/>
    </xf>
    <xf numFmtId="0" fontId="64" fillId="0" borderId="0" xfId="0" applyFont="1" applyAlignment="1" applyProtection="1">
      <alignment horizontal="left" vertical="center" wrapText="1"/>
      <protection hidden="1"/>
    </xf>
    <xf numFmtId="0" fontId="42" fillId="3" borderId="0" xfId="0" applyFont="1" applyFill="1" applyAlignment="1" applyProtection="1">
      <alignment horizontal="center" vertical="center" wrapText="1"/>
      <protection hidden="1"/>
    </xf>
    <xf numFmtId="0" fontId="68" fillId="0" borderId="0" xfId="0" applyFont="1" applyAlignment="1" applyProtection="1">
      <alignment horizontal="center" vertical="center"/>
      <protection hidden="1"/>
    </xf>
    <xf numFmtId="164" fontId="61" fillId="0" borderId="0" xfId="0" applyNumberFormat="1" applyFont="1" applyAlignment="1" applyProtection="1">
      <alignment horizontal="center" vertical="center"/>
      <protection hidden="1"/>
    </xf>
    <xf numFmtId="0" fontId="25" fillId="0" borderId="0" xfId="0" applyFont="1" applyAlignment="1" applyProtection="1">
      <alignment horizontal="left" vertical="center" wrapText="1"/>
      <protection hidden="1"/>
    </xf>
    <xf numFmtId="2" fontId="60" fillId="3" borderId="0" xfId="0" applyNumberFormat="1" applyFont="1" applyFill="1" applyAlignment="1" applyProtection="1">
      <alignment horizontal="center" vertical="center"/>
      <protection hidden="1"/>
    </xf>
    <xf numFmtId="169" fontId="60" fillId="3" borderId="0" xfId="0" applyNumberFormat="1" applyFont="1" applyFill="1" applyAlignment="1" applyProtection="1">
      <alignment horizontal="center" vertical="center"/>
      <protection hidden="1"/>
    </xf>
    <xf numFmtId="164" fontId="63" fillId="0" borderId="0" xfId="0" applyNumberFormat="1" applyFont="1" applyAlignment="1" applyProtection="1">
      <alignment horizontal="center" vertical="center"/>
      <protection hidden="1"/>
    </xf>
    <xf numFmtId="2" fontId="12" fillId="0" borderId="0" xfId="0" applyNumberFormat="1" applyFont="1" applyAlignment="1" applyProtection="1">
      <alignment vertical="center"/>
      <protection hidden="1"/>
    </xf>
    <xf numFmtId="0" fontId="12" fillId="0" borderId="0" xfId="0" applyFont="1" applyAlignment="1" applyProtection="1">
      <alignment vertical="center"/>
      <protection hidden="1"/>
    </xf>
    <xf numFmtId="165" fontId="60" fillId="0" borderId="11" xfId="0" applyNumberFormat="1" applyFont="1" applyBorder="1" applyAlignment="1" applyProtection="1">
      <alignment horizontal="center" vertical="center"/>
      <protection locked="0"/>
    </xf>
    <xf numFmtId="0" fontId="12" fillId="0" borderId="0" xfId="0" applyFont="1" applyAlignment="1">
      <alignment horizontal="left"/>
    </xf>
    <xf numFmtId="0" fontId="12" fillId="0" borderId="0" xfId="0" applyFont="1" applyAlignment="1">
      <alignment horizontal="center"/>
    </xf>
    <xf numFmtId="0" fontId="12" fillId="0" borderId="0" xfId="0" applyFont="1" applyAlignment="1">
      <alignment horizontal="right"/>
    </xf>
    <xf numFmtId="0" fontId="0" fillId="0" borderId="44" xfId="0" applyBorder="1"/>
    <xf numFmtId="0" fontId="0" fillId="0" borderId="36" xfId="0" applyBorder="1"/>
    <xf numFmtId="0" fontId="12" fillId="2" borderId="66" xfId="0" applyFont="1" applyFill="1" applyBorder="1"/>
    <xf numFmtId="0" fontId="12" fillId="2" borderId="67" xfId="0" applyFont="1" applyFill="1" applyBorder="1" applyAlignment="1">
      <alignment horizontal="right"/>
    </xf>
    <xf numFmtId="0" fontId="12" fillId="0" borderId="68" xfId="0" applyFont="1" applyBorder="1"/>
    <xf numFmtId="0" fontId="12" fillId="0" borderId="69" xfId="0" applyFont="1" applyBorder="1" applyAlignment="1">
      <alignment horizontal="right"/>
    </xf>
    <xf numFmtId="0" fontId="12" fillId="2" borderId="68" xfId="0" applyFont="1" applyFill="1" applyBorder="1"/>
    <xf numFmtId="0" fontId="12" fillId="2" borderId="69" xfId="0" applyFont="1" applyFill="1" applyBorder="1" applyAlignment="1">
      <alignment horizontal="right"/>
    </xf>
    <xf numFmtId="0" fontId="12" fillId="0" borderId="70" xfId="0" applyFont="1" applyBorder="1"/>
    <xf numFmtId="0" fontId="12" fillId="0" borderId="71" xfId="0" applyFont="1" applyBorder="1" applyAlignment="1">
      <alignment horizontal="right"/>
    </xf>
    <xf numFmtId="0" fontId="70" fillId="0" borderId="7" xfId="0" applyFont="1" applyBorder="1" applyAlignment="1">
      <alignment vertical="center"/>
    </xf>
    <xf numFmtId="0" fontId="0" fillId="0" borderId="57" xfId="0" applyBorder="1"/>
    <xf numFmtId="2" fontId="12" fillId="3" borderId="0" xfId="0" applyNumberFormat="1" applyFont="1" applyFill="1" applyAlignment="1" applyProtection="1">
      <alignment horizontal="center" vertical="center"/>
      <protection hidden="1"/>
    </xf>
    <xf numFmtId="0" fontId="66" fillId="3" borderId="0" xfId="0" applyFont="1" applyFill="1" applyAlignment="1" applyProtection="1">
      <alignment horizontal="left" vertical="center"/>
      <protection hidden="1"/>
    </xf>
    <xf numFmtId="0" fontId="8" fillId="3" borderId="0" xfId="0" applyFont="1" applyFill="1" applyAlignment="1" applyProtection="1">
      <alignment horizontal="left" vertical="center" wrapText="1"/>
      <protection hidden="1"/>
    </xf>
    <xf numFmtId="0" fontId="30" fillId="3" borderId="0" xfId="0" applyFont="1" applyFill="1" applyAlignment="1" applyProtection="1">
      <alignment horizontal="left" vertical="center"/>
      <protection hidden="1"/>
    </xf>
    <xf numFmtId="0" fontId="34" fillId="3" borderId="0" xfId="0" applyFont="1" applyFill="1" applyAlignment="1" applyProtection="1">
      <alignment horizontal="left" vertical="center"/>
      <protection hidden="1"/>
    </xf>
    <xf numFmtId="0" fontId="32" fillId="3" borderId="0" xfId="0" applyFont="1" applyFill="1" applyAlignment="1" applyProtection="1">
      <alignment horizontal="left" vertical="center"/>
      <protection hidden="1"/>
    </xf>
    <xf numFmtId="0" fontId="24" fillId="3" borderId="0" xfId="0" applyFont="1" applyFill="1" applyAlignment="1" applyProtection="1">
      <alignment horizontal="left" vertical="center" wrapText="1"/>
      <protection hidden="1"/>
    </xf>
    <xf numFmtId="0" fontId="32" fillId="3" borderId="0" xfId="0" applyFont="1" applyFill="1" applyAlignment="1" applyProtection="1">
      <alignment horizontal="left" vertical="top"/>
      <protection hidden="1"/>
    </xf>
    <xf numFmtId="0" fontId="15" fillId="3" borderId="0" xfId="0" applyFont="1" applyFill="1" applyAlignment="1" applyProtection="1">
      <alignment horizontal="left" vertical="center" indent="3"/>
      <protection hidden="1"/>
    </xf>
    <xf numFmtId="0" fontId="8" fillId="3" borderId="0" xfId="0" applyFont="1" applyFill="1" applyAlignment="1" applyProtection="1">
      <alignment vertical="center"/>
      <protection hidden="1"/>
    </xf>
    <xf numFmtId="0" fontId="11" fillId="3" borderId="0" xfId="0" applyFont="1" applyFill="1" applyAlignment="1" applyProtection="1">
      <alignment vertical="center" wrapText="1"/>
      <protection hidden="1"/>
    </xf>
    <xf numFmtId="0" fontId="8" fillId="3" borderId="0" xfId="0" applyFont="1" applyFill="1" applyAlignment="1" applyProtection="1">
      <alignment horizontal="left" vertical="top" indent="3"/>
      <protection hidden="1"/>
    </xf>
    <xf numFmtId="0" fontId="71" fillId="10" borderId="23" xfId="0" applyFont="1" applyFill="1" applyBorder="1" applyAlignment="1" applyProtection="1">
      <alignment horizontal="centerContinuous" vertical="center"/>
      <protection hidden="1"/>
    </xf>
    <xf numFmtId="0" fontId="11" fillId="10" borderId="23" xfId="0" applyFont="1" applyFill="1" applyBorder="1" applyAlignment="1" applyProtection="1">
      <alignment horizontal="centerContinuous" vertical="center"/>
      <protection hidden="1"/>
    </xf>
    <xf numFmtId="0" fontId="11" fillId="10" borderId="25" xfId="0" applyFont="1" applyFill="1" applyBorder="1" applyAlignment="1" applyProtection="1">
      <alignment horizontal="centerContinuous" vertical="center" wrapText="1"/>
      <protection hidden="1"/>
    </xf>
    <xf numFmtId="0" fontId="71" fillId="9" borderId="23" xfId="0" applyFont="1" applyFill="1" applyBorder="1" applyAlignment="1" applyProtection="1">
      <alignment horizontal="centerContinuous" vertical="center"/>
      <protection hidden="1"/>
    </xf>
    <xf numFmtId="0" fontId="0" fillId="9" borderId="24" xfId="0" applyFill="1" applyBorder="1" applyAlignment="1" applyProtection="1">
      <alignment horizontal="centerContinuous" vertical="center"/>
      <protection hidden="1"/>
    </xf>
    <xf numFmtId="0" fontId="0" fillId="9" borderId="25" xfId="0" applyFill="1" applyBorder="1" applyAlignment="1" applyProtection="1">
      <alignment horizontal="centerContinuous" vertical="center" wrapText="1"/>
      <protection hidden="1"/>
    </xf>
    <xf numFmtId="0" fontId="56" fillId="3" borderId="0" xfId="0" applyFont="1" applyFill="1" applyAlignment="1" applyProtection="1">
      <alignment horizontal="right" vertical="center"/>
      <protection hidden="1"/>
    </xf>
    <xf numFmtId="0" fontId="0" fillId="0" borderId="0" xfId="0" applyAlignment="1" applyProtection="1">
      <alignment horizontal="centerContinuous" vertical="center"/>
      <protection hidden="1"/>
    </xf>
    <xf numFmtId="0" fontId="10" fillId="0" borderId="0" xfId="0" applyFont="1" applyAlignment="1" applyProtection="1">
      <alignment horizontal="centerContinuous" vertical="center"/>
      <protection hidden="1"/>
    </xf>
    <xf numFmtId="0" fontId="64" fillId="0" borderId="31" xfId="0" applyFont="1" applyBorder="1" applyAlignment="1" applyProtection="1">
      <alignment horizontal="center" vertical="center"/>
      <protection locked="0" hidden="1"/>
    </xf>
    <xf numFmtId="0" fontId="60" fillId="0" borderId="31" xfId="0" applyFont="1" applyBorder="1" applyAlignment="1" applyProtection="1">
      <alignment horizontal="center" vertical="center"/>
      <protection locked="0" hidden="1"/>
    </xf>
    <xf numFmtId="0" fontId="60" fillId="3" borderId="31" xfId="0" applyFont="1" applyFill="1" applyBorder="1" applyAlignment="1" applyProtection="1">
      <alignment horizontal="center" vertical="center"/>
      <protection locked="0" hidden="1"/>
    </xf>
    <xf numFmtId="0" fontId="22" fillId="0" borderId="36" xfId="0" applyFont="1" applyBorder="1" applyProtection="1">
      <protection hidden="1"/>
    </xf>
    <xf numFmtId="0" fontId="22" fillId="0" borderId="33" xfId="0" applyFont="1" applyBorder="1" applyProtection="1">
      <protection hidden="1"/>
    </xf>
    <xf numFmtId="0" fontId="25" fillId="0" borderId="14" xfId="0" applyFont="1" applyBorder="1" applyAlignment="1" applyProtection="1">
      <alignment horizontal="left" vertical="center"/>
      <protection locked="0"/>
    </xf>
    <xf numFmtId="0" fontId="25" fillId="0" borderId="41" xfId="0" applyFont="1" applyBorder="1" applyAlignment="1" applyProtection="1">
      <alignment horizontal="left" vertical="center"/>
      <protection locked="0"/>
    </xf>
    <xf numFmtId="0" fontId="60" fillId="0" borderId="14" xfId="0" applyFont="1" applyBorder="1" applyAlignment="1" applyProtection="1">
      <alignment horizontal="left" vertical="center"/>
      <protection locked="0"/>
    </xf>
    <xf numFmtId="0" fontId="25" fillId="0" borderId="32" xfId="0" applyFont="1" applyBorder="1" applyAlignment="1" applyProtection="1">
      <alignment horizontal="left" vertical="center"/>
      <protection locked="0"/>
    </xf>
    <xf numFmtId="0" fontId="60" fillId="0" borderId="37" xfId="0" applyFont="1" applyBorder="1" applyAlignment="1" applyProtection="1">
      <alignment horizontal="left" vertical="center"/>
      <protection locked="0"/>
    </xf>
    <xf numFmtId="0" fontId="60" fillId="0" borderId="13" xfId="0" applyFont="1" applyBorder="1" applyAlignment="1" applyProtection="1">
      <alignment horizontal="left" vertical="center"/>
      <protection locked="0"/>
    </xf>
    <xf numFmtId="0" fontId="11" fillId="0" borderId="0" xfId="0" applyFont="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3" fillId="0" borderId="1" xfId="0" applyFont="1" applyBorder="1" applyAlignment="1">
      <alignment horizontal="left" vertical="center" wrapText="1"/>
    </xf>
    <xf numFmtId="2" fontId="0" fillId="0" borderId="0" xfId="0" applyNumberFormat="1" applyAlignment="1">
      <alignment wrapText="1"/>
    </xf>
    <xf numFmtId="0" fontId="22" fillId="3" borderId="27" xfId="0" applyFont="1" applyFill="1" applyBorder="1" applyAlignment="1" applyProtection="1">
      <alignment horizontal="center" vertical="center" wrapText="1"/>
      <protection hidden="1"/>
    </xf>
    <xf numFmtId="0" fontId="22" fillId="3" borderId="17" xfId="0" applyFont="1" applyFill="1" applyBorder="1" applyAlignment="1" applyProtection="1">
      <alignment horizontal="center" vertical="center" wrapText="1"/>
      <protection hidden="1"/>
    </xf>
    <xf numFmtId="0" fontId="68" fillId="3" borderId="10" xfId="0" applyFont="1" applyFill="1" applyBorder="1" applyAlignment="1" applyProtection="1">
      <alignment horizontal="center" vertical="center"/>
      <protection hidden="1"/>
    </xf>
    <xf numFmtId="0" fontId="12" fillId="3" borderId="47" xfId="0" applyFont="1" applyFill="1" applyBorder="1" applyAlignment="1" applyProtection="1">
      <alignment horizontal="center" vertical="center"/>
      <protection locked="0"/>
    </xf>
    <xf numFmtId="0" fontId="12" fillId="3" borderId="11" xfId="0" applyFont="1" applyFill="1" applyBorder="1" applyAlignment="1" applyProtection="1">
      <alignment horizontal="center" vertical="center" wrapText="1"/>
      <protection locked="0"/>
    </xf>
    <xf numFmtId="0" fontId="12" fillId="3" borderId="11" xfId="0" applyFont="1" applyFill="1" applyBorder="1" applyAlignment="1" applyProtection="1">
      <alignment horizontal="center" vertical="center"/>
      <protection locked="0"/>
    </xf>
    <xf numFmtId="164" fontId="72" fillId="3" borderId="11" xfId="0" applyNumberFormat="1" applyFont="1" applyFill="1" applyBorder="1" applyAlignment="1" applyProtection="1">
      <alignment horizontal="center" vertical="center"/>
      <protection hidden="1"/>
    </xf>
    <xf numFmtId="0" fontId="0" fillId="0" borderId="18" xfId="0" applyBorder="1" applyAlignment="1" applyProtection="1">
      <alignment horizontal="left" vertical="center"/>
      <protection locked="0"/>
    </xf>
    <xf numFmtId="0" fontId="0" fillId="0" borderId="14" xfId="0" applyBorder="1" applyAlignment="1" applyProtection="1">
      <alignment horizontal="center" vertical="center"/>
      <protection locked="0"/>
    </xf>
    <xf numFmtId="2" fontId="73" fillId="8" borderId="62" xfId="0" applyNumberFormat="1" applyFont="1" applyFill="1" applyBorder="1" applyAlignment="1" applyProtection="1">
      <alignment horizontal="center" vertical="center"/>
      <protection locked="0" hidden="1"/>
    </xf>
    <xf numFmtId="169" fontId="73" fillId="8" borderId="62" xfId="0" applyNumberFormat="1" applyFont="1" applyFill="1" applyBorder="1" applyAlignment="1" applyProtection="1">
      <alignment horizontal="center" vertical="center"/>
      <protection locked="0" hidden="1"/>
    </xf>
    <xf numFmtId="0" fontId="37" fillId="3" borderId="36" xfId="0" applyFont="1" applyFill="1" applyBorder="1" applyAlignment="1" applyProtection="1">
      <alignment horizontal="center" vertical="center"/>
      <protection hidden="1"/>
    </xf>
    <xf numFmtId="0" fontId="0" fillId="0" borderId="7" xfId="0" applyBorder="1" applyAlignment="1" applyProtection="1">
      <alignment horizontal="left" vertical="center"/>
      <protection locked="0"/>
    </xf>
    <xf numFmtId="0" fontId="0" fillId="0" borderId="6" xfId="0" applyBorder="1" applyAlignment="1" applyProtection="1">
      <alignment horizontal="center" vertical="center"/>
      <protection locked="0"/>
    </xf>
    <xf numFmtId="2" fontId="73" fillId="8" borderId="6" xfId="0" applyNumberFormat="1" applyFont="1" applyFill="1" applyBorder="1" applyAlignment="1" applyProtection="1">
      <alignment horizontal="center" vertical="center"/>
      <protection locked="0" hidden="1"/>
    </xf>
    <xf numFmtId="169" fontId="73" fillId="8" borderId="6" xfId="0" applyNumberFormat="1" applyFont="1" applyFill="1" applyBorder="1" applyAlignment="1" applyProtection="1">
      <alignment horizontal="center" vertical="center"/>
      <protection locked="0" hidden="1"/>
    </xf>
    <xf numFmtId="0" fontId="0" fillId="0" borderId="15" xfId="0" applyBorder="1" applyAlignment="1" applyProtection="1">
      <alignment horizontal="left" vertical="center"/>
      <protection locked="0"/>
    </xf>
    <xf numFmtId="0" fontId="0" fillId="0" borderId="16" xfId="0" applyBorder="1" applyAlignment="1" applyProtection="1">
      <alignment horizontal="center" vertical="center"/>
      <protection locked="0"/>
    </xf>
    <xf numFmtId="2" fontId="73" fillId="8" borderId="28" xfId="0" applyNumberFormat="1" applyFont="1" applyFill="1" applyBorder="1" applyAlignment="1" applyProtection="1">
      <alignment horizontal="center" vertical="center"/>
      <protection locked="0" hidden="1"/>
    </xf>
    <xf numFmtId="169" fontId="73" fillId="8" borderId="28" xfId="0" applyNumberFormat="1" applyFont="1" applyFill="1" applyBorder="1" applyAlignment="1" applyProtection="1">
      <alignment horizontal="center" vertical="center"/>
      <protection locked="0" hidden="1"/>
    </xf>
    <xf numFmtId="0" fontId="0" fillId="0" borderId="8" xfId="0" applyBorder="1" applyAlignment="1" applyProtection="1">
      <alignment horizontal="left" vertical="center"/>
      <protection locked="0"/>
    </xf>
    <xf numFmtId="0" fontId="0" fillId="0" borderId="9" xfId="0" applyBorder="1" applyAlignment="1" applyProtection="1">
      <alignment horizontal="center" vertical="center"/>
      <protection locked="0"/>
    </xf>
    <xf numFmtId="0" fontId="37" fillId="3" borderId="33" xfId="0" applyFont="1" applyFill="1" applyBorder="1" applyAlignment="1" applyProtection="1">
      <alignment horizontal="center" vertical="center"/>
      <protection hidden="1"/>
    </xf>
    <xf numFmtId="0" fontId="18" fillId="3" borderId="36" xfId="0" applyFont="1" applyFill="1" applyBorder="1" applyAlignment="1" applyProtection="1">
      <alignment horizontal="center" vertical="center"/>
      <protection hidden="1"/>
    </xf>
    <xf numFmtId="0" fontId="18" fillId="3" borderId="33" xfId="0" applyFont="1" applyFill="1" applyBorder="1" applyAlignment="1" applyProtection="1">
      <alignment horizontal="center" vertical="center"/>
      <protection hidden="1"/>
    </xf>
    <xf numFmtId="0" fontId="37" fillId="3" borderId="17" xfId="0" applyFont="1" applyFill="1" applyBorder="1" applyAlignment="1" applyProtection="1">
      <alignment horizontal="center" vertical="center"/>
      <protection hidden="1"/>
    </xf>
    <xf numFmtId="0" fontId="37" fillId="3" borderId="17" xfId="0" applyFont="1" applyFill="1" applyBorder="1" applyAlignment="1" applyProtection="1">
      <alignment horizontal="center" vertical="center" wrapText="1"/>
      <protection hidden="1"/>
    </xf>
    <xf numFmtId="164" fontId="74" fillId="3" borderId="17" xfId="0" applyNumberFormat="1" applyFont="1" applyFill="1" applyBorder="1" applyAlignment="1" applyProtection="1">
      <alignment horizontal="center" vertical="center"/>
      <protection hidden="1"/>
    </xf>
    <xf numFmtId="2" fontId="73" fillId="8" borderId="64" xfId="0" applyNumberFormat="1" applyFont="1" applyFill="1" applyBorder="1" applyAlignment="1" applyProtection="1">
      <alignment horizontal="center" vertical="center"/>
      <protection locked="0" hidden="1"/>
    </xf>
    <xf numFmtId="169" fontId="73" fillId="8" borderId="64" xfId="0" applyNumberFormat="1" applyFont="1" applyFill="1" applyBorder="1" applyAlignment="1" applyProtection="1">
      <alignment horizontal="center" vertical="center"/>
      <protection locked="0" hidden="1"/>
    </xf>
    <xf numFmtId="0" fontId="62" fillId="0" borderId="13" xfId="0" applyFont="1" applyBorder="1" applyAlignment="1" applyProtection="1">
      <alignment horizontal="left" vertical="center"/>
      <protection hidden="1"/>
    </xf>
    <xf numFmtId="0" fontId="62" fillId="0" borderId="37" xfId="0" applyFont="1" applyBorder="1" applyAlignment="1" applyProtection="1">
      <alignment horizontal="left" vertical="center"/>
      <protection hidden="1"/>
    </xf>
    <xf numFmtId="0" fontId="62" fillId="0" borderId="32" xfId="0" applyFont="1" applyBorder="1" applyAlignment="1" applyProtection="1">
      <alignment horizontal="left" vertical="center"/>
      <protection hidden="1"/>
    </xf>
    <xf numFmtId="0" fontId="3" fillId="0" borderId="0" xfId="0" applyFont="1" applyAlignment="1">
      <alignment horizontal="center" vertical="center"/>
    </xf>
    <xf numFmtId="0" fontId="60" fillId="0" borderId="0" xfId="0" applyFont="1" applyAlignment="1" applyProtection="1">
      <alignment vertical="center"/>
      <protection hidden="1"/>
    </xf>
    <xf numFmtId="0" fontId="3" fillId="0" borderId="26" xfId="0" applyFont="1" applyBorder="1" applyAlignment="1">
      <alignment horizontal="left" vertical="center" indent="1"/>
    </xf>
    <xf numFmtId="0" fontId="52" fillId="0" borderId="13" xfId="0" applyFont="1" applyBorder="1" applyAlignment="1" applyProtection="1">
      <alignment horizontal="left" vertical="center"/>
      <protection hidden="1"/>
    </xf>
    <xf numFmtId="0" fontId="52" fillId="0" borderId="37" xfId="0" applyFont="1" applyBorder="1" applyAlignment="1" applyProtection="1">
      <alignment horizontal="left" vertical="center"/>
      <protection hidden="1"/>
    </xf>
    <xf numFmtId="0" fontId="52" fillId="0" borderId="32" xfId="0" applyFont="1" applyBorder="1" applyAlignment="1" applyProtection="1">
      <alignment horizontal="left" vertical="center"/>
      <protection hidden="1"/>
    </xf>
    <xf numFmtId="0" fontId="3" fillId="0" borderId="31" xfId="0" applyFont="1" applyBorder="1" applyAlignment="1">
      <alignment horizontal="right" vertical="center"/>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vertical="top"/>
    </xf>
    <xf numFmtId="0" fontId="0" fillId="0" borderId="0" xfId="0" applyAlignment="1">
      <alignment vertical="top" wrapText="1"/>
    </xf>
    <xf numFmtId="0" fontId="11" fillId="0" borderId="0" xfId="0" applyFont="1" applyAlignment="1">
      <alignment horizontal="left" vertical="top"/>
    </xf>
    <xf numFmtId="0" fontId="0" fillId="0" borderId="6" xfId="0" applyBorder="1"/>
    <xf numFmtId="0" fontId="60" fillId="3" borderId="0" xfId="0" applyFont="1" applyFill="1" applyAlignment="1" applyProtection="1">
      <alignment horizontal="center" vertical="center"/>
      <protection locked="0"/>
    </xf>
    <xf numFmtId="0" fontId="12" fillId="0" borderId="0" xfId="0" applyFont="1" applyProtection="1">
      <protection hidden="1"/>
    </xf>
    <xf numFmtId="0" fontId="16" fillId="0" borderId="0" xfId="0" applyFont="1" applyProtection="1">
      <protection hidden="1"/>
    </xf>
    <xf numFmtId="0" fontId="3" fillId="3" borderId="47" xfId="0" applyFont="1" applyFill="1" applyBorder="1" applyAlignment="1">
      <alignment horizontal="left" vertical="center" wrapText="1"/>
    </xf>
    <xf numFmtId="0" fontId="38" fillId="0" borderId="0" xfId="0" applyFont="1" applyAlignment="1" applyProtection="1">
      <alignment vertical="top"/>
      <protection hidden="1"/>
    </xf>
    <xf numFmtId="0" fontId="70" fillId="0" borderId="7" xfId="0" applyFont="1" applyBorder="1"/>
    <xf numFmtId="0" fontId="70" fillId="0" borderId="7" xfId="0" applyFont="1" applyBorder="1" applyAlignment="1">
      <alignment wrapText="1"/>
    </xf>
    <xf numFmtId="0" fontId="11" fillId="0" borderId="52" xfId="0" applyFont="1" applyBorder="1"/>
    <xf numFmtId="0" fontId="11" fillId="0" borderId="53" xfId="0" applyFont="1" applyBorder="1"/>
    <xf numFmtId="0" fontId="70" fillId="0" borderId="54" xfId="0" applyFont="1" applyBorder="1"/>
    <xf numFmtId="0" fontId="0" fillId="0" borderId="14" xfId="0" applyBorder="1"/>
    <xf numFmtId="0" fontId="0" fillId="0" borderId="46" xfId="0" applyBorder="1"/>
    <xf numFmtId="0" fontId="0" fillId="0" borderId="9" xfId="0" applyBorder="1"/>
    <xf numFmtId="0" fontId="70" fillId="0" borderId="15" xfId="0" applyFont="1" applyBorder="1" applyAlignment="1">
      <alignment vertical="center"/>
    </xf>
    <xf numFmtId="0" fontId="0" fillId="0" borderId="16" xfId="0" applyBorder="1"/>
    <xf numFmtId="0" fontId="0" fillId="0" borderId="74" xfId="0" applyBorder="1"/>
    <xf numFmtId="0" fontId="70" fillId="0" borderId="8" xfId="0" applyFont="1" applyBorder="1"/>
    <xf numFmtId="0" fontId="0" fillId="0" borderId="72" xfId="0" applyBorder="1"/>
    <xf numFmtId="0" fontId="38" fillId="0" borderId="0" xfId="0" applyFont="1" applyAlignment="1" applyProtection="1">
      <alignment vertical="top" wrapText="1"/>
      <protection hidden="1"/>
    </xf>
    <xf numFmtId="2" fontId="38" fillId="0" borderId="0" xfId="0" applyNumberFormat="1" applyFont="1" applyAlignment="1" applyProtection="1">
      <alignment vertical="top"/>
      <protection hidden="1"/>
    </xf>
    <xf numFmtId="0" fontId="39" fillId="0" borderId="0" xfId="0" applyFont="1" applyAlignment="1" applyProtection="1">
      <alignment horizontal="left" vertical="top" wrapText="1"/>
      <protection hidden="1"/>
    </xf>
    <xf numFmtId="0" fontId="31" fillId="0" borderId="0" xfId="0" applyFont="1" applyAlignment="1" applyProtection="1">
      <alignment vertical="top"/>
      <protection hidden="1"/>
    </xf>
    <xf numFmtId="0" fontId="9" fillId="3" borderId="0" xfId="0" applyFont="1" applyFill="1" applyAlignment="1" applyProtection="1">
      <alignment horizontal="center"/>
      <protection hidden="1"/>
    </xf>
    <xf numFmtId="0" fontId="77" fillId="0" borderId="0" xfId="0" applyFont="1" applyAlignment="1" applyProtection="1">
      <alignment horizontal="left" vertical="top"/>
      <protection hidden="1"/>
    </xf>
    <xf numFmtId="0" fontId="33" fillId="9" borderId="33" xfId="0" applyFont="1" applyFill="1" applyBorder="1" applyAlignment="1" applyProtection="1">
      <alignment horizontal="left" vertical="center" indent="1"/>
      <protection hidden="1"/>
    </xf>
    <xf numFmtId="0" fontId="10" fillId="9" borderId="17" xfId="0" applyFont="1" applyFill="1" applyBorder="1" applyAlignment="1" applyProtection="1">
      <alignment horizontal="left" wrapText="1"/>
      <protection hidden="1"/>
    </xf>
    <xf numFmtId="0" fontId="10" fillId="9" borderId="43" xfId="0" applyFont="1" applyFill="1" applyBorder="1" applyAlignment="1" applyProtection="1">
      <alignment horizontal="left"/>
      <protection hidden="1"/>
    </xf>
    <xf numFmtId="0" fontId="11" fillId="10" borderId="17" xfId="0" applyFont="1" applyFill="1" applyBorder="1" applyProtection="1">
      <protection hidden="1"/>
    </xf>
    <xf numFmtId="0" fontId="12" fillId="3" borderId="0" xfId="0" applyFont="1" applyFill="1" applyAlignment="1" applyProtection="1">
      <alignment horizontal="left" vertical="center"/>
      <protection hidden="1"/>
    </xf>
    <xf numFmtId="0" fontId="38" fillId="0" borderId="0" xfId="0" applyFont="1" applyAlignment="1">
      <alignment vertical="top"/>
    </xf>
    <xf numFmtId="0" fontId="11" fillId="0" borderId="23" xfId="0" applyFont="1" applyBorder="1"/>
    <xf numFmtId="0" fontId="38" fillId="9" borderId="6" xfId="0" applyFont="1" applyFill="1" applyBorder="1" applyAlignment="1">
      <alignment horizontal="left" wrapText="1"/>
    </xf>
    <xf numFmtId="0" fontId="38" fillId="14" borderId="6" xfId="0" applyFont="1" applyFill="1" applyBorder="1" applyAlignment="1">
      <alignment horizontal="left" wrapText="1"/>
    </xf>
    <xf numFmtId="0" fontId="31" fillId="13" borderId="6" xfId="0" applyFont="1" applyFill="1" applyBorder="1" applyAlignment="1">
      <alignment horizontal="left" wrapText="1"/>
    </xf>
    <xf numFmtId="0" fontId="38" fillId="9" borderId="30" xfId="0" applyFont="1" applyFill="1" applyBorder="1" applyAlignment="1">
      <alignment horizontal="left" wrapText="1"/>
    </xf>
    <xf numFmtId="0" fontId="0" fillId="0" borderId="73" xfId="0" quotePrefix="1" applyBorder="1"/>
    <xf numFmtId="0" fontId="29" fillId="0" borderId="7" xfId="0" quotePrefix="1" applyFont="1" applyBorder="1"/>
    <xf numFmtId="0" fontId="0" fillId="0" borderId="7" xfId="0" quotePrefix="1" applyBorder="1"/>
    <xf numFmtId="0" fontId="12" fillId="0" borderId="7" xfId="0" applyFont="1" applyBorder="1"/>
    <xf numFmtId="0" fontId="0" fillId="0" borderId="7" xfId="0" applyBorder="1"/>
    <xf numFmtId="0" fontId="0" fillId="3" borderId="7" xfId="0" applyFill="1" applyBorder="1"/>
    <xf numFmtId="0" fontId="12" fillId="0" borderId="7" xfId="0" quotePrefix="1" applyFont="1" applyBorder="1"/>
    <xf numFmtId="0" fontId="38" fillId="9" borderId="9" xfId="0" applyFont="1" applyFill="1" applyBorder="1" applyAlignment="1">
      <alignment horizontal="left" wrapText="1"/>
    </xf>
    <xf numFmtId="2" fontId="78" fillId="0" borderId="0" xfId="0" applyNumberFormat="1" applyFont="1" applyAlignment="1" applyProtection="1">
      <alignment horizontal="left" vertical="center"/>
      <protection locked="0"/>
    </xf>
    <xf numFmtId="0" fontId="12" fillId="0" borderId="0" xfId="0" applyFont="1" applyAlignment="1" applyProtection="1">
      <alignment horizontal="left" vertical="center" wrapText="1"/>
      <protection locked="0"/>
    </xf>
    <xf numFmtId="0" fontId="12" fillId="0" borderId="0" xfId="0" applyFont="1" applyAlignment="1" applyProtection="1">
      <alignment horizontal="left" vertical="top" wrapText="1"/>
      <protection locked="0"/>
    </xf>
    <xf numFmtId="0" fontId="12" fillId="0" borderId="44" xfId="0" applyFont="1" applyBorder="1" applyAlignment="1" applyProtection="1">
      <alignment horizontal="left" vertical="center" wrapText="1"/>
      <protection locked="0"/>
    </xf>
    <xf numFmtId="2" fontId="12" fillId="0" borderId="0" xfId="0" applyNumberFormat="1" applyFont="1" applyAlignment="1" applyProtection="1">
      <alignment horizontal="center" vertical="center" wrapText="1"/>
      <protection locked="0"/>
    </xf>
    <xf numFmtId="2" fontId="12" fillId="0" borderId="0" xfId="0" applyNumberFormat="1" applyFont="1" applyAlignment="1" applyProtection="1">
      <alignment horizontal="left" vertical="center" wrapText="1"/>
      <protection locked="0"/>
    </xf>
    <xf numFmtId="0" fontId="2" fillId="5" borderId="3" xfId="0" applyFont="1" applyFill="1" applyBorder="1" applyAlignment="1" applyProtection="1">
      <alignment horizontal="left" vertical="top" wrapText="1"/>
      <protection locked="0"/>
    </xf>
    <xf numFmtId="0" fontId="12" fillId="5" borderId="3" xfId="0" applyFont="1" applyFill="1" applyBorder="1" applyAlignment="1" applyProtection="1">
      <alignment horizontal="left" vertical="top" wrapText="1"/>
      <protection locked="0"/>
    </xf>
    <xf numFmtId="0" fontId="12" fillId="5" borderId="41" xfId="0" applyFont="1" applyFill="1" applyBorder="1" applyAlignment="1" applyProtection="1">
      <alignment horizontal="left" vertical="top" wrapText="1"/>
      <protection locked="0"/>
    </xf>
    <xf numFmtId="0" fontId="3" fillId="4" borderId="13" xfId="0" applyFont="1" applyFill="1" applyBorder="1" applyAlignment="1" applyProtection="1">
      <alignment horizontal="center" vertical="center"/>
      <protection locked="0"/>
    </xf>
    <xf numFmtId="0" fontId="11" fillId="10" borderId="0" xfId="0" applyFont="1" applyFill="1" applyProtection="1">
      <protection hidden="1"/>
    </xf>
    <xf numFmtId="0" fontId="11" fillId="10" borderId="0" xfId="0" applyFont="1" applyFill="1" applyAlignment="1" applyProtection="1">
      <alignment wrapText="1"/>
      <protection hidden="1"/>
    </xf>
    <xf numFmtId="0" fontId="11" fillId="10" borderId="0" xfId="0" applyFont="1" applyFill="1" applyAlignment="1" applyProtection="1">
      <alignment vertical="center" wrapText="1"/>
      <protection hidden="1"/>
    </xf>
    <xf numFmtId="0" fontId="53" fillId="0" borderId="0" xfId="0" applyFont="1" applyAlignment="1">
      <alignment horizontal="center" wrapText="1"/>
    </xf>
    <xf numFmtId="0" fontId="1" fillId="0" borderId="0" xfId="0" applyFont="1" applyAlignment="1" applyProtection="1">
      <alignment horizontal="center"/>
      <protection hidden="1"/>
    </xf>
    <xf numFmtId="44" fontId="1" fillId="0" borderId="0" xfId="1" applyFont="1" applyBorder="1" applyAlignment="1" applyProtection="1">
      <alignment horizontal="center"/>
      <protection hidden="1"/>
    </xf>
    <xf numFmtId="0" fontId="11" fillId="10" borderId="0" xfId="0" applyFont="1" applyFill="1" applyAlignment="1" applyProtection="1">
      <alignment horizontal="left" vertical="top" indent="1"/>
      <protection hidden="1"/>
    </xf>
    <xf numFmtId="0" fontId="11" fillId="10" borderId="43" xfId="0" applyFont="1" applyFill="1" applyBorder="1" applyAlignment="1" applyProtection="1">
      <alignment vertical="center" wrapText="1"/>
      <protection hidden="1"/>
    </xf>
    <xf numFmtId="0" fontId="12" fillId="10" borderId="36" xfId="0" applyFont="1" applyFill="1" applyBorder="1" applyAlignment="1" applyProtection="1">
      <alignment horizontal="left" indent="1"/>
      <protection hidden="1"/>
    </xf>
    <xf numFmtId="0" fontId="0" fillId="10" borderId="33" xfId="0" applyFill="1" applyBorder="1" applyAlignment="1">
      <alignment horizontal="left" vertical="top" indent="1"/>
    </xf>
    <xf numFmtId="0" fontId="33" fillId="9" borderId="0" xfId="0" applyFont="1" applyFill="1" applyAlignment="1" applyProtection="1">
      <alignment horizontal="left" vertical="center" indent="2"/>
      <protection hidden="1"/>
    </xf>
    <xf numFmtId="0" fontId="0" fillId="9" borderId="0" xfId="0" applyFill="1" applyAlignment="1" applyProtection="1">
      <alignment horizontal="center" wrapText="1"/>
      <protection hidden="1"/>
    </xf>
    <xf numFmtId="2" fontId="8" fillId="9" borderId="0" xfId="0" applyNumberFormat="1" applyFont="1" applyFill="1" applyAlignment="1" applyProtection="1">
      <alignment horizontal="left" vertical="top" indent="1"/>
      <protection hidden="1"/>
    </xf>
    <xf numFmtId="0" fontId="8" fillId="9" borderId="0" xfId="0" applyFont="1" applyFill="1" applyAlignment="1" applyProtection="1">
      <alignment horizontal="left" wrapText="1"/>
      <protection hidden="1"/>
    </xf>
    <xf numFmtId="0" fontId="0" fillId="9" borderId="0" xfId="0" applyFill="1" applyAlignment="1" applyProtection="1">
      <alignment horizontal="left" wrapText="1"/>
      <protection hidden="1"/>
    </xf>
    <xf numFmtId="0" fontId="24" fillId="9" borderId="0" xfId="0" applyFont="1" applyFill="1" applyAlignment="1" applyProtection="1">
      <alignment horizontal="left" vertical="top" wrapText="1"/>
      <protection hidden="1"/>
    </xf>
    <xf numFmtId="2" fontId="19" fillId="9" borderId="0" xfId="0" applyNumberFormat="1" applyFont="1" applyFill="1" applyAlignment="1" applyProtection="1">
      <alignment horizontal="left" vertical="top"/>
      <protection hidden="1"/>
    </xf>
    <xf numFmtId="0" fontId="19" fillId="9" borderId="0" xfId="0" applyFont="1" applyFill="1" applyAlignment="1" applyProtection="1">
      <alignment horizontal="left"/>
      <protection hidden="1"/>
    </xf>
    <xf numFmtId="0" fontId="10" fillId="9" borderId="0" xfId="0" applyFont="1" applyFill="1" applyAlignment="1" applyProtection="1">
      <alignment horizontal="left" wrapText="1"/>
      <protection hidden="1"/>
    </xf>
    <xf numFmtId="0" fontId="10" fillId="9" borderId="0" xfId="0" applyFont="1" applyFill="1" applyAlignment="1" applyProtection="1">
      <alignment horizontal="left"/>
      <protection hidden="1"/>
    </xf>
    <xf numFmtId="0" fontId="23" fillId="9" borderId="0" xfId="0" applyFont="1" applyFill="1" applyAlignment="1" applyProtection="1">
      <alignment horizontal="left"/>
      <protection hidden="1"/>
    </xf>
    <xf numFmtId="0" fontId="26" fillId="9" borderId="0" xfId="0" applyFont="1" applyFill="1" applyAlignment="1" applyProtection="1">
      <alignment horizontal="left" vertical="center"/>
      <protection hidden="1"/>
    </xf>
    <xf numFmtId="0" fontId="26" fillId="9" borderId="17" xfId="0" applyFont="1" applyFill="1" applyBorder="1" applyAlignment="1" applyProtection="1">
      <alignment horizontal="left" vertical="top"/>
      <protection hidden="1"/>
    </xf>
    <xf numFmtId="0" fontId="0" fillId="0" borderId="15" xfId="0" applyBorder="1"/>
    <xf numFmtId="0" fontId="38" fillId="9" borderId="16" xfId="0" applyFont="1" applyFill="1" applyBorder="1" applyAlignment="1">
      <alignment horizontal="left" wrapText="1"/>
    </xf>
    <xf numFmtId="0" fontId="0" fillId="0" borderId="8" xfId="0" applyBorder="1"/>
    <xf numFmtId="2" fontId="25" fillId="3" borderId="0" xfId="0" applyNumberFormat="1" applyFont="1" applyFill="1" applyAlignment="1" applyProtection="1">
      <alignment horizontal="center" vertical="center"/>
      <protection hidden="1"/>
    </xf>
    <xf numFmtId="2" fontId="25" fillId="3" borderId="17" xfId="0" applyNumberFormat="1" applyFont="1" applyFill="1" applyBorder="1" applyAlignment="1" applyProtection="1">
      <alignment horizontal="center" vertical="center"/>
      <protection hidden="1"/>
    </xf>
    <xf numFmtId="0" fontId="50" fillId="0" borderId="23" xfId="0" applyFont="1" applyBorder="1" applyAlignment="1">
      <alignment horizontal="center" vertical="center" wrapText="1"/>
    </xf>
    <xf numFmtId="0" fontId="48" fillId="3" borderId="23" xfId="0" applyFont="1" applyFill="1" applyBorder="1" applyAlignment="1" applyProtection="1">
      <alignment horizontal="center" vertical="center"/>
      <protection hidden="1"/>
    </xf>
    <xf numFmtId="0" fontId="22" fillId="3" borderId="0" xfId="0" applyFont="1" applyFill="1" applyAlignment="1" applyProtection="1">
      <alignment horizontal="center" vertical="center" wrapText="1"/>
      <protection hidden="1"/>
    </xf>
    <xf numFmtId="0" fontId="22" fillId="3" borderId="0" xfId="0" applyFont="1" applyFill="1" applyAlignment="1" applyProtection="1">
      <alignment horizontal="center" vertical="center"/>
      <protection hidden="1"/>
    </xf>
    <xf numFmtId="168" fontId="60" fillId="3" borderId="0" xfId="0" applyNumberFormat="1" applyFont="1" applyFill="1" applyAlignment="1" applyProtection="1">
      <alignment horizontal="center" vertical="center"/>
      <protection hidden="1"/>
    </xf>
    <xf numFmtId="166" fontId="65" fillId="3" borderId="0" xfId="0" applyNumberFormat="1" applyFont="1" applyFill="1" applyAlignment="1" applyProtection="1">
      <alignment horizontal="center" vertical="center"/>
      <protection hidden="1"/>
    </xf>
    <xf numFmtId="167" fontId="65" fillId="3" borderId="0" xfId="0" applyNumberFormat="1" applyFont="1" applyFill="1" applyAlignment="1" applyProtection="1">
      <alignment horizontal="center" vertical="center"/>
      <protection hidden="1"/>
    </xf>
    <xf numFmtId="169" fontId="65" fillId="3" borderId="0" xfId="0" applyNumberFormat="1" applyFont="1" applyFill="1" applyAlignment="1" applyProtection="1">
      <alignment horizontal="center" vertical="center"/>
      <protection hidden="1"/>
    </xf>
    <xf numFmtId="0" fontId="60" fillId="3" borderId="47" xfId="0" applyFont="1" applyFill="1" applyBorder="1" applyAlignment="1" applyProtection="1">
      <alignment horizontal="center" vertical="center" wrapText="1"/>
      <protection locked="0" hidden="1"/>
    </xf>
    <xf numFmtId="49" fontId="64" fillId="0" borderId="11" xfId="0" applyNumberFormat="1" applyFont="1" applyBorder="1" applyAlignment="1" applyProtection="1">
      <alignment horizontal="center" vertical="center"/>
      <protection locked="0" hidden="1"/>
    </xf>
    <xf numFmtId="0" fontId="3" fillId="0" borderId="53" xfId="0" applyFont="1" applyBorder="1" applyAlignment="1">
      <alignment horizontal="center" vertical="center" wrapText="1"/>
    </xf>
    <xf numFmtId="49" fontId="60" fillId="3" borderId="11" xfId="0" applyNumberFormat="1" applyFont="1" applyFill="1" applyBorder="1" applyAlignment="1" applyProtection="1">
      <alignment horizontal="center" vertical="center"/>
      <protection locked="0" hidden="1"/>
    </xf>
    <xf numFmtId="49" fontId="60" fillId="0" borderId="11" xfId="0" applyNumberFormat="1" applyFont="1" applyBorder="1" applyAlignment="1" applyProtection="1">
      <alignment horizontal="center" vertical="center"/>
      <protection locked="0" hidden="1"/>
    </xf>
    <xf numFmtId="170" fontId="10" fillId="9" borderId="25" xfId="0" applyNumberFormat="1" applyFont="1" applyFill="1" applyBorder="1" applyAlignment="1">
      <alignment horizontal="center" vertical="center"/>
    </xf>
    <xf numFmtId="170" fontId="10" fillId="5" borderId="25" xfId="0" applyNumberFormat="1" applyFont="1" applyFill="1" applyBorder="1" applyAlignment="1">
      <alignment horizontal="center" vertical="center"/>
    </xf>
    <xf numFmtId="170" fontId="10" fillId="5" borderId="43" xfId="0" applyNumberFormat="1" applyFont="1" applyFill="1" applyBorder="1" applyAlignment="1" applyProtection="1">
      <alignment horizontal="center" vertical="center"/>
      <protection hidden="1"/>
    </xf>
    <xf numFmtId="170" fontId="0" fillId="0" borderId="19" xfId="0" applyNumberFormat="1" applyBorder="1" applyAlignment="1" applyProtection="1">
      <alignment horizontal="center" vertical="center"/>
      <protection locked="0"/>
    </xf>
    <xf numFmtId="170" fontId="0" fillId="0" borderId="20" xfId="0" applyNumberFormat="1" applyBorder="1" applyAlignment="1" applyProtection="1">
      <alignment horizontal="center" vertical="center"/>
      <protection locked="0"/>
    </xf>
    <xf numFmtId="170" fontId="0" fillId="0" borderId="21" xfId="0" applyNumberFormat="1" applyBorder="1" applyAlignment="1" applyProtection="1">
      <alignment horizontal="center" vertical="center"/>
      <protection locked="0"/>
    </xf>
    <xf numFmtId="170" fontId="0" fillId="0" borderId="22" xfId="0" applyNumberFormat="1" applyBorder="1" applyAlignment="1" applyProtection="1">
      <alignment horizontal="center" vertical="center"/>
      <protection locked="0"/>
    </xf>
    <xf numFmtId="170" fontId="12" fillId="0" borderId="25" xfId="0" applyNumberFormat="1" applyFont="1" applyBorder="1" applyAlignment="1" applyProtection="1">
      <alignment horizontal="center" vertical="center"/>
      <protection hidden="1"/>
    </xf>
    <xf numFmtId="170" fontId="65" fillId="8" borderId="31" xfId="0" applyNumberFormat="1" applyFont="1" applyFill="1" applyBorder="1" applyAlignment="1" applyProtection="1">
      <alignment horizontal="center" vertical="center"/>
      <protection locked="0"/>
    </xf>
    <xf numFmtId="170" fontId="65" fillId="3" borderId="27" xfId="0" applyNumberFormat="1" applyFont="1" applyFill="1" applyBorder="1" applyAlignment="1" applyProtection="1">
      <alignment horizontal="center" vertical="center"/>
      <protection hidden="1"/>
    </xf>
    <xf numFmtId="170" fontId="65" fillId="3" borderId="0" xfId="0" applyNumberFormat="1" applyFont="1" applyFill="1" applyAlignment="1" applyProtection="1">
      <alignment horizontal="center" vertical="center"/>
      <protection hidden="1"/>
    </xf>
    <xf numFmtId="170" fontId="65" fillId="3" borderId="17" xfId="0" applyNumberFormat="1" applyFont="1" applyFill="1" applyBorder="1" applyAlignment="1" applyProtection="1">
      <alignment horizontal="center" vertical="center"/>
      <protection hidden="1"/>
    </xf>
    <xf numFmtId="170" fontId="42" fillId="3" borderId="0" xfId="0" applyNumberFormat="1" applyFont="1" applyFill="1" applyAlignment="1" applyProtection="1">
      <alignment horizontal="center" vertical="center" wrapText="1"/>
      <protection hidden="1"/>
    </xf>
    <xf numFmtId="170" fontId="25" fillId="3" borderId="0" xfId="0" applyNumberFormat="1" applyFont="1" applyFill="1" applyAlignment="1" applyProtection="1">
      <alignment horizontal="center" vertical="center"/>
      <protection hidden="1"/>
    </xf>
    <xf numFmtId="170" fontId="0" fillId="3" borderId="0" xfId="0" applyNumberFormat="1" applyFill="1" applyAlignment="1" applyProtection="1">
      <alignment vertical="center"/>
      <protection hidden="1"/>
    </xf>
    <xf numFmtId="170" fontId="10" fillId="9" borderId="25" xfId="0" applyNumberFormat="1" applyFont="1" applyFill="1" applyBorder="1" applyAlignment="1" applyProtection="1">
      <alignment horizontal="center" vertical="center"/>
      <protection hidden="1"/>
    </xf>
    <xf numFmtId="170" fontId="10" fillId="5" borderId="25" xfId="0" applyNumberFormat="1" applyFont="1" applyFill="1" applyBorder="1" applyAlignment="1" applyProtection="1">
      <alignment horizontal="center" vertical="center"/>
      <protection hidden="1"/>
    </xf>
    <xf numFmtId="170" fontId="0" fillId="0" borderId="0" xfId="0" applyNumberFormat="1" applyAlignment="1" applyProtection="1">
      <alignment vertical="center"/>
      <protection hidden="1"/>
    </xf>
    <xf numFmtId="170" fontId="60" fillId="0" borderId="0" xfId="0" applyNumberFormat="1" applyFont="1" applyAlignment="1" applyProtection="1">
      <alignment horizontal="center" vertical="center"/>
      <protection hidden="1"/>
    </xf>
    <xf numFmtId="170" fontId="12" fillId="0" borderId="0" xfId="0" applyNumberFormat="1" applyFont="1" applyAlignment="1" applyProtection="1">
      <alignment vertical="center"/>
      <protection hidden="1"/>
    </xf>
    <xf numFmtId="170" fontId="12" fillId="3" borderId="25" xfId="0" applyNumberFormat="1" applyFont="1" applyFill="1" applyBorder="1" applyAlignment="1" applyProtection="1">
      <alignment horizontal="center" vertical="center"/>
      <protection hidden="1"/>
    </xf>
    <xf numFmtId="171" fontId="65" fillId="8" borderId="31" xfId="0" applyNumberFormat="1" applyFont="1" applyFill="1" applyBorder="1" applyAlignment="1" applyProtection="1">
      <alignment horizontal="center" vertical="center"/>
      <protection hidden="1"/>
    </xf>
    <xf numFmtId="171" fontId="65" fillId="3" borderId="27" xfId="0" applyNumberFormat="1" applyFont="1" applyFill="1" applyBorder="1" applyAlignment="1" applyProtection="1">
      <alignment horizontal="center" vertical="center"/>
      <protection hidden="1"/>
    </xf>
    <xf numFmtId="171" fontId="65" fillId="3" borderId="0" xfId="0" applyNumberFormat="1" applyFont="1" applyFill="1" applyAlignment="1" applyProtection="1">
      <alignment horizontal="center" vertical="center"/>
      <protection hidden="1"/>
    </xf>
    <xf numFmtId="171" fontId="65" fillId="3" borderId="17" xfId="0" applyNumberFormat="1" applyFont="1" applyFill="1" applyBorder="1" applyAlignment="1" applyProtection="1">
      <alignment horizontal="center" vertical="center"/>
      <protection hidden="1"/>
    </xf>
    <xf numFmtId="171" fontId="73" fillId="8" borderId="53" xfId="0" applyNumberFormat="1" applyFont="1" applyFill="1" applyBorder="1" applyAlignment="1" applyProtection="1">
      <alignment horizontal="center" vertical="center"/>
      <protection hidden="1"/>
    </xf>
    <xf numFmtId="171" fontId="73" fillId="8" borderId="57" xfId="0" applyNumberFormat="1" applyFont="1" applyFill="1" applyBorder="1" applyAlignment="1" applyProtection="1">
      <alignment horizontal="center" vertical="center"/>
      <protection hidden="1"/>
    </xf>
    <xf numFmtId="171" fontId="73" fillId="8" borderId="63" xfId="0" applyNumberFormat="1" applyFont="1" applyFill="1" applyBorder="1" applyAlignment="1" applyProtection="1">
      <alignment horizontal="center" vertical="center"/>
      <protection hidden="1"/>
    </xf>
    <xf numFmtId="171" fontId="73" fillId="8" borderId="65" xfId="0" applyNumberFormat="1" applyFont="1" applyFill="1" applyBorder="1" applyAlignment="1" applyProtection="1">
      <alignment horizontal="center" vertical="center"/>
      <protection hidden="1"/>
    </xf>
    <xf numFmtId="172" fontId="12" fillId="3" borderId="11" xfId="0" applyNumberFormat="1" applyFont="1" applyFill="1" applyBorder="1" applyAlignment="1" applyProtection="1">
      <alignment horizontal="center" vertical="center"/>
      <protection locked="0"/>
    </xf>
    <xf numFmtId="172" fontId="37" fillId="3" borderId="17" xfId="0" applyNumberFormat="1" applyFont="1" applyFill="1" applyBorder="1" applyAlignment="1" applyProtection="1">
      <alignment horizontal="center" vertical="center"/>
      <protection hidden="1"/>
    </xf>
    <xf numFmtId="171" fontId="26" fillId="6" borderId="25" xfId="3" applyNumberFormat="1" applyFont="1" applyFill="1" applyBorder="1" applyAlignment="1" applyProtection="1">
      <alignment horizontal="center" vertical="center"/>
      <protection locked="0"/>
    </xf>
    <xf numFmtId="171" fontId="10" fillId="6" borderId="43" xfId="0" applyNumberFormat="1" applyFont="1" applyFill="1" applyBorder="1" applyAlignment="1" applyProtection="1">
      <alignment horizontal="center" vertical="center"/>
      <protection hidden="1"/>
    </xf>
    <xf numFmtId="171" fontId="12" fillId="0" borderId="25" xfId="0" applyNumberFormat="1" applyFont="1" applyBorder="1" applyAlignment="1" applyProtection="1">
      <alignment horizontal="center" vertical="center"/>
      <protection hidden="1"/>
    </xf>
    <xf numFmtId="170" fontId="11" fillId="3" borderId="0" xfId="0" applyNumberFormat="1" applyFont="1" applyFill="1" applyAlignment="1" applyProtection="1">
      <alignment vertical="center"/>
      <protection hidden="1"/>
    </xf>
    <xf numFmtId="170" fontId="10" fillId="3" borderId="0" xfId="0" applyNumberFormat="1" applyFont="1" applyFill="1" applyAlignment="1" applyProtection="1">
      <alignment vertical="center"/>
      <protection hidden="1"/>
    </xf>
    <xf numFmtId="170" fontId="3" fillId="0" borderId="31" xfId="0" applyNumberFormat="1" applyFont="1" applyBorder="1" applyAlignment="1" applyProtection="1">
      <alignment horizontal="center" vertical="center" wrapText="1"/>
      <protection hidden="1"/>
    </xf>
    <xf numFmtId="171" fontId="12" fillId="3" borderId="25" xfId="0" applyNumberFormat="1" applyFont="1" applyFill="1" applyBorder="1" applyAlignment="1" applyProtection="1">
      <alignment horizontal="center" vertical="center"/>
      <protection hidden="1"/>
    </xf>
    <xf numFmtId="171" fontId="10" fillId="3" borderId="0" xfId="0" applyNumberFormat="1" applyFont="1" applyFill="1" applyAlignment="1" applyProtection="1">
      <alignment vertical="center"/>
      <protection hidden="1"/>
    </xf>
    <xf numFmtId="171" fontId="3" fillId="0" borderId="31" xfId="0" applyNumberFormat="1" applyFont="1" applyBorder="1" applyAlignment="1" applyProtection="1">
      <alignment horizontal="center" vertical="center" wrapText="1"/>
      <protection hidden="1"/>
    </xf>
    <xf numFmtId="171" fontId="0" fillId="0" borderId="0" xfId="0" applyNumberFormat="1" applyAlignment="1" applyProtection="1">
      <alignment vertical="center"/>
      <protection hidden="1"/>
    </xf>
    <xf numFmtId="171" fontId="60" fillId="0" borderId="0" xfId="0" applyNumberFormat="1" applyFont="1" applyAlignment="1" applyProtection="1">
      <alignment horizontal="center" vertical="center"/>
      <protection hidden="1"/>
    </xf>
    <xf numFmtId="171" fontId="12" fillId="0" borderId="0" xfId="0" applyNumberFormat="1" applyFont="1" applyAlignment="1" applyProtection="1">
      <alignment vertical="center"/>
      <protection hidden="1"/>
    </xf>
    <xf numFmtId="171" fontId="26" fillId="6" borderId="25" xfId="3" applyNumberFormat="1" applyFont="1" applyFill="1" applyBorder="1" applyAlignment="1" applyProtection="1">
      <alignment horizontal="center" vertical="center"/>
      <protection hidden="1"/>
    </xf>
    <xf numFmtId="171" fontId="26" fillId="6" borderId="43" xfId="0" applyNumberFormat="1" applyFont="1" applyFill="1" applyBorder="1" applyAlignment="1" applyProtection="1">
      <alignment horizontal="center" vertical="center"/>
      <protection hidden="1"/>
    </xf>
    <xf numFmtId="171" fontId="26" fillId="3" borderId="0" xfId="0" applyNumberFormat="1" applyFont="1" applyFill="1" applyAlignment="1" applyProtection="1">
      <alignment vertical="center" wrapText="1"/>
      <protection hidden="1"/>
    </xf>
    <xf numFmtId="171" fontId="42" fillId="3" borderId="0" xfId="0" applyNumberFormat="1" applyFont="1" applyFill="1" applyAlignment="1" applyProtection="1">
      <alignment horizontal="center" vertical="center"/>
      <protection hidden="1"/>
    </xf>
    <xf numFmtId="171" fontId="60" fillId="3" borderId="0" xfId="0" applyNumberFormat="1" applyFont="1" applyFill="1" applyAlignment="1" applyProtection="1">
      <alignment horizontal="center" vertical="center"/>
      <protection hidden="1"/>
    </xf>
    <xf numFmtId="171" fontId="12" fillId="3" borderId="0" xfId="0" applyNumberFormat="1" applyFont="1" applyFill="1" applyAlignment="1" applyProtection="1">
      <alignment vertical="center"/>
      <protection hidden="1"/>
    </xf>
    <xf numFmtId="172" fontId="26" fillId="0" borderId="0" xfId="0" applyNumberFormat="1" applyFont="1" applyAlignment="1" applyProtection="1">
      <alignment horizontal="center" vertical="center" wrapText="1"/>
      <protection hidden="1"/>
    </xf>
    <xf numFmtId="172" fontId="60" fillId="0" borderId="0" xfId="0" applyNumberFormat="1" applyFont="1" applyAlignment="1" applyProtection="1">
      <alignment horizontal="center" vertical="center"/>
      <protection hidden="1"/>
    </xf>
    <xf numFmtId="172" fontId="12" fillId="0" borderId="0" xfId="0" applyNumberFormat="1" applyFont="1" applyAlignment="1" applyProtection="1">
      <alignment horizontal="center" vertical="center"/>
      <protection hidden="1"/>
    </xf>
    <xf numFmtId="0" fontId="38" fillId="0" borderId="0" xfId="0" applyFont="1" applyAlignment="1">
      <alignment horizontal="left" vertical="top"/>
    </xf>
    <xf numFmtId="0" fontId="10" fillId="0" borderId="0" xfId="0" applyFont="1"/>
    <xf numFmtId="0" fontId="84" fillId="9" borderId="0" xfId="0" applyFont="1" applyFill="1" applyAlignment="1">
      <alignment horizontal="left"/>
    </xf>
    <xf numFmtId="0" fontId="38" fillId="9" borderId="0" xfId="0" applyFont="1" applyFill="1"/>
    <xf numFmtId="0" fontId="0" fillId="9" borderId="0" xfId="0" applyFill="1"/>
    <xf numFmtId="0" fontId="11" fillId="0" borderId="0" xfId="0" applyFont="1"/>
    <xf numFmtId="0" fontId="8" fillId="0" borderId="0" xfId="0" applyFont="1"/>
    <xf numFmtId="0" fontId="45" fillId="0" borderId="0" xfId="0" applyFont="1" applyAlignment="1">
      <alignment horizontal="left"/>
    </xf>
    <xf numFmtId="0" fontId="38" fillId="0" borderId="0" xfId="0" applyFont="1"/>
    <xf numFmtId="0" fontId="0" fillId="0" borderId="0" xfId="0" applyAlignment="1">
      <alignment vertical="center"/>
    </xf>
    <xf numFmtId="0" fontId="0" fillId="0" borderId="0" xfId="0" applyAlignment="1">
      <alignment horizontal="left" wrapText="1"/>
    </xf>
    <xf numFmtId="0" fontId="0" fillId="0" borderId="0" xfId="0" applyAlignment="1">
      <alignment horizontal="left"/>
    </xf>
    <xf numFmtId="0" fontId="44" fillId="0" borderId="0" xfId="0" applyFont="1"/>
    <xf numFmtId="0" fontId="43" fillId="9" borderId="26" xfId="0" applyFont="1" applyFill="1" applyBorder="1" applyAlignment="1">
      <alignment horizontal="left" vertical="center" indent="1"/>
    </xf>
    <xf numFmtId="0" fontId="10" fillId="9" borderId="36" xfId="0" applyFont="1" applyFill="1" applyBorder="1" applyAlignment="1">
      <alignment horizontal="left" vertical="center" indent="1"/>
    </xf>
    <xf numFmtId="2" fontId="0" fillId="0" borderId="0" xfId="0" applyNumberFormat="1" applyAlignment="1">
      <alignment horizontal="left" vertical="center"/>
    </xf>
    <xf numFmtId="2" fontId="11" fillId="6" borderId="1" xfId="0" applyNumberFormat="1" applyFont="1" applyFill="1" applyBorder="1" applyAlignment="1">
      <alignment horizontal="center" vertical="center"/>
    </xf>
    <xf numFmtId="167" fontId="0" fillId="0" borderId="0" xfId="0" applyNumberFormat="1" applyAlignment="1">
      <alignment horizontal="left" vertical="center"/>
    </xf>
    <xf numFmtId="1" fontId="16" fillId="10" borderId="5" xfId="0" applyNumberFormat="1" applyFont="1" applyFill="1" applyBorder="1" applyAlignment="1">
      <alignment horizontal="center" vertical="center"/>
    </xf>
    <xf numFmtId="2" fontId="12" fillId="0" borderId="0" xfId="0" applyNumberFormat="1" applyFont="1" applyAlignment="1">
      <alignment horizontal="left" vertical="center"/>
    </xf>
    <xf numFmtId="0" fontId="0" fillId="9" borderId="17" xfId="0" applyFill="1" applyBorder="1"/>
    <xf numFmtId="0" fontId="16" fillId="9" borderId="1" xfId="0" applyFont="1" applyFill="1" applyBorder="1" applyAlignment="1">
      <alignment horizontal="center" vertical="center"/>
    </xf>
    <xf numFmtId="1" fontId="16" fillId="6" borderId="5" xfId="0" applyNumberFormat="1" applyFont="1" applyFill="1" applyBorder="1" applyAlignment="1">
      <alignment horizontal="center" vertical="center"/>
    </xf>
    <xf numFmtId="1" fontId="11" fillId="6" borderId="3" xfId="0" applyNumberFormat="1" applyFont="1" applyFill="1" applyBorder="1" applyAlignment="1">
      <alignment horizontal="center" vertical="center"/>
    </xf>
    <xf numFmtId="0" fontId="11" fillId="0" borderId="0" xfId="0" applyFont="1" applyAlignment="1">
      <alignment horizontal="center" vertical="center" wrapText="1"/>
    </xf>
    <xf numFmtId="0" fontId="0" fillId="16" borderId="24" xfId="0" applyFill="1" applyBorder="1" applyAlignment="1">
      <alignment vertical="center"/>
    </xf>
    <xf numFmtId="0" fontId="3" fillId="4" borderId="13" xfId="0" applyFont="1" applyFill="1" applyBorder="1" applyAlignment="1">
      <alignment horizontal="center" vertical="center" wrapText="1"/>
    </xf>
    <xf numFmtId="0" fontId="1" fillId="0" borderId="55" xfId="0" applyFont="1" applyBorder="1" applyAlignment="1">
      <alignment horizontal="center" vertical="center"/>
    </xf>
    <xf numFmtId="0" fontId="1" fillId="0" borderId="56"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55" xfId="0" applyFont="1" applyBorder="1" applyAlignment="1">
      <alignment horizontal="center" vertical="center" wrapText="1"/>
    </xf>
    <xf numFmtId="0" fontId="0" fillId="15" borderId="41" xfId="0" applyFill="1" applyBorder="1"/>
    <xf numFmtId="0" fontId="0" fillId="15" borderId="55" xfId="0" applyFill="1" applyBorder="1"/>
    <xf numFmtId="0" fontId="0" fillId="15" borderId="56" xfId="0" applyFill="1" applyBorder="1"/>
    <xf numFmtId="0" fontId="2" fillId="5" borderId="50" xfId="0" applyFont="1" applyFill="1" applyBorder="1" applyAlignment="1">
      <alignment horizontal="left" vertical="center" wrapText="1"/>
    </xf>
    <xf numFmtId="0" fontId="2" fillId="5" borderId="2" xfId="0" applyFont="1" applyFill="1" applyBorder="1" applyAlignment="1">
      <alignment horizontal="left" vertical="top" wrapText="1"/>
    </xf>
    <xf numFmtId="0" fontId="2" fillId="5" borderId="36" xfId="0" applyFont="1" applyFill="1" applyBorder="1" applyAlignment="1">
      <alignment horizontal="left" vertical="center" wrapText="1"/>
    </xf>
    <xf numFmtId="0" fontId="1" fillId="5" borderId="45" xfId="0" applyFont="1" applyFill="1" applyBorder="1" applyAlignment="1">
      <alignment horizontal="left" vertical="top" wrapText="1"/>
    </xf>
    <xf numFmtId="0" fontId="2" fillId="5" borderId="3" xfId="0" applyFont="1" applyFill="1" applyBorder="1" applyAlignment="1">
      <alignment horizontal="left" vertical="top" wrapText="1"/>
    </xf>
    <xf numFmtId="0" fontId="2" fillId="5" borderId="45" xfId="0" applyFont="1" applyFill="1" applyBorder="1" applyAlignment="1">
      <alignment horizontal="left" vertical="top" wrapText="1"/>
    </xf>
    <xf numFmtId="0" fontId="2" fillId="5" borderId="36" xfId="0" applyFont="1" applyFill="1" applyBorder="1" applyAlignment="1">
      <alignment horizontal="left" vertical="top" wrapText="1"/>
    </xf>
    <xf numFmtId="0" fontId="16" fillId="0" borderId="41" xfId="0" applyFont="1" applyBorder="1" applyAlignment="1">
      <alignment horizontal="center" vertical="center" wrapText="1"/>
    </xf>
    <xf numFmtId="0" fontId="2" fillId="5" borderId="0" xfId="0" applyFont="1" applyFill="1" applyAlignment="1">
      <alignment horizontal="left" vertical="center" wrapText="1"/>
    </xf>
    <xf numFmtId="0" fontId="2" fillId="0" borderId="0" xfId="0" applyFont="1" applyAlignment="1">
      <alignment horizontal="left" vertical="center" wrapText="1"/>
    </xf>
    <xf numFmtId="0" fontId="2" fillId="5" borderId="44" xfId="0" applyFont="1" applyFill="1" applyBorder="1" applyAlignment="1">
      <alignment horizontal="left" vertical="center" wrapText="1"/>
    </xf>
    <xf numFmtId="0" fontId="0" fillId="5" borderId="36" xfId="0" applyFill="1" applyBorder="1" applyAlignment="1">
      <alignment horizontal="left" vertical="center" wrapText="1"/>
    </xf>
    <xf numFmtId="0" fontId="2" fillId="5" borderId="33" xfId="0" applyFont="1" applyFill="1" applyBorder="1" applyAlignment="1">
      <alignment horizontal="left" vertical="top" wrapText="1"/>
    </xf>
    <xf numFmtId="0" fontId="0" fillId="5" borderId="2" xfId="0" applyFill="1" applyBorder="1" applyAlignment="1">
      <alignment horizontal="left" vertical="center" wrapText="1"/>
    </xf>
    <xf numFmtId="0" fontId="1" fillId="0" borderId="36" xfId="0" applyFont="1" applyBorder="1" applyAlignment="1">
      <alignment horizontal="center" vertical="center" wrapText="1"/>
    </xf>
    <xf numFmtId="0" fontId="1" fillId="0" borderId="44" xfId="0" applyFont="1" applyBorder="1" applyAlignment="1">
      <alignment horizontal="center" vertical="center" wrapText="1"/>
    </xf>
    <xf numFmtId="0" fontId="80" fillId="0" borderId="0" xfId="0" applyFont="1" applyAlignment="1">
      <alignment horizontal="left" vertical="center" wrapText="1"/>
    </xf>
    <xf numFmtId="0" fontId="0" fillId="5" borderId="50" xfId="0" applyFill="1" applyBorder="1" applyAlignment="1">
      <alignment horizontal="left" vertical="center" wrapText="1"/>
    </xf>
    <xf numFmtId="0" fontId="0" fillId="5" borderId="45" xfId="0" applyFill="1" applyBorder="1" applyAlignment="1">
      <alignment horizontal="left" vertical="top" wrapText="1"/>
    </xf>
    <xf numFmtId="0" fontId="1" fillId="0" borderId="55" xfId="0" applyFont="1" applyBorder="1" applyAlignment="1">
      <alignment horizontal="left" vertical="center"/>
    </xf>
    <xf numFmtId="0" fontId="0" fillId="5" borderId="2" xfId="0" applyFill="1" applyBorder="1" applyAlignment="1">
      <alignment horizontal="center" vertical="center" wrapText="1"/>
    </xf>
    <xf numFmtId="0" fontId="11" fillId="0" borderId="55" xfId="0" applyFont="1" applyBorder="1" applyAlignment="1">
      <alignment horizontal="right"/>
    </xf>
    <xf numFmtId="0" fontId="11" fillId="0" borderId="56" xfId="0" applyFont="1" applyBorder="1" applyAlignment="1">
      <alignment horizontal="center" vertical="center" wrapText="1"/>
    </xf>
    <xf numFmtId="0" fontId="11" fillId="0" borderId="41" xfId="0" applyFont="1" applyBorder="1" applyAlignment="1">
      <alignment horizontal="center" vertical="center" wrapText="1"/>
    </xf>
    <xf numFmtId="0" fontId="1" fillId="0" borderId="0" xfId="0" applyFont="1" applyAlignment="1">
      <alignment horizontal="center" vertical="center" wrapText="1"/>
    </xf>
    <xf numFmtId="0" fontId="0" fillId="5" borderId="3" xfId="0" applyFill="1" applyBorder="1" applyAlignment="1">
      <alignment horizontal="left" vertical="top" wrapText="1"/>
    </xf>
    <xf numFmtId="0" fontId="75" fillId="0" borderId="0" xfId="0" applyFont="1" applyAlignment="1">
      <alignment horizontal="left" vertical="center" wrapText="1"/>
    </xf>
    <xf numFmtId="0" fontId="11" fillId="0" borderId="55" xfId="0" applyFont="1" applyBorder="1" applyAlignment="1">
      <alignment horizontal="center" vertical="center" wrapText="1"/>
    </xf>
    <xf numFmtId="0" fontId="0" fillId="5" borderId="36" xfId="0" applyFill="1" applyBorder="1" applyAlignment="1">
      <alignment horizontal="left" wrapText="1"/>
    </xf>
    <xf numFmtId="0" fontId="11" fillId="0" borderId="55" xfId="0" applyFont="1" applyBorder="1" applyAlignment="1">
      <alignment horizontal="left" vertical="center"/>
    </xf>
    <xf numFmtId="0" fontId="0" fillId="5" borderId="33" xfId="0" applyFill="1" applyBorder="1" applyAlignment="1">
      <alignment horizontal="left" vertical="center" wrapText="1"/>
    </xf>
    <xf numFmtId="0" fontId="0" fillId="0" borderId="0" xfId="0" applyAlignment="1">
      <alignment horizontal="left" vertical="center"/>
    </xf>
    <xf numFmtId="0" fontId="12" fillId="5" borderId="36" xfId="0" applyFont="1" applyFill="1" applyBorder="1" applyAlignment="1">
      <alignment horizontal="left" vertical="center" wrapText="1"/>
    </xf>
    <xf numFmtId="0" fontId="0" fillId="15" borderId="36" xfId="0" applyFill="1" applyBorder="1" applyAlignment="1">
      <alignment horizontal="left" vertical="center" wrapText="1"/>
    </xf>
    <xf numFmtId="0" fontId="12" fillId="5" borderId="50" xfId="0" applyFont="1" applyFill="1" applyBorder="1" applyAlignment="1">
      <alignment horizontal="left" vertical="center" wrapText="1"/>
    </xf>
    <xf numFmtId="0" fontId="12" fillId="15" borderId="50" xfId="0" applyFont="1" applyFill="1" applyBorder="1" applyAlignment="1">
      <alignment horizontal="left" vertical="center" wrapText="1"/>
    </xf>
    <xf numFmtId="0" fontId="39" fillId="0" borderId="0" xfId="0" applyFont="1"/>
    <xf numFmtId="0" fontId="38" fillId="0" borderId="0" xfId="0" applyFont="1" applyAlignment="1">
      <alignment horizontal="left" vertical="center"/>
    </xf>
    <xf numFmtId="0" fontId="84" fillId="10" borderId="0" xfId="0" applyFont="1" applyFill="1" applyAlignment="1">
      <alignment horizontal="left" vertical="center"/>
    </xf>
    <xf numFmtId="0" fontId="45" fillId="10" borderId="0" xfId="0" applyFont="1" applyFill="1" applyAlignment="1">
      <alignment horizontal="left" vertical="center"/>
    </xf>
    <xf numFmtId="0" fontId="11" fillId="10" borderId="0" xfId="0" applyFont="1" applyFill="1"/>
    <xf numFmtId="0" fontId="45" fillId="0" borderId="0" xfId="0" applyFont="1" applyAlignment="1">
      <alignment horizontal="left" vertical="center"/>
    </xf>
    <xf numFmtId="0" fontId="8" fillId="0" borderId="0" xfId="0" applyFont="1" applyAlignment="1">
      <alignment horizontal="left"/>
    </xf>
    <xf numFmtId="0" fontId="28" fillId="0" borderId="0" xfId="0" applyFont="1" applyAlignment="1">
      <alignment horizontal="left" vertical="center"/>
    </xf>
    <xf numFmtId="1" fontId="16" fillId="0" borderId="0" xfId="0" applyNumberFormat="1" applyFont="1" applyAlignment="1">
      <alignment horizontal="center" vertical="center" wrapText="1"/>
    </xf>
    <xf numFmtId="0" fontId="43" fillId="0" borderId="0" xfId="0" applyFont="1"/>
    <xf numFmtId="0" fontId="11" fillId="5" borderId="5" xfId="0" applyFont="1" applyFill="1" applyBorder="1" applyAlignment="1">
      <alignment horizontal="center" vertical="center" wrapText="1"/>
    </xf>
    <xf numFmtId="1" fontId="16" fillId="6" borderId="5" xfId="0" applyNumberFormat="1" applyFont="1" applyFill="1" applyBorder="1" applyAlignment="1">
      <alignment horizontal="center" vertical="center" wrapText="1"/>
    </xf>
    <xf numFmtId="0" fontId="3" fillId="4" borderId="13" xfId="0" applyFont="1" applyFill="1" applyBorder="1" applyAlignment="1">
      <alignment horizontal="center" vertical="center"/>
    </xf>
    <xf numFmtId="0" fontId="8" fillId="4" borderId="49" xfId="0" applyFont="1" applyFill="1" applyBorder="1" applyAlignment="1">
      <alignment horizontal="center" vertical="center" wrapText="1"/>
    </xf>
    <xf numFmtId="0" fontId="0" fillId="4" borderId="38" xfId="0" applyFill="1" applyBorder="1" applyAlignment="1">
      <alignment horizontal="center" vertical="center" wrapText="1"/>
    </xf>
    <xf numFmtId="0" fontId="3" fillId="4" borderId="49" xfId="0" applyFont="1" applyFill="1" applyBorder="1" applyAlignment="1">
      <alignment horizontal="center" vertical="center" wrapText="1"/>
    </xf>
    <xf numFmtId="0" fontId="0" fillId="6" borderId="2" xfId="0" applyFill="1" applyBorder="1"/>
    <xf numFmtId="0" fontId="1" fillId="0" borderId="2"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44" xfId="0" applyFont="1" applyBorder="1" applyAlignment="1">
      <alignment horizontal="center" vertical="center" wrapText="1"/>
    </xf>
    <xf numFmtId="0" fontId="0" fillId="6" borderId="36" xfId="0" applyFill="1" applyBorder="1"/>
    <xf numFmtId="0" fontId="0" fillId="6" borderId="41" xfId="0" applyFill="1" applyBorder="1"/>
    <xf numFmtId="0" fontId="0" fillId="6" borderId="55" xfId="0" applyFill="1" applyBorder="1"/>
    <xf numFmtId="0" fontId="0" fillId="6" borderId="56" xfId="0" applyFill="1" applyBorder="1"/>
    <xf numFmtId="0" fontId="2" fillId="6" borderId="3" xfId="0" applyFont="1" applyFill="1" applyBorder="1" applyAlignment="1">
      <alignment horizontal="left" vertical="top" wrapText="1"/>
    </xf>
    <xf numFmtId="0" fontId="2" fillId="6" borderId="45" xfId="0" applyFont="1" applyFill="1" applyBorder="1" applyAlignment="1">
      <alignment horizontal="left" vertical="top" wrapText="1"/>
    </xf>
    <xf numFmtId="0" fontId="2" fillId="6" borderId="36"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6" borderId="50" xfId="0" applyFont="1" applyFill="1" applyBorder="1" applyAlignment="1">
      <alignment horizontal="left" vertical="top" wrapText="1"/>
    </xf>
    <xf numFmtId="0" fontId="2" fillId="6" borderId="33" xfId="0" applyFont="1" applyFill="1" applyBorder="1" applyAlignment="1">
      <alignment horizontal="left" vertical="top" wrapText="1"/>
    </xf>
    <xf numFmtId="0" fontId="2" fillId="6" borderId="50" xfId="0" applyFont="1" applyFill="1" applyBorder="1" applyAlignment="1">
      <alignment horizontal="left" vertical="center" wrapText="1"/>
    </xf>
    <xf numFmtId="0" fontId="0" fillId="6" borderId="50" xfId="0" applyFill="1" applyBorder="1" applyAlignment="1">
      <alignment vertical="center" wrapText="1"/>
    </xf>
    <xf numFmtId="0" fontId="0" fillId="6" borderId="36" xfId="0" applyFill="1" applyBorder="1" applyAlignment="1">
      <alignment horizontal="left" vertical="center" wrapText="1"/>
    </xf>
    <xf numFmtId="0" fontId="0" fillId="6" borderId="36" xfId="0" applyFill="1" applyBorder="1" applyAlignment="1">
      <alignment vertical="center" wrapText="1"/>
    </xf>
    <xf numFmtId="0" fontId="0" fillId="6" borderId="50" xfId="0" applyFill="1" applyBorder="1" applyAlignment="1">
      <alignment wrapText="1"/>
    </xf>
    <xf numFmtId="0" fontId="12" fillId="0" borderId="0" xfId="0" applyFont="1" applyAlignment="1">
      <alignment vertical="center"/>
    </xf>
    <xf numFmtId="0" fontId="0" fillId="6" borderId="33" xfId="0" applyFill="1" applyBorder="1" applyAlignment="1">
      <alignment horizontal="left" vertical="top" wrapText="1"/>
    </xf>
    <xf numFmtId="0" fontId="76" fillId="3" borderId="0" xfId="0" applyFont="1" applyFill="1" applyAlignment="1" applyProtection="1">
      <alignment horizontal="left" vertical="center"/>
      <protection hidden="1"/>
    </xf>
    <xf numFmtId="0" fontId="26" fillId="4" borderId="26" xfId="0" applyFont="1" applyFill="1" applyBorder="1" applyAlignment="1" applyProtection="1">
      <alignment horizontal="centerContinuous"/>
      <protection hidden="1"/>
    </xf>
    <xf numFmtId="0" fontId="26" fillId="4" borderId="27" xfId="0" applyFont="1" applyFill="1" applyBorder="1" applyAlignment="1" applyProtection="1">
      <alignment horizontal="left"/>
      <protection hidden="1"/>
    </xf>
    <xf numFmtId="0" fontId="26" fillId="4" borderId="27" xfId="0" applyFont="1" applyFill="1" applyBorder="1" applyAlignment="1" applyProtection="1">
      <alignment horizontal="center"/>
      <protection hidden="1"/>
    </xf>
    <xf numFmtId="0" fontId="26" fillId="4" borderId="27" xfId="0" applyFont="1" applyFill="1" applyBorder="1" applyAlignment="1" applyProtection="1">
      <alignment horizontal="centerContinuous"/>
      <protection hidden="1"/>
    </xf>
    <xf numFmtId="0" fontId="15" fillId="4" borderId="27" xfId="0" applyFont="1" applyFill="1" applyBorder="1" applyAlignment="1" applyProtection="1">
      <alignment horizontal="centerContinuous" vertical="center" wrapText="1"/>
      <protection hidden="1"/>
    </xf>
    <xf numFmtId="0" fontId="26" fillId="4" borderId="42" xfId="0" applyFont="1" applyFill="1" applyBorder="1" applyAlignment="1" applyProtection="1">
      <alignment horizontal="centerContinuous" wrapText="1"/>
      <protection hidden="1"/>
    </xf>
    <xf numFmtId="0" fontId="50" fillId="0" borderId="10" xfId="0" applyFont="1" applyBorder="1" applyAlignment="1">
      <alignment horizontal="center" vertical="center" wrapText="1"/>
    </xf>
    <xf numFmtId="0" fontId="37" fillId="3" borderId="0" xfId="0" applyFont="1" applyFill="1" applyAlignment="1" applyProtection="1">
      <alignment horizontal="center" vertical="center"/>
      <protection hidden="1"/>
    </xf>
    <xf numFmtId="0" fontId="37" fillId="3" borderId="0" xfId="0" applyFont="1" applyFill="1" applyAlignment="1" applyProtection="1">
      <alignment horizontal="center" vertical="center" wrapText="1"/>
      <protection hidden="1"/>
    </xf>
    <xf numFmtId="172" fontId="37" fillId="3" borderId="0" xfId="0" applyNumberFormat="1" applyFont="1" applyFill="1" applyAlignment="1" applyProtection="1">
      <alignment horizontal="center" vertical="center"/>
      <protection hidden="1"/>
    </xf>
    <xf numFmtId="164" fontId="74" fillId="3" borderId="0" xfId="0" applyNumberFormat="1" applyFont="1" applyFill="1" applyAlignment="1" applyProtection="1">
      <alignment horizontal="center" vertical="center"/>
      <protection hidden="1"/>
    </xf>
    <xf numFmtId="0" fontId="52" fillId="0" borderId="45" xfId="0" applyFont="1" applyBorder="1" applyAlignment="1" applyProtection="1">
      <alignment horizontal="left" vertical="center"/>
      <protection hidden="1"/>
    </xf>
    <xf numFmtId="0" fontId="12" fillId="0" borderId="75" xfId="0" applyFont="1" applyBorder="1"/>
    <xf numFmtId="0" fontId="12" fillId="2" borderId="75" xfId="0" applyFont="1" applyFill="1" applyBorder="1"/>
    <xf numFmtId="0" fontId="12" fillId="0" borderId="39" xfId="0" applyFont="1" applyBorder="1"/>
    <xf numFmtId="0" fontId="89" fillId="0" borderId="0" xfId="0" applyFont="1"/>
    <xf numFmtId="0" fontId="89" fillId="0" borderId="0" xfId="0" applyFont="1" applyAlignment="1">
      <alignment vertical="top"/>
    </xf>
    <xf numFmtId="0" fontId="40" fillId="0" borderId="0" xfId="0" applyFont="1" applyAlignment="1" applyProtection="1">
      <alignment horizontal="right" vertical="center" wrapText="1"/>
      <protection hidden="1"/>
    </xf>
    <xf numFmtId="0" fontId="1" fillId="0" borderId="5" xfId="0" applyFont="1" applyBorder="1" applyAlignment="1" applyProtection="1">
      <alignment horizontal="center" vertical="center" wrapText="1"/>
      <protection hidden="1"/>
    </xf>
    <xf numFmtId="0" fontId="40" fillId="0" borderId="0" xfId="0" applyFont="1" applyAlignment="1" applyProtection="1">
      <alignment horizontal="right" vertical="center"/>
      <protection hidden="1"/>
    </xf>
    <xf numFmtId="0" fontId="44" fillId="9" borderId="27" xfId="0" applyFont="1" applyFill="1" applyBorder="1" applyAlignment="1" applyProtection="1">
      <alignment horizontal="left" indent="1"/>
      <protection hidden="1"/>
    </xf>
    <xf numFmtId="0" fontId="44" fillId="9" borderId="27" xfId="0" applyFont="1" applyFill="1" applyBorder="1" applyAlignment="1" applyProtection="1">
      <alignment horizontal="left"/>
      <protection hidden="1"/>
    </xf>
    <xf numFmtId="2" fontId="44" fillId="9" borderId="27" xfId="0" applyNumberFormat="1" applyFont="1" applyFill="1" applyBorder="1" applyAlignment="1" applyProtection="1">
      <alignment horizontal="left" vertical="center"/>
      <protection hidden="1"/>
    </xf>
    <xf numFmtId="0" fontId="44" fillId="9" borderId="42" xfId="0" applyFont="1" applyFill="1" applyBorder="1" applyAlignment="1" applyProtection="1">
      <alignment horizontal="left" wrapText="1"/>
      <protection hidden="1"/>
    </xf>
    <xf numFmtId="0" fontId="44" fillId="0" borderId="0" xfId="0" applyFont="1" applyAlignment="1" applyProtection="1">
      <alignment horizontal="left" wrapText="1"/>
      <protection hidden="1"/>
    </xf>
    <xf numFmtId="0" fontId="44" fillId="0" borderId="0" xfId="0" applyFont="1" applyAlignment="1" applyProtection="1">
      <alignment wrapText="1"/>
      <protection hidden="1"/>
    </xf>
    <xf numFmtId="0" fontId="44" fillId="0" borderId="0" xfId="0" applyFont="1" applyProtection="1">
      <protection hidden="1"/>
    </xf>
    <xf numFmtId="0" fontId="83" fillId="0" borderId="0" xfId="0" applyFont="1" applyAlignment="1" applyProtection="1">
      <alignment horizontal="right" vertical="center" indent="1"/>
      <protection hidden="1"/>
    </xf>
    <xf numFmtId="0" fontId="0" fillId="9" borderId="0" xfId="0" applyFill="1" applyAlignment="1" applyProtection="1">
      <alignment horizontal="left" vertical="center" indent="2"/>
      <protection hidden="1"/>
    </xf>
    <xf numFmtId="0" fontId="88" fillId="9" borderId="0" xfId="0" applyFont="1" applyFill="1" applyAlignment="1" applyProtection="1">
      <alignment horizontal="left" vertical="top" wrapText="1"/>
      <protection hidden="1"/>
    </xf>
    <xf numFmtId="2" fontId="75" fillId="9" borderId="0" xfId="0" applyNumberFormat="1" applyFont="1" applyFill="1" applyAlignment="1" applyProtection="1">
      <alignment horizontal="left" vertical="top"/>
      <protection hidden="1"/>
    </xf>
    <xf numFmtId="0" fontId="59" fillId="9" borderId="44" xfId="0" applyFont="1" applyFill="1" applyBorder="1" applyAlignment="1" applyProtection="1">
      <alignment horizontal="left"/>
      <protection hidden="1"/>
    </xf>
    <xf numFmtId="0" fontId="75" fillId="0" borderId="0" xfId="0" applyFont="1" applyAlignment="1" applyProtection="1">
      <alignment horizontal="left"/>
      <protection hidden="1"/>
    </xf>
    <xf numFmtId="2" fontId="0" fillId="0" borderId="0" xfId="0" applyNumberFormat="1" applyAlignment="1" applyProtection="1">
      <alignment horizontal="left" vertical="top" wrapText="1"/>
      <protection hidden="1"/>
    </xf>
    <xf numFmtId="0" fontId="12" fillId="9" borderId="36" xfId="0" applyFont="1" applyFill="1" applyBorder="1" applyAlignment="1" applyProtection="1">
      <alignment horizontal="left" vertical="center" indent="2"/>
      <protection hidden="1"/>
    </xf>
    <xf numFmtId="2" fontId="0" fillId="0" borderId="0" xfId="0" applyNumberFormat="1" applyAlignment="1" applyProtection="1">
      <alignment horizontal="left"/>
      <protection hidden="1"/>
    </xf>
    <xf numFmtId="2" fontId="0" fillId="0" borderId="0" xfId="0" applyNumberFormat="1" applyProtection="1">
      <protection hidden="1"/>
    </xf>
    <xf numFmtId="2" fontId="0" fillId="0" borderId="0" xfId="0" applyNumberFormat="1" applyAlignment="1" applyProtection="1">
      <alignment horizontal="left" vertical="center"/>
      <protection hidden="1"/>
    </xf>
    <xf numFmtId="0" fontId="0" fillId="9" borderId="0" xfId="0" applyFill="1" applyAlignment="1" applyProtection="1">
      <alignment horizontal="left"/>
      <protection hidden="1"/>
    </xf>
    <xf numFmtId="0" fontId="0" fillId="0" borderId="0" xfId="0" applyAlignment="1" applyProtection="1">
      <alignment horizontal="left"/>
      <protection hidden="1"/>
    </xf>
    <xf numFmtId="0" fontId="12" fillId="9" borderId="33" xfId="0" applyFont="1" applyFill="1" applyBorder="1" applyAlignment="1" applyProtection="1">
      <alignment horizontal="left" vertical="center" indent="2"/>
      <protection hidden="1"/>
    </xf>
    <xf numFmtId="0" fontId="0" fillId="9" borderId="17" xfId="0" applyFill="1" applyBorder="1" applyAlignment="1" applyProtection="1">
      <alignment horizontal="left"/>
      <protection hidden="1"/>
    </xf>
    <xf numFmtId="0" fontId="59" fillId="9" borderId="43" xfId="0" applyFont="1" applyFill="1" applyBorder="1" applyAlignment="1" applyProtection="1">
      <alignment horizontal="left"/>
      <protection hidden="1"/>
    </xf>
    <xf numFmtId="0" fontId="11" fillId="0" borderId="0" xfId="0" applyFont="1" applyAlignment="1" applyProtection="1">
      <alignment horizontal="left" vertical="center" indent="2"/>
      <protection hidden="1"/>
    </xf>
    <xf numFmtId="0" fontId="11" fillId="0" borderId="0" xfId="0" applyFont="1" applyAlignment="1" applyProtection="1">
      <alignment horizontal="left"/>
      <protection hidden="1"/>
    </xf>
    <xf numFmtId="2" fontId="11" fillId="0" borderId="0" xfId="0" applyNumberFormat="1" applyFont="1" applyAlignment="1" applyProtection="1">
      <alignment horizontal="left" vertical="top"/>
      <protection hidden="1"/>
    </xf>
    <xf numFmtId="0" fontId="11" fillId="5" borderId="3" xfId="0" applyFont="1" applyFill="1" applyBorder="1" applyAlignment="1">
      <alignment horizontal="center" wrapText="1"/>
    </xf>
    <xf numFmtId="167" fontId="0" fillId="0" borderId="0" xfId="0" applyNumberFormat="1" applyAlignment="1" applyProtection="1">
      <alignment horizontal="left" vertical="center"/>
      <protection hidden="1"/>
    </xf>
    <xf numFmtId="0" fontId="28" fillId="0" borderId="0" xfId="0" applyFont="1" applyAlignment="1" applyProtection="1">
      <alignment horizontal="right"/>
      <protection hidden="1"/>
    </xf>
    <xf numFmtId="0" fontId="14" fillId="0" borderId="0" xfId="2" applyFill="1" applyBorder="1" applyAlignment="1"/>
    <xf numFmtId="0" fontId="12" fillId="16" borderId="5" xfId="0" applyFont="1" applyFill="1" applyBorder="1" applyAlignment="1" applyProtection="1">
      <alignment horizontal="center" vertical="center" wrapText="1"/>
      <protection hidden="1"/>
    </xf>
    <xf numFmtId="0" fontId="12" fillId="16" borderId="23" xfId="0" applyFont="1" applyFill="1" applyBorder="1" applyAlignment="1" applyProtection="1">
      <alignment horizontal="left" vertical="center"/>
      <protection hidden="1"/>
    </xf>
    <xf numFmtId="0" fontId="12" fillId="16" borderId="24" xfId="0" applyFont="1" applyFill="1" applyBorder="1" applyAlignment="1" applyProtection="1">
      <alignment horizontal="left" vertical="center"/>
      <protection hidden="1"/>
    </xf>
    <xf numFmtId="0" fontId="12" fillId="16" borderId="24" xfId="0" applyFont="1" applyFill="1" applyBorder="1" applyAlignment="1" applyProtection="1">
      <alignment horizontal="center" vertical="center"/>
      <protection hidden="1"/>
    </xf>
    <xf numFmtId="0" fontId="12" fillId="16" borderId="25" xfId="0" applyFont="1" applyFill="1" applyBorder="1" applyAlignment="1" applyProtection="1">
      <alignment horizontal="center" vertical="center"/>
      <protection hidden="1"/>
    </xf>
    <xf numFmtId="0" fontId="75" fillId="0" borderId="0" xfId="0" applyFont="1" applyAlignment="1" applyProtection="1">
      <alignment horizontal="left" wrapText="1" indent="1"/>
      <protection hidden="1"/>
    </xf>
    <xf numFmtId="0" fontId="3" fillId="4" borderId="13" xfId="0" applyFont="1" applyFill="1" applyBorder="1" applyAlignment="1" applyProtection="1">
      <alignment horizontal="center" vertical="center" wrapText="1"/>
      <protection locked="0" hidden="1"/>
    </xf>
    <xf numFmtId="0" fontId="3" fillId="4" borderId="13" xfId="0" applyFont="1" applyFill="1" applyBorder="1" applyAlignment="1" applyProtection="1">
      <alignment horizontal="center" vertical="center"/>
      <protection locked="0" hidden="1"/>
    </xf>
    <xf numFmtId="0" fontId="3" fillId="4" borderId="49" xfId="0" applyFont="1" applyFill="1" applyBorder="1" applyAlignment="1" applyProtection="1">
      <alignment horizontal="center" vertical="center"/>
      <protection locked="0" hidden="1"/>
    </xf>
    <xf numFmtId="0" fontId="2" fillId="4" borderId="42" xfId="0" applyFont="1" applyFill="1" applyBorder="1" applyAlignment="1" applyProtection="1">
      <alignment horizontal="center" vertical="center" wrapText="1"/>
      <protection locked="0" hidden="1"/>
    </xf>
    <xf numFmtId="0" fontId="3" fillId="4" borderId="49" xfId="0" applyFont="1" applyFill="1" applyBorder="1" applyAlignment="1" applyProtection="1">
      <alignment horizontal="center" vertical="center" wrapText="1"/>
      <protection locked="0" hidden="1"/>
    </xf>
    <xf numFmtId="0" fontId="2" fillId="4" borderId="38" xfId="0" applyFont="1" applyFill="1" applyBorder="1" applyAlignment="1" applyProtection="1">
      <alignment horizontal="center" vertical="center" wrapText="1"/>
      <protection locked="0" hidden="1"/>
    </xf>
    <xf numFmtId="0" fontId="2" fillId="4" borderId="13" xfId="0" applyFont="1" applyFill="1" applyBorder="1" applyAlignment="1" applyProtection="1">
      <alignment horizontal="center" vertical="center" wrapText="1"/>
      <protection locked="0" hidden="1"/>
    </xf>
    <xf numFmtId="0" fontId="0" fillId="4" borderId="38" xfId="0" applyFill="1" applyBorder="1" applyAlignment="1" applyProtection="1">
      <alignment horizontal="center" vertical="center" wrapText="1"/>
      <protection locked="0" hidden="1"/>
    </xf>
    <xf numFmtId="0" fontId="79" fillId="5" borderId="51" xfId="2" applyFont="1" applyFill="1" applyBorder="1" applyAlignment="1">
      <alignment horizontal="left" vertical="center" wrapText="1"/>
    </xf>
    <xf numFmtId="0" fontId="79" fillId="5" borderId="44" xfId="2" applyFont="1" applyFill="1" applyBorder="1" applyAlignment="1">
      <alignment horizontal="left" vertical="center" wrapText="1"/>
    </xf>
    <xf numFmtId="0" fontId="79" fillId="5" borderId="3" xfId="2" applyFont="1" applyFill="1" applyBorder="1" applyAlignment="1">
      <alignment horizontal="left" vertical="top" wrapText="1"/>
    </xf>
    <xf numFmtId="0" fontId="79" fillId="5" borderId="44" xfId="2" applyFont="1" applyFill="1" applyBorder="1" applyAlignment="1">
      <alignment horizontal="left" vertical="top" wrapText="1"/>
    </xf>
    <xf numFmtId="0" fontId="79" fillId="5" borderId="0" xfId="2" applyFont="1" applyFill="1" applyBorder="1" applyAlignment="1">
      <alignment horizontal="left" vertical="center" wrapText="1"/>
    </xf>
    <xf numFmtId="0" fontId="0" fillId="5" borderId="2" xfId="0" applyFill="1" applyBorder="1" applyAlignment="1">
      <alignment wrapText="1"/>
    </xf>
    <xf numFmtId="0" fontId="79" fillId="5" borderId="43" xfId="2" applyFont="1" applyFill="1" applyBorder="1" applyAlignment="1">
      <alignment horizontal="left" vertical="center" wrapText="1"/>
    </xf>
    <xf numFmtId="0" fontId="79" fillId="0" borderId="0" xfId="2" applyFont="1" applyFill="1" applyBorder="1" applyAlignment="1">
      <alignment horizontal="left" vertical="center" wrapText="1"/>
    </xf>
    <xf numFmtId="0" fontId="12" fillId="0" borderId="0" xfId="0" applyFont="1" applyAlignment="1" applyProtection="1">
      <alignment horizontal="left" vertical="center" wrapText="1"/>
      <protection hidden="1"/>
    </xf>
    <xf numFmtId="0" fontId="59" fillId="0" borderId="0" xfId="0" applyFont="1" applyAlignment="1" applyProtection="1">
      <alignment horizontal="left" vertical="center"/>
      <protection hidden="1"/>
    </xf>
    <xf numFmtId="0" fontId="14" fillId="0" borderId="0" xfId="2" applyFill="1" applyBorder="1" applyAlignment="1">
      <alignment horizontal="left" vertical="center" wrapText="1"/>
    </xf>
    <xf numFmtId="0" fontId="37" fillId="0" borderId="0" xfId="0" applyFont="1" applyAlignment="1" applyProtection="1">
      <alignment horizontal="center"/>
      <protection hidden="1"/>
    </xf>
    <xf numFmtId="164" fontId="37" fillId="0" borderId="0" xfId="0" applyNumberFormat="1" applyFont="1" applyAlignment="1" applyProtection="1">
      <alignment horizontal="center"/>
      <protection hidden="1"/>
    </xf>
    <xf numFmtId="0" fontId="37" fillId="0" borderId="0" xfId="0" applyFont="1" applyAlignment="1" applyProtection="1">
      <alignment horizontal="left" vertical="center"/>
      <protection hidden="1"/>
    </xf>
    <xf numFmtId="0" fontId="11" fillId="0" borderId="55" xfId="0" applyFont="1" applyBorder="1" applyAlignment="1">
      <alignment horizontal="left" vertical="center" wrapText="1"/>
    </xf>
    <xf numFmtId="164" fontId="37" fillId="0" borderId="0" xfId="0" applyNumberFormat="1" applyFont="1" applyAlignment="1" applyProtection="1">
      <alignment horizontal="left" vertical="center"/>
      <protection hidden="1"/>
    </xf>
    <xf numFmtId="0" fontId="0" fillId="0" borderId="0" xfId="0" applyAlignment="1" applyProtection="1">
      <alignment vertical="center" wrapText="1"/>
      <protection hidden="1"/>
    </xf>
    <xf numFmtId="0" fontId="90" fillId="0" borderId="0" xfId="0" applyFont="1"/>
    <xf numFmtId="0" fontId="89" fillId="0" borderId="0" xfId="0" applyFont="1" applyAlignment="1">
      <alignment horizontal="left" vertical="center"/>
    </xf>
    <xf numFmtId="0" fontId="1" fillId="0" borderId="0" xfId="0" applyFont="1" applyAlignment="1" applyProtection="1">
      <alignment horizontal="center" vertical="center" wrapText="1"/>
      <protection hidden="1"/>
    </xf>
    <xf numFmtId="0" fontId="0" fillId="0" borderId="0" xfId="0" applyAlignment="1" applyProtection="1">
      <alignment horizontal="left" vertical="center"/>
      <protection hidden="1"/>
    </xf>
    <xf numFmtId="0" fontId="11" fillId="0" borderId="0" xfId="0" applyFont="1" applyAlignment="1" applyProtection="1">
      <alignment horizontal="left" vertical="center"/>
      <protection hidden="1"/>
    </xf>
    <xf numFmtId="0" fontId="43" fillId="10" borderId="26" xfId="0" applyFont="1" applyFill="1" applyBorder="1" applyAlignment="1" applyProtection="1">
      <alignment horizontal="left" vertical="center" indent="1"/>
      <protection hidden="1"/>
    </xf>
    <xf numFmtId="0" fontId="43" fillId="10" borderId="27" xfId="0" applyFont="1" applyFill="1" applyBorder="1" applyProtection="1">
      <protection hidden="1"/>
    </xf>
    <xf numFmtId="0" fontId="43" fillId="10" borderId="42" xfId="0" applyFont="1" applyFill="1" applyBorder="1" applyProtection="1">
      <protection hidden="1"/>
    </xf>
    <xf numFmtId="0" fontId="43" fillId="0" borderId="0" xfId="0" applyFont="1" applyProtection="1">
      <protection hidden="1"/>
    </xf>
    <xf numFmtId="0" fontId="11" fillId="5" borderId="5" xfId="0" applyFont="1" applyFill="1" applyBorder="1" applyAlignment="1" applyProtection="1">
      <alignment horizontal="center" vertical="center" wrapText="1"/>
      <protection hidden="1"/>
    </xf>
    <xf numFmtId="2" fontId="12" fillId="0" borderId="0" xfId="0" applyNumberFormat="1" applyFont="1" applyAlignment="1" applyProtection="1">
      <alignment horizontal="left"/>
      <protection hidden="1"/>
    </xf>
    <xf numFmtId="2" fontId="12" fillId="3" borderId="0" xfId="0" applyNumberFormat="1" applyFont="1" applyFill="1" applyAlignment="1" applyProtection="1">
      <alignment horizontal="left"/>
      <protection hidden="1"/>
    </xf>
    <xf numFmtId="0" fontId="11" fillId="10" borderId="44" xfId="0" applyFont="1" applyFill="1" applyBorder="1" applyAlignment="1" applyProtection="1">
      <alignment vertical="center"/>
      <protection hidden="1"/>
    </xf>
    <xf numFmtId="0" fontId="11" fillId="10" borderId="43" xfId="0" applyFont="1" applyFill="1" applyBorder="1" applyProtection="1">
      <protection hidden="1"/>
    </xf>
    <xf numFmtId="0" fontId="16" fillId="0" borderId="0" xfId="0" applyFont="1" applyAlignment="1" applyProtection="1">
      <alignment horizontal="left" vertical="top" indent="1"/>
      <protection hidden="1"/>
    </xf>
    <xf numFmtId="0" fontId="36" fillId="0" borderId="0" xfId="0" applyFont="1" applyAlignment="1" applyProtection="1">
      <alignment horizontal="left" vertical="center" wrapText="1"/>
      <protection hidden="1"/>
    </xf>
    <xf numFmtId="0" fontId="16" fillId="0" borderId="0" xfId="0" applyFont="1" applyAlignment="1" applyProtection="1">
      <alignment horizontal="left" vertical="center"/>
      <protection locked="0"/>
    </xf>
    <xf numFmtId="2" fontId="12" fillId="0" borderId="0" xfId="0" applyNumberFormat="1" applyFont="1" applyAlignment="1" applyProtection="1">
      <alignment horizontal="center" vertical="center" wrapText="1"/>
      <protection hidden="1"/>
    </xf>
    <xf numFmtId="0" fontId="12" fillId="16" borderId="24" xfId="0" applyFont="1" applyFill="1" applyBorder="1" applyAlignment="1" applyProtection="1">
      <alignment vertical="center"/>
      <protection hidden="1"/>
    </xf>
    <xf numFmtId="0" fontId="12" fillId="16" borderId="23" xfId="0" quotePrefix="1" applyFont="1" applyFill="1" applyBorder="1" applyAlignment="1" applyProtection="1">
      <alignment horizontal="left" vertical="center"/>
      <protection hidden="1"/>
    </xf>
    <xf numFmtId="0" fontId="16" fillId="16" borderId="24" xfId="0" applyFont="1" applyFill="1" applyBorder="1" applyAlignment="1" applyProtection="1">
      <alignment horizontal="left" vertical="center"/>
      <protection hidden="1"/>
    </xf>
    <xf numFmtId="0" fontId="16" fillId="16" borderId="25" xfId="0" applyFont="1" applyFill="1" applyBorder="1" applyAlignment="1" applyProtection="1">
      <alignment horizontal="center" vertical="center"/>
      <protection hidden="1"/>
    </xf>
    <xf numFmtId="2" fontId="16" fillId="0" borderId="0" xfId="0" applyNumberFormat="1" applyFont="1" applyAlignment="1" applyProtection="1">
      <alignment horizontal="center" vertical="center"/>
      <protection hidden="1"/>
    </xf>
    <xf numFmtId="0" fontId="2" fillId="6" borderId="3" xfId="0" applyFont="1" applyFill="1" applyBorder="1" applyAlignment="1" applyProtection="1">
      <alignment horizontal="left" vertical="top" wrapText="1"/>
      <protection locked="0"/>
    </xf>
    <xf numFmtId="0" fontId="2" fillId="6" borderId="45" xfId="0" applyFont="1" applyFill="1" applyBorder="1" applyAlignment="1" applyProtection="1">
      <alignment horizontal="left" vertical="top" wrapText="1"/>
      <protection locked="0"/>
    </xf>
    <xf numFmtId="0" fontId="79" fillId="6" borderId="44" xfId="2" applyFont="1" applyFill="1" applyBorder="1" applyAlignment="1">
      <alignment horizontal="left" vertical="top" wrapText="1"/>
    </xf>
    <xf numFmtId="2" fontId="12" fillId="6" borderId="3" xfId="0" applyNumberFormat="1" applyFont="1" applyFill="1" applyBorder="1" applyAlignment="1" applyProtection="1">
      <alignment horizontal="left" vertical="top" wrapText="1"/>
      <protection locked="0"/>
    </xf>
    <xf numFmtId="2" fontId="12" fillId="6" borderId="33" xfId="0" applyNumberFormat="1" applyFont="1" applyFill="1" applyBorder="1" applyAlignment="1" applyProtection="1">
      <alignment horizontal="left" vertical="top" wrapText="1"/>
      <protection locked="0"/>
    </xf>
    <xf numFmtId="0" fontId="79" fillId="6" borderId="3" xfId="2" applyFont="1" applyFill="1" applyBorder="1" applyAlignment="1">
      <alignment horizontal="left" vertical="top" wrapText="1"/>
    </xf>
    <xf numFmtId="0" fontId="12" fillId="6" borderId="33" xfId="0" applyFont="1" applyFill="1" applyBorder="1" applyAlignment="1" applyProtection="1">
      <alignment horizontal="left" vertical="top" wrapText="1"/>
      <protection hidden="1"/>
    </xf>
    <xf numFmtId="0" fontId="12" fillId="6" borderId="3" xfId="0" applyFont="1" applyFill="1" applyBorder="1" applyAlignment="1" applyProtection="1">
      <alignment horizontal="left" vertical="top" wrapText="1"/>
      <protection hidden="1"/>
    </xf>
    <xf numFmtId="0" fontId="2" fillId="0" borderId="27" xfId="0" applyFont="1" applyBorder="1" applyAlignment="1" applyProtection="1">
      <alignment horizontal="left" vertical="top" wrapText="1"/>
      <protection locked="0"/>
    </xf>
    <xf numFmtId="0" fontId="12" fillId="0" borderId="27" xfId="0" applyFont="1" applyBorder="1" applyAlignment="1" applyProtection="1">
      <alignment horizontal="left" vertical="top" wrapText="1"/>
      <protection locked="0"/>
    </xf>
    <xf numFmtId="0" fontId="1" fillId="0" borderId="41" xfId="0" applyFont="1" applyBorder="1" applyAlignment="1" applyProtection="1">
      <alignment horizontal="center" vertical="center" wrapText="1"/>
      <protection locked="0"/>
    </xf>
    <xf numFmtId="0" fontId="2" fillId="0" borderId="0" xfId="0" applyFont="1" applyAlignment="1" applyProtection="1">
      <alignment horizontal="left" vertical="top" wrapText="1"/>
      <protection locked="0"/>
    </xf>
    <xf numFmtId="0" fontId="79" fillId="6" borderId="43" xfId="2" applyFont="1" applyFill="1" applyBorder="1" applyAlignment="1">
      <alignment horizontal="left" vertical="top" wrapText="1"/>
    </xf>
    <xf numFmtId="0" fontId="1" fillId="0" borderId="2" xfId="0" applyFont="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37" fillId="0" borderId="0" xfId="0" applyFont="1" applyAlignment="1" applyProtection="1">
      <alignment horizontal="center" vertical="center" wrapText="1"/>
      <protection hidden="1"/>
    </xf>
    <xf numFmtId="0" fontId="79" fillId="6" borderId="51" xfId="2" applyFont="1" applyFill="1" applyBorder="1" applyAlignment="1">
      <alignment vertical="center" wrapText="1"/>
    </xf>
    <xf numFmtId="2" fontId="2" fillId="0" borderId="0" xfId="0" applyNumberFormat="1" applyFont="1" applyAlignment="1" applyProtection="1">
      <alignment horizontal="center" vertical="center" wrapText="1"/>
      <protection locked="0"/>
    </xf>
    <xf numFmtId="0" fontId="12" fillId="0" borderId="0" xfId="2"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12" fillId="0" borderId="0" xfId="0" applyFont="1" applyAlignment="1" applyProtection="1">
      <alignment horizontal="center" vertical="center" wrapText="1"/>
      <protection hidden="1"/>
    </xf>
    <xf numFmtId="0" fontId="16" fillId="0" borderId="0" xfId="0" applyFont="1" applyAlignment="1" applyProtection="1">
      <alignment horizontal="left" vertical="center" wrapText="1"/>
      <protection hidden="1"/>
    </xf>
    <xf numFmtId="0" fontId="59" fillId="0" borderId="0" xfId="0" applyFont="1" applyAlignment="1" applyProtection="1">
      <alignment horizontal="left" vertical="center" wrapText="1"/>
      <protection hidden="1"/>
    </xf>
    <xf numFmtId="0" fontId="79" fillId="6" borderId="43" xfId="2" applyFont="1" applyFill="1" applyBorder="1" applyAlignment="1">
      <alignment vertical="center" wrapText="1"/>
    </xf>
    <xf numFmtId="0" fontId="62" fillId="0" borderId="45" xfId="0" applyFont="1" applyBorder="1" applyAlignment="1" applyProtection="1">
      <alignment horizontal="left" vertical="center"/>
      <protection hidden="1"/>
    </xf>
    <xf numFmtId="1" fontId="55" fillId="6" borderId="48" xfId="0" applyNumberFormat="1" applyFont="1" applyFill="1" applyBorder="1" applyAlignment="1">
      <alignment horizontal="center" vertical="center" wrapText="1"/>
    </xf>
    <xf numFmtId="171" fontId="10" fillId="6" borderId="43" xfId="0" applyNumberFormat="1" applyFont="1" applyFill="1" applyBorder="1" applyAlignment="1">
      <alignment horizontal="center" vertical="center"/>
    </xf>
    <xf numFmtId="1" fontId="55" fillId="10" borderId="76" xfId="0" applyNumberFormat="1" applyFont="1" applyFill="1" applyBorder="1" applyAlignment="1">
      <alignment horizontal="center" vertical="center" wrapText="1"/>
    </xf>
    <xf numFmtId="171" fontId="10" fillId="10" borderId="77" xfId="0" applyNumberFormat="1" applyFont="1" applyFill="1" applyBorder="1" applyAlignment="1">
      <alignment horizontal="center" vertical="center"/>
    </xf>
    <xf numFmtId="171" fontId="26" fillId="10" borderId="77" xfId="0" applyNumberFormat="1" applyFont="1" applyFill="1" applyBorder="1" applyAlignment="1" applyProtection="1">
      <alignment horizontal="center" vertical="center"/>
      <protection hidden="1"/>
    </xf>
    <xf numFmtId="2" fontId="3" fillId="0" borderId="78" xfId="0" applyNumberFormat="1" applyFont="1" applyBorder="1" applyAlignment="1">
      <alignment horizontal="center" vertical="center" wrapText="1"/>
    </xf>
    <xf numFmtId="2" fontId="60" fillId="3" borderId="79" xfId="0" applyNumberFormat="1" applyFont="1" applyFill="1" applyBorder="1" applyAlignment="1" applyProtection="1">
      <alignment horizontal="center" vertical="center"/>
      <protection locked="0"/>
    </xf>
    <xf numFmtId="0" fontId="1" fillId="0" borderId="0" xfId="0" applyFont="1" applyAlignment="1" applyProtection="1">
      <alignment horizontal="left" wrapText="1"/>
      <protection hidden="1"/>
    </xf>
    <xf numFmtId="0" fontId="0" fillId="0" borderId="0" xfId="0" applyAlignment="1" applyProtection="1">
      <alignment horizontal="left" wrapText="1"/>
      <protection hidden="1"/>
    </xf>
    <xf numFmtId="0" fontId="15" fillId="12" borderId="36" xfId="0" applyFont="1" applyFill="1" applyBorder="1" applyAlignment="1">
      <alignment horizontal="left" vertical="center"/>
    </xf>
    <xf numFmtId="172" fontId="1" fillId="0" borderId="0" xfId="0" applyNumberFormat="1" applyFont="1" applyAlignment="1" applyProtection="1">
      <alignment horizontal="center"/>
      <protection hidden="1"/>
    </xf>
    <xf numFmtId="172" fontId="0" fillId="0" borderId="0" xfId="0" applyNumberFormat="1" applyAlignment="1" applyProtection="1">
      <alignment horizontal="center"/>
      <protection hidden="1"/>
    </xf>
    <xf numFmtId="173" fontId="1" fillId="0" borderId="0" xfId="0" applyNumberFormat="1" applyFont="1" applyAlignment="1" applyProtection="1">
      <alignment horizontal="center"/>
      <protection hidden="1"/>
    </xf>
    <xf numFmtId="173" fontId="0" fillId="0" borderId="0" xfId="0" applyNumberFormat="1" applyAlignment="1" applyProtection="1">
      <alignment horizontal="center"/>
      <protection hidden="1"/>
    </xf>
    <xf numFmtId="0" fontId="91" fillId="0" borderId="0" xfId="2" applyFont="1" applyAlignment="1">
      <alignment vertical="center"/>
    </xf>
    <xf numFmtId="0" fontId="14" fillId="0" borderId="0" xfId="2"/>
    <xf numFmtId="0" fontId="91" fillId="0" borderId="0" xfId="2" applyFont="1" applyAlignment="1" applyProtection="1">
      <alignment horizontal="left" vertical="center" wrapText="1"/>
      <protection hidden="1"/>
    </xf>
    <xf numFmtId="0" fontId="91" fillId="0" borderId="0" xfId="2" applyFont="1" applyAlignment="1" applyProtection="1">
      <alignment vertical="center"/>
      <protection hidden="1"/>
    </xf>
    <xf numFmtId="0" fontId="8" fillId="4" borderId="49" xfId="0" applyFont="1" applyFill="1" applyBorder="1" applyAlignment="1" applyProtection="1">
      <alignment horizontal="center" vertical="center"/>
      <protection locked="0" hidden="1"/>
    </xf>
    <xf numFmtId="0" fontId="0" fillId="5" borderId="36" xfId="0" applyFill="1" applyBorder="1" applyAlignment="1">
      <alignment horizontal="left" vertical="top" wrapText="1"/>
    </xf>
    <xf numFmtId="0" fontId="79" fillId="5" borderId="44" xfId="2" applyFont="1" applyFill="1" applyBorder="1" applyAlignment="1">
      <alignment horizontal="left" wrapText="1"/>
    </xf>
    <xf numFmtId="0" fontId="79" fillId="5" borderId="43" xfId="2" applyFont="1" applyFill="1" applyBorder="1" applyAlignment="1">
      <alignment horizontal="left" vertical="top" wrapText="1"/>
    </xf>
    <xf numFmtId="0" fontId="0" fillId="5" borderId="33" xfId="0" applyFill="1" applyBorder="1" applyAlignment="1">
      <alignment horizontal="left" vertical="top" wrapText="1"/>
    </xf>
    <xf numFmtId="0" fontId="79" fillId="6" borderId="44" xfId="2" applyFont="1" applyFill="1" applyBorder="1" applyAlignment="1">
      <alignment horizontal="left" vertical="center" wrapText="1"/>
    </xf>
    <xf numFmtId="0" fontId="41" fillId="0" borderId="0" xfId="0" applyFont="1" applyProtection="1">
      <protection hidden="1"/>
    </xf>
    <xf numFmtId="0" fontId="91" fillId="0" borderId="0" xfId="2" applyFont="1" applyAlignment="1" applyProtection="1">
      <alignment vertical="top"/>
      <protection locked="0"/>
    </xf>
    <xf numFmtId="0" fontId="91" fillId="0" borderId="0" xfId="2" applyFont="1" applyAlignment="1" applyProtection="1">
      <alignment horizontal="left" vertical="center" wrapText="1"/>
      <protection locked="0"/>
    </xf>
    <xf numFmtId="0" fontId="91" fillId="0" borderId="0" xfId="2" applyFont="1" applyAlignment="1" applyProtection="1">
      <alignment vertical="center"/>
      <protection locked="0"/>
    </xf>
    <xf numFmtId="0" fontId="15" fillId="0" borderId="0" xfId="0" applyFont="1" applyAlignment="1" applyProtection="1">
      <alignment vertical="center"/>
      <protection hidden="1"/>
    </xf>
    <xf numFmtId="0" fontId="14" fillId="0" borderId="0" xfId="2" applyAlignment="1" applyProtection="1">
      <alignment vertical="center"/>
      <protection locked="0"/>
    </xf>
    <xf numFmtId="0" fontId="93" fillId="3" borderId="0" xfId="0" applyFont="1" applyFill="1" applyAlignment="1" applyProtection="1">
      <alignment horizontal="left" vertical="center"/>
      <protection hidden="1"/>
    </xf>
    <xf numFmtId="0" fontId="95" fillId="3" borderId="0" xfId="0" applyFont="1" applyFill="1" applyAlignment="1" applyProtection="1">
      <alignment horizontal="left" vertical="center"/>
      <protection hidden="1"/>
    </xf>
    <xf numFmtId="0" fontId="95" fillId="0" borderId="0" xfId="0" applyFont="1" applyAlignment="1" applyProtection="1">
      <alignment horizontal="left" vertical="center" indent="4"/>
      <protection hidden="1"/>
    </xf>
    <xf numFmtId="0" fontId="94" fillId="3" borderId="0" xfId="0" applyFont="1" applyFill="1" applyAlignment="1" applyProtection="1">
      <alignment vertical="center"/>
      <protection hidden="1"/>
    </xf>
    <xf numFmtId="0" fontId="93" fillId="3" borderId="0" xfId="0" applyFont="1" applyFill="1" applyAlignment="1" applyProtection="1">
      <alignment vertical="center"/>
      <protection hidden="1"/>
    </xf>
    <xf numFmtId="0" fontId="95" fillId="3" borderId="0" xfId="0" applyFont="1" applyFill="1" applyAlignment="1" applyProtection="1">
      <alignment vertical="top"/>
      <protection hidden="1"/>
    </xf>
    <xf numFmtId="0" fontId="44" fillId="3" borderId="0" xfId="0" applyFont="1" applyFill="1" applyAlignment="1" applyProtection="1">
      <alignment vertical="center"/>
      <protection hidden="1"/>
    </xf>
    <xf numFmtId="0" fontId="93" fillId="3" borderId="0" xfId="0" applyFont="1" applyFill="1" applyAlignment="1" applyProtection="1">
      <alignment horizontal="left" vertical="top"/>
      <protection hidden="1"/>
    </xf>
    <xf numFmtId="0" fontId="93" fillId="3" borderId="0" xfId="0" applyFont="1" applyFill="1" applyAlignment="1" applyProtection="1">
      <alignment vertical="top"/>
      <protection hidden="1"/>
    </xf>
    <xf numFmtId="0" fontId="91" fillId="0" borderId="0" xfId="2" applyFont="1" applyAlignment="1" applyProtection="1">
      <alignment horizontal="center" vertical="top"/>
      <protection locked="0"/>
    </xf>
  </cellXfs>
  <cellStyles count="4">
    <cellStyle name="Comma" xfId="3" builtinId="3"/>
    <cellStyle name="Currency" xfId="1" builtinId="4"/>
    <cellStyle name="Hyperlink" xfId="2" builtinId="8"/>
    <cellStyle name="Normal" xfId="0" builtinId="0"/>
  </cellStyles>
  <dxfs count="230">
    <dxf>
      <fill>
        <patternFill>
          <bgColor theme="3" tint="0.499984740745262"/>
        </patternFill>
      </fill>
    </dxf>
    <dxf>
      <fill>
        <patternFill>
          <bgColor theme="9"/>
        </patternFill>
      </fill>
    </dxf>
    <dxf>
      <fill>
        <patternFill>
          <bgColor rgb="FFFFFF00"/>
        </patternFill>
      </fill>
    </dxf>
    <dxf>
      <fill>
        <patternFill>
          <bgColor rgb="FFFFC000"/>
        </patternFill>
      </fill>
    </dxf>
    <dxf>
      <fill>
        <patternFill>
          <bgColor theme="0"/>
        </patternFill>
      </fill>
    </dxf>
    <dxf>
      <fill>
        <patternFill>
          <bgColor theme="0"/>
        </patternFill>
      </fill>
      <border>
        <left style="thin">
          <color auto="1"/>
        </left>
        <right style="thin">
          <color auto="1"/>
        </right>
        <top style="thin">
          <color auto="1"/>
        </top>
        <bottom style="thin">
          <color auto="1"/>
        </bottom>
        <vertical/>
        <horizontal/>
      </border>
    </dxf>
    <dxf>
      <fill>
        <patternFill>
          <bgColor theme="2" tint="-0.24994659260841701"/>
        </patternFill>
      </fill>
      <border>
        <left style="thin">
          <color auto="1"/>
        </left>
        <right style="thin">
          <color auto="1"/>
        </right>
        <top style="thin">
          <color auto="1"/>
        </top>
        <bottom style="thin">
          <color auto="1"/>
        </bottom>
        <vertical/>
        <horizontal/>
      </border>
    </dxf>
    <dxf>
      <fill>
        <patternFill>
          <bgColor theme="2" tint="-0.24994659260841701"/>
        </patternFill>
      </fill>
      <border>
        <left style="thin">
          <color auto="1"/>
        </left>
        <right style="thin">
          <color auto="1"/>
        </right>
        <top style="thin">
          <color auto="1"/>
        </top>
        <bottom style="thin">
          <color auto="1"/>
        </bottom>
        <vertical/>
        <horizontal/>
      </border>
    </dxf>
    <dxf>
      <fill>
        <patternFill>
          <bgColor theme="0"/>
        </patternFill>
      </fill>
    </dxf>
    <dxf>
      <fill>
        <patternFill>
          <bgColor theme="0"/>
        </patternFill>
      </fill>
      <border>
        <left style="thin">
          <color auto="1"/>
        </left>
        <right style="thin">
          <color auto="1"/>
        </right>
        <top style="thin">
          <color auto="1"/>
        </top>
        <bottom style="thin">
          <color auto="1"/>
        </bottom>
        <vertical/>
        <horizontal/>
      </border>
    </dxf>
    <dxf>
      <fill>
        <patternFill>
          <bgColor theme="2" tint="-0.24994659260841701"/>
        </patternFill>
      </fill>
      <border>
        <left style="thin">
          <color auto="1"/>
        </left>
        <right style="thin">
          <color auto="1"/>
        </right>
        <top style="thin">
          <color auto="1"/>
        </top>
        <bottom style="thin">
          <color auto="1"/>
        </bottom>
        <vertical/>
        <horizontal/>
      </border>
    </dxf>
    <dxf>
      <fill>
        <patternFill>
          <bgColor theme="0"/>
        </patternFill>
      </fill>
    </dxf>
    <dxf>
      <fill>
        <patternFill>
          <bgColor theme="0"/>
        </patternFill>
      </fill>
      <border>
        <left style="thin">
          <color auto="1"/>
        </left>
        <right style="thin">
          <color auto="1"/>
        </right>
        <top style="thin">
          <color auto="1"/>
        </top>
        <bottom style="thin">
          <color auto="1"/>
        </bottom>
        <vertical/>
        <horizontal/>
      </border>
    </dxf>
    <dxf>
      <fill>
        <patternFill>
          <bgColor theme="2" tint="-0.24994659260841701"/>
        </patternFill>
      </fill>
      <border>
        <left style="thin">
          <color auto="1"/>
        </left>
        <right style="thin">
          <color auto="1"/>
        </right>
        <top style="thin">
          <color auto="1"/>
        </top>
        <bottom style="thin">
          <color auto="1"/>
        </bottom>
        <vertical/>
        <horizontal/>
      </border>
    </dxf>
    <dxf>
      <fill>
        <patternFill>
          <bgColor theme="0"/>
        </patternFill>
      </fill>
    </dxf>
    <dxf>
      <fill>
        <patternFill>
          <bgColor theme="0"/>
        </patternFill>
      </fill>
      <border>
        <left style="thin">
          <color auto="1"/>
        </left>
        <right style="thin">
          <color auto="1"/>
        </right>
        <top style="thin">
          <color auto="1"/>
        </top>
        <bottom style="thin">
          <color auto="1"/>
        </bottom>
        <vertical/>
        <horizontal/>
      </border>
    </dxf>
    <dxf>
      <fill>
        <patternFill>
          <bgColor theme="2" tint="-0.24994659260841701"/>
        </patternFill>
      </fill>
      <border>
        <left style="thin">
          <color auto="1"/>
        </left>
        <right style="thin">
          <color auto="1"/>
        </right>
        <top style="thin">
          <color auto="1"/>
        </top>
        <bottom style="thin">
          <color auto="1"/>
        </bottom>
        <vertical/>
        <horizontal/>
      </border>
    </dxf>
    <dxf>
      <fill>
        <patternFill>
          <bgColor theme="0"/>
        </patternFill>
      </fill>
    </dxf>
    <dxf>
      <fill>
        <patternFill>
          <bgColor theme="0"/>
        </patternFill>
      </fill>
      <border>
        <left style="thin">
          <color auto="1"/>
        </left>
        <right style="thin">
          <color auto="1"/>
        </right>
        <top style="thin">
          <color auto="1"/>
        </top>
        <bottom style="thin">
          <color auto="1"/>
        </bottom>
        <vertical/>
        <horizontal/>
      </border>
    </dxf>
    <dxf>
      <font>
        <color theme="2" tint="-0.24994659260841701"/>
      </font>
      <fill>
        <patternFill>
          <bgColor theme="2" tint="-0.24994659260841701"/>
        </patternFill>
      </fill>
      <border>
        <left style="thin">
          <color auto="1"/>
        </left>
        <right style="thin">
          <color auto="1"/>
        </right>
        <top style="thin">
          <color auto="1"/>
        </top>
        <bottom style="thin">
          <color auto="1"/>
        </bottom>
      </border>
    </dxf>
    <dxf>
      <fill>
        <patternFill>
          <bgColor theme="2" tint="-0.24994659260841701"/>
        </patternFill>
      </fill>
      <border>
        <left style="thin">
          <color auto="1"/>
        </left>
        <right style="thin">
          <color auto="1"/>
        </right>
        <top style="thin">
          <color auto="1"/>
        </top>
        <bottom style="thin">
          <color auto="1"/>
        </bottom>
        <vertical/>
        <horizontal/>
      </border>
    </dxf>
    <dxf>
      <fill>
        <patternFill>
          <bgColor theme="0"/>
        </patternFill>
      </fill>
    </dxf>
    <dxf>
      <fill>
        <patternFill>
          <bgColor theme="0"/>
        </patternFill>
      </fill>
      <border>
        <left style="thin">
          <color auto="1"/>
        </left>
        <right style="thin">
          <color auto="1"/>
        </right>
        <top style="thin">
          <color auto="1"/>
        </top>
        <bottom style="thin">
          <color auto="1"/>
        </bottom>
        <vertical/>
        <horizontal/>
      </border>
    </dxf>
    <dxf>
      <fill>
        <patternFill>
          <bgColor theme="2" tint="-0.24994659260841701"/>
        </patternFill>
      </fill>
      <border>
        <left style="thin">
          <color auto="1"/>
        </left>
        <right style="thin">
          <color auto="1"/>
        </right>
        <top style="thin">
          <color auto="1"/>
        </top>
        <bottom style="thin">
          <color auto="1"/>
        </bottom>
        <vertical/>
        <horizontal/>
      </border>
    </dxf>
    <dxf>
      <fill>
        <patternFill>
          <bgColor theme="0"/>
        </patternFill>
      </fill>
    </dxf>
    <dxf>
      <fill>
        <patternFill>
          <bgColor theme="0"/>
        </patternFill>
      </fill>
      <border>
        <left style="thin">
          <color auto="1"/>
        </left>
        <right style="thin">
          <color auto="1"/>
        </right>
        <top style="thin">
          <color auto="1"/>
        </top>
        <bottom style="thin">
          <color auto="1"/>
        </bottom>
        <vertical/>
        <horizontal/>
      </border>
    </dxf>
    <dxf>
      <fill>
        <patternFill>
          <bgColor theme="2" tint="-0.24994659260841701"/>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dxf>
    <dxf>
      <fill>
        <patternFill>
          <bgColor theme="0"/>
        </patternFill>
      </fill>
    </dxf>
    <dxf>
      <border>
        <left style="thin">
          <color auto="1"/>
        </left>
        <right style="thin">
          <color auto="1"/>
        </right>
        <top style="thin">
          <color auto="1"/>
        </top>
        <bottom style="thin">
          <color auto="1"/>
        </bottom>
        <vertical/>
        <horizontal/>
      </border>
    </dxf>
    <dxf>
      <font>
        <b/>
        <i val="0"/>
        <color rgb="FFFF0000"/>
      </font>
      <fill>
        <patternFill>
          <bgColor theme="0"/>
        </patternFill>
      </fill>
      <border>
        <left style="thin">
          <color auto="1"/>
        </left>
        <right style="thin">
          <color auto="1"/>
        </right>
        <top style="thin">
          <color auto="1"/>
        </top>
        <bottom/>
        <vertical/>
        <horizontal/>
      </border>
    </dxf>
    <dxf>
      <font>
        <b/>
        <i val="0"/>
        <color rgb="FFFF0000"/>
      </font>
      <fill>
        <patternFill>
          <bgColor theme="0"/>
        </patternFill>
      </fill>
      <border>
        <left style="thin">
          <color auto="1"/>
        </left>
        <right style="thin">
          <color auto="1"/>
        </right>
        <top/>
        <bottom style="thin">
          <color auto="1"/>
        </bottom>
        <vertical/>
        <horizontal/>
      </border>
    </dxf>
    <dxf>
      <font>
        <color theme="0"/>
      </font>
      <fill>
        <patternFill>
          <bgColor theme="0"/>
        </patternFill>
      </fill>
    </dxf>
    <dxf>
      <font>
        <color theme="1"/>
      </font>
      <fill>
        <patternFill>
          <bgColor theme="0"/>
        </patternFill>
      </fill>
      <border>
        <left style="thin">
          <color auto="1"/>
        </left>
        <right style="thin">
          <color auto="1"/>
        </right>
        <top style="thin">
          <color auto="1"/>
        </top>
        <bottom style="thin">
          <color auto="1"/>
        </bottom>
      </border>
    </dxf>
    <dxf>
      <font>
        <color theme="1"/>
      </font>
      <fill>
        <patternFill>
          <bgColor theme="0"/>
        </patternFill>
      </fill>
      <border>
        <left style="thin">
          <color auto="1"/>
        </left>
        <right style="thin">
          <color auto="1"/>
        </right>
        <top style="thin">
          <color auto="1"/>
        </top>
        <bottom style="thin">
          <color auto="1"/>
        </bottom>
      </border>
    </dxf>
    <dxf>
      <font>
        <color theme="0"/>
      </font>
      <fill>
        <patternFill>
          <bgColor theme="0"/>
        </patternFill>
      </fill>
    </dxf>
    <dxf>
      <fill>
        <patternFill>
          <bgColor theme="2" tint="-0.24994659260841701"/>
        </patternFill>
      </fill>
      <border>
        <left style="thin">
          <color auto="1"/>
        </left>
        <right style="thin">
          <color auto="1"/>
        </right>
        <top style="thin">
          <color auto="1"/>
        </top>
        <bottom style="thin">
          <color auto="1"/>
        </bottom>
      </border>
    </dxf>
    <dxf>
      <font>
        <color theme="1"/>
      </font>
      <fill>
        <patternFill>
          <bgColor theme="0"/>
        </patternFill>
      </fill>
      <border>
        <left style="thin">
          <color auto="1"/>
        </left>
        <right style="thin">
          <color auto="1"/>
        </right>
        <top style="thin">
          <color auto="1"/>
        </top>
        <bottom style="thin">
          <color auto="1"/>
        </bottom>
        <vertical/>
        <horizontal/>
      </border>
    </dxf>
    <dxf>
      <fill>
        <patternFill>
          <bgColor theme="0"/>
        </patternFill>
      </fill>
    </dxf>
    <dxf>
      <fill>
        <patternFill>
          <bgColor rgb="FFFFFF00"/>
        </patternFill>
      </fill>
    </dxf>
    <dxf>
      <fill>
        <patternFill>
          <bgColor theme="2" tint="-0.24994659260841701"/>
        </patternFill>
      </fill>
      <border>
        <left style="thin">
          <color auto="1"/>
        </left>
        <right style="thin">
          <color auto="1"/>
        </right>
        <top style="thin">
          <color auto="1"/>
        </top>
        <bottom style="thin">
          <color auto="1"/>
        </bottom>
      </border>
    </dxf>
    <dxf>
      <fill>
        <patternFill>
          <bgColor theme="0"/>
        </patternFill>
      </fill>
    </dxf>
    <dxf>
      <font>
        <color theme="1"/>
      </font>
      <fill>
        <patternFill>
          <bgColor theme="0"/>
        </patternFill>
      </fill>
      <border>
        <left style="thin">
          <color auto="1"/>
        </left>
        <right style="thin">
          <color auto="1"/>
        </right>
        <top style="thin">
          <color auto="1"/>
        </top>
        <bottom style="thin">
          <color auto="1"/>
        </bottom>
        <vertical/>
        <horizontal/>
      </border>
    </dxf>
    <dxf>
      <font>
        <b/>
        <i val="0"/>
        <color auto="1"/>
      </font>
    </dxf>
    <dxf>
      <fill>
        <patternFill>
          <bgColor theme="2" tint="-0.24994659260841701"/>
        </patternFill>
      </fill>
      <border>
        <left style="thin">
          <color auto="1"/>
        </left>
        <right style="thin">
          <color auto="1"/>
        </right>
        <top style="thin">
          <color auto="1"/>
        </top>
        <bottom style="thin">
          <color auto="1"/>
        </bottom>
      </border>
    </dxf>
    <dxf>
      <fill>
        <patternFill>
          <bgColor theme="0"/>
        </patternFill>
      </fill>
    </dxf>
    <dxf>
      <font>
        <color theme="1"/>
      </font>
      <fill>
        <patternFill>
          <bgColor theme="0"/>
        </patternFill>
      </fill>
      <border>
        <left style="thin">
          <color auto="1"/>
        </left>
        <right style="thin">
          <color auto="1"/>
        </right>
        <top style="thin">
          <color auto="1"/>
        </top>
        <bottom style="thin">
          <color auto="1"/>
        </bottom>
        <vertical/>
        <horizontal/>
      </border>
    </dxf>
    <dxf>
      <fill>
        <patternFill>
          <bgColor theme="2" tint="-0.24994659260841701"/>
        </patternFill>
      </fill>
      <border>
        <left style="thin">
          <color auto="1"/>
        </left>
        <right style="thin">
          <color auto="1"/>
        </right>
        <top style="thin">
          <color auto="1"/>
        </top>
        <bottom style="thin">
          <color auto="1"/>
        </bottom>
      </border>
    </dxf>
    <dxf>
      <font>
        <color theme="1"/>
      </font>
      <fill>
        <patternFill>
          <bgColor theme="0"/>
        </patternFill>
      </fill>
      <border>
        <left style="thin">
          <color auto="1"/>
        </left>
        <right style="thin">
          <color auto="1"/>
        </right>
        <top style="thin">
          <color auto="1"/>
        </top>
        <bottom style="thin">
          <color auto="1"/>
        </bottom>
        <vertical/>
        <horizontal/>
      </border>
    </dxf>
    <dxf>
      <fill>
        <patternFill>
          <bgColor theme="0"/>
        </patternFill>
      </fill>
    </dxf>
    <dxf>
      <font>
        <b/>
        <i val="0"/>
      </font>
      <fill>
        <patternFill>
          <bgColor theme="0"/>
        </patternFill>
      </fill>
    </dxf>
    <dxf>
      <fill>
        <patternFill>
          <bgColor theme="2" tint="-0.24994659260841701"/>
        </patternFill>
      </fill>
      <border>
        <left style="thin">
          <color auto="1"/>
        </left>
        <right style="thin">
          <color auto="1"/>
        </right>
        <top style="thin">
          <color auto="1"/>
        </top>
        <bottom style="thin">
          <color auto="1"/>
        </bottom>
      </border>
    </dxf>
    <dxf>
      <fill>
        <patternFill>
          <bgColor theme="0"/>
        </patternFill>
      </fill>
    </dxf>
    <dxf>
      <font>
        <color theme="1"/>
      </font>
      <fill>
        <patternFill>
          <bgColor theme="0"/>
        </patternFill>
      </fill>
      <border>
        <left style="thin">
          <color auto="1"/>
        </left>
        <right style="thin">
          <color auto="1"/>
        </right>
        <top style="thin">
          <color auto="1"/>
        </top>
        <bottom style="thin">
          <color auto="1"/>
        </bottom>
        <vertical/>
        <horizontal/>
      </border>
    </dxf>
    <dxf>
      <font>
        <b/>
        <i val="0"/>
        <color rgb="FFFF0000"/>
      </font>
      <border>
        <left/>
        <right/>
        <top style="thin">
          <color auto="1"/>
        </top>
        <bottom style="thin">
          <color auto="1"/>
        </bottom>
        <vertical/>
        <horizontal/>
      </border>
    </dxf>
    <dxf>
      <fill>
        <patternFill>
          <bgColor theme="0"/>
        </patternFill>
      </fill>
    </dxf>
    <dxf>
      <border>
        <left style="thin">
          <color auto="1"/>
        </left>
        <right style="thin">
          <color auto="1"/>
        </right>
        <top style="thin">
          <color auto="1"/>
        </top>
        <bottom style="thin">
          <color auto="1"/>
        </bottom>
        <vertical/>
        <horizontal/>
      </border>
    </dxf>
    <dxf>
      <font>
        <color theme="0"/>
      </font>
      <fill>
        <patternFill>
          <bgColor theme="0"/>
        </patternFill>
      </fill>
    </dxf>
    <dxf>
      <font>
        <b val="0"/>
        <i val="0"/>
        <color rgb="FFFF0000"/>
      </font>
      <border>
        <left style="thin">
          <color auto="1"/>
        </left>
        <right style="thin">
          <color auto="1"/>
        </right>
        <top style="thin">
          <color auto="1"/>
        </top>
        <bottom style="thin">
          <color auto="1"/>
        </bottom>
      </border>
    </dxf>
    <dxf>
      <font>
        <b val="0"/>
        <i val="0"/>
        <color theme="6"/>
      </font>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vertical/>
        <horizontal/>
      </border>
    </dxf>
    <dxf>
      <font>
        <b/>
        <i val="0"/>
      </font>
    </dxf>
    <dxf>
      <font>
        <b/>
        <i val="0"/>
      </font>
    </dxf>
    <dxf>
      <font>
        <color theme="0"/>
      </font>
      <fill>
        <patternFill>
          <bgColor theme="0"/>
        </patternFill>
      </fill>
    </dxf>
    <dxf>
      <font>
        <color theme="1"/>
      </font>
      <fill>
        <patternFill>
          <bgColor theme="0"/>
        </patternFill>
      </fill>
      <border>
        <left style="thin">
          <color auto="1"/>
        </left>
        <right style="thin">
          <color auto="1"/>
        </right>
        <top style="thin">
          <color auto="1"/>
        </top>
        <bottom style="thin">
          <color auto="1"/>
        </bottom>
      </border>
    </dxf>
    <dxf>
      <font>
        <color theme="1"/>
      </font>
      <fill>
        <patternFill>
          <bgColor theme="0"/>
        </patternFill>
      </fill>
    </dxf>
    <dxf>
      <font>
        <b/>
        <i val="0"/>
        <strike/>
        <color rgb="FFFF0000"/>
      </font>
    </dxf>
    <dxf>
      <font>
        <b/>
        <i val="0"/>
        <strike/>
        <color rgb="FFFF0000"/>
      </font>
    </dxf>
    <dxf>
      <font>
        <b/>
        <i val="0"/>
        <strike/>
        <color rgb="FFFF0000"/>
      </font>
    </dxf>
    <dxf>
      <font>
        <b/>
        <i val="0"/>
        <color rgb="FFFF0000"/>
      </font>
      <fill>
        <patternFill>
          <bgColor theme="0"/>
        </patternFill>
      </fill>
      <border>
        <left style="thin">
          <color auto="1"/>
        </left>
        <right style="thin">
          <color auto="1"/>
        </right>
        <top style="thin">
          <color auto="1"/>
        </top>
        <bottom style="thin">
          <color auto="1"/>
        </bottom>
        <vertical/>
        <horizontal/>
      </border>
    </dxf>
    <dxf>
      <font>
        <b/>
        <i val="0"/>
        <strike/>
        <color rgb="FFFF0000"/>
      </font>
    </dxf>
    <dxf>
      <font>
        <b/>
        <i val="0"/>
        <strike/>
        <color rgb="FFFF0000"/>
      </font>
    </dxf>
    <dxf>
      <font>
        <b/>
        <i val="0"/>
        <color auto="1"/>
      </font>
    </dxf>
    <dxf>
      <font>
        <b/>
        <i val="0"/>
        <strike val="0"/>
        <color rgb="FFFF0000"/>
      </font>
    </dxf>
    <dxf>
      <border>
        <left style="thin">
          <color auto="1"/>
        </left>
        <right style="thin">
          <color auto="1"/>
        </right>
        <top style="thin">
          <color auto="1"/>
        </top>
        <bottom style="thin">
          <color auto="1"/>
        </bottom>
        <vertical/>
        <horizontal/>
      </border>
    </dxf>
    <dxf>
      <font>
        <b/>
        <i val="0"/>
        <strike val="0"/>
        <color rgb="FFFF0000"/>
      </font>
    </dxf>
    <dxf>
      <font>
        <color theme="0"/>
      </font>
      <fill>
        <patternFill>
          <bgColor theme="0"/>
        </patternFill>
      </fill>
      <border>
        <left/>
        <right/>
        <top/>
        <bottom/>
        <vertical/>
        <horizontal/>
      </border>
    </dxf>
    <dxf>
      <font>
        <color theme="1"/>
      </font>
      <fill>
        <patternFill>
          <bgColor theme="0"/>
        </patternFill>
      </fill>
    </dxf>
    <dxf>
      <font>
        <color theme="1"/>
      </font>
      <fill>
        <patternFill>
          <bgColor theme="0"/>
        </patternFill>
      </fill>
    </dxf>
    <dxf>
      <font>
        <color theme="1"/>
      </font>
      <fill>
        <patternFill>
          <bgColor theme="0"/>
        </patternFill>
      </fill>
    </dxf>
    <dxf>
      <font>
        <color auto="1"/>
      </font>
      <fill>
        <patternFill>
          <bgColor theme="0"/>
        </patternFill>
      </fill>
    </dxf>
    <dxf>
      <font>
        <color theme="2" tint="-0.24994659260841701"/>
      </font>
      <fill>
        <patternFill>
          <bgColor theme="2" tint="-0.24994659260841701"/>
        </patternFill>
      </fill>
    </dxf>
    <dxf>
      <font>
        <color theme="2" tint="-0.24994659260841701"/>
      </font>
      <fill>
        <patternFill>
          <bgColor theme="2" tint="-0.24994659260841701"/>
        </patternFill>
      </fill>
    </dxf>
    <dxf>
      <font>
        <color theme="2" tint="-0.24994659260841701"/>
      </font>
      <fill>
        <patternFill>
          <bgColor theme="2" tint="-0.24994659260841701"/>
        </patternFill>
      </fill>
    </dxf>
    <dxf>
      <font>
        <color theme="2" tint="-0.24994659260841701"/>
      </font>
      <fill>
        <patternFill>
          <bgColor theme="2" tint="-0.24994659260841701"/>
        </patternFill>
      </fill>
    </dxf>
    <dxf>
      <font>
        <color theme="2" tint="-0.24994659260841701"/>
      </font>
      <fill>
        <patternFill>
          <bgColor theme="2" tint="-0.24994659260841701"/>
        </patternFill>
      </fill>
    </dxf>
    <dxf>
      <font>
        <color theme="2" tint="-0.24994659260841701"/>
      </font>
      <fill>
        <patternFill>
          <bgColor theme="2" tint="-0.24994659260841701"/>
        </patternFill>
      </fill>
    </dxf>
    <dxf>
      <font>
        <color theme="2" tint="-0.24994659260841701"/>
      </font>
      <fill>
        <patternFill>
          <bgColor theme="2" tint="-0.24994659260841701"/>
        </patternFill>
      </fill>
    </dxf>
    <dxf>
      <font>
        <color theme="2" tint="-0.24994659260841701"/>
      </font>
      <fill>
        <patternFill>
          <bgColor theme="2" tint="-0.24994659260841701"/>
        </patternFill>
      </fill>
    </dxf>
    <dxf>
      <font>
        <color theme="2" tint="-0.24994659260841701"/>
      </font>
      <fill>
        <patternFill>
          <bgColor theme="2" tint="-0.24994659260841701"/>
        </patternFill>
      </fill>
    </dxf>
    <dxf>
      <font>
        <color theme="2" tint="-0.24994659260841701"/>
      </font>
      <fill>
        <patternFill>
          <bgColor theme="2" tint="-0.24994659260841701"/>
        </patternFill>
      </fill>
    </dxf>
    <dxf>
      <font>
        <color theme="2" tint="-0.24994659260841701"/>
      </font>
      <fill>
        <patternFill>
          <bgColor theme="2" tint="-0.24994659260841701"/>
        </patternFill>
      </fill>
    </dxf>
    <dxf>
      <font>
        <b/>
        <i val="0"/>
        <strike/>
        <color rgb="FFFF0000"/>
      </font>
    </dxf>
    <dxf>
      <font>
        <b/>
        <i val="0"/>
        <strike/>
        <color rgb="FFFF0000"/>
      </font>
    </dxf>
    <dxf>
      <font>
        <b/>
        <i val="0"/>
        <strike/>
        <color rgb="FFFF0000"/>
      </font>
    </dxf>
    <dxf>
      <font>
        <b/>
        <i val="0"/>
        <strike/>
        <color rgb="FFFF0000"/>
      </font>
    </dxf>
    <dxf>
      <font>
        <b/>
        <i val="0"/>
        <strike/>
        <color rgb="FFFF0000"/>
      </font>
    </dxf>
    <dxf>
      <font>
        <b/>
        <i val="0"/>
        <strike/>
        <color rgb="FFFF0000"/>
      </font>
    </dxf>
    <dxf>
      <font>
        <b/>
        <i val="0"/>
        <strike/>
        <color rgb="FFFF0000"/>
      </font>
    </dxf>
    <dxf>
      <font>
        <b/>
        <i val="0"/>
        <strike/>
        <color rgb="FFFF0000"/>
      </font>
    </dxf>
    <dxf>
      <font>
        <b/>
        <i val="0"/>
        <color rgb="FFFF0000"/>
      </font>
      <fill>
        <patternFill>
          <bgColor theme="0"/>
        </patternFill>
      </fill>
      <border>
        <left style="thin">
          <color auto="1"/>
        </left>
        <right style="thin">
          <color auto="1"/>
        </right>
        <top/>
        <bottom style="thin">
          <color auto="1"/>
        </bottom>
        <vertical/>
        <horizontal/>
      </border>
    </dxf>
    <dxf>
      <font>
        <b/>
        <i val="0"/>
        <color rgb="FFFF0000"/>
      </font>
      <fill>
        <patternFill>
          <bgColor theme="0"/>
        </patternFill>
      </fill>
      <border>
        <left style="thin">
          <color auto="1"/>
        </left>
        <right style="thin">
          <color auto="1"/>
        </right>
        <top style="thin">
          <color auto="1"/>
        </top>
        <bottom/>
        <vertical/>
        <horizontal/>
      </border>
    </dxf>
    <dxf>
      <font>
        <b/>
        <i val="0"/>
        <strike/>
        <color rgb="FFFF0000"/>
      </font>
    </dxf>
    <dxf>
      <border>
        <vertical/>
        <horizontal/>
      </border>
    </dxf>
    <dxf>
      <border>
        <vertical/>
        <horizontal/>
      </border>
    </dxf>
    <dxf>
      <fill>
        <patternFill>
          <bgColor rgb="FFFFFF00"/>
        </patternFill>
      </fill>
    </dxf>
    <dxf>
      <font>
        <b/>
        <i val="0"/>
        <color auto="1"/>
      </font>
    </dxf>
    <dxf>
      <font>
        <color auto="1"/>
      </font>
      <fill>
        <patternFill>
          <fgColor theme="0"/>
          <bgColor theme="0"/>
        </patternFill>
      </fill>
    </dxf>
    <dxf>
      <font>
        <color theme="2" tint="-0.24994659260841701"/>
      </font>
      <fill>
        <patternFill>
          <bgColor theme="2" tint="-0.24994659260841701"/>
        </patternFill>
      </fill>
    </dxf>
    <dxf>
      <font>
        <color theme="2" tint="-0.24994659260841701"/>
      </font>
      <fill>
        <patternFill>
          <bgColor theme="2" tint="-0.24994659260841701"/>
        </patternFill>
      </fill>
    </dxf>
    <dxf>
      <font>
        <color theme="2" tint="-0.24994659260841701"/>
      </font>
      <fill>
        <patternFill>
          <bgColor theme="2" tint="-0.24994659260841701"/>
        </patternFill>
      </fill>
    </dxf>
    <dxf>
      <font>
        <b/>
        <i val="0"/>
        <strike/>
        <color rgb="FFFF0000"/>
      </font>
    </dxf>
    <dxf>
      <font>
        <b/>
        <i val="0"/>
        <strike/>
        <color rgb="FFFF0000"/>
      </font>
    </dxf>
    <dxf>
      <font>
        <color theme="2" tint="-0.24994659260841701"/>
      </font>
      <fill>
        <patternFill>
          <bgColor theme="2" tint="-0.24994659260841701"/>
        </patternFill>
      </fill>
    </dxf>
    <dxf>
      <font>
        <b/>
        <i val="0"/>
        <strike/>
        <color rgb="FFFF0000"/>
      </font>
    </dxf>
    <dxf>
      <font>
        <b/>
        <i val="0"/>
        <strike/>
        <color rgb="FFFF0000"/>
      </font>
    </dxf>
    <dxf>
      <font>
        <b/>
        <i val="0"/>
        <strike/>
        <color rgb="FFFF0000"/>
      </font>
    </dxf>
    <dxf>
      <font>
        <b/>
        <i val="0"/>
        <strike/>
        <color rgb="FFFF0000"/>
      </font>
    </dxf>
    <dxf>
      <font>
        <b/>
        <i val="0"/>
        <strike/>
        <color rgb="FFFF0000"/>
      </font>
    </dxf>
    <dxf>
      <font>
        <b/>
        <i val="0"/>
        <strike/>
        <color rgb="FFFF0000"/>
      </font>
    </dxf>
    <dxf>
      <font>
        <b/>
        <i val="0"/>
        <strike/>
        <color rgb="FFFF0000"/>
      </font>
    </dxf>
    <dxf>
      <font>
        <b/>
        <i val="0"/>
        <color rgb="FFFF0000"/>
      </font>
    </dxf>
    <dxf>
      <font>
        <b/>
        <i val="0"/>
      </font>
      <fill>
        <patternFill>
          <bgColor theme="0"/>
        </patternFill>
      </fill>
    </dxf>
    <dxf>
      <font>
        <b/>
        <i val="0"/>
        <strike/>
        <color rgb="FFFF0000"/>
      </font>
    </dxf>
    <dxf>
      <font>
        <b/>
        <i val="0"/>
        <strike/>
        <color rgb="FFFF0000"/>
      </font>
    </dxf>
    <dxf>
      <font>
        <b/>
        <i val="0"/>
        <strike/>
        <color rgb="FFFF0000"/>
      </font>
    </dxf>
    <dxf>
      <font>
        <b/>
        <i val="0"/>
        <strike/>
        <color rgb="FFFF0000"/>
      </font>
    </dxf>
    <dxf>
      <font>
        <color theme="2" tint="-0.24994659260841701"/>
      </font>
      <fill>
        <patternFill>
          <bgColor theme="2" tint="-0.24994659260841701"/>
        </patternFill>
      </fill>
    </dxf>
    <dxf>
      <font>
        <b/>
        <i val="0"/>
        <strike/>
        <color rgb="FFFF0000"/>
      </font>
    </dxf>
    <dxf>
      <font>
        <b/>
        <i val="0"/>
        <strike/>
        <color rgb="FFFF0000"/>
      </font>
    </dxf>
    <dxf>
      <font>
        <b/>
        <i val="0"/>
        <strike/>
        <color rgb="FFFF0000"/>
      </font>
    </dxf>
    <dxf>
      <font>
        <b/>
        <i val="0"/>
        <strike/>
        <color rgb="FFFF0000"/>
      </font>
    </dxf>
    <dxf>
      <font>
        <b/>
        <i val="0"/>
        <strike/>
        <color rgb="FFFF0000"/>
      </font>
    </dxf>
    <dxf>
      <font>
        <b/>
        <i val="0"/>
        <strike/>
        <color rgb="FFFF0000"/>
      </font>
    </dxf>
    <dxf>
      <font>
        <b/>
        <i val="0"/>
        <strike/>
        <color rgb="FFFF0000"/>
      </font>
    </dxf>
    <dxf>
      <font>
        <b/>
        <i val="0"/>
        <strike/>
        <color rgb="FFFF0000"/>
      </font>
    </dxf>
    <dxf>
      <font>
        <b/>
        <i val="0"/>
        <strike/>
        <color rgb="FFFF0000"/>
      </font>
    </dxf>
    <dxf>
      <font>
        <b/>
        <i val="0"/>
        <strike/>
        <color rgb="FFFF0000"/>
      </font>
    </dxf>
    <dxf>
      <font>
        <b/>
        <i val="0"/>
        <strike/>
        <color rgb="FFFF0000"/>
      </font>
    </dxf>
    <dxf>
      <font>
        <b val="0"/>
        <i val="0"/>
        <color theme="6"/>
      </font>
    </dxf>
    <dxf>
      <font>
        <b val="0"/>
        <i val="0"/>
        <color rgb="FFFF0000"/>
      </font>
    </dxf>
    <dxf>
      <fill>
        <patternFill>
          <bgColor theme="2" tint="-0.24994659260841701"/>
        </patternFill>
      </fill>
    </dxf>
    <dxf>
      <font>
        <b/>
        <i val="0"/>
        <strike/>
        <color rgb="FFFF0000"/>
      </font>
    </dxf>
    <dxf>
      <font>
        <b/>
        <i val="0"/>
        <strike/>
        <color rgb="FFFF0000"/>
      </font>
    </dxf>
    <dxf>
      <font>
        <b/>
        <i val="0"/>
        <strike/>
        <color rgb="FFFF0000"/>
      </font>
    </dxf>
    <dxf>
      <font>
        <color theme="2" tint="-0.24994659260841701"/>
      </font>
      <fill>
        <patternFill>
          <fgColor theme="1" tint="0.499984740745262"/>
          <bgColor theme="2" tint="-0.24994659260841701"/>
        </patternFill>
      </fill>
    </dxf>
    <dxf>
      <font>
        <b/>
        <i val="0"/>
        <strike/>
        <color rgb="FFFF0000"/>
      </font>
    </dxf>
    <dxf>
      <font>
        <b/>
        <i val="0"/>
        <strike/>
        <color rgb="FFFF0000"/>
      </font>
    </dxf>
    <dxf>
      <font>
        <b/>
        <i val="0"/>
      </font>
    </dxf>
    <dxf>
      <font>
        <b/>
        <i val="0"/>
        <strike/>
        <color rgb="FFFF0000"/>
      </font>
    </dxf>
    <dxf>
      <font>
        <b/>
        <i val="0"/>
        <strike/>
        <color rgb="FFFF0000"/>
      </font>
    </dxf>
    <dxf>
      <font>
        <b/>
        <i val="0"/>
        <strike/>
        <color rgb="FFFF0000"/>
      </font>
    </dxf>
    <dxf>
      <font>
        <b/>
        <i val="0"/>
        <strike/>
        <color rgb="FFFF0000"/>
      </font>
    </dxf>
    <dxf>
      <font>
        <b/>
        <i val="0"/>
        <color rgb="FFFF0000"/>
      </font>
      <fill>
        <patternFill>
          <bgColor theme="0"/>
        </patternFill>
      </fill>
      <border>
        <bottom style="thin">
          <color auto="1"/>
        </bottom>
      </border>
    </dxf>
    <dxf>
      <font>
        <b/>
        <i val="0"/>
        <color rgb="FFFF0000"/>
      </font>
      <fill>
        <patternFill>
          <bgColor theme="0"/>
        </patternFill>
      </fill>
    </dxf>
    <dxf>
      <font>
        <b/>
        <i val="0"/>
        <color rgb="FFFF0000"/>
      </font>
      <fill>
        <patternFill>
          <bgColor theme="0"/>
        </patternFill>
      </fill>
      <border>
        <left style="thin">
          <color auto="1"/>
        </left>
      </border>
    </dxf>
    <dxf>
      <font>
        <b val="0"/>
        <i val="0"/>
        <strike val="0"/>
        <condense val="0"/>
        <extend val="0"/>
        <outline val="0"/>
        <shadow val="0"/>
        <u val="none"/>
        <vertAlign val="baseline"/>
        <sz val="11"/>
        <color theme="4" tint="-0.249977111117893"/>
        <name val="Aptos Narrow"/>
        <family val="2"/>
        <scheme val="minor"/>
      </font>
      <numFmt numFmtId="2" formatCode="0.00"/>
    </dxf>
    <dxf>
      <font>
        <b val="0"/>
        <i val="0"/>
        <strike val="0"/>
        <condense val="0"/>
        <extend val="0"/>
        <outline val="0"/>
        <shadow val="0"/>
        <u val="none"/>
        <vertAlign val="baseline"/>
        <sz val="11"/>
        <color theme="4" tint="-0.249977111117893"/>
        <name val="Aptos Narrow"/>
        <family val="2"/>
        <scheme val="minor"/>
      </font>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rgb="FF000000"/>
        <name val="Aptos Narrow"/>
        <family val="2"/>
        <scheme val="minor"/>
      </font>
      <alignment horizontal="center"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rgb="FF000000"/>
        <name val="Aptos Narrow"/>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4" tint="-0.249977111117893"/>
        <name val="Aptos Narrow"/>
        <family val="2"/>
        <scheme val="minor"/>
      </font>
      <numFmt numFmtId="2" formatCode="0.00"/>
    </dxf>
    <dxf>
      <font>
        <b val="0"/>
        <i val="0"/>
        <strike val="0"/>
        <condense val="0"/>
        <extend val="0"/>
        <outline val="0"/>
        <shadow val="0"/>
        <u val="none"/>
        <vertAlign val="baseline"/>
        <sz val="11"/>
        <color theme="4" tint="-0.249977111117893"/>
        <name val="Aptos Narrow"/>
        <family val="2"/>
        <scheme val="minor"/>
      </font>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rgb="FF000000"/>
        <name val="Aptos Narrow"/>
        <family val="2"/>
        <scheme val="minor"/>
      </font>
      <alignment horizontal="center" vertical="bottom" textRotation="0" wrapText="0" indent="0" justifyLastLine="0" shrinkToFit="0" readingOrder="0"/>
    </dxf>
    <dxf>
      <alignment horizontal="general"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rgb="FF00000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Aptos Narrow"/>
        <family val="2"/>
        <scheme val="minor"/>
      </font>
    </dxf>
    <dxf>
      <font>
        <b val="0"/>
        <i val="0"/>
        <strike val="0"/>
        <condense val="0"/>
        <extend val="0"/>
        <outline val="0"/>
        <shadow val="0"/>
        <u val="none"/>
        <vertAlign val="baseline"/>
        <sz val="11"/>
        <color rgb="FF000000"/>
        <name val="Aptos Narrow"/>
        <family val="2"/>
        <scheme val="minor"/>
      </font>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Aptos Narrow"/>
        <family val="2"/>
        <scheme val="minor"/>
      </font>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ptos Narrow"/>
        <family val="2"/>
        <scheme val="minor"/>
      </font>
    </dxf>
    <dxf>
      <font>
        <b val="0"/>
        <i val="0"/>
        <strike val="0"/>
        <condense val="0"/>
        <extend val="0"/>
        <outline val="0"/>
        <shadow val="0"/>
        <u val="none"/>
        <vertAlign val="baseline"/>
        <sz val="11"/>
        <color auto="1"/>
        <name val="Aptos Narrow"/>
        <family val="2"/>
        <scheme val="minor"/>
      </font>
      <alignment horizontal="right" vertical="bottom" textRotation="0" wrapText="0" indent="0" justifyLastLine="0" shrinkToFit="0" readingOrder="0"/>
    </dxf>
    <dxf>
      <numFmt numFmtId="0" formatCode="General"/>
    </dxf>
    <dxf>
      <numFmt numFmtId="0" formatCode="General"/>
    </dxf>
    <dxf>
      <font>
        <b val="0"/>
        <i val="0"/>
        <strike val="0"/>
        <condense val="0"/>
        <extend val="0"/>
        <outline val="0"/>
        <shadow val="0"/>
        <u val="none"/>
        <vertAlign val="baseline"/>
        <sz val="10.5"/>
        <color auto="1"/>
        <name val="Aptos Narrow"/>
        <family val="2"/>
        <scheme val="minor"/>
      </font>
      <numFmt numFmtId="0" formatCode="General"/>
      <fill>
        <patternFill patternType="solid">
          <fgColor indexed="64"/>
          <bgColor theme="0"/>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0.5"/>
        <color rgb="FFED0000"/>
        <name val="Aptos Narrow"/>
        <family val="2"/>
        <scheme val="minor"/>
      </font>
      <numFmt numFmtId="0" formatCode="General"/>
      <alignment horizontal="lef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1" hidden="1"/>
    </dxf>
    <dxf>
      <font>
        <b val="0"/>
        <i val="0"/>
        <strike val="0"/>
        <condense val="0"/>
        <extend val="0"/>
        <outline val="0"/>
        <shadow val="0"/>
        <u val="none"/>
        <vertAlign val="baseline"/>
        <sz val="10.5"/>
        <color theme="0"/>
        <name val="Aptos Narrow"/>
        <family val="2"/>
        <scheme val="minor"/>
      </font>
      <numFmt numFmtId="2" formatCode="0.00"/>
      <fill>
        <patternFill patternType="solid">
          <fgColor indexed="64"/>
          <bgColor theme="0"/>
        </patternFill>
      </fill>
      <alignment horizontal="center" vertical="center" textRotation="0" wrapText="0" indent="0" justifyLastLine="0" shrinkToFit="0" readingOrder="0"/>
      <border diagonalUp="0" diagonalDown="0">
        <right style="medium">
          <color indexed="64"/>
        </right>
      </border>
      <protection locked="1" hidden="1"/>
    </dxf>
    <dxf>
      <font>
        <strike val="0"/>
        <outline val="0"/>
        <shadow val="0"/>
        <u val="none"/>
        <vertAlign val="baseline"/>
        <sz val="10.5"/>
        <color theme="2" tint="-0.249977111117893"/>
        <name val="Aptos Narrow"/>
        <family val="2"/>
        <scheme val="minor"/>
      </font>
      <numFmt numFmtId="171" formatCode="#,##0.00\ &quot;pts&quot;"/>
      <alignment textRotation="0" wrapText="0" indent="0" justifyLastLine="0" shrinkToFit="0" readingOrder="0"/>
      <protection locked="1" hidden="1"/>
    </dxf>
    <dxf>
      <font>
        <b val="0"/>
        <i val="0"/>
        <strike val="0"/>
        <condense val="0"/>
        <extend val="0"/>
        <outline val="0"/>
        <shadow val="0"/>
        <u val="none"/>
        <vertAlign val="baseline"/>
        <sz val="10.5"/>
        <color theme="2" tint="-0.249977111117893"/>
        <name val="Aptos Narrow"/>
        <family val="2"/>
        <scheme val="minor"/>
      </font>
      <numFmt numFmtId="169" formatCode="0.00\ &quot;pts&quot;"/>
      <fill>
        <patternFill patternType="solid">
          <fgColor indexed="64"/>
          <bgColor theme="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0.5"/>
        <color theme="2" tint="-0.249977111117893"/>
        <name val="Aptos Narrow"/>
        <family val="2"/>
        <scheme val="minor"/>
      </font>
      <numFmt numFmtId="167" formatCode="0.00\ &quot;sq ft&quot;"/>
      <fill>
        <patternFill patternType="solid">
          <fgColor indexed="64"/>
          <bgColor theme="0"/>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10.5"/>
        <color theme="2" tint="-0.249977111117893"/>
        <name val="Aptos Narrow"/>
        <family val="2"/>
        <scheme val="minor"/>
      </font>
      <numFmt numFmtId="170" formatCode="#,##0.00\ &quot;sq ft&quot;"/>
      <fill>
        <patternFill patternType="solid">
          <fgColor indexed="64"/>
          <bgColor theme="0"/>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5"/>
        <color theme="2" tint="-0.249977111117893"/>
        <name val="Aptos Narrow"/>
        <family val="2"/>
        <scheme val="minor"/>
      </font>
      <numFmt numFmtId="166" formatCode="0.00\ &quot;gal&quot;"/>
      <fill>
        <patternFill patternType="solid">
          <fgColor indexed="64"/>
          <bgColor theme="0"/>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5"/>
        <color auto="1"/>
        <name val="Aptos Narrow"/>
        <family val="2"/>
        <scheme val="minor"/>
      </font>
      <numFmt numFmtId="168" formatCode="0.00\ &quot;ft&quot;"/>
      <fill>
        <patternFill patternType="solid">
          <fgColor indexed="64"/>
          <bgColor theme="0"/>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5"/>
        <color theme="0"/>
        <name val="Aptos Narrow"/>
        <family val="2"/>
        <scheme val="minor"/>
      </font>
      <numFmt numFmtId="165" formatCode="0.00\ &quot;CAL in&quot;"/>
      <fill>
        <patternFill patternType="solid">
          <fgColor indexed="64"/>
          <bgColor theme="0"/>
        </patternFill>
      </fill>
      <alignment horizontal="center" vertical="center" textRotation="0" wrapText="0" indent="0" justifyLastLine="0" shrinkToFit="0" readingOrder="0"/>
      <border diagonalUp="0" diagonalDown="0">
        <left/>
        <right style="thin">
          <color indexed="64"/>
        </right>
        <top/>
        <bottom/>
      </border>
      <protection locked="1" hidden="1"/>
    </dxf>
    <dxf>
      <font>
        <strike val="0"/>
        <outline val="0"/>
        <shadow val="0"/>
        <u val="none"/>
        <vertAlign val="baseline"/>
        <sz val="10.5"/>
        <name val="Aptos Narrow"/>
        <family val="2"/>
        <scheme val="minor"/>
      </font>
      <alignment horizontal="left" vertical="center" textRotation="0" wrapText="0" indent="0" justifyLastLine="0" shrinkToFit="0" readingOrder="0"/>
      <border diagonalUp="0" diagonalDown="0">
        <left style="medium">
          <color indexed="64"/>
        </left>
        <right style="medium">
          <color indexed="64"/>
        </right>
        <top style="thin">
          <color indexed="64"/>
        </top>
        <bottom/>
      </border>
      <protection locked="0" hidden="0"/>
    </dxf>
    <dxf>
      <font>
        <b val="0"/>
        <i val="0"/>
        <strike val="0"/>
        <condense val="0"/>
        <extend val="0"/>
        <outline val="0"/>
        <shadow val="0"/>
        <u val="none"/>
        <vertAlign val="baseline"/>
        <sz val="10.5"/>
        <color theme="0"/>
        <name val="Aptos Narrow"/>
        <family val="2"/>
        <scheme val="minor"/>
      </font>
      <fill>
        <patternFill patternType="solid">
          <fgColor indexed="64"/>
          <bgColor theme="0"/>
        </patternFill>
      </fill>
      <alignment horizontal="center" vertical="center" textRotation="0" wrapText="0" indent="0" justifyLastLine="0" shrinkToFit="0" readingOrder="0"/>
      <protection locked="1" hidden="1"/>
    </dxf>
    <dxf>
      <font>
        <b val="0"/>
        <i val="0"/>
        <strike val="0"/>
        <condense val="0"/>
        <extend val="0"/>
        <outline val="0"/>
        <shadow val="0"/>
        <u val="none"/>
        <vertAlign val="baseline"/>
        <sz val="10.5"/>
        <color theme="0"/>
        <name val="Aptos Narrow"/>
        <family val="2"/>
        <scheme val="minor"/>
      </font>
      <fill>
        <patternFill patternType="solid">
          <fgColor indexed="64"/>
          <bgColor theme="0"/>
        </patternFill>
      </fill>
      <alignment horizontal="center" vertical="center" textRotation="0" wrapText="0" indent="0" justifyLastLine="0" shrinkToFit="0" readingOrder="0"/>
      <protection locked="1" hidden="1"/>
    </dxf>
    <dxf>
      <font>
        <b val="0"/>
        <i val="0"/>
        <strike val="0"/>
        <condense val="0"/>
        <extend val="0"/>
        <outline val="0"/>
        <shadow val="0"/>
        <u val="none"/>
        <vertAlign val="baseline"/>
        <sz val="10.5"/>
        <color theme="0"/>
        <name val="Aptos Narrow"/>
        <family val="2"/>
        <scheme val="minor"/>
      </font>
      <numFmt numFmtId="0" formatCode="General"/>
      <fill>
        <patternFill patternType="solid">
          <fgColor indexed="64"/>
          <bgColor theme="0"/>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5"/>
        <color theme="0"/>
        <name val="Aptos Narrow"/>
        <family val="2"/>
        <scheme val="minor"/>
      </font>
      <fill>
        <patternFill patternType="solid">
          <fgColor indexed="64"/>
          <bgColor theme="0"/>
        </patternFill>
      </fill>
      <alignment horizontal="center" vertical="center" textRotation="0" wrapText="0" indent="0" justifyLastLine="0" shrinkToFit="0" readingOrder="0"/>
      <protection locked="0" hidden="0"/>
    </dxf>
    <dxf>
      <border outline="0">
        <right style="medium">
          <color indexed="64"/>
        </right>
        <top style="medium">
          <color indexed="64"/>
        </top>
        <bottom style="thin">
          <color indexed="64"/>
        </bottom>
      </border>
    </dxf>
    <dxf>
      <font>
        <b val="0"/>
        <i val="0"/>
        <strike val="0"/>
        <condense val="0"/>
        <extend val="0"/>
        <outline val="0"/>
        <shadow val="0"/>
        <u val="none"/>
        <vertAlign val="baseline"/>
        <sz val="10.5"/>
        <color theme="0"/>
        <name val="Aptos Narrow"/>
        <family val="2"/>
        <scheme val="minor"/>
      </font>
      <fill>
        <patternFill patternType="solid">
          <fgColor indexed="64"/>
          <bgColor theme="0"/>
        </patternFill>
      </fill>
      <alignment horizontal="center" vertical="center" textRotation="0" wrapText="0" indent="0" justifyLastLine="0" shrinkToFit="0" readingOrder="0"/>
      <protection locked="0" hidden="0"/>
    </dxf>
    <dxf>
      <border outline="0">
        <bottom style="medium">
          <color indexed="64"/>
        </bottom>
      </border>
    </dxf>
    <dxf>
      <font>
        <b/>
        <i val="0"/>
        <strike val="0"/>
        <condense val="0"/>
        <extend val="0"/>
        <outline val="0"/>
        <shadow val="0"/>
        <u val="none"/>
        <vertAlign val="baseline"/>
        <sz val="11"/>
        <color rgb="FF000000"/>
        <name val="Aptos Narrow"/>
        <family val="2"/>
        <scheme val="minor"/>
      </font>
      <alignment horizontal="center" vertical="center" textRotation="0" wrapText="1" indent="0" justifyLastLine="0" shrinkToFit="0" readingOrder="0"/>
    </dxf>
    <dxf>
      <font>
        <strike val="0"/>
        <outline val="0"/>
        <shadow val="0"/>
        <u val="none"/>
        <vertAlign val="baseline"/>
        <sz val="10.5"/>
        <color auto="1"/>
        <name val="Aptos Narrow"/>
        <family val="2"/>
        <scheme val="minor"/>
      </font>
      <numFmt numFmtId="0" formatCode="General"/>
      <alignment horizontal="general" vertical="center" textRotation="0" wrapText="0" indent="0" justifyLastLine="0" shrinkToFit="0" readingOrder="0"/>
      <border outline="0">
        <left style="medium">
          <color indexed="64"/>
        </left>
      </border>
    </dxf>
    <dxf>
      <font>
        <b/>
        <strike val="0"/>
        <outline val="0"/>
        <shadow val="0"/>
        <u val="none"/>
        <vertAlign val="baseline"/>
        <sz val="11"/>
        <color rgb="FFFF0000"/>
        <name val="Aptos Narrow"/>
        <family val="2"/>
        <scheme val="minor"/>
      </font>
      <numFmt numFmtId="0" formatCode="General"/>
      <alignment horizontal="lef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1" hidden="1"/>
    </dxf>
    <dxf>
      <font>
        <b val="0"/>
        <i val="0"/>
        <strike val="0"/>
        <condense val="0"/>
        <extend val="0"/>
        <outline val="0"/>
        <shadow val="0"/>
        <u val="none"/>
        <vertAlign val="baseline"/>
        <sz val="11"/>
        <color theme="2" tint="-0.249977111117893"/>
        <name val="Aptos Narrow"/>
        <family val="2"/>
        <scheme val="minor"/>
      </font>
      <numFmt numFmtId="171" formatCode="#,##0.00\ &quot;pts&quot;"/>
      <fill>
        <patternFill patternType="solid">
          <fgColor indexed="64"/>
          <bgColor theme="2" tint="-0.249977111117893"/>
        </patternFill>
      </fill>
      <alignment horizontal="center" vertical="center" textRotation="0" wrapText="0" indent="0" justifyLastLine="0" shrinkToFit="0" readingOrder="0"/>
      <border diagonalUp="0" diagonalDown="0">
        <left style="thin">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1"/>
        <color theme="2" tint="-0.249977111117893"/>
        <name val="Aptos Narrow"/>
        <family val="2"/>
        <scheme val="minor"/>
      </font>
      <numFmt numFmtId="169" formatCode="0.00\ &quot;pts&quo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2" tint="-0.249977111117893"/>
        <name val="Aptos Narrow"/>
        <family val="2"/>
        <scheme val="minor"/>
      </font>
      <numFmt numFmtId="2" formatCode="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ptos Narrow"/>
        <family val="2"/>
        <scheme val="minor"/>
      </font>
      <numFmt numFmtId="170" formatCode="#,##0.00\ &quot;sq ft&quo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Aptos Narrow"/>
        <family val="2"/>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0"/>
        <name val="Wingdings"/>
        <charset val="2"/>
        <scheme val="none"/>
      </font>
      <numFmt numFmtId="164" formatCode="0.00\ &quot;inches&quot;"/>
      <fill>
        <patternFill patternType="solid">
          <fgColor indexed="64"/>
          <bgColor theme="0"/>
        </patternFill>
      </fill>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auto="1"/>
        <name val="Aptos Narrow"/>
        <family val="2"/>
        <scheme val="minor"/>
      </font>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auto="1"/>
        <name val="Aptos Narrow"/>
        <family val="2"/>
        <scheme val="minor"/>
      </font>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auto="1"/>
        <name val="Aptos Narrow"/>
        <family val="2"/>
        <scheme val="minor"/>
      </font>
      <numFmt numFmtId="172" formatCode="#,##0.00\ &quot;in&quot;"/>
      <alignment horizontal="center" vertical="center" textRotation="0" wrapText="0" indent="0" justifyLastLine="0" shrinkToFit="0" readingOrder="0"/>
      <protection locked="1" hidden="1"/>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protection locked="1" hidden="1"/>
    </dxf>
    <dxf>
      <font>
        <b val="0"/>
        <i val="0"/>
        <strike val="0"/>
        <condense val="0"/>
        <extend val="0"/>
        <outline val="0"/>
        <shadow val="0"/>
        <u val="none"/>
        <vertAlign val="baseline"/>
        <sz val="11"/>
        <color auto="1"/>
        <name val="Aptos Narrow"/>
        <family val="2"/>
        <scheme val="minor"/>
      </font>
      <numFmt numFmtId="0" formatCode="General"/>
      <alignment horizontal="center" vertical="center" textRotation="0" wrapText="0" indent="0" justifyLastLine="0" shrinkToFit="0" readingOrder="0"/>
      <protection locked="1" hidden="1"/>
    </dxf>
    <dxf>
      <border outline="0">
        <right style="medium">
          <color indexed="64"/>
        </right>
        <top style="medium">
          <color indexed="64"/>
        </top>
      </border>
    </dxf>
    <dxf>
      <font>
        <strike val="0"/>
        <outline val="0"/>
        <shadow val="0"/>
        <u val="none"/>
        <vertAlign val="baseline"/>
        <sz val="10.5"/>
        <color auto="1"/>
        <name val="Aptos Narrow"/>
        <family val="2"/>
        <scheme val="minor"/>
      </font>
      <alignment horizontal="general" vertical="center" textRotation="0" wrapText="0" indent="0" justifyLastLine="0" shrinkToFit="0" readingOrder="0"/>
    </dxf>
    <dxf>
      <border>
        <bottom style="medium">
          <color indexed="64"/>
        </bottom>
      </border>
    </dxf>
    <dxf>
      <font>
        <b/>
        <i val="0"/>
        <strike val="0"/>
        <condense val="0"/>
        <extend val="0"/>
        <outline val="0"/>
        <shadow val="0"/>
        <u val="none"/>
        <vertAlign val="baseline"/>
        <sz val="12"/>
        <color rgb="FF000000"/>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bottom/>
      </border>
      <protection locked="1" hidden="0"/>
    </dxf>
  </dxfs>
  <tableStyles count="2" defaultTableStyle="TableStyleMedium2" defaultPivotStyle="PivotStyleLight16">
    <tableStyle name="Table Style 1" pivot="0" count="0" xr9:uid="{5ACE6E47-6872-47DA-9E31-C9C7AEAC4678}"/>
    <tableStyle name="Table Style 2" pivot="0" count="0" xr9:uid="{ED2D711B-0B18-4192-BB77-B289934EC2C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ED8E939-0BBE-4617-8553-224538553DBA}" name="Tree_Table1" displayName="Tree_Table1" ref="B10:O810" totalsRowShown="0" headerRowDxfId="229" dataDxfId="227" headerRowBorderDxfId="228" tableBorderDxfId="226">
  <tableColumns count="14">
    <tableColumn id="1" xr3:uid="{BB8A4810-5A26-490B-981B-D8680DE8D1AA}" name="Tree ID" dataDxfId="225">
      <calculatedColumnFormula>IF($B10="", "", $B10)</calculatedColumnFormula>
    </tableColumn>
    <tableColumn id="2" xr3:uid="{2D9C9C3A-EBF0-459F-9451-87D245506FDF}" name="Scientific Name / Common Name" dataDxfId="224">
      <calculatedColumnFormula>IF($C10="", "", $C10)</calculatedColumnFormula>
    </tableColumn>
    <tableColumn id="4" xr3:uid="{C5F31D29-00C5-439C-AA42-B5B9B7FABC26}" name="Tree Size_x000a_(DSH)" dataDxfId="223">
      <calculatedColumnFormula>IF($D10="", "", $D10)</calculatedColumnFormula>
    </tableColumn>
    <tableColumn id="5" xr3:uid="{9B4C820B-6997-496E-9437-F359D4A72EAE}" name="Tree Category" dataDxfId="222">
      <calculatedColumnFormula>IF($E10="", "", $E10)</calculatedColumnFormula>
    </tableColumn>
    <tableColumn id="6" xr3:uid="{7CEB6D47-D3BA-4349-847E-AF8E5BF3ED25}" name="Tree Status  &amp;" dataDxfId="221">
      <calculatedColumnFormula>IF($F10="", "", $F10)</calculatedColumnFormula>
    </tableColumn>
    <tableColumn id="15" xr3:uid="{FCDAC32B-ECC4-4945-AF08-3270E0A8490B}" name="Sym" dataDxfId="220"/>
    <tableColumn id="7" xr3:uid="{574402D2-860A-42F0-A57C-C77DB4EC42E9}" name="Code Requirement(s) Met" dataDxfId="219"/>
    <tableColumn id="8" xr3:uid="{8B71DEBC-A20B-43F0-AA81-F7ABE8420CDD}" name="Tree Replacement" dataDxfId="218"/>
    <tableColumn id="9" xr3:uid="{9DFB340F-7864-490C-B24F-41A8BDB3F407}" name="Canopy Area of_x000a_Removal (sq ft)" dataDxfId="217"/>
    <tableColumn id="13" xr3:uid="{EEEAF481-0131-40E9-9764-80B34D77AED1}" name="Tree Species Size" dataDxfId="216">
      <calculatedColumnFormula>IFERROR(
    IF(
        AND($H11="Zoning - Tree Points", NOT(ISNUMBER(SEARCH("sp.", $C11)))),
        VLOOKUP($C11, 'Tree List'!$C$3:$F$550, 4, FALSE),
        ""
    ),
"")</calculatedColumnFormula>
    </tableColumn>
    <tableColumn id="14" xr3:uid="{3E81A714-7205-4C9E-8BC7-356DA0D0B83D}" name="Points Per Inch of Diameter" dataDxfId="215">
      <calculatedColumnFormula array="1">IFERROR(
IF(
    AND($H11="Zoning - Tree Points", NOT(ISNUMBER(SEARCH("sp.", $C11)))),
    _xlfn.IFS(
        (COUNTIFS('Tree List'!$C$3:$C$550,$C11,'Tree List'!$D$3:$D$550,"Coniferous")
        + COUNTIFS('Tree List'!$C$3:$C$550,$C11,'Tree List'!$D$3:$D$550,"Deciduous Conifer")) &gt; 0,
            _xlfn.IFS($K11="Small",0.5,$K11="Small/Medium",1,$K11="Medium/Large",1.4,$K11="Large",1.8),
        (COUNTIFS('Tree List'!$C$3:$C$550,$C11,'Tree List'!$D$3:$D$550,"Deciduous")
        + COUNTIFS('Tree List'!$C$3:$C$550,$C11,'Tree List'!$D$3:$D$550,"Broadleaf Evergreen")) &gt; 0,
            _xlfn.IFS($K11="Small",0.4,$K11="Small/Medium",0.8,$K11="Medium/Large",1.2,$K11="Large",1.6)
    ),
    ""
),
"")</calculatedColumnFormula>
    </tableColumn>
    <tableColumn id="10" xr3:uid="{366B1887-4AAA-49EC-9A34-0661BE331926}" name="Tree Points" dataDxfId="214">
      <calculatedColumnFormula>IFERROR($D11*$L11,"")</calculatedColumnFormula>
    </tableColumn>
    <tableColumn id="12" xr3:uid="{30CCC1D4-5819-4FDA-B0C7-D719A630CE9F}" name="Error Message" dataDxfId="213">
      <calculatedColumnFormula array="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IF(AND(_xlpm.baseRow,ISNA(MATCH($C11,'Tree List'!$C$3:$C$601,0)),SUMPRODUCT(--ISNUMBER(SEARCH(Tables2!$C$677:$C$772,$O11)))&gt;0),
Error!$B$57,
IF(AND(_xlpm.hasDM,$F11="Remove",$H11&lt;&gt;"",OR($I11="Onsite replacement",$I11="Offsite replacement",$I11="Payment In Lieu")),
Error!$B$56,
IF(AND(_xlpm.hasDM,$F11="Remove",$H11&lt;&gt;"",$I11="Relocation"),
Error!$B$66,
IF(AND(OR(_xlpm.hasCN,_xlpm.hasPH,_xlpm.hasGR),$H11&lt;&gt;"",COUNTIF(Tables!$B$132:$B$134,$H11)&gt;0,$I11="N/A (No replacement required)"),
Error!$B$62,
IF(AND(_xlpm.baseRow,$E11&lt;&gt;"",ISNA(MATCH($E11,Tables!$B$225:$B$232,0))),
Error!$B$2,
IF(AND(_xlpm.baseRow,$F11&lt;&gt;"",ISNA(MATCH($F11,Tables!$B$234:$B$235,0))),
Error!$B$24,
IF(AND(_xlpm.baseRow,_xlpm.ECA_H&gt;0,_xlpm.Shore_H&gt;0),
Error!$B$16,
IF(AND(_xlpm.baseRow,$E11&lt;&gt;"",$D11=""),
Error!$B$3,
IF(AND(_xlpm.baseRow,OR($E11="Tier 3",$E11="Tier 4"),$C11&lt;&gt;"",$D11&gt;=24,COUNTIF(Tables2!$B$166:$B$674,$C11)&gt;0),
Error!$B$44,
IF(AND(_xlpm.baseRow,OR($E11="Tier 3",$E11="Tier 4"),$C11&lt;&gt;"",$D11&lt;&gt;"",COUNTIF(Tables2!$B$73:$B$152,$C11)&gt;0,
$D11&gt;=IFERROR(INDEX(Tables2!$C$73:$C$152,MATCH($C11,Tables2!$B$73:$B$152,0)),-1)),
Error!$B$44,
IF(AND(_xlpm.baseRow,OR($E11="Tier 2",$E11="Tier 2 Grove"),$C11&lt;&gt;"",$D11&gt;=12,COUNTIF(Tables2!$B$153:$B$162,$C11)&gt;0),
Error!$B$45,
IF(AND(_xlpm.baseRow,$E11="Tier 2 Grove",$D11&lt;12),
Error!$B$41,
IF(AND(_xlpm.baseRow,$E11="Tier 2",$D11&lt;5.88),
Error!$B$40,
IF(AND(_xlpm.baseRow,OR($E11="Tier 2",$E11="Tier 2 Grove"),$C11&lt;&gt;"",$D11&lt;12,$D11&gt;=6,COUNTIF(Tables2!$B$153:$B$162,$C11)&gt;0),
Error!$B$54,
IF(AND(_xlpm.baseRow,$E11="Tier 2",COUNTIF(Tables2!$B$166:$B$674,$C11)&gt;0,$D11&lt;24),
Error!$B$54,
IF(AND(_xlpm.baseRow,$E11="Tier 3",ISNA(MATCH($C11,Tables2!$B$153:$B$162,0)),OR($D11&lt;12,$D11&gt;=24)),
Error!$B$9,
IF(AND(_xlpm.baseRow,$E11="Tier 3",COUNTIF(Tables2!$B$153:$B$162,$C11)&gt;0,$D11&lt;12),
Error!$B$46,
IF(AND(_xlpm.baseRow,$E11="Tier 4",OR($D11&lt;6,$D11&gt;=12)),
Error!$B$10,
IF(AND(_xlpm.baseRow,$E11="&lt;6in DSH for Tree Points",OR($D11&gt;=6,$D11="")),
Error!$B$8,
IF(AND(_xlpm.baseRow,$E11="Street Tree for Green Factor",$F11&lt;&gt;"",$F11&lt;&gt;"Retain"),
Error!$B$14,
IF(AND($E11="&lt;6in DSH for Tree Points",$F11="Retain",$H11&lt;&gt;"",ISNA(MATCH($H11,Tables!$B$174:$B$174,0))),
Error!$B$15,
IF(AND($E11="Street Tree for Green Factor",$F11="Retain",$H11&lt;&gt;"",$H11&lt;&gt;"Zoning: Green Factor"),
Error!$B$15,
IF(AND($E11="ECA / Shoreline Tree",$F11="Remove",$H11&lt;&gt;"",ISNA(MATCH($H11,Tables!$B$189:$B$190,0))),
Error!$B$15,
IF(AND($E11="ECA / Shoreline Tree",$F11="Retain",$H11&lt;&gt;"",ISNA(MATCH($H11,Tables!$B$184:$B$186,0))),
Error!$B$15,
IF(AND($E11="Tier 4",$F11="Remove",$H11&lt;&gt;"",ISNA(MATCH($H11,Tables!$B$171,0))),
Error!$B$15,
IF(AND($E11="Tier 4",$F11="Retain",$H11&lt;&gt;"",ISNA(MATCH($H11,Tables!$B$166:$B$168,0))),
Error!$B$15,
IF(AND($E11="Tier 3",$F11="Retain",$H11&lt;&gt;"",ISNA(MATCH($H11,Tables!$B$158:$B$160,0))),
Error!$B$15,
IF(AND($E11="Tier 3",$F11="Remove",$H11&lt;&gt;"",ISNA(MATCH($H11,Tables!$B$163,0))),
Error!$B$15,
IF(AND(OR($E11="Tier 2",$E11="Tier 2 Grove"),$F11="Remove",$H11&lt;&gt;"",ISNA(MATCH($H11,Tables!$B$153:$B$155,0))),
Error!$B$15,
IF(AND(OR($E11="Tier 2",$E11="Tier 2 Grove"),$F11="Retain",$H11&lt;&gt;"",ISNA(MATCH($H11,Tables!$B$147:$B$150,0))),
Error!$B$15,
IF(AND($E11="Tier 1",$F11="Remove",$H11&lt;&gt;"",ISNA(MATCH($H11,Tables!$B$143:$B$144,0))),
Error!$B$15,
IF(AND($E11="Tier 1",$F11="Retain",$H11&lt;&gt;"",ISNA(MATCH($H11,Tables!$B$137:$B$140,0))),
Error!$B$15,
IF(AND($E11&lt;&gt;"Tier 2",$E11&lt;&gt;"Tier 2 Grove",$E11&lt;&gt;"Tier 3",$E11&lt;&gt;"Tier 4",$H11="Zoning: Green Factor",OR($D11="",$D11&lt;6)),
Error!$B$11,
IF(AND(_xlpm.baseRow,$D11&lt;6,$E11="&lt;6in DSH for Tree Points",_xlpm.TreePoints_H=0),
Error!$B$21,
IF(AND(_xlpm.baseRow,$E11&lt;&gt;"",$D11&lt;&gt;"",$F11=""),
Error!$B$4,
IF(AND(_xlpm.baseRow,$F11="Remove",OR($E11="Tier 1",$E11="Tier 2",$E11="Tier 2 Grove"),COUNTBLANK(_xlpm.HRange)&lt;3,_xlpm.uniqueH&gt;=2),
Error!$B$48,
IF(AND(_xlpm.baseRow,$F11="Retain",OR($E11="Tier 1",$E11="Tier 2",$E11="Tier 2 Grove"),COUNTIF(_xlpm.HRange,"Tree Code: Required to Retain Tier 1-2 Tree")=0),
Error!$B$47,
IF(AND(_xlpm.baseRow,$E11&lt;&gt;"",$D11&lt;&gt;"",$F11&lt;&gt;"",COUNTBLANK(_xlpm.HRange)=4),
Error!$B$5,
IF(AND($F11="Remove",$H11&lt;&gt;"",$I11=""),
Error!$B$18,
IF(AND($E11="Tier 4",$F11="Remove",$H11="Tree Protection Code: Tier 3 or Tier 4 Allowance",$H11&lt;&gt;"",ISNA(MATCH($I11,Tables!$B$200,0))),
Error!$B$17,
IF(AND($E11="Tier 3",$F11="Remove",$H11&lt;&gt;"",$H11="Tree Protection Code: Tier 3 or Tier 4 Allowance",OR($I11="",ISNA(MATCH($I11,Tables!$B$193:$B$197,0)))),
Error!$B$17,
IF(AND(OR($E11="Tier 2",$E11="Tier 2 Grove"),$F11="Remove",$H11="Tree Protection Code: Other removal allowance or exemption",$I11&lt;&gt;"",ISNA(MATCH($I11,Tables!$B$215:$B$218,0))),
Error!$B$17,
IF(AND(OR($E11="Tier 2",$E11="Tier 2 Grove"),$F11="Remove",$H11="Tree Protection Code: Development Capacity",$I11&lt;&gt;"",ISNA(MATCH($I11,Tables!$B$193:$B$197,0))),
Error!$B$17,
IF(AND(OR($E11="Tier 2",$E11="Tier 2 Grove"),$F11="Remove",$H11="Tree Protection Code: Necessary for Construction",$I11&lt;&gt;"",ISNA(MATCH($I11,Tables!$B$193:$B$197,0))),
Error!$B$17,
IF(AND($E11="Tier 1",$F11="Remove",$H11="Tree Protection Code: Special Exception",$I11&lt;&gt;"",ISNA(MATCH($I11,Tables!$B$215:$B$218,0))),
Error!$B$17,
IF(AND($E11="Tier 1",$F11="Remove",$H11="Tree Protection Code: Other removal allowance or exemption",$I11&lt;&gt;"",ISNA(MATCH($I11,Tables!$B$215:$B$218,0))),
Error!$B$17,
IF(AND($E11="ECA / Shoreline Tree",$F11="Remove",$H11&lt;&gt;"",OR($H11="Shoreline",$H11="Environmental Critical Area (ECA)"),ISNA(MATCH($I11,Tables!$B$209:$B$212,0))),
Error!$B$17,
IF(AND(_xlpm.baseRow,$F11="Retain",$E11="ECA / Shoreline Tree",_xlpm.ECA_Short=0),
Error!$B$61,
IF(AND($F11="Remove",ISNUMBER(MATCH($E11,{"Tier 1","Tier 2","Tier 3","Tier 4","Tier 2 Grove"},0)),ISNUMBER(MATCH($I11,{"Onsite replacement","Offsite replacement"},0)),$J11="",$H11&lt;&gt;""),
Error!$B$19,
IF(AND(_xlpm.baseRow,$E11&lt;&gt;"",$D11&lt;&gt;"",$F11&lt;&gt;"",COUNTBLANK($B11:$C11)&gt;0,COUNTBLANK(_xlpm.HRange)&lt;&gt;4),
Error!$B$22,
IF(AND($H11="Zoning: Tree Points",$K11&lt;&gt;"",ISNA(MATCH($K11,Tables!$B$242:$B$253,0))),
Error!$B$58,
IF(AND($H11="Zoning: Tree Points",$K11="Small",$L11&lt;&gt;"",ISNA(MATCH($L11,Tables!$C$243:$C$244,0))),
Error!$B$59,
IF(AND($H11="Zoning: Tree Points",$K11="Small/Medium",$L11&lt;&gt;"",ISNA(MATCH($L11,Tables!$C$246:$C$247,0))),
Error!$B$59,
IF(AND($H11="Zoning: Tree Points",$K11="Medium/Large",$L11&lt;&gt;"",ISNA(MATCH($L11,Tables!$C$249:$C$250,0))),
Error!$B$59,
IF(AND($H11="Zoning: Tree Points",$K11="Large",$L11&lt;&gt;"",ISNA(MATCH($L11,Tables!$C$252:$C$253,0))),
Error!$B$59,
IF(AND($F11="Retain",$H11="Zoning: Tree Points",$C11&lt;&gt;"",$D11&lt;&gt;"",OR($K11="",$L11="",$M11="")),
Error!$B$20,
""
)))))))))))))))))))))))))))))))))))))))))))))))))))))))),
Error!$B$23))</calculatedColumnFormula>
    </tableColumn>
    <tableColumn id="3" xr3:uid="{4245A29E-CD15-4510-938D-58F63D79366F}" name="Shrub" dataDxfId="212">
      <calculatedColumnFormula array="1">IFERROR(_xlfn.LET(
    _xlpm.txt, $C11,
    _xlpm.chars, MID(_xlpm.txt, ROW(INDIRECT("1:" &amp; LEN(_xlpm.txt))), 1),
    _xlpm.validChars, "0123456789ABCDEFGHIJKLMNOPQRSTUVWXYZabcdefghijklmnopqrstuvwxyz",
    _xlpm.isValid, ISNUMBER(MATCH(_xlpm.chars, MID(_xlpm.validChars, ROW(INDIRECT("1:" &amp; LEN(_xlpm.validChars))), 1), 0)),
    _xlfn.TEXTJOIN("", TRUE, IF(_xlpm.isValid, _xlpm.chars, ""))
),"")</calculatedColumnFormula>
    </tableColumn>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17A5878-73BE-4FCD-887A-BA71A21CC868}" name="Table7" displayName="Table7" ref="B10:P130" totalsRowShown="0" headerRowDxfId="211" dataDxfId="209" headerRowBorderDxfId="210" tableBorderDxfId="208">
  <tableColumns count="15">
    <tableColumn id="1" xr3:uid="{61E442E2-45AF-4149-90E4-7ED5C2DC68DB}" name="Planting_x000a_ID" dataDxfId="207"/>
    <tableColumn id="2" xr3:uid="{CC1184AD-F367-4A5F-9799-5E63DCE42BFC}" name="Scientific Name / Common Name" dataDxfId="206"/>
    <tableColumn id="4" xr3:uid="{31098A76-C0A5-4932-AEF2-7A27E63EB826}" name="Proposed_x000a_Location" dataDxfId="205"/>
    <tableColumn id="5" xr3:uid="{2E4EC401-429F-4DB5-8D2F-C4FB2F589267}" name="Tree_x000a_Replacement" dataDxfId="204"/>
    <tableColumn id="6" xr3:uid="{C8A96276-15BA-43CE-9100-871EF7DED418}" name="Code Requirement(s) Met" dataDxfId="203"/>
    <tableColumn id="9" xr3:uid="{2409DE17-C9FD-46B3-AEAF-5EC132D4C9B8}" name="Caliper (Inches)_x000a_(Deciduous Types)" dataDxfId="202"/>
    <tableColumn id="7" xr3:uid="{E5AE58F6-406B-4609-BE32-417973BCA500}" name="Height (Feet)_x000a_(Conifer Types)" dataDxfId="201"/>
    <tableColumn id="8" xr3:uid="{FB0593D7-77DE-49EB-9551-EE550C62A044}" name="Gallons_x000a_(ECA/Shoreline)" dataDxfId="200"/>
    <tableColumn id="10" xr3:uid="{A65FD341-0BF4-42C5-A751-55036252FC5D}" name="Mature Canopy_x000a_Area (sq ft)" dataDxfId="199"/>
    <tableColumn id="14" xr3:uid="{A5D61375-8645-4DF5-890D-51170AF4883E}" name="Tree Species Size" dataDxfId="198">
      <calculatedColumnFormula>IFERROR(
IF(
    AND(
        MOD(ROW()-11,4)=0,
        COUNTIF(INDIRECT("F"&amp;11+4*INT((ROW()-11)/4)&amp;":F"&amp;14+4*INT((ROW()-11)/4)),"Zoning - Tree Points")&gt;0,
        COUNTIFS('Tree List'!$C$3:$C$550,$C11,'Tree List'!$H$3:$H$550,"sp.")=0
    ),
    VLOOKUP($C11,'Tree List'!$C$3:$F$550,4,FALSE),
    ""
),
"")</calculatedColumnFormula>
    </tableColumn>
    <tableColumn id="3" xr3:uid="{025784C2-8525-41E9-B1B1-089AADB0383A}" name="Points Per Planting" dataDxfId="197">
      <calculatedColumnFormula array="1">IFERROR(
IF(
    AND(
        COUNTIF(INDIRECT("F"&amp;11+4*INT((ROW()-11)/4)&amp;":F"&amp;14+4*INT((ROW()-11)/4)),"Zoning - Tree Points")&gt;0,
        COUNTIFS('Tree List'!$C$3:$C$550,$C11,'Tree List'!$H$3:$H$550,"sp.")&gt;0
    ),
    "",
    _xlfn.IFS(
        (COUNTIFS('Tree List'!$C$3:$C$550,$C11,'Tree List'!$D$3:$D$550,"Coniferous")
        + COUNTIFS('Tree List'!$C$3:$C$550,$C11,'Tree List'!$D$3:$D$550,"Deciduous Conifer")) &gt; 0,
            _xlfn.IFS($K11="Small",1.25,$K11="Small/Medium",2.5,$K11="Medium/Large",3.75,$K11="Large",5),
        (COUNTIFS('Tree List'!$C$3:$C$550,$C11,'Tree List'!$D$3:$D$550,"Deciduous")
        + COUNTIFS('Tree List'!$C$3:$C$550,$C11,'Tree List'!$D$3:$D$550,"Broadleaf Evergreen")) &gt; 0,
            _xlfn.IFS($K11="Small",1,$K11="Small/Medium",2,$K11="Medium/Large",3,$K11="Large",4)
    )
),
"")</calculatedColumnFormula>
    </tableColumn>
    <tableColumn id="11" xr3:uid="{C1B5CC7A-1F81-4EC5-A31C-CF523CBA3279}" name="Tree Points" dataDxfId="196">
      <calculatedColumnFormula>IFERROR($L11*$N11,"")</calculatedColumnFormula>
    </tableColumn>
    <tableColumn id="13" xr3:uid="{B3E73A24-7B2D-4572-A139-F57FCA3C9AA7}" name="Quantity" dataDxfId="195"/>
    <tableColumn id="12" xr3:uid="{29664B48-9AC4-46B1-88FB-C0B8380C5E4A}" name="Error Message" dataDxfId="194">
      <calculatedColumnFormula array="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List'!$C$3:$C$601,$C11,'Tree List'!$D$3:$D$601,{"Deciduous","Broadleaf Evergreen"})),
_xlpm.Coniferous,SUM(COUNTIFS('Tree List'!$C$3:$C$601,$C11,'Tree List'!$D$3:$D$601,{"Coniferous","Deciduous Conifer"})),
IFERROR(
IF(AND(_xlpm.baseRow,ISNA(MATCH($C11,'Tree List'!$C$3:$C$601,0)),SUMPRODUCT(--ISNUMBER(SEARCH(Tables2!$C$677:$C$825,$P11)))&gt;0),
Error!$B$64,
IF(AND(_xlpm.baseRow,COUNTIF(_xlpm.FRange,"ECA / Shoreline")&gt;0,$D11&lt;&gt;"",$E11&lt;&gt;"",$N11=""),
Error!$B$55,
IF(AND(_xlpm.baseRow,$D11&lt;&gt;"",$E11&lt;&gt;"",COUNTBLANK($B11:$C11)&gt;0,COUNTBLANK($F11:$F14)&lt;&gt;4),
Error!$B$22,
IF(AND(_xlpm.baseRow,$D11="Right-of-Way", $E11=""),
Error!$B$67,
IF(AND(_xlpm.baseRow,$D11&lt;&gt;"",ISNA(MATCH($D11,Tables2!$B$66:$B$68,0))),
Error!$B$63,
IF(AND(_xlpm.baseRow,$D11="Off Site",$E11&lt;&gt;"",$E11&lt;&gt;"Yes"),
Error!$B$28,
IF(AND(_xlpm.baseRow,OR($D11="On Site",$D11="Right-of-Way"),$E11&lt;&gt;"",ISNA(MATCH($E11,MultiSelect2[TreeMitigation],0))),
Error!$B$28,
IF(AND(_xlpm.baseRow,$D11&lt;&gt;"",$E11&lt;&gt;"",COUNTIF(_xlpm.FRange,"&lt;&gt;")=0),
Error!$B$26,
IF(AND($E11="No",$F11&lt;&gt;"",ISNA(MATCH($F11,Tables2!$B$55:$B$57,0))),
Error!$B$27,
IF(AND($E11="Yes",$F11&lt;&gt;"",ISNA(MATCH($F11,Tables2!$B$48:$B$52,0))),
Error!$B$27,
IF(AND($D11="Off Site",$E11="Yes",$F11&lt;&gt;"",ISNA(MATCH($F11,Tables2!$B$60:$B$62,0))),
Error!$B$27,
IF(AND(_xlpm.baseRow,_xlpm.Street&gt;0,_xlpm.ECA&gt;0),
Error!$B$29,
IF(AND(_xlpm.baseRow,_xlpm.Street&gt;0,_xlpm.Points&gt;0),
Error!$B$30,
IF(AND(_xlpm.baseRow,_xlpm.Street&gt;0,_xlpm.ReplaceReq&gt;0),
Error!$B$31,
IF(AND(_xlpm.baseRow,$D11&lt;&gt;"",$E11&lt;&gt;"",$G11&lt;&gt;"",_xlpm.DecBroad&gt;0,OR(_xlpm.Points&gt;0,_xlpm.Green&gt;0,_xlpm.ReplaceReq&gt;0),_xlpm.Street=0,$G11&lt;1.5),
Error!$B$42,
IF(AND(_xlpm.baseRow,$D11&lt;&gt;"",$E11&lt;&gt;"",$H11&lt;&gt;"",$H11&lt;4,_xlpm.Street&gt;0,_xlpm.Green&gt;0,COUNTA(_xlpm.FRange)&gt;0),
Error!$B$32,
IF(AND(_xlpm.baseRow,$G11="",_xlpm.ECA&gt;0,_xlpm.DecBroad&gt;0,_xlpm.ReplaceReq&gt;0),
Error!$B$52,
IF(AND(_xlpm.baseRow,$E11&lt;&gt;"", $H11="",_xlpm.ECA&gt;0,_xlpm.Coniferous&gt;0,_xlpm.ReplaceReq&gt;0),
Error!$B$53,
IF(AND(_xlpm.baseRow,$G11="",$H11="",_xlpm.ECA&gt;0,_xlpm.ReplaceReq&gt;0),
Error!$B$39,
IF(AND(_xlpm.baseRow,$D11&lt;&gt;"",$E11&lt;&gt;"",$G11="",$H11="",_xlpm.Coniferous&gt;0,_xlpm.ReplaceReq&gt;0,_xlpm.ECA&gt;0),
Error!$B$50,
IF(AND(_xlpm.baseRow,$D11&lt;&gt;"",$E11&lt;&gt;"",$G11&lt;&gt;"",_xlpm.Street&gt;0,$G11&lt;2),
Error!$B$43,
IF(AND(_xlpm.baseRow,$D11&lt;&gt;"",$E11&lt;&gt;"",_xlpm.Green&gt;0,_xlpm.DecBroad&gt;0,$G11=""),
Error!$B$49,
IF(AND(_xlpm.baseRow,$D11&lt;&gt;"",$E11&lt;&gt;"",$H11&lt;&gt;"",$H11&lt;4,_xlpm.Green&gt;0,_xlpm.DecBroad&gt;0,$G11=""),
Error!$B$51,
IF(AND(_xlpm.baseRow,$D11&lt;&gt;"",$E11&lt;&gt;"",_xlpm.Green&gt;0,_xlpm.Coniferous&gt;0,$H11=""),
Error!$B$50,
IF(AND(_xlpm.baseRow,$D11&lt;&gt;"",$E11&lt;&gt;"",_xlpm.Points&gt;0,_xlpm.DecBroad&gt;0,$G11=""),
Error!$B$49,
IF(AND(_xlpm.baseRow,$D11&lt;&gt;"",$E11&lt;&gt;"",_xlpm.Points&gt;0,_xlpm.Coniferous&gt;0,$H11=""),
Error!$B$50,
IF(AND(_xlpm.baseRow,$D11&lt;&gt;"",$E11&lt;&gt;"",_xlpm.ReplaceReq&gt;0,_xlpm.DecBroad&gt;0,$G11=""),
Error!$B$49,
IF(AND(_xlpm.baseRow,$D11&lt;&gt;"",$E11&lt;&gt;"",_xlpm.ReplaceReq&gt;0,_xlpm.Coniferous&gt;0,$H11=""),
Error!$B$50,
IF(AND(_xlpm.baseRow,$D11&lt;&gt;"",$E11&lt;&gt;"",_xlpm.Street&gt;0,$G11=""),
Error!$B$49,
IF(AND(_xlpm.baseRow,$D11&lt;&gt;"",$E11&lt;&gt;"",$H11&lt;&gt;"",$H11&lt;4,OR(ISNA(MATCH($C11,'Tree List'!$C$3:$C$601,0)),$C11=""),_xlpm.Green&gt;0,COUNTA(_xlpm.FRange)&gt;0),
Error!$B$51,
IF(AND(_xlpm.baseRow,$D11&lt;&gt;"",$E11&lt;&gt;"",$H11&lt;&gt;"",$H11&lt;4,_xlpm.DecBroad&gt;0,_xlpm.Green&gt;0,COUNTA(_xlpm.FRange)&gt;0),
Error!$B$51,
IF(AND(_xlpm.baseRow,$D11&lt;&gt;"",$E11&lt;&gt;"",$G11="",$H11="",OR(_xlpm.ReplaceReq&gt;0,_xlpm.Green&gt;0,_xlpm.Points&gt;0,_xlpm.Street&gt;0)),
Error!$B$38,
IF(AND(_xlpm.baseRow,$D11&lt;&gt;"",$E11&lt;&gt;"",$H11&lt;&gt;"",$H11&lt;4,_xlpm.Street=0,_xlpm.Coniferous&gt;0,COUNTA(_xlpm.FRange)&gt;0),
Error!$B$32,
IF(AND(_xlpm.baseRow,_xlpm.DecBroad&gt;0,$D11&lt;&gt;"",$E11&lt;&gt;"",$G11&lt;&gt;"",$G11&lt;1.5,_xlpm.Street=0,COUNTA(_xlpm.FRange)&gt;0),
Error!$B$42,
IF(AND(_xlpm.baseRow,$I11="",$H11="",_xlpm.ECA&gt;0,_xlpm.ReplaceReq=0),
Error!$B$33,
IF(AND(_xlpm.baseRow,OR($J11="",$J11&lt;=0),_xlpm.ReplaceReq&gt;0),
Error!$B$34,
IF(AND(_xlpm.baseRow,$K11&lt;&gt;"",_xlpm.Points&gt;0,ISNA(MATCH($K11,Tables!$B$242:$B$253,0))),
Error!$B$58,
IF(AND($K11="Small",$L11&lt;&gt;"",ISNA(MATCH($L11,Tables2!$C$35:$C$36,0))),
Error!$B$60,
IF(AND($K11="Small/Medium",$L11&lt;&gt;"",ISNA(MATCH($L11,Tables2!$C$38:$C$39,0))),
Error!$B$60,
IF(AND($K11="Medium/Large",$L11&lt;&gt;"",ISNA(MATCH($L11,Tables2!$C$41:$C$42,0))),
Error!$B$60,
IF(AND($K11="Large",$L11&lt;&gt;"",ISNA(MATCH($L11,Tables2!$C$44:$C$45,0))),
Error!$B$60,
IF(AND(_xlpm.baseRow,$B11&lt;&gt;"", $C11&lt;&gt;"", $D11&lt;&gt;"", $E11&lt;&gt;"", OR($M11="",$K11="",$L11=""),_xlpm.Points&gt;0),
Error!$B$35,
IF(AND(_xlpm.baseRow,$D11&lt;&gt;"",$E11&lt;&gt;"",$N11=""),
Error!$B$36,
""))))))))))))))))))))))))))))))))))))))))))),Error!$B$37))</calculatedColumnFormula>
    </tableColumn>
    <tableColumn id="15" xr3:uid="{5D70B306-5C0E-4B76-B0C6-55B0072B4E36}" name="Shrubs" dataDxfId="193">
      <calculatedColumnFormula array="1">IFERROR(_xlfn.LET(
    _xlpm.txt, $C11,
    _xlpm.chars, MID(_xlpm.txt, ROW(INDIRECT("1:" &amp; LEN(_xlpm.txt))), 1),
    _xlpm.validChars, "0123456789ABCDEFGHIJKLMNOPQRSTUVWXYZabcdefghijklmnopqrstuvwxyz",
    _xlpm.isValid, ISNUMBER(MATCH(_xlpm.chars, MID(_xlpm.validChars, ROW(INDIRECT("1:" &amp; LEN(_xlpm.validChars))), 1), 0)),
    _xlfn.TEXTJOIN("", TRUE, IF(_xlpm.isValid, _xlpm.chars, ""))
),"")</calculatedColumnFormula>
    </tableColumn>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8ED1187-78F7-4ECC-9F0E-2C668B4EB8A4}" name="Table110" displayName="Table110" ref="A1:L601" totalsRowShown="0">
  <sortState xmlns:xlrd2="http://schemas.microsoft.com/office/spreadsheetml/2017/richdata2" ref="A2:J550">
    <sortCondition ref="F1:F550"/>
  </sortState>
  <tableColumns count="12">
    <tableColumn id="1" xr3:uid="{66DDF87C-6522-411A-86FB-3D8BADAB791E}" name="SCIENTIFIC_NAME"/>
    <tableColumn id="3" xr3:uid="{B0F79A5B-30F5-497E-8678-486628B31ECC}" name="COMMON_NAME"/>
    <tableColumn id="11" xr3:uid="{A44CD1DB-1E43-446B-8587-44AD91AC2571}" name="TREE_NAME" dataDxfId="192">
      <calculatedColumnFormula>Table110[[#This Row],[SCIENTIFIC_NAME]] &amp; " / " &amp;Table110[[#This Row],[COMMON_NAME]]</calculatedColumnFormula>
    </tableColumn>
    <tableColumn id="4" xr3:uid="{EABB4AEB-8E67-43A7-AB17-EB8BF90D3336}" name="TREE_TYPE"/>
    <tableColumn id="5" xr3:uid="{7058FF83-240F-46BC-9B9C-0B3938828FD6}" name="GENUS_NAME"/>
    <tableColumn id="2" xr3:uid="{CE0AF5A0-7DB6-4D7F-9F43-960ACCCEA79C}" name="SPECIES_SIZE" dataDxfId="191"/>
    <tableColumn id="10" xr3:uid="{E123305A-3940-4740-84A1-D6D975CCC6DE}" name="MATURE_SPREAD"/>
    <tableColumn id="6" xr3:uid="{C217610A-609F-4655-BDB7-CB87923483CB}" name="SPECIES_NAME"/>
    <tableColumn id="8" xr3:uid="{0DAF8290-199A-4E91-ACCA-D893B005E6FB}" name="TIER_2_DSH_THRESHOLD"/>
    <tableColumn id="9" xr3:uid="{9DD78228-E663-4481-A89D-B468DFC7BB03}" name="KING_COUNTY_WEED_LIST"/>
    <tableColumn id="7" xr3:uid="{E0005E8E-4EE9-40EC-BD4E-01378E5B3B82}" name="Column1" dataDxfId="190"/>
    <tableColumn id="12" xr3:uid="{C9410B3B-63C2-4244-A820-4E5B7874C96B}" name="Column2" dataDxfId="18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4D84973-96C0-4249-8F09-BBB6AC82C5D4}" name="Table12" displayName="Table12" ref="A1:A576" totalsRowShown="0" tableBorderDxfId="188">
  <autoFilter ref="A1:A576" xr:uid="{B4D84973-96C0-4249-8F09-BBB6AC82C5D4}"/>
  <tableColumns count="1">
    <tableColumn id="1" xr3:uid="{1C9FDF3F-D769-49A9-8B1F-6C48B870E5DB}" name="TREE_NAME (Planting Form)"/>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418E9D-8660-44D9-BF84-A63C218CB229}" name="MultiSelect" displayName="MultiSelect" ref="B2:G110" totalsRowShown="0" headerRowDxfId="187" tableBorderDxfId="186">
  <tableColumns count="6">
    <tableColumn id="1" xr3:uid="{17359555-6618-427F-A85A-3262450AA658}" name="TreeCategory" dataDxfId="185"/>
    <tableColumn id="2" xr3:uid="{61FB45EE-A877-4FB0-9907-551F977629E3}" name="TreeStatus" dataDxfId="184"/>
    <tableColumn id="6" xr3:uid="{D9BC757A-672B-434A-95E9-6D17B11FD4B8}" name=" " dataDxfId="183"/>
    <tableColumn id="3" xr3:uid="{82CA3ABC-B009-4E5C-B64A-9E5FCDC3A469}" name="CodeReference" dataDxfId="182"/>
    <tableColumn id="4" xr3:uid="{668EBA62-26FA-4A04-BFD4-8F35014B2265}" name="TreeMitigation" dataDxfId="181"/>
    <tableColumn id="5" xr3:uid="{6C0B3015-CB85-4BD4-8D58-3274AAD8093F}" name="RemoveCanopy"/>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6CBE82F-7504-4035-957C-2DB35E66ABD4}" name="Table614" displayName="Table614" ref="B113:B119" totalsRowShown="0" headerRowDxfId="180" dataDxfId="179" tableBorderDxfId="178">
  <autoFilter ref="B113:B119" xr:uid="{96CBE82F-7504-4035-957C-2DB35E66ABD4}"/>
  <tableColumns count="1">
    <tableColumn id="1" xr3:uid="{ECD7EF2F-BB13-4C95-85A9-76C11A6819BC}" name="Code Reqd Pres Code Reference" dataDxfId="177"/>
  </tableColumns>
  <tableStyleInfo name="TableStyleLight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8BE5369-57F5-4D26-908E-BCEA3B26740B}" name="Table61115" displayName="Table61115" ref="B121:B129" totalsRowShown="0" headerRowDxfId="176" dataDxfId="175" tableBorderDxfId="174">
  <autoFilter ref="B121:B129" xr:uid="{C8BE5369-57F5-4D26-908E-BCEA3B26740B}"/>
  <tableColumns count="1">
    <tableColumn id="1" xr3:uid="{DBDEDDE8-4FA5-4AA9-9D29-0B67B7AA99F2}" name="Remove Code Reference" dataDxfId="173"/>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407073C-535B-4A54-93BC-F7B4D3D695A6}" name="MultiSelect3" displayName="MultiSelect3" ref="B240:C253" totalsRowShown="0" headerRowDxfId="172" headerRowBorderDxfId="171" tableBorderDxfId="170">
  <tableColumns count="2">
    <tableColumn id="1" xr3:uid="{DBF50C04-04A9-4857-B1C0-EF94E9B2C626}" name="SpeciesSize" dataDxfId="169"/>
    <tableColumn id="2" xr3:uid="{0511F816-F736-4DE6-A139-54089DD3E0E4}" name="Points" dataDxfId="168"/>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2AD7873-B7BC-4DC1-A91E-4D0801865652}" name="MultiSelect2" displayName="MultiSelect2" ref="B2:D30" totalsRowShown="0" headerRowDxfId="167" headerRowBorderDxfId="166" tableBorderDxfId="165">
  <tableColumns count="3">
    <tableColumn id="1" xr3:uid="{ED6E6527-084C-42FA-9E9A-7FFF9213A79E}" name="ProposedLocation" dataDxfId="164"/>
    <tableColumn id="2" xr3:uid="{ACD2104D-0481-4F89-BAE7-DB7FE6AA9523}" name="TreeMitigation" dataDxfId="163"/>
    <tableColumn id="3" xr3:uid="{78EC1C85-4F83-48CF-AFFD-BF7787869DFA}" name="CodeReference" dataDxfId="162"/>
  </tableColumns>
  <tableStyleInfo name="TableStyleLight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C9D9537-F659-4D16-9125-211511439611}" name="MultiSelect4" displayName="MultiSelect4" ref="B32:C45" totalsRowShown="0" headerRowDxfId="161" headerRowBorderDxfId="160" tableBorderDxfId="159">
  <autoFilter ref="B32:C45" xr:uid="{EC9D9537-F659-4D16-9125-211511439611}"/>
  <tableColumns count="2">
    <tableColumn id="1" xr3:uid="{8FDCD177-6549-4DBB-AC82-4272D87C0489}" name="SpeciesSize" dataDxfId="158"/>
    <tableColumn id="2" xr3:uid="{6B8B8622-9145-4A22-ABB4-4A7DED09E723}" name="Points" dataDxfId="157"/>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dci.qualtrics.com/jfe/form/SV_78nviRaMd5Whmrc" TargetMode="External"/><Relationship Id="rId7" Type="http://schemas.openxmlformats.org/officeDocument/2006/relationships/comments" Target="../comments1.xml"/><Relationship Id="rId2" Type="http://schemas.openxmlformats.org/officeDocument/2006/relationships/hyperlink" Target="https://www.seattle.gov/documents/Departments/SDCI/Codes/TIFGetStartedGuide.pdf" TargetMode="External"/><Relationship Id="rId1" Type="http://schemas.openxmlformats.org/officeDocument/2006/relationships/hyperlink" Target="https://www.seattle.gov/documents/Departments/SDCI/Codes/TIFGetStartedGuide.pdf" TargetMode="External"/><Relationship Id="rId6" Type="http://schemas.openxmlformats.org/officeDocument/2006/relationships/table" Target="../tables/table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eattle.gov/documents/Departments/SDCI/Codes/TIFGetStartedGuide.pdf" TargetMode="External"/><Relationship Id="rId1" Type="http://schemas.openxmlformats.org/officeDocument/2006/relationships/hyperlink" Target="https://www.seattle.gov/documents/Departments/SDCI/Codes/TIFGetStartedGuide.pdf" TargetMode="External"/><Relationship Id="rId6" Type="http://schemas.openxmlformats.org/officeDocument/2006/relationships/comments" Target="../comments2.xml"/><Relationship Id="rId5" Type="http://schemas.openxmlformats.org/officeDocument/2006/relationships/table" Target="../tables/table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s://www.seattle.gov/documents/Departments/UrbanForestryCommission/2023/2023Docs/8-2023%20Director%27s%20Rule.pdf"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hyperlink" Target="https://library.municode.com/wa/seattle/codes/municipal_code?nodeId=TIT23LAUSCO_SUBTITLE_IIILAUSRE_CH23.60ASESHMAPRRE" TargetMode="External"/><Relationship Id="rId13" Type="http://schemas.openxmlformats.org/officeDocument/2006/relationships/hyperlink" Target="https://library.municode.com/wa/seattle/codes/municipal_code?nodeId=TIT25ENPRHIPR_CH25.11TRPR_25.11.050GEPRRETRCA" TargetMode="External"/><Relationship Id="rId18" Type="http://schemas.openxmlformats.org/officeDocument/2006/relationships/hyperlink" Target="https://library.municode.com/wa/seattle/codes/municipal_code?nodeId=TIT23LAUSCO_SUBTITLE_IIILAUSRE_CH23.44NERE_23.44.120TRRE" TargetMode="External"/><Relationship Id="rId26" Type="http://schemas.openxmlformats.org/officeDocument/2006/relationships/hyperlink" Target="https://www.seattle.gov/documents/Departments/SDCI/Codes/SDCITreeList.xlsx" TargetMode="External"/><Relationship Id="rId3" Type="http://schemas.openxmlformats.org/officeDocument/2006/relationships/hyperlink" Target="https://www.seattle.gov/DPD/Publications/CAM/Tip242B.pdf" TargetMode="External"/><Relationship Id="rId21" Type="http://schemas.openxmlformats.org/officeDocument/2006/relationships/hyperlink" Target="https://library.municode.com/wa/seattle/codes/municipal_code?nodeId=TIT25ENPRHIPR_CH25.11TRPR_25.11.050GEPRRETRCA" TargetMode="External"/><Relationship Id="rId7" Type="http://schemas.openxmlformats.org/officeDocument/2006/relationships/hyperlink" Target="https://library.municode.com/wa/seattle/codes/municipal_code?nodeId=TIT25ENPRHIPR_CH25.11TRPR_25.11.070TRPRSIUNDENERELOMICOSEMIZO" TargetMode="External"/><Relationship Id="rId12" Type="http://schemas.openxmlformats.org/officeDocument/2006/relationships/hyperlink" Target="https://library.municode.com/wa/seattle/codes/municipal_code?nodeId=TIT25ENPRHIPR_CH25.11TRPR_25.11.070TRPRSIUNDENERELOMICOSEMIZO" TargetMode="External"/><Relationship Id="rId17" Type="http://schemas.openxmlformats.org/officeDocument/2006/relationships/hyperlink" Target="https://library.municode.com/wa/seattle/codes/municipal_code?nodeId=TIT23LAUSCO_SUBTITLE_IIILAUSRE_CH23.44NERE_23.44.120TRRE" TargetMode="External"/><Relationship Id="rId25" Type="http://schemas.openxmlformats.org/officeDocument/2006/relationships/hyperlink" Target="https://www.seattle.gov/documents/Departments/SDCI/Codes/SDCITreeList.xlsx" TargetMode="External"/><Relationship Id="rId2" Type="http://schemas.openxmlformats.org/officeDocument/2006/relationships/hyperlink" Target="https://www.seattle.gov/sdci/codes/codes-we-enforce-(a-z)/seattle-green-factor" TargetMode="External"/><Relationship Id="rId16" Type="http://schemas.openxmlformats.org/officeDocument/2006/relationships/hyperlink" Target="https://library.municode.com/wa/seattle/codes/municipal_code?nodeId=TIT23LAUSCO_SUBTITLE_IIILAUSRE_CH23.44NERE_23.44.120TRRE" TargetMode="External"/><Relationship Id="rId20" Type="http://schemas.openxmlformats.org/officeDocument/2006/relationships/hyperlink" Target="https://library.municode.com/wa/seattle/codes/municipal_code?nodeId=TIT25ENPRHIPR_CH25.11TRPR_25.11.130DE" TargetMode="External"/><Relationship Id="rId29" Type="http://schemas.openxmlformats.org/officeDocument/2006/relationships/hyperlink" Target="https://www.seattle.gov/construction-and-inspections/codes/codes-we-enforce-(a-z)/trees-and-codes" TargetMode="External"/><Relationship Id="rId1" Type="http://schemas.openxmlformats.org/officeDocument/2006/relationships/hyperlink" Target="https://library.municode.com/wa/seattle/codes/municipal_code?nodeId=TIT25ENPRHIPR_CH25.11TRPR_25.11.050GEPRRETRCA" TargetMode="External"/><Relationship Id="rId6" Type="http://schemas.openxmlformats.org/officeDocument/2006/relationships/hyperlink" Target="https://library.municode.com/wa/seattle/codes/municipal_code?nodeId=TIT25ENPRHIPR_CH25.11TRPR_25.11.115MOTRREREVOEUPARE" TargetMode="External"/><Relationship Id="rId11" Type="http://schemas.openxmlformats.org/officeDocument/2006/relationships/hyperlink" Target="https://library.municode.com/wa/seattle/codes/municipal_code?nodeId=TIT25ENPRHIPR_CH25.11TRPR_25.11.050GEPRRETRCA" TargetMode="External"/><Relationship Id="rId24" Type="http://schemas.openxmlformats.org/officeDocument/2006/relationships/hyperlink" Target="https://library.municode.com/wa/seattle/codes/municipal_code?nodeId=TIT23LAUSCO_SUBTITLE_IVAD_CH23.84ADE_23.84A.038T" TargetMode="External"/><Relationship Id="rId32" Type="http://schemas.openxmlformats.org/officeDocument/2006/relationships/printerSettings" Target="../printerSettings/printerSettings4.bin"/><Relationship Id="rId5" Type="http://schemas.openxmlformats.org/officeDocument/2006/relationships/hyperlink" Target="https://www.seattle.gov/dpd/codes/dr/DR%207-2024.pdf" TargetMode="External"/><Relationship Id="rId15" Type="http://schemas.openxmlformats.org/officeDocument/2006/relationships/hyperlink" Target="https://library.municode.com/wa/seattle/codes/municipal_code?nodeId=TIT25ENPRHIPR_CH25.09REENCRAR" TargetMode="External"/><Relationship Id="rId23" Type="http://schemas.openxmlformats.org/officeDocument/2006/relationships/hyperlink" Target="https://www.seattle.gov/construction-and-inspections/codes/codes-we-enforce-(a-z)/trees-and-codes" TargetMode="External"/><Relationship Id="rId28" Type="http://schemas.openxmlformats.org/officeDocument/2006/relationships/hyperlink" Target="https://www.seattle.gov/construction-and-inspections/codes/codes-we-enforce-(a-z)/trees-and-codes" TargetMode="External"/><Relationship Id="rId10" Type="http://schemas.openxmlformats.org/officeDocument/2006/relationships/hyperlink" Target="https://www.seattle.gov/sdci/codes/codes-we-enforce-(a-z)/seattle-green-factor" TargetMode="External"/><Relationship Id="rId19" Type="http://schemas.openxmlformats.org/officeDocument/2006/relationships/hyperlink" Target="https://seattlecitygis.maps.arcgis.com/apps/webappviewer/index.html?id=f822b2c6498c4163b0cf908e2241e9c2" TargetMode="External"/><Relationship Id="rId31" Type="http://schemas.openxmlformats.org/officeDocument/2006/relationships/hyperlink" Target="https://www.seattle.gov/documents/Departments/SDCI/Codes/TIFGetStartedGuide.pdf" TargetMode="External"/><Relationship Id="rId4" Type="http://schemas.openxmlformats.org/officeDocument/2006/relationships/hyperlink" Target="https://kingcounty.gov/en/dept/dnrp/nature-recreation/environment-ecology-conservation/noxious-weeds/identification-control/noxious-weeds-list" TargetMode="External"/><Relationship Id="rId9" Type="http://schemas.openxmlformats.org/officeDocument/2006/relationships/hyperlink" Target="https://library.municode.com/wa/seattle/codes/municipal_code?nodeId=TIT25ENPRHIPR_CH25.09REENCRAR" TargetMode="External"/><Relationship Id="rId14" Type="http://schemas.openxmlformats.org/officeDocument/2006/relationships/hyperlink" Target="https://library.municode.com/wa/seattle/codes/municipal_code?nodeId=TIT23LAUSCO_SUBTITLE_IIILAUSRE_CH23.60ASESHMAPRRE" TargetMode="External"/><Relationship Id="rId22" Type="http://schemas.openxmlformats.org/officeDocument/2006/relationships/hyperlink" Target="https://library.municode.com/wa/seattle/codes/municipal_code?nodeId=TIT23LAUSCO_SUBTITLE_IIILAUSRE_CH23.44NERE_23.44.120TRRE" TargetMode="External"/><Relationship Id="rId27" Type="http://schemas.openxmlformats.org/officeDocument/2006/relationships/hyperlink" Target="https://www.seattle.gov/documents/Departments/SDCI/Codes/SDCITreeList.xlsx" TargetMode="External"/><Relationship Id="rId30" Type="http://schemas.openxmlformats.org/officeDocument/2006/relationships/hyperlink" Target="https://www.seattle.gov/documents/Departments/SDCI/Codes/TIFGetStartedGuide.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library.municode.com/wa/seattle/codes/municipal_code?nodeId=TIT23LAUSCO_SUBTITLE_IIILAUSRE_CH23.44NERE_23.44.120TRRE" TargetMode="External"/><Relationship Id="rId13" Type="http://schemas.openxmlformats.org/officeDocument/2006/relationships/hyperlink" Target="https://www.seattle.gov/documents/Departments/SDCI/Codes/SDCITreeList.xlsx" TargetMode="External"/><Relationship Id="rId18" Type="http://schemas.openxmlformats.org/officeDocument/2006/relationships/printerSettings" Target="../printerSettings/printerSettings5.bin"/><Relationship Id="rId3" Type="http://schemas.openxmlformats.org/officeDocument/2006/relationships/hyperlink" Target="https://library.municode.com/wa/seattle/codes/municipal_code?nodeId=TIT23LAUSCO_SUBTITLE_IIILAUSRE_CH23.60ASESHMAPRRE" TargetMode="External"/><Relationship Id="rId7" Type="http://schemas.openxmlformats.org/officeDocument/2006/relationships/hyperlink" Target="https://library.municode.com/wa/seattle/codes/municipal_code?nodeId=TIT23LAUSCO_SUBTITLE_IIILAUSRE_CH23.44NERE_23.44.120TRRE" TargetMode="External"/><Relationship Id="rId12" Type="http://schemas.openxmlformats.org/officeDocument/2006/relationships/hyperlink" Target="https://www.seattle.gov/documents/Departments/SDCI/Codes/SDCITreeList.xlsx" TargetMode="External"/><Relationship Id="rId17" Type="http://schemas.openxmlformats.org/officeDocument/2006/relationships/hyperlink" Target="https://www.seattle.gov/documents/Departments/SDCI/Codes/SDCITreeList.xlsx" TargetMode="External"/><Relationship Id="rId2" Type="http://schemas.openxmlformats.org/officeDocument/2006/relationships/hyperlink" Target="https://library.municode.com/wa/seattle/codes/municipal_code?nodeId=TIT25ENPRHIPR_CH25.11TRPR_25.11.050GEPRRETRCA" TargetMode="External"/><Relationship Id="rId16" Type="http://schemas.openxmlformats.org/officeDocument/2006/relationships/hyperlink" Target="https://seattlecitygis.maps.arcgis.com/apps/webappviewer/index.html?id=f822b2c6498c4163b0cf908e2241e9c2" TargetMode="External"/><Relationship Id="rId1" Type="http://schemas.openxmlformats.org/officeDocument/2006/relationships/hyperlink" Target="https://www.seattle.gov/sdci/codes/codes-we-enforce-(a-z)/seattle-green-factor" TargetMode="External"/><Relationship Id="rId6" Type="http://schemas.openxmlformats.org/officeDocument/2006/relationships/hyperlink" Target="https://library.municode.com/wa/seattle/codes/municipal_code?nodeId=TIT23LAUSCO_SUBTITLE_IIILAUSRE_CH23.44NERE_23.44.120TRRE" TargetMode="External"/><Relationship Id="rId11" Type="http://schemas.openxmlformats.org/officeDocument/2006/relationships/hyperlink" Target="https://www.seattle.gov/construction-and-inspections/codes/codes-we-enforce-(a-z)/trees-and-codes" TargetMode="External"/><Relationship Id="rId5" Type="http://schemas.openxmlformats.org/officeDocument/2006/relationships/hyperlink" Target="https://library.municode.com/wa/seattle/codes/municipal_code?nodeId=TIT23LAUSCO_SUBTITLE_IIILAUSRE_CH23.44NERE_23.44.120TRRE" TargetMode="External"/><Relationship Id="rId15" Type="http://schemas.openxmlformats.org/officeDocument/2006/relationships/hyperlink" Target="https://www.seattle.gov/documents/Departments/SDCI/Codes/TIFGetStartedGuide.pdf" TargetMode="External"/><Relationship Id="rId10" Type="http://schemas.openxmlformats.org/officeDocument/2006/relationships/hyperlink" Target="https://www.seattle.gov/documents/Departments/SDCI/Codes/TIFGetStartedGuide.pdf" TargetMode="External"/><Relationship Id="rId4" Type="http://schemas.openxmlformats.org/officeDocument/2006/relationships/hyperlink" Target="https://library.municode.com/wa/seattle/codes/municipal_code?nodeId=TIT25ENPRHIPR_CH25.09REENCRAR" TargetMode="External"/><Relationship Id="rId9" Type="http://schemas.openxmlformats.org/officeDocument/2006/relationships/hyperlink" Target="https://library.municode.com/wa/seattle/codes/municipal_code?nodeId=TIT23LAUSCO_SUBTITLE_IVAD_CH23.84ADE_23.84A.038T" TargetMode="External"/><Relationship Id="rId14" Type="http://schemas.openxmlformats.org/officeDocument/2006/relationships/hyperlink" Target="https://www.seattle.gov/construction-and-inspections/codes/codes-we-enforce-(a-z)/trees-and-cod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8.bin"/><Relationship Id="rId5" Type="http://schemas.openxmlformats.org/officeDocument/2006/relationships/table" Target="../tables/table8.xml"/><Relationship Id="rId4"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B23A1-C12B-446B-8371-9F891B21FDBB}">
  <sheetPr codeName="Sheet3">
    <tabColor theme="4"/>
    <pageSetUpPr fitToPage="1"/>
  </sheetPr>
  <dimension ref="A1:O812"/>
  <sheetViews>
    <sheetView showGridLines="0" tabSelected="1" zoomScale="85" zoomScaleNormal="85" workbookViewId="0">
      <selection activeCell="I2" sqref="I2"/>
    </sheetView>
  </sheetViews>
  <sheetFormatPr defaultColWidth="9.109375" defaultRowHeight="14.4" x14ac:dyDescent="0.3"/>
  <cols>
    <col min="1" max="1" width="5.5546875" style="52" customWidth="1"/>
    <col min="2" max="2" width="10" style="18" customWidth="1"/>
    <col min="3" max="3" width="38.33203125" style="128" customWidth="1"/>
    <col min="4" max="4" width="13.33203125" style="82" customWidth="1"/>
    <col min="5" max="5" width="24.88671875" style="18" bestFit="1" customWidth="1"/>
    <col min="6" max="6" width="14.88671875" style="19" customWidth="1"/>
    <col min="7" max="7" width="5.109375" style="82" bestFit="1" customWidth="1"/>
    <col min="8" max="8" width="54.109375" style="141" customWidth="1"/>
    <col min="9" max="9" width="27.88671875" style="20" customWidth="1"/>
    <col min="10" max="10" width="19.5546875" style="19" bestFit="1" customWidth="1"/>
    <col min="11" max="11" width="14.6640625" style="19" customWidth="1"/>
    <col min="12" max="12" width="21.33203125" style="19" customWidth="1"/>
    <col min="13" max="13" width="17.109375" style="19" customWidth="1"/>
    <col min="14" max="14" width="102" style="162" customWidth="1"/>
    <col min="15" max="15" width="6.88671875" style="19" hidden="1" customWidth="1"/>
    <col min="16" max="16" width="55.88671875" style="19" customWidth="1"/>
    <col min="17" max="16384" width="9.109375" style="19"/>
  </cols>
  <sheetData>
    <row r="1" spans="1:15" s="83" customFormat="1" ht="24" customHeight="1" thickBot="1" x14ac:dyDescent="0.35">
      <c r="A1" s="384" t="s">
        <v>2117</v>
      </c>
      <c r="B1" s="349"/>
      <c r="C1" s="350"/>
      <c r="D1" s="79"/>
      <c r="E1" s="349"/>
      <c r="F1" s="351"/>
      <c r="G1" s="79"/>
      <c r="H1" s="350"/>
      <c r="I1" s="352"/>
      <c r="J1" s="351"/>
      <c r="K1" s="777" t="s">
        <v>2277</v>
      </c>
      <c r="L1" s="351"/>
      <c r="M1" s="351"/>
      <c r="N1" s="353"/>
    </row>
    <row r="2" spans="1:15" ht="32.25" customHeight="1" thickBot="1" x14ac:dyDescent="0.55000000000000004">
      <c r="A2" s="75" t="s">
        <v>2085</v>
      </c>
      <c r="B2" s="74"/>
      <c r="C2" s="140"/>
      <c r="D2" s="184" t="str">
        <f ca="1">IF((COUNTBLANK(N11:N1448)&lt;ROWS(N11:N1448))+($N$4&lt;&gt;"")+($I$3&lt;&gt;"")+($I$8&lt;&gt;""),(ROWS($N$11:$N$1448)-COUNTBLANK($N$11:$N$1448))+IF($N$4&lt;&gt;"",1,0)+IF($I$8&lt;&gt;"",1,0)+IF($I$3&lt;&gt;"",1,0)
&amp;" unresolved error(s). See red errors for more info.", "")</f>
        <v>2 unresolved error(s). See red errors for more info.</v>
      </c>
      <c r="E2" s="148"/>
      <c r="F2" s="149"/>
      <c r="G2" s="150"/>
      <c r="H2" s="153" t="s">
        <v>1628</v>
      </c>
      <c r="I2" s="147"/>
      <c r="J2" s="215"/>
      <c r="L2" s="111" t="str" cm="1">
        <f t="array" ref="L2">"Total Existing Trees: "&amp;SUM(--(MOD(ROW($F$11:$F$1448)-10,4)=0)*($F$11:$F$1448&lt;&gt;"")) &amp; CHAR(10) &amp; "(Used to meet code)"</f>
        <v>Total Existing Trees: 0
(Used to meet code)</v>
      </c>
      <c r="M2" s="95" t="str" cm="1">
        <f t="array" ref="M2">"Total Removals: "&amp;SUM(--(MOD(ROW($F$11:$F$1448)-10,4)=0)*($F$11:$F$1448="Remove")) &amp; CHAR(10)
&amp;"Total Retained: "&amp;SUM(--(MOD(ROW($F$11:$F$1448)-10,4)=0)*($F$11:$F$1448="Retain"))</f>
        <v>Total Removals: 0
Total Retained: 0</v>
      </c>
    </row>
    <row r="3" spans="1:15" ht="18.600000000000001" thickBot="1" x14ac:dyDescent="0.4">
      <c r="A3" s="76" t="s">
        <v>64</v>
      </c>
      <c r="B3" s="418"/>
      <c r="C3" s="419"/>
      <c r="D3" s="420" t="str">
        <f ca="1">IF(D2&lt;&gt;"", "This message will disappear when all errors are resolved.", "")</f>
        <v>This message will disappear when all errors are resolved.</v>
      </c>
      <c r="E3" s="421"/>
      <c r="F3" s="422"/>
      <c r="G3" s="151"/>
      <c r="I3" s="167" t="str">
        <f>IF($I$2="","↑ Enter Permit Number Here",
IF(ISNUMBER(SEARCH("TA",$I$2)),"'TA' records do not require Tree Worksheets.",
IF(ISNUMBER(SEARCH("TN",$I$2)),"'TN' records do not require Tree Worksheets.",
IF(ISNUMBER(SEARCH("EX",$I$2)),"'EX' records do not require Tree Worksheets.",
IF(ISNUMBER(SEARCH("LU",$I$2)),"'LU' records do not require Tree Worksheets.",
IF(ISNUMBER(SEARCH("MUP",$I$2)),"'MUP' records do not require Tree Worksheets.",
""))))))</f>
        <v>↑ Enter Permit Number Here</v>
      </c>
      <c r="L3" s="155"/>
      <c r="M3" s="156"/>
    </row>
    <row r="4" spans="1:15" ht="19.8" thickBot="1" x14ac:dyDescent="0.35">
      <c r="A4" s="77"/>
      <c r="B4" s="429" t="s">
        <v>2168</v>
      </c>
      <c r="C4" s="423"/>
      <c r="D4" s="424"/>
      <c r="E4" s="425"/>
      <c r="F4" s="425"/>
      <c r="G4" s="143"/>
      <c r="K4" s="142"/>
      <c r="L4" s="120" t="s">
        <v>41</v>
      </c>
      <c r="M4" s="480"/>
      <c r="N4" s="163" t="str">
        <f>IF($M$4="", "← Please enter the minimum tree points value required for this site. If not applicable, type zero.",
IF(SUM($M$6,$M$7)&lt;$M$4, "'Total Tree Points Proposed' must be equal or greater than the 'Required Tree Points.'",""))</f>
        <v>← Please enter the minimum tree points value required for this site. If not applicable, type zero.</v>
      </c>
    </row>
    <row r="5" spans="1:15" s="51" customFormat="1" ht="30.6" thickBot="1" x14ac:dyDescent="0.35">
      <c r="A5" s="78"/>
      <c r="B5" s="429" t="s">
        <v>2169</v>
      </c>
      <c r="C5" s="426"/>
      <c r="D5" s="427"/>
      <c r="E5" s="427"/>
      <c r="F5" s="428"/>
      <c r="G5" s="70"/>
      <c r="H5" s="84"/>
      <c r="I5" s="168" t="s">
        <v>2171</v>
      </c>
      <c r="J5" s="449">
        <f ca="1">J6-J7</f>
        <v>0</v>
      </c>
      <c r="K5" s="94"/>
      <c r="L5" s="740" t="s">
        <v>1627</v>
      </c>
      <c r="M5" s="741">
        <f ca="1">SUM(M6:M7)</f>
        <v>0</v>
      </c>
      <c r="N5" s="164"/>
    </row>
    <row r="6" spans="1:15" s="51" customFormat="1" ht="31.8" thickBot="1" x14ac:dyDescent="0.35">
      <c r="A6" s="379"/>
      <c r="B6" s="430" t="s">
        <v>2155</v>
      </c>
      <c r="C6" s="380"/>
      <c r="D6" s="71"/>
      <c r="E6" s="71"/>
      <c r="F6" s="71"/>
      <c r="G6" s="381"/>
      <c r="H6" s="84"/>
      <c r="I6" s="169" t="s">
        <v>2172</v>
      </c>
      <c r="J6" s="450">
        <f ca="1">'Tree Plantings Form'!J5</f>
        <v>0</v>
      </c>
      <c r="K6" s="93"/>
      <c r="L6" s="738" t="s">
        <v>2186</v>
      </c>
      <c r="M6" s="739">
        <f ca="1">'Tree Plantings Form'!M5</f>
        <v>0</v>
      </c>
      <c r="N6" s="165"/>
    </row>
    <row r="7" spans="1:15" s="51" customFormat="1" ht="31.8" thickBot="1" x14ac:dyDescent="0.35">
      <c r="A7" s="383" t="s">
        <v>1976</v>
      </c>
      <c r="B7" s="228"/>
      <c r="C7" s="229"/>
      <c r="D7" s="230"/>
      <c r="E7" s="224"/>
      <c r="F7" s="224"/>
      <c r="G7" s="230"/>
      <c r="I7" s="170" t="s">
        <v>2173</v>
      </c>
      <c r="J7" s="451" cm="1">
        <f t="array" ref="J7">SUM(
SUMPRODUCT(
    $J11:$J1344,
    ISNUMBER(MATCH($I11:$I1344, {"Off-site replacement","On-site replacement"}, 0)) *
    ISNUMBER(MATCH($E11:$E1344, {"Tier 1","Tier 2","Tier 3","Tier 4","Tier 2 Grove"}, 0)) *
    ($H11:$H1344&lt;&gt;"") *
    ($F11:$F1344 = "Remove")),
IFERROR(#REF!,0))</f>
        <v>0</v>
      </c>
      <c r="K7" s="94"/>
      <c r="L7" s="121" t="s">
        <v>61</v>
      </c>
      <c r="M7" s="481" cm="1">
        <f t="array" ref="M7">SUM(
     SUMPRODUCT(
     $M11:$M1344,
     ISNUMBER(MATCH($H11:$H1344,{"Zoning: Tree Points"},0))*
     ISNUMBER(MATCH($E11:$E1344,{"Tier 1","Tier 2","Tier 2 Grove","Tier 3","Tier 4","ECA / Shoreline Tree","&lt;6in DSH for Tree Points"},0))*
     ($F11:$F1344="Retain")),
IFERROR(#REF!,0))</f>
        <v>0</v>
      </c>
      <c r="N7" s="164"/>
    </row>
    <row r="8" spans="1:15" s="51" customFormat="1" ht="29.25" customHeight="1" thickBot="1" x14ac:dyDescent="0.35">
      <c r="A8" s="378"/>
      <c r="B8" s="763" t="s">
        <v>2255</v>
      </c>
      <c r="C8" s="764"/>
      <c r="D8" s="764"/>
      <c r="E8" s="765"/>
      <c r="F8" s="21"/>
      <c r="G8" s="21"/>
      <c r="I8" s="152" t="str" cm="1">
        <f t="array" aca="1" ref="I8" ca="1">IF('Existing Trees Form'!$J$7:$J$7&gt;J6, "↑ New plantings are required. ‘Total Mature Canopy Area Proposed’ must be equal or greater than ‘Total Canopy Area of Removals’.", "")</f>
        <v/>
      </c>
      <c r="J8" s="21"/>
      <c r="K8" s="21"/>
      <c r="L8" s="21"/>
      <c r="M8" s="21"/>
      <c r="N8" s="164"/>
    </row>
    <row r="9" spans="1:15" s="51" customFormat="1" ht="16.2" thickBot="1" x14ac:dyDescent="0.35">
      <c r="A9" s="608"/>
      <c r="B9" s="377"/>
      <c r="C9" s="609"/>
      <c r="D9" s="610"/>
      <c r="E9" s="611" t="s">
        <v>1669</v>
      </c>
      <c r="F9" s="612"/>
      <c r="G9" s="613"/>
      <c r="H9" s="613"/>
      <c r="I9" s="614"/>
      <c r="N9" s="166"/>
    </row>
    <row r="10" spans="1:15" s="50" customFormat="1" ht="31.8" thickBot="1" x14ac:dyDescent="0.35">
      <c r="A10" s="615" t="s">
        <v>1619</v>
      </c>
      <c r="B10" s="99" t="s">
        <v>1102</v>
      </c>
      <c r="C10" s="100" t="s">
        <v>1126</v>
      </c>
      <c r="D10" s="100" t="s">
        <v>60</v>
      </c>
      <c r="E10" s="189" t="s">
        <v>0</v>
      </c>
      <c r="F10" s="348" t="s">
        <v>1982</v>
      </c>
      <c r="G10" s="358" t="s">
        <v>1983</v>
      </c>
      <c r="H10" s="100" t="s">
        <v>1622</v>
      </c>
      <c r="I10" s="100" t="s">
        <v>1122</v>
      </c>
      <c r="J10" s="100" t="s">
        <v>2170</v>
      </c>
      <c r="K10" s="100" t="s">
        <v>1612</v>
      </c>
      <c r="L10" s="100" t="s">
        <v>1613</v>
      </c>
      <c r="M10" s="101" t="s">
        <v>34</v>
      </c>
      <c r="N10" s="344" t="s">
        <v>54</v>
      </c>
      <c r="O10" s="342" t="s">
        <v>1761</v>
      </c>
    </row>
    <row r="11" spans="1:15" ht="15" thickBot="1" x14ac:dyDescent="0.35">
      <c r="A11" s="311">
        <v>1</v>
      </c>
      <c r="B11" s="312"/>
      <c r="C11" s="313"/>
      <c r="D11" s="478"/>
      <c r="E11" s="314"/>
      <c r="F11" s="314"/>
      <c r="G11" s="315" t="str">
        <f>IF(Tree_Table1[[#This Row],[Tree Status  &amp;]]="Retain", Tables!$B$237, IF(Tree_Table1[[#This Row],[Tree Status  &amp;]]="Remove", Tables!$B$238, ""))</f>
        <v/>
      </c>
      <c r="H11" s="316"/>
      <c r="I11" s="317"/>
      <c r="J11" s="452"/>
      <c r="K11" s="318" t="str">
        <f>IFERROR(
    IF(
        AND($H11="Zoning: Tree Points", NOT(ISNUMBER(SEARCH("sp.", $C11)))),
        VLOOKUP($C11, 'Tree List'!$C$3:$F$601, 4, FALSE),
        ""
    ),
"")</f>
        <v/>
      </c>
      <c r="L11" s="319" t="str" cm="1">
        <f t="array" ref="L11">IFERROR(
IF(
    AND($H11="Zoning: Tree Points", NOT(ISNUMBER(SEARCH("sp.", $C11)))),
    _xlfn.IFS(
        (COUNTIFS('Tree List'!$C$3:$C$601,$C11,'Tree List'!$D$3:$D$601,"Coniferous")
        + COUNTIFS('Tree List'!$C$3:$C$601,$C11,'Tree List'!$D$3:$D$601,"Deciduous Conifer")) &gt; 0,
            _xlfn.IFS($K11="Small",0.5,$K11="Small/Medium",1,$K11="Medium/Large",1.4,$K11="Large",1.8),
        (COUNTIFS('Tree List'!$C$3:$C$601,$C11,'Tree List'!$D$3:$D$601,"Deciduous")
        + COUNTIFS('Tree List'!$C$3:$C$601,$C11,'Tree List'!$D$3:$D$601,"Broadleaf Evergreen")) &gt; 0,
            _xlfn.IFS($K11="Small",0.4,$K11="Small/Medium",0.8,$K11="Medium/Large",1.2,$K11="Large",1.6)
    ),
    ""
),
"")</f>
        <v/>
      </c>
      <c r="M11" s="474" t="str">
        <f>IFERROR($D11*$L11,"")</f>
        <v/>
      </c>
      <c r="N11" s="345" t="str" cm="1">
        <f t="array" aca="1" ref="N1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IF(AND(_xlpm.baseRow,ISNA(MATCH($C11,'Tree List'!$C$3:$C$601,0)),SUMPRODUCT(--ISNUMBER(SEARCH(Tables2!$C$677:$C$772,$O11)))&gt;0),
Error!$B$57,
IF(AND(_xlpm.hasDM,$F11="Remove",$H11&lt;&gt;"",OR($I11="On-site replacement",$I11="Off-site replacement",$I11="Payment In Lieu")),
Error!$B$56,
IF(AND(_xlpm.hasDM,$F11="Remove",$H11&lt;&gt;"",$I11="Relocation"),
Error!$B$66,
IF(AND(OR(_xlpm.hasCN,_xlpm.hasPH,_xlpm.hasGR),$H11&lt;&gt;"",COUNTIF(Tables!$B$132:$B$134,$H11)&gt;0,$I11="N/A (No replacement required)"),
Error!$B$62,
IF(AND(_xlpm.baseRow,$E11&lt;&gt;"",ISNA(MATCH($E11,Tables!$B$225:$B$232,0))),
Error!$B$2,
IF(AND(_xlpm.baseRow,$F11&lt;&gt;"",ISNA(MATCH($F11,Tables!$B$234:$B$235,0))),
Error!$B$24,
IF(AND(_xlpm.baseRow,_xlpm.ECA_H&gt;0,_xlpm.Shore_H&gt;0),
Error!$B$16,
IF(AND(_xlpm.baseRow,$E11&lt;&gt;"",$D11=""),
Error!$B$3,
IF(AND(_xlpm.baseRow,OR($E11="Tier 3",$E11="Tier 4"),$C11&lt;&gt;"",$D11&gt;=24,COUNTIF(Tables2!$B$166:$B$674,$C11)&gt;0),
Error!$B$44,
IF(AND(_xlpm.baseRow,OR($E11="Tier 3",$E11="Tier 4"),$C11&lt;&gt;"",$D11&lt;&gt;"",COUNTIF(Tables2!$B$73:$B$152,$C11)&gt;0,
$D11&gt;=IFERROR(INDEX(Tables2!$C$73:$C$152,MATCH($C11,Tables2!$B$73:$B$152,0)),-1)),
Error!$B$44,
IF(AND(_xlpm.baseRow,OR($E11="Tier 2",$E11="Tier 2 Grove"),$C11&lt;&gt;"",$D11&gt;=12,COUNTIF(Tables2!$B$153:$B$162,$C11)&gt;0),
Error!$B$45,
IF(AND(_xlpm.baseRow,$E11="Tier 2 Grove",$D11&lt;12),
Error!$B$41,
IF(AND(_xlpm.baseRow,$E11="Tier 2",$D11&lt;5.88),
Error!$B$40,
IF(AND(_xlpm.baseRow,OR($E11="Tier 2",$E11="Tier 2 Grove"),$C11&lt;&gt;"",$D11&lt;12,$D11&gt;=6,COUNTIF(Tables2!$B$153:$B$162,$C11)&gt;0),
Error!$B$54,
IF(AND(_xlpm.baseRow,$E11="Tier 2",COUNTIF(Tables2!$B$166:$B$674,$C11)&gt;0,$D11&lt;24),
Error!$B$54,
IF(AND(_xlpm.baseRow,$E11="Tier 3",ISNA(MATCH($C11,Tables2!$B$153:$B$162,0)),OR($D11&lt;12,$D11&gt;=24)),
Error!$B$9,
IF(AND(_xlpm.baseRow,$E11="Tier 3",COUNTIF(Tables2!$B$153:$B$162,$C11)&gt;0,$D11&lt;12),
Error!$B$46,
IF(AND(_xlpm.baseRow,$E11="Tier 4",OR($D11&lt;6,$D11&gt;=12)),
Error!$B$10,
IF(AND(_xlpm.baseRow,$E11="&lt;6in DSH for Tree Points",OR($D11&gt;=6,$D11="")),
Error!$B$8,
IF(AND(_xlpm.baseRow,$E11="Street Tree for Green Factor",$F11&lt;&gt;"",$F11&lt;&gt;"Retain"),
Error!$B$14,
IF(AND($E11="&lt;6in DSH for Tree Points",$F11="Retain",$H11&lt;&gt;"",ISNA(MATCH($H11,Tables!$B$174:$B$174,0))),
Error!$B$15,
IF(AND($E11="Street Tree for Green Factor",$F11="Retain",$H11&lt;&gt;"",$H11&lt;&gt;"Zoning: Green Factor"),
Error!$B$15,
IF(AND($E11="ECA / Shoreline Tree",$F11="Remove",$H11&lt;&gt;"",ISNA(MATCH($H11,Tables!$B$189:$B$190,0))),
Error!$B$15,
IF(AND($E11="ECA / Shoreline Tree",$F11="Retain",$H11&lt;&gt;"",ISNA(MATCH($H11,Tables!$B$184:$B$186,0))),
Error!$B$15,
IF(AND($E11="Tier 4",$F11="Remove",$H11&lt;&gt;"",ISNA(MATCH($H11,Tables!$B$171,0))),
Error!$B$15,
IF(AND($E11="Tier 4",$F11="Retain",$H11&lt;&gt;"",ISNA(MATCH($H11,Tables!$B$166:$B$168,0))),
Error!$B$15,
IF(AND($E11="Tier 3",$F11="Retain",$H11&lt;&gt;"",ISNA(MATCH($H11,Tables!$B$158:$B$160,0))),
Error!$B$15,
IF(AND($E11="Tier 3",$F11="Remove",$H11&lt;&gt;"",ISNA(MATCH($H11,Tables!$B$163,0))),
Error!$B$15,
IF(AND(OR($E11="Tier 2",$E11="Tier 2 Grove"),$F11="Remove",$H11&lt;&gt;"",ISNA(MATCH($H11,Tables!$B$153:$B$155,0))),
Error!$B$15,
IF(AND(OR($E11="Tier 2",$E11="Tier 2 Grove"),$F11="Retain",$H11&lt;&gt;"",ISNA(MATCH($H11,Tables!$B$147:$B$150,0))),
Error!$B$15,
IF(AND($E11="Tier 1",$F11="Remove",$H11&lt;&gt;"",ISNA(MATCH($H11,Tables!$B$143:$B$144,0))),
Error!$B$15,
IF(AND($E11="Tier 1",$F11="Retain",$H11&lt;&gt;"",ISNA(MATCH($H11,Tables!$B$137:$B$140,0))),
Error!$B$15,
IF(AND($E11&lt;&gt;"Tier 2",$E11&lt;&gt;"Tier 2 Grove",$E11&lt;&gt;"Tier 3",$E11&lt;&gt;"Tier 4",$H11="Zoning: Green Factor",OR($D11="",$D11&lt;6)),
Error!$B$11,
IF(AND(_xlpm.baseRow,$D11&lt;6,$E11="&lt;6in DSH for Tree Points",_xlpm.TreePoints_H=0),
Error!$B$21,
IF(AND(_xlpm.baseRow,$E11&lt;&gt;"",$D11&lt;&gt;"",$F11=""),
Error!$B$4,
IF(AND(_xlpm.baseRow,$F11="Remove",OR($E11="Tier 1",$E11="Tier 2",$E11="Tier 2 Grove"),COUNTBLANK(_xlpm.HRange)&lt;3,_xlpm.uniqueH&gt;=2),
Error!$B$48,
IF(AND(_xlpm.baseRow,$F11="Retain",OR($E11="Tier 1",$E11="Tier 2",$E11="Tier 2 Grove"),COUNTIF(_xlpm.HRange,"Tree Code: Required to Retain Tier 1-2 Tree")=0),
Error!$B$47,
IF(AND(_xlpm.baseRow,$E11&lt;&gt;"",$D11&lt;&gt;"",$F11&lt;&gt;"",COUNTBLANK(_xlpm.HRange)=4),
Error!$B$5,
IF(AND($F11="Remove",$H11&lt;&gt;"",$I11=""),
Error!$B$18,
IF(AND($E11="Tier 4",$F11="Remove",$H11="Tree Protection Code: Tier 3 or Tier 4 Allowance",$H11&lt;&gt;"",ISNA(MATCH($I11,Tables!$B$200,0))),
Error!$B$17,
IF(AND($E11="Tier 3",$F11="Remove",$H11&lt;&gt;"",$H11="Tree Protection Code: Tier 3 or Tier 4 Allowance",OR($I11="",ISNA(MATCH($I11,Tables!$B$193:$B$197,0)))),
Error!$B$17,
IF(AND(OR($E11="Tier 2",$E11="Tier 2 Grove"),$F11="Remove",$H11="Tree Protection Code: Other removal allowance or exemption",$I11&lt;&gt;"",ISNA(MATCH($I11,Tables!$B$215:$B$218,0))),
Error!$B$17,
IF(AND(OR($E11="Tier 2",$E11="Tier 2 Grove"),$F11="Remove",$H11="Tree Protection Code: Development Capacity",$I11&lt;&gt;"",ISNA(MATCH($I11,Tables!$B$193:$B$197,0))),
Error!$B$17,
IF(AND(OR($E11="Tier 2",$E11="Tier 2 Grove"),$F11="Remove",$H11="Tree Protection Code: Necessary for Construction",$I11&lt;&gt;"",ISNA(MATCH($I11,Tables!$B$193:$B$197,0))),
Error!$B$17,
IF(AND($E11="Tier 1",$F11="Remove",$H11="Tree Protection Code: Special Exception",$I11&lt;&gt;"",ISNA(MATCH($I11,Tables!$B$215:$B$218,0))),
Error!$B$17,
IF(AND($E11="Tier 1",$F11="Remove",$H11="Tree Protection Code: Other removal allowance or exemption",$I11&lt;&gt;"",ISNA(MATCH($I11,Tables!$B$215:$B$218,0))),
Error!$B$17,
IF(AND($E11="ECA / Shoreline Tree",$F11="Remove",$H11&lt;&gt;"",OR($H11="Shoreline",$H11="Environmental Critical Area (ECA)"),ISNA(MATCH($I11,Tables!$B$209:$B$212,0))),
Error!$B$17,
IF(AND(_xlpm.baseRow,$F11="Retain",$E11="ECA / Shoreline Tree",_xlpm.ECA_Short=0),
Error!$B$61,
IF(AND($F11="Remove",ISNUMBER(MATCH($E11,{"Tier 1","Tier 2","Tier 3","Tier 4","Tier 2 Grove"},0)),ISNUMBER(MATCH($I11,{"On-site replacement","Off-site replacement"},0)),$J11="",$H11&lt;&gt;""),
Error!$B$19,
IF(AND(_xlpm.baseRow,$E11&lt;&gt;"",$D11&lt;&gt;"",$F11&lt;&gt;"",COUNTBLANK($B11:$C11)&gt;0,COUNTBLANK(_xlpm.HRange)&lt;&gt;4),
Error!$B$22,
IF(AND($H11="Zoning: Tree Points",$K11&lt;&gt;"",ISNA(MATCH($K11,Tables!$B$242:$B$253,0))),
Error!$B$58,
IF(AND($H11="Zoning: Tree Points",$K11="Small",$L11&lt;&gt;"",ISNA(MATCH($L11,Tables!$C$243:$C$244,0))),
Error!$B$59,
IF(AND($H11="Zoning: Tree Points",$K11="Small/Medium",$L11&lt;&gt;"",ISNA(MATCH($L11,Tables!$C$246:$C$247,0))),
Error!$B$59,
IF(AND($H11="Zoning: Tree Points",$K11="Medium/Large",$L11&lt;&gt;"",ISNA(MATCH($L11,Tables!$C$249:$C$250,0))),
Error!$B$59,
IF(AND($H11="Zoning: Tree Points",$K11="Large",$L11&lt;&gt;"",ISNA(MATCH($L11,Tables!$C$252:$C$253,0))),
Error!$B$59,
IF(AND($F11="Retain",$H11="Zoning: Tree Points",$C11&lt;&gt;"",$D11&lt;&gt;"",OR($K11="",$L11="",$M11="")),
Error!$B$20,
""
)))))))))))))))))))))))))))))))))))))))))))))))))))))))),
Error!$B$23))</f>
        <v/>
      </c>
      <c r="O11" s="343" t="str" cm="1">
        <f t="array" aca="1" ref="O11" ca="1">IFERROR(_xlfn.LET(
    _xlpm.txt, $C11,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 spans="1:15" x14ac:dyDescent="0.3">
      <c r="A12" s="320"/>
      <c r="B12" s="616" t="str">
        <f>IF($B11="", "", $B11)</f>
        <v/>
      </c>
      <c r="C12" s="617" t="str">
        <f>IF($C11="", "", $C11)</f>
        <v/>
      </c>
      <c r="D12" s="618" t="str">
        <f>IF($D11="", "", $D11)</f>
        <v/>
      </c>
      <c r="E12" s="616" t="str">
        <f>IF($E11="", "", $E11)</f>
        <v/>
      </c>
      <c r="F12" s="616" t="str">
        <f>IF($F11="", "", $F11)</f>
        <v/>
      </c>
      <c r="G12" s="619" t="str">
        <f>IF(Tree_Table1[[#This Row],[Tree Status  &amp;]]="Retain", Tables!$B$237, IF(Tree_Table1[[#This Row],[Tree Status  &amp;]]="Remove", Tables!$B$238, ""))</f>
        <v/>
      </c>
      <c r="H12" s="321"/>
      <c r="I12" s="322"/>
      <c r="J12" s="453"/>
      <c r="K12" s="323" t="str">
        <f>IFERROR(
    IF(
        AND($H12="Zoning: Tree Points", NOT(ISNUMBER(SEARCH("sp.", $C12)))),
        VLOOKUP($C12, 'Tree List'!$C$3:$F$601, 4, FALSE),
        ""
    ),
"")</f>
        <v/>
      </c>
      <c r="L12" s="324" t="str" cm="1">
        <f t="array" ref="L12">IFERROR(
IF(
    AND($H12="Zoning: Tree Points", NOT(ISNUMBER(SEARCH("sp.", $C12)))),
    _xlfn.IFS(
        (COUNTIFS('Tree List'!$C$3:$C$601,$C12,'Tree List'!$D$3:$D$601,"Coniferous")
        + COUNTIFS('Tree List'!$C$3:$C$601,$C12,'Tree List'!$D$3:$D$601,"Deciduous Conifer")) &gt; 0,
            _xlfn.IFS($K12="Small",0.5,$K12="Small/Medium",1,$K12="Medium/Large",1.4,$K12="Large",1.8),
        (COUNTIFS('Tree List'!$C$3:$C$601,$C12,'Tree List'!$D$3:$D$601,"Deciduous")
        + COUNTIFS('Tree List'!$C$3:$C$601,$C12,'Tree List'!$D$3:$D$601,"Broadleaf Evergreen")) &gt; 0,
            _xlfn.IFS($K12="Small",0.4,$K12="Small/Medium",0.8,$K12="Medium/Large",1.2,$K12="Large",1.6)
    ),
    ""
),
"")</f>
        <v/>
      </c>
      <c r="M12" s="475" t="str">
        <f>IFERROR($D12*$L12,"")</f>
        <v/>
      </c>
      <c r="N12" s="346" t="str" cm="1">
        <f t="array" aca="1" ref="N1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IF(AND(_xlpm.baseRow,ISNA(MATCH($C12,'Tree List'!$C$3:$C$601,0)),SUMPRODUCT(--ISNUMBER(SEARCH(Tables2!$C$677:$C$772,$O12)))&gt;0),
Error!$B$57,
IF(AND(_xlpm.hasDM,$F12="Remove",$H12&lt;&gt;"",OR($I12="On-site replacement",$I12="Off-site replacement",$I12="Payment In Lieu")),
Error!$B$56,
IF(AND(_xlpm.hasDM,$F12="Remove",$H12&lt;&gt;"",$I12="Relocation"),
Error!$B$66,
IF(AND(OR(_xlpm.hasCN,_xlpm.hasPH,_xlpm.hasGR),$H12&lt;&gt;"",COUNTIF(Tables!$B$132:$B$134,$H12)&gt;0,$I12="N/A (No replacement required)"),
Error!$B$62,
IF(AND(_xlpm.baseRow,$E12&lt;&gt;"",ISNA(MATCH($E12,Tables!$B$225:$B$232,0))),
Error!$B$2,
IF(AND(_xlpm.baseRow,$F12&lt;&gt;"",ISNA(MATCH($F12,Tables!$B$234:$B$235,0))),
Error!$B$24,
IF(AND(_xlpm.baseRow,_xlpm.ECA_H&gt;0,_xlpm.Shore_H&gt;0),
Error!$B$16,
IF(AND(_xlpm.baseRow,$E12&lt;&gt;"",$D12=""),
Error!$B$3,
IF(AND(_xlpm.baseRow,OR($E12="Tier 3",$E12="Tier 4"),$C12&lt;&gt;"",$D12&gt;=24,COUNTIF(Tables2!$B$166:$B$674,$C12)&gt;0),
Error!$B$44,
IF(AND(_xlpm.baseRow,OR($E12="Tier 3",$E12="Tier 4"),$C12&lt;&gt;"",$D12&lt;&gt;"",COUNTIF(Tables2!$B$73:$B$152,$C12)&gt;0,
$D12&gt;=IFERROR(INDEX(Tables2!$C$73:$C$152,MATCH($C12,Tables2!$B$73:$B$152,0)),-1)),
Error!$B$44,
IF(AND(_xlpm.baseRow,OR($E12="Tier 2",$E12="Tier 2 Grove"),$C12&lt;&gt;"",$D12&gt;=12,COUNTIF(Tables2!$B$153:$B$162,$C12)&gt;0),
Error!$B$45,
IF(AND(_xlpm.baseRow,$E12="Tier 2 Grove",$D12&lt;12),
Error!$B$41,
IF(AND(_xlpm.baseRow,$E12="Tier 2",$D12&lt;5.88),
Error!$B$40,
IF(AND(_xlpm.baseRow,OR($E12="Tier 2",$E12="Tier 2 Grove"),$C12&lt;&gt;"",$D12&lt;12,$D12&gt;=6,COUNTIF(Tables2!$B$153:$B$162,$C12)&gt;0),
Error!$B$54,
IF(AND(_xlpm.baseRow,$E12="Tier 2",COUNTIF(Tables2!$B$166:$B$674,$C12)&gt;0,$D12&lt;24),
Error!$B$54,
IF(AND(_xlpm.baseRow,$E12="Tier 3",ISNA(MATCH($C12,Tables2!$B$153:$B$162,0)),OR($D12&lt;12,$D12&gt;=24)),
Error!$B$9,
IF(AND(_xlpm.baseRow,$E12="Tier 3",COUNTIF(Tables2!$B$153:$B$162,$C12)&gt;0,$D12&lt;12),
Error!$B$46,
IF(AND(_xlpm.baseRow,$E12="Tier 4",OR($D12&lt;6,$D12&gt;=12)),
Error!$B$10,
IF(AND(_xlpm.baseRow,$E12="&lt;6in DSH for Tree Points",OR($D12&gt;=6,$D12="")),
Error!$B$8,
IF(AND(_xlpm.baseRow,$E12="Street Tree for Green Factor",$F12&lt;&gt;"",$F12&lt;&gt;"Retain"),
Error!$B$14,
IF(AND($E12="&lt;6in DSH for Tree Points",$F12="Retain",$H12&lt;&gt;"",ISNA(MATCH($H12,Tables!$B$174:$B$174,0))),
Error!$B$15,
IF(AND($E12="Street Tree for Green Factor",$F12="Retain",$H12&lt;&gt;"",$H12&lt;&gt;"Zoning: Green Factor"),
Error!$B$15,
IF(AND($E12="ECA / Shoreline Tree",$F12="Remove",$H12&lt;&gt;"",ISNA(MATCH($H12,Tables!$B$189:$B$190,0))),
Error!$B$15,
IF(AND($E12="ECA / Shoreline Tree",$F12="Retain",$H12&lt;&gt;"",ISNA(MATCH($H12,Tables!$B$184:$B$186,0))),
Error!$B$15,
IF(AND($E12="Tier 4",$F12="Remove",$H12&lt;&gt;"",ISNA(MATCH($H12,Tables!$B$171,0))),
Error!$B$15,
IF(AND($E12="Tier 4",$F12="Retain",$H12&lt;&gt;"",ISNA(MATCH($H12,Tables!$B$166:$B$168,0))),
Error!$B$15,
IF(AND($E12="Tier 3",$F12="Retain",$H12&lt;&gt;"",ISNA(MATCH($H12,Tables!$B$158:$B$160,0))),
Error!$B$15,
IF(AND($E12="Tier 3",$F12="Remove",$H12&lt;&gt;"",ISNA(MATCH($H12,Tables!$B$163,0))),
Error!$B$15,
IF(AND(OR($E12="Tier 2",$E12="Tier 2 Grove"),$F12="Remove",$H12&lt;&gt;"",ISNA(MATCH($H12,Tables!$B$153:$B$155,0))),
Error!$B$15,
IF(AND(OR($E12="Tier 2",$E12="Tier 2 Grove"),$F12="Retain",$H12&lt;&gt;"",ISNA(MATCH($H12,Tables!$B$147:$B$150,0))),
Error!$B$15,
IF(AND($E12="Tier 1",$F12="Remove",$H12&lt;&gt;"",ISNA(MATCH($H12,Tables!$B$143:$B$144,0))),
Error!$B$15,
IF(AND($E12="Tier 1",$F12="Retain",$H12&lt;&gt;"",ISNA(MATCH($H12,Tables!$B$137:$B$140,0))),
Error!$B$15,
IF(AND($E12&lt;&gt;"Tier 2",$E12&lt;&gt;"Tier 2 Grove",$E12&lt;&gt;"Tier 3",$E12&lt;&gt;"Tier 4",$H12="Zoning: Green Factor",OR($D12="",$D12&lt;6)),
Error!$B$11,
IF(AND(_xlpm.baseRow,$D12&lt;6,$E12="&lt;6in DSH for Tree Points",_xlpm.TreePoints_H=0),
Error!$B$21,
IF(AND(_xlpm.baseRow,$E12&lt;&gt;"",$D12&lt;&gt;"",$F12=""),
Error!$B$4,
IF(AND(_xlpm.baseRow,$F12="Remove",OR($E12="Tier 1",$E12="Tier 2",$E12="Tier 2 Grove"),COUNTBLANK(_xlpm.HRange)&lt;3,_xlpm.uniqueH&gt;=2),
Error!$B$48,
IF(AND(_xlpm.baseRow,$F12="Retain",OR($E12="Tier 1",$E12="Tier 2",$E12="Tier 2 Grove"),COUNTIF(_xlpm.HRange,"Tree Code: Required to Retain Tier 1-2 Tree")=0),
Error!$B$47,
IF(AND(_xlpm.baseRow,$E12&lt;&gt;"",$D12&lt;&gt;"",$F12&lt;&gt;"",COUNTBLANK(_xlpm.HRange)=4),
Error!$B$5,
IF(AND($F12="Remove",$H12&lt;&gt;"",$I12=""),
Error!$B$18,
IF(AND($E12="Tier 4",$F12="Remove",$H12="Tree Protection Code: Tier 3 or Tier 4 Allowance",$H12&lt;&gt;"",ISNA(MATCH($I12,Tables!$B$200,0))),
Error!$B$17,
IF(AND($E12="Tier 3",$F12="Remove",$H12&lt;&gt;"",$H12="Tree Protection Code: Tier 3 or Tier 4 Allowance",OR($I12="",ISNA(MATCH($I12,Tables!$B$193:$B$197,0)))),
Error!$B$17,
IF(AND(OR($E12="Tier 2",$E12="Tier 2 Grove"),$F12="Remove",$H12="Tree Protection Code: Other removal allowance or exemption",$I12&lt;&gt;"",ISNA(MATCH($I12,Tables!$B$215:$B$218,0))),
Error!$B$17,
IF(AND(OR($E12="Tier 2",$E12="Tier 2 Grove"),$F12="Remove",$H12="Tree Protection Code: Development Capacity",$I12&lt;&gt;"",ISNA(MATCH($I12,Tables!$B$193:$B$197,0))),
Error!$B$17,
IF(AND(OR($E12="Tier 2",$E12="Tier 2 Grove"),$F12="Remove",$H12="Tree Protection Code: Necessary for Construction",$I12&lt;&gt;"",ISNA(MATCH($I12,Tables!$B$193:$B$197,0))),
Error!$B$17,
IF(AND($E12="Tier 1",$F12="Remove",$H12="Tree Protection Code: Special Exception",$I12&lt;&gt;"",ISNA(MATCH($I12,Tables!$B$215:$B$218,0))),
Error!$B$17,
IF(AND($E12="Tier 1",$F12="Remove",$H12="Tree Protection Code: Other removal allowance or exemption",$I12&lt;&gt;"",ISNA(MATCH($I12,Tables!$B$215:$B$218,0))),
Error!$B$17,
IF(AND($E12="ECA / Shoreline Tree",$F12="Remove",$H12&lt;&gt;"",OR($H12="Shoreline",$H12="Environmental Critical Area (ECA)"),ISNA(MATCH($I12,Tables!$B$209:$B$212,0))),
Error!$B$17,
IF(AND(_xlpm.baseRow,$F12="Retain",$E12="ECA / Shoreline Tree",_xlpm.ECA_Short=0),
Error!$B$61,
IF(AND($F12="Remove",ISNUMBER(MATCH($E12,{"Tier 1","Tier 2","Tier 3","Tier 4","Tier 2 Grove"},0)),ISNUMBER(MATCH($I12,{"On-site replacement","Off-site replacement"},0)),$J12="",$H12&lt;&gt;""),
Error!$B$19,
IF(AND(_xlpm.baseRow,$E12&lt;&gt;"",$D12&lt;&gt;"",$F12&lt;&gt;"",COUNTBLANK($B12:$C12)&gt;0,COUNTBLANK(_xlpm.HRange)&lt;&gt;4),
Error!$B$22,
IF(AND($H12="Zoning: Tree Points",$K12&lt;&gt;"",ISNA(MATCH($K12,Tables!$B$242:$B$253,0))),
Error!$B$58,
IF(AND($H12="Zoning: Tree Points",$K12="Small",$L12&lt;&gt;"",ISNA(MATCH($L12,Tables!$C$243:$C$244,0))),
Error!$B$59,
IF(AND($H12="Zoning: Tree Points",$K12="Small/Medium",$L12&lt;&gt;"",ISNA(MATCH($L12,Tables!$C$246:$C$247,0))),
Error!$B$59,
IF(AND($H12="Zoning: Tree Points",$K12="Medium/Large",$L12&lt;&gt;"",ISNA(MATCH($L12,Tables!$C$249:$C$250,0))),
Error!$B$59,
IF(AND($H12="Zoning: Tree Points",$K12="Large",$L12&lt;&gt;"",ISNA(MATCH($L12,Tables!$C$252:$C$253,0))),
Error!$B$59,
IF(AND($F12="Retain",$H12="Zoning: Tree Points",$C12&lt;&gt;"",$D12&lt;&gt;"",OR($K12="",$L12="",$M12="")),
Error!$B$20,
""
)))))))))))))))))))))))))))))))))))))))))))))))))))))))),
Error!$B$23))</f>
        <v/>
      </c>
      <c r="O12" s="343" t="str" cm="1">
        <f t="array" aca="1" ref="O12" ca="1">IFERROR(_xlfn.LET(
    _xlpm.txt, $C12,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 spans="1:15" x14ac:dyDescent="0.3">
      <c r="A13" s="320"/>
      <c r="B13" s="616" t="str">
        <f>IF($B12="", "", $B12)</f>
        <v/>
      </c>
      <c r="C13" s="617" t="str">
        <f>IF($C12="", "", $C12)</f>
        <v/>
      </c>
      <c r="D13" s="618" t="str">
        <f>IF($D12="", "", $D12)</f>
        <v/>
      </c>
      <c r="E13" s="616" t="str">
        <f>IF($E12="", "", $E12)</f>
        <v/>
      </c>
      <c r="F13" s="616" t="str">
        <f>IF($F12="", "", $F12)</f>
        <v/>
      </c>
      <c r="G13" s="619" t="str">
        <f>IF(Tree_Table1[[#This Row],[Tree Status  &amp;]]="Retain", Tables!$B$237, IF(Tree_Table1[[#This Row],[Tree Status  &amp;]]="Remove", Tables!$B$238, ""))</f>
        <v/>
      </c>
      <c r="H13" s="321"/>
      <c r="I13" s="322"/>
      <c r="J13" s="453"/>
      <c r="K13" s="323" t="str">
        <f>IFERROR(
    IF(
        AND($H13="Zoning: Tree Points", NOT(ISNUMBER(SEARCH("sp.", $C13)))),
        VLOOKUP($C13, 'Tree List'!$C$3:$F$601, 4, FALSE),
        ""
    ),
"")</f>
        <v/>
      </c>
      <c r="L13" s="324" t="str" cm="1">
        <f t="array" ref="L13">IFERROR(
IF(
    AND($H13="Zoning: Tree Points", NOT(ISNUMBER(SEARCH("sp.", $C13)))),
    _xlfn.IFS(
        (COUNTIFS('Tree List'!$C$3:$C$601,$C13,'Tree List'!$D$3:$D$601,"Coniferous")
        + COUNTIFS('Tree List'!$C$3:$C$601,$C13,'Tree List'!$D$3:$D$601,"Deciduous Conifer")) &gt; 0,
            _xlfn.IFS($K13="Small",0.5,$K13="Small/Medium",1,$K13="Medium/Large",1.4,$K13="Large",1.8),
        (COUNTIFS('Tree List'!$C$3:$C$601,$C13,'Tree List'!$D$3:$D$601,"Deciduous")
        + COUNTIFS('Tree List'!$C$3:$C$601,$C13,'Tree List'!$D$3:$D$601,"Broadleaf Evergreen")) &gt; 0,
            _xlfn.IFS($K13="Small",0.4,$K13="Small/Medium",0.8,$K13="Medium/Large",1.2,$K13="Large",1.6)
    ),
    ""
),
"")</f>
        <v/>
      </c>
      <c r="M13" s="475" t="str">
        <f>IFERROR($D13*$L13,"")</f>
        <v/>
      </c>
      <c r="N13" s="346" t="str" cm="1">
        <f t="array" aca="1" ref="N1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IF(AND(_xlpm.baseRow,ISNA(MATCH($C13,'Tree List'!$C$3:$C$601,0)),SUMPRODUCT(--ISNUMBER(SEARCH(Tables2!$C$677:$C$772,$O13)))&gt;0),
Error!$B$57,
IF(AND(_xlpm.hasDM,$F13="Remove",$H13&lt;&gt;"",OR($I13="On-site replacement",$I13="Off-site replacement",$I13="Payment In Lieu")),
Error!$B$56,
IF(AND(_xlpm.hasDM,$F13="Remove",$H13&lt;&gt;"",$I13="Relocation"),
Error!$B$66,
IF(AND(OR(_xlpm.hasCN,_xlpm.hasPH,_xlpm.hasGR),$H13&lt;&gt;"",COUNTIF(Tables!$B$132:$B$134,$H13)&gt;0,$I13="N/A (No replacement required)"),
Error!$B$62,
IF(AND(_xlpm.baseRow,$E13&lt;&gt;"",ISNA(MATCH($E13,Tables!$B$225:$B$232,0))),
Error!$B$2,
IF(AND(_xlpm.baseRow,$F13&lt;&gt;"",ISNA(MATCH($F13,Tables!$B$234:$B$235,0))),
Error!$B$24,
IF(AND(_xlpm.baseRow,_xlpm.ECA_H&gt;0,_xlpm.Shore_H&gt;0),
Error!$B$16,
IF(AND(_xlpm.baseRow,$E13&lt;&gt;"",$D13=""),
Error!$B$3,
IF(AND(_xlpm.baseRow,OR($E13="Tier 3",$E13="Tier 4"),$C13&lt;&gt;"",$D13&gt;=24,COUNTIF(Tables2!$B$166:$B$674,$C13)&gt;0),
Error!$B$44,
IF(AND(_xlpm.baseRow,OR($E13="Tier 3",$E13="Tier 4"),$C13&lt;&gt;"",$D13&lt;&gt;"",COUNTIF(Tables2!$B$73:$B$152,$C13)&gt;0,
$D13&gt;=IFERROR(INDEX(Tables2!$C$73:$C$152,MATCH($C13,Tables2!$B$73:$B$152,0)),-1)),
Error!$B$44,
IF(AND(_xlpm.baseRow,OR($E13="Tier 2",$E13="Tier 2 Grove"),$C13&lt;&gt;"",$D13&gt;=12,COUNTIF(Tables2!$B$153:$B$162,$C13)&gt;0),
Error!$B$45,
IF(AND(_xlpm.baseRow,$E13="Tier 2 Grove",$D13&lt;12),
Error!$B$41,
IF(AND(_xlpm.baseRow,$E13="Tier 2",$D13&lt;5.88),
Error!$B$40,
IF(AND(_xlpm.baseRow,OR($E13="Tier 2",$E13="Tier 2 Grove"),$C13&lt;&gt;"",$D13&lt;12,$D13&gt;=6,COUNTIF(Tables2!$B$153:$B$162,$C13)&gt;0),
Error!$B$54,
IF(AND(_xlpm.baseRow,$E13="Tier 2",COUNTIF(Tables2!$B$166:$B$674,$C13)&gt;0,$D13&lt;24),
Error!$B$54,
IF(AND(_xlpm.baseRow,$E13="Tier 3",ISNA(MATCH($C13,Tables2!$B$153:$B$162,0)),OR($D13&lt;12,$D13&gt;=24)),
Error!$B$9,
IF(AND(_xlpm.baseRow,$E13="Tier 3",COUNTIF(Tables2!$B$153:$B$162,$C13)&gt;0,$D13&lt;12),
Error!$B$46,
IF(AND(_xlpm.baseRow,$E13="Tier 4",OR($D13&lt;6,$D13&gt;=12)),
Error!$B$10,
IF(AND(_xlpm.baseRow,$E13="&lt;6in DSH for Tree Points",OR($D13&gt;=6,$D13="")),
Error!$B$8,
IF(AND(_xlpm.baseRow,$E13="Street Tree for Green Factor",$F13&lt;&gt;"",$F13&lt;&gt;"Retain"),
Error!$B$14,
IF(AND($E13="&lt;6in DSH for Tree Points",$F13="Retain",$H13&lt;&gt;"",ISNA(MATCH($H13,Tables!$B$174:$B$174,0))),
Error!$B$15,
IF(AND($E13="Street Tree for Green Factor",$F13="Retain",$H13&lt;&gt;"",$H13&lt;&gt;"Zoning: Green Factor"),
Error!$B$15,
IF(AND($E13="ECA / Shoreline Tree",$F13="Remove",$H13&lt;&gt;"",ISNA(MATCH($H13,Tables!$B$189:$B$190,0))),
Error!$B$15,
IF(AND($E13="ECA / Shoreline Tree",$F13="Retain",$H13&lt;&gt;"",ISNA(MATCH($H13,Tables!$B$184:$B$186,0))),
Error!$B$15,
IF(AND($E13="Tier 4",$F13="Remove",$H13&lt;&gt;"",ISNA(MATCH($H13,Tables!$B$171,0))),
Error!$B$15,
IF(AND($E13="Tier 4",$F13="Retain",$H13&lt;&gt;"",ISNA(MATCH($H13,Tables!$B$166:$B$168,0))),
Error!$B$15,
IF(AND($E13="Tier 3",$F13="Retain",$H13&lt;&gt;"",ISNA(MATCH($H13,Tables!$B$158:$B$160,0))),
Error!$B$15,
IF(AND($E13="Tier 3",$F13="Remove",$H13&lt;&gt;"",ISNA(MATCH($H13,Tables!$B$163,0))),
Error!$B$15,
IF(AND(OR($E13="Tier 2",$E13="Tier 2 Grove"),$F13="Remove",$H13&lt;&gt;"",ISNA(MATCH($H13,Tables!$B$153:$B$155,0))),
Error!$B$15,
IF(AND(OR($E13="Tier 2",$E13="Tier 2 Grove"),$F13="Retain",$H13&lt;&gt;"",ISNA(MATCH($H13,Tables!$B$147:$B$150,0))),
Error!$B$15,
IF(AND($E13="Tier 1",$F13="Remove",$H13&lt;&gt;"",ISNA(MATCH($H13,Tables!$B$143:$B$144,0))),
Error!$B$15,
IF(AND($E13="Tier 1",$F13="Retain",$H13&lt;&gt;"",ISNA(MATCH($H13,Tables!$B$137:$B$140,0))),
Error!$B$15,
IF(AND($E13&lt;&gt;"Tier 2",$E13&lt;&gt;"Tier 2 Grove",$E13&lt;&gt;"Tier 3",$E13&lt;&gt;"Tier 4",$H13="Zoning: Green Factor",OR($D13="",$D13&lt;6)),
Error!$B$11,
IF(AND(_xlpm.baseRow,$D13&lt;6,$E13="&lt;6in DSH for Tree Points",_xlpm.TreePoints_H=0),
Error!$B$21,
IF(AND(_xlpm.baseRow,$E13&lt;&gt;"",$D13&lt;&gt;"",$F13=""),
Error!$B$4,
IF(AND(_xlpm.baseRow,$F13="Remove",OR($E13="Tier 1",$E13="Tier 2",$E13="Tier 2 Grove"),COUNTBLANK(_xlpm.HRange)&lt;3,_xlpm.uniqueH&gt;=2),
Error!$B$48,
IF(AND(_xlpm.baseRow,$F13="Retain",OR($E13="Tier 1",$E13="Tier 2",$E13="Tier 2 Grove"),COUNTIF(_xlpm.HRange,"Tree Code: Required to Retain Tier 1-2 Tree")=0),
Error!$B$47,
IF(AND(_xlpm.baseRow,$E13&lt;&gt;"",$D13&lt;&gt;"",$F13&lt;&gt;"",COUNTBLANK(_xlpm.HRange)=4),
Error!$B$5,
IF(AND($F13="Remove",$H13&lt;&gt;"",$I13=""),
Error!$B$18,
IF(AND($E13="Tier 4",$F13="Remove",$H13="Tree Protection Code: Tier 3 or Tier 4 Allowance",$H13&lt;&gt;"",ISNA(MATCH($I13,Tables!$B$200,0))),
Error!$B$17,
IF(AND($E13="Tier 3",$F13="Remove",$H13&lt;&gt;"",$H13="Tree Protection Code: Tier 3 or Tier 4 Allowance",OR($I13="",ISNA(MATCH($I13,Tables!$B$193:$B$197,0)))),
Error!$B$17,
IF(AND(OR($E13="Tier 2",$E13="Tier 2 Grove"),$F13="Remove",$H13="Tree Protection Code: Other removal allowance or exemption",$I13&lt;&gt;"",ISNA(MATCH($I13,Tables!$B$215:$B$218,0))),
Error!$B$17,
IF(AND(OR($E13="Tier 2",$E13="Tier 2 Grove"),$F13="Remove",$H13="Tree Protection Code: Development Capacity",$I13&lt;&gt;"",ISNA(MATCH($I13,Tables!$B$193:$B$197,0))),
Error!$B$17,
IF(AND(OR($E13="Tier 2",$E13="Tier 2 Grove"),$F13="Remove",$H13="Tree Protection Code: Necessary for Construction",$I13&lt;&gt;"",ISNA(MATCH($I13,Tables!$B$193:$B$197,0))),
Error!$B$17,
IF(AND($E13="Tier 1",$F13="Remove",$H13="Tree Protection Code: Special Exception",$I13&lt;&gt;"",ISNA(MATCH($I13,Tables!$B$215:$B$218,0))),
Error!$B$17,
IF(AND($E13="Tier 1",$F13="Remove",$H13="Tree Protection Code: Other removal allowance or exemption",$I13&lt;&gt;"",ISNA(MATCH($I13,Tables!$B$215:$B$218,0))),
Error!$B$17,
IF(AND($E13="ECA / Shoreline Tree",$F13="Remove",$H13&lt;&gt;"",OR($H13="Shoreline",$H13="Environmental Critical Area (ECA)"),ISNA(MATCH($I13,Tables!$B$209:$B$212,0))),
Error!$B$17,
IF(AND(_xlpm.baseRow,$F13="Retain",$E13="ECA / Shoreline Tree",_xlpm.ECA_Short=0),
Error!$B$61,
IF(AND($F13="Remove",ISNUMBER(MATCH($E13,{"Tier 1","Tier 2","Tier 3","Tier 4","Tier 2 Grove"},0)),ISNUMBER(MATCH($I13,{"On-site replacement","Off-site replacement"},0)),$J13="",$H13&lt;&gt;""),
Error!$B$19,
IF(AND(_xlpm.baseRow,$E13&lt;&gt;"",$D13&lt;&gt;"",$F13&lt;&gt;"",COUNTBLANK($B13:$C13)&gt;0,COUNTBLANK(_xlpm.HRange)&lt;&gt;4),
Error!$B$22,
IF(AND($H13="Zoning: Tree Points",$K13&lt;&gt;"",ISNA(MATCH($K13,Tables!$B$242:$B$253,0))),
Error!$B$58,
IF(AND($H13="Zoning: Tree Points",$K13="Small",$L13&lt;&gt;"",ISNA(MATCH($L13,Tables!$C$243:$C$244,0))),
Error!$B$59,
IF(AND($H13="Zoning: Tree Points",$K13="Small/Medium",$L13&lt;&gt;"",ISNA(MATCH($L13,Tables!$C$246:$C$247,0))),
Error!$B$59,
IF(AND($H13="Zoning: Tree Points",$K13="Medium/Large",$L13&lt;&gt;"",ISNA(MATCH($L13,Tables!$C$249:$C$250,0))),
Error!$B$59,
IF(AND($H13="Zoning: Tree Points",$K13="Large",$L13&lt;&gt;"",ISNA(MATCH($L13,Tables!$C$252:$C$253,0))),
Error!$B$59,
IF(AND($F13="Retain",$H13="Zoning: Tree Points",$C13&lt;&gt;"",$D13&lt;&gt;"",OR($K13="",$L13="",$M13="")),
Error!$B$20,
""
)))))))))))))))))))))))))))))))))))))))))))))))))))))))),
Error!$B$23))</f>
        <v/>
      </c>
      <c r="O13" s="343" t="str" cm="1">
        <f t="array" aca="1" ref="O13" ca="1">IFERROR(_xlfn.LET(
    _xlpm.txt, $C13,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4" spans="1:15" ht="15" thickBot="1" x14ac:dyDescent="0.35">
      <c r="A14" s="320"/>
      <c r="B14" s="616" t="str">
        <f>IF($B13="", "", $B13)</f>
        <v/>
      </c>
      <c r="C14" s="617" t="str">
        <f>IF($C13="", "", $C13)</f>
        <v/>
      </c>
      <c r="D14" s="618" t="str">
        <f>IF($D13="", "", $D13)</f>
        <v/>
      </c>
      <c r="E14" s="616" t="str">
        <f>IF($E13="", "", $E13)</f>
        <v/>
      </c>
      <c r="F14" s="616" t="str">
        <f>IF($F13="", "", $F13)</f>
        <v/>
      </c>
      <c r="G14" s="619" t="str">
        <f>IF(Tree_Table1[[#This Row],[Tree Status  &amp;]]="Retain", Tables!$B$237, IF(Tree_Table1[[#This Row],[Tree Status  &amp;]]="Remove", Tables!$B$238, ""))</f>
        <v/>
      </c>
      <c r="H14" s="325"/>
      <c r="I14" s="326"/>
      <c r="J14" s="454"/>
      <c r="K14" s="327" t="str">
        <f>IFERROR(
    IF(
        AND($H14="Zoning: Tree Points", NOT(ISNUMBER(SEARCH("sp.", $C14)))),
        VLOOKUP($C14, 'Tree List'!$C$3:$F$601, 4, FALSE),
        ""
    ),
"")</f>
        <v/>
      </c>
      <c r="L14" s="328" t="str" cm="1">
        <f t="array" ref="L14">IFERROR(
IF(
    AND($H14="Zoning: Tree Points", NOT(ISNUMBER(SEARCH("sp.", $C14)))),
    _xlfn.IFS(
        (COUNTIFS('Tree List'!$C$3:$C$601,$C14,'Tree List'!$D$3:$D$601,"Coniferous")
        + COUNTIFS('Tree List'!$C$3:$C$601,$C14,'Tree List'!$D$3:$D$601,"Deciduous Conifer")) &gt; 0,
            _xlfn.IFS($K14="Small",0.5,$K14="Small/Medium",1,$K14="Medium/Large",1.4,$K14="Large",1.8),
        (COUNTIFS('Tree List'!$C$3:$C$601,$C14,'Tree List'!$D$3:$D$601,"Deciduous")
        + COUNTIFS('Tree List'!$C$3:$C$601,$C14,'Tree List'!$D$3:$D$601,"Broadleaf Evergreen")) &gt; 0,
            _xlfn.IFS($K14="Small",0.4,$K14="Small/Medium",0.8,$K14="Medium/Large",1.2,$K14="Large",1.6)
    ),
    ""
),
"")</f>
        <v/>
      </c>
      <c r="M14" s="476" t="str">
        <f>IFERROR($D14*$L14,"")</f>
        <v/>
      </c>
      <c r="N14" s="347" t="str" cm="1">
        <f t="array" aca="1" ref="N1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IF(AND(_xlpm.baseRow,ISNA(MATCH($C14,'Tree List'!$C$3:$C$601,0)),SUMPRODUCT(--ISNUMBER(SEARCH(Tables2!$C$677:$C$772,$O14)))&gt;0),
Error!$B$57,
IF(AND(_xlpm.hasDM,$F14="Remove",$H14&lt;&gt;"",OR($I14="On-site replacement",$I14="Off-site replacement",$I14="Payment In Lieu")),
Error!$B$56,
IF(AND(_xlpm.hasDM,$F14="Remove",$H14&lt;&gt;"",$I14="Relocation"),
Error!$B$66,
IF(AND(OR(_xlpm.hasCN,_xlpm.hasPH,_xlpm.hasGR),$H14&lt;&gt;"",COUNTIF(Tables!$B$132:$B$134,$H14)&gt;0,$I14="N/A (No replacement required)"),
Error!$B$62,
IF(AND(_xlpm.baseRow,$E14&lt;&gt;"",ISNA(MATCH($E14,Tables!$B$225:$B$232,0))),
Error!$B$2,
IF(AND(_xlpm.baseRow,$F14&lt;&gt;"",ISNA(MATCH($F14,Tables!$B$234:$B$235,0))),
Error!$B$24,
IF(AND(_xlpm.baseRow,_xlpm.ECA_H&gt;0,_xlpm.Shore_H&gt;0),
Error!$B$16,
IF(AND(_xlpm.baseRow,$E14&lt;&gt;"",$D14=""),
Error!$B$3,
IF(AND(_xlpm.baseRow,OR($E14="Tier 3",$E14="Tier 4"),$C14&lt;&gt;"",$D14&gt;=24,COUNTIF(Tables2!$B$166:$B$674,$C14)&gt;0),
Error!$B$44,
IF(AND(_xlpm.baseRow,OR($E14="Tier 3",$E14="Tier 4"),$C14&lt;&gt;"",$D14&lt;&gt;"",COUNTIF(Tables2!$B$73:$B$152,$C14)&gt;0,
$D14&gt;=IFERROR(INDEX(Tables2!$C$73:$C$152,MATCH($C14,Tables2!$B$73:$B$152,0)),-1)),
Error!$B$44,
IF(AND(_xlpm.baseRow,OR($E14="Tier 2",$E14="Tier 2 Grove"),$C14&lt;&gt;"",$D14&gt;=12,COUNTIF(Tables2!$B$153:$B$162,$C14)&gt;0),
Error!$B$45,
IF(AND(_xlpm.baseRow,$E14="Tier 2 Grove",$D14&lt;12),
Error!$B$41,
IF(AND(_xlpm.baseRow,$E14="Tier 2",$D14&lt;5.88),
Error!$B$40,
IF(AND(_xlpm.baseRow,OR($E14="Tier 2",$E14="Tier 2 Grove"),$C14&lt;&gt;"",$D14&lt;12,$D14&gt;=6,COUNTIF(Tables2!$B$153:$B$162,$C14)&gt;0),
Error!$B$54,
IF(AND(_xlpm.baseRow,$E14="Tier 2",COUNTIF(Tables2!$B$166:$B$674,$C14)&gt;0,$D14&lt;24),
Error!$B$54,
IF(AND(_xlpm.baseRow,$E14="Tier 3",ISNA(MATCH($C14,Tables2!$B$153:$B$162,0)),OR($D14&lt;12,$D14&gt;=24)),
Error!$B$9,
IF(AND(_xlpm.baseRow,$E14="Tier 3",COUNTIF(Tables2!$B$153:$B$162,$C14)&gt;0,$D14&lt;12),
Error!$B$46,
IF(AND(_xlpm.baseRow,$E14="Tier 4",OR($D14&lt;6,$D14&gt;=12)),
Error!$B$10,
IF(AND(_xlpm.baseRow,$E14="&lt;6in DSH for Tree Points",OR($D14&gt;=6,$D14="")),
Error!$B$8,
IF(AND(_xlpm.baseRow,$E14="Street Tree for Green Factor",$F14&lt;&gt;"",$F14&lt;&gt;"Retain"),
Error!$B$14,
IF(AND($E14="&lt;6in DSH for Tree Points",$F14="Retain",$H14&lt;&gt;"",ISNA(MATCH($H14,Tables!$B$174:$B$174,0))),
Error!$B$15,
IF(AND($E14="Street Tree for Green Factor",$F14="Retain",$H14&lt;&gt;"",$H14&lt;&gt;"Zoning: Green Factor"),
Error!$B$15,
IF(AND($E14="ECA / Shoreline Tree",$F14="Remove",$H14&lt;&gt;"",ISNA(MATCH($H14,Tables!$B$189:$B$190,0))),
Error!$B$15,
IF(AND($E14="ECA / Shoreline Tree",$F14="Retain",$H14&lt;&gt;"",ISNA(MATCH($H14,Tables!$B$184:$B$186,0))),
Error!$B$15,
IF(AND($E14="Tier 4",$F14="Remove",$H14&lt;&gt;"",ISNA(MATCH($H14,Tables!$B$171,0))),
Error!$B$15,
IF(AND($E14="Tier 4",$F14="Retain",$H14&lt;&gt;"",ISNA(MATCH($H14,Tables!$B$166:$B$168,0))),
Error!$B$15,
IF(AND($E14="Tier 3",$F14="Retain",$H14&lt;&gt;"",ISNA(MATCH($H14,Tables!$B$158:$B$160,0))),
Error!$B$15,
IF(AND($E14="Tier 3",$F14="Remove",$H14&lt;&gt;"",ISNA(MATCH($H14,Tables!$B$163,0))),
Error!$B$15,
IF(AND(OR($E14="Tier 2",$E14="Tier 2 Grove"),$F14="Remove",$H14&lt;&gt;"",ISNA(MATCH($H14,Tables!$B$153:$B$155,0))),
Error!$B$15,
IF(AND(OR($E14="Tier 2",$E14="Tier 2 Grove"),$F14="Retain",$H14&lt;&gt;"",ISNA(MATCH($H14,Tables!$B$147:$B$150,0))),
Error!$B$15,
IF(AND($E14="Tier 1",$F14="Remove",$H14&lt;&gt;"",ISNA(MATCH($H14,Tables!$B$143:$B$144,0))),
Error!$B$15,
IF(AND($E14="Tier 1",$F14="Retain",$H14&lt;&gt;"",ISNA(MATCH($H14,Tables!$B$137:$B$140,0))),
Error!$B$15,
IF(AND($E14&lt;&gt;"Tier 2",$E14&lt;&gt;"Tier 2 Grove",$E14&lt;&gt;"Tier 3",$E14&lt;&gt;"Tier 4",$H14="Zoning: Green Factor",OR($D14="",$D14&lt;6)),
Error!$B$11,
IF(AND(_xlpm.baseRow,$D14&lt;6,$E14="&lt;6in DSH for Tree Points",_xlpm.TreePoints_H=0),
Error!$B$21,
IF(AND(_xlpm.baseRow,$E14&lt;&gt;"",$D14&lt;&gt;"",$F14=""),
Error!$B$4,
IF(AND(_xlpm.baseRow,$F14="Remove",OR($E14="Tier 1",$E14="Tier 2",$E14="Tier 2 Grove"),COUNTBLANK(_xlpm.HRange)&lt;3,_xlpm.uniqueH&gt;=2),
Error!$B$48,
IF(AND(_xlpm.baseRow,$F14="Retain",OR($E14="Tier 1",$E14="Tier 2",$E14="Tier 2 Grove"),COUNTIF(_xlpm.HRange,"Tree Code: Required to Retain Tier 1-2 Tree")=0),
Error!$B$47,
IF(AND(_xlpm.baseRow,$E14&lt;&gt;"",$D14&lt;&gt;"",$F14&lt;&gt;"",COUNTBLANK(_xlpm.HRange)=4),
Error!$B$5,
IF(AND($F14="Remove",$H14&lt;&gt;"",$I14=""),
Error!$B$18,
IF(AND($E14="Tier 4",$F14="Remove",$H14="Tree Protection Code: Tier 3 or Tier 4 Allowance",$H14&lt;&gt;"",ISNA(MATCH($I14,Tables!$B$200,0))),
Error!$B$17,
IF(AND($E14="Tier 3",$F14="Remove",$H14&lt;&gt;"",$H14="Tree Protection Code: Tier 3 or Tier 4 Allowance",OR($I14="",ISNA(MATCH($I14,Tables!$B$193:$B$197,0)))),
Error!$B$17,
IF(AND(OR($E14="Tier 2",$E14="Tier 2 Grove"),$F14="Remove",$H14="Tree Protection Code: Other removal allowance or exemption",$I14&lt;&gt;"",ISNA(MATCH($I14,Tables!$B$215:$B$218,0))),
Error!$B$17,
IF(AND(OR($E14="Tier 2",$E14="Tier 2 Grove"),$F14="Remove",$H14="Tree Protection Code: Development Capacity",$I14&lt;&gt;"",ISNA(MATCH($I14,Tables!$B$193:$B$197,0))),
Error!$B$17,
IF(AND(OR($E14="Tier 2",$E14="Tier 2 Grove"),$F14="Remove",$H14="Tree Protection Code: Necessary for Construction",$I14&lt;&gt;"",ISNA(MATCH($I14,Tables!$B$193:$B$197,0))),
Error!$B$17,
IF(AND($E14="Tier 1",$F14="Remove",$H14="Tree Protection Code: Special Exception",$I14&lt;&gt;"",ISNA(MATCH($I14,Tables!$B$215:$B$218,0))),
Error!$B$17,
IF(AND($E14="Tier 1",$F14="Remove",$H14="Tree Protection Code: Other removal allowance or exemption",$I14&lt;&gt;"",ISNA(MATCH($I14,Tables!$B$215:$B$218,0))),
Error!$B$17,
IF(AND($E14="ECA / Shoreline Tree",$F14="Remove",$H14&lt;&gt;"",OR($H14="Shoreline",$H14="Environmental Critical Area (ECA)"),ISNA(MATCH($I14,Tables!$B$209:$B$212,0))),
Error!$B$17,
IF(AND(_xlpm.baseRow,$F14="Retain",$E14="ECA / Shoreline Tree",_xlpm.ECA_Short=0),
Error!$B$61,
IF(AND($F14="Remove",ISNUMBER(MATCH($E14,{"Tier 1","Tier 2","Tier 3","Tier 4","Tier 2 Grove"},0)),ISNUMBER(MATCH($I14,{"On-site replacement","Off-site replacement"},0)),$J14="",$H14&lt;&gt;""),
Error!$B$19,
IF(AND(_xlpm.baseRow,$E14&lt;&gt;"",$D14&lt;&gt;"",$F14&lt;&gt;"",COUNTBLANK($B14:$C14)&gt;0,COUNTBLANK(_xlpm.HRange)&lt;&gt;4),
Error!$B$22,
IF(AND($H14="Zoning: Tree Points",$K14&lt;&gt;"",ISNA(MATCH($K14,Tables!$B$242:$B$253,0))),
Error!$B$58,
IF(AND($H14="Zoning: Tree Points",$K14="Small",$L14&lt;&gt;"",ISNA(MATCH($L14,Tables!$C$243:$C$244,0))),
Error!$B$59,
IF(AND($H14="Zoning: Tree Points",$K14="Small/Medium",$L14&lt;&gt;"",ISNA(MATCH($L14,Tables!$C$246:$C$247,0))),
Error!$B$59,
IF(AND($H14="Zoning: Tree Points",$K14="Medium/Large",$L14&lt;&gt;"",ISNA(MATCH($L14,Tables!$C$249:$C$250,0))),
Error!$B$59,
IF(AND($H14="Zoning: Tree Points",$K14="Large",$L14&lt;&gt;"",ISNA(MATCH($L14,Tables!$C$252:$C$253,0))),
Error!$B$59,
IF(AND($F14="Retain",$H14="Zoning: Tree Points",$C14&lt;&gt;"",$D14&lt;&gt;"",OR($K14="",$L14="",$M14="")),
Error!$B$20,
""
)))))))))))))))))))))))))))))))))))))))))))))))))))))))),
Error!$B$23))</f>
        <v/>
      </c>
      <c r="O14" s="343" t="str" cm="1">
        <f t="array" aca="1" ref="O14" ca="1">IFERROR(_xlfn.LET(
    _xlpm.txt, $C14,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5" spans="1:15" ht="15" thickBot="1" x14ac:dyDescent="0.35">
      <c r="A15" s="311">
        <v>2</v>
      </c>
      <c r="B15" s="312"/>
      <c r="C15" s="313"/>
      <c r="D15" s="478"/>
      <c r="E15" s="314"/>
      <c r="F15" s="314"/>
      <c r="G15" s="315" t="str">
        <f>IF(Tree_Table1[[#This Row],[Tree Status  &amp;]]="Retain", Tables!$B$237, IF(Tree_Table1[[#This Row],[Tree Status  &amp;]]="Remove", Tables!$B$238, ""))</f>
        <v/>
      </c>
      <c r="H15" s="316"/>
      <c r="I15" s="317"/>
      <c r="J15" s="452"/>
      <c r="K15" s="318" t="str">
        <f>IFERROR(
    IF(
        AND($H15="Zoning: Tree Points", NOT(ISNUMBER(SEARCH("sp.", $C15)))),
        VLOOKUP($C15, 'Tree List'!$C$3:$F$601, 4, FALSE),
        ""
    ),
"")</f>
        <v/>
      </c>
      <c r="L15" s="319" t="str" cm="1">
        <f t="array" ref="L15">IFERROR(
IF(
    AND($H15="Zoning: Tree Points", NOT(ISNUMBER(SEARCH("sp.", $C15)))),
    _xlfn.IFS(
        (COUNTIFS('Tree List'!$C$3:$C$601,$C15,'Tree List'!$D$3:$D$601,"Coniferous")
        + COUNTIFS('Tree List'!$C$3:$C$601,$C15,'Tree List'!$D$3:$D$601,"Deciduous Conifer")) &gt; 0,
            _xlfn.IFS($K15="Small",0.5,$K15="Small/Medium",1,$K15="Medium/Large",1.4,$K15="Large",1.8),
        (COUNTIFS('Tree List'!$C$3:$C$601,$C15,'Tree List'!$D$3:$D$601,"Deciduous")
        + COUNTIFS('Tree List'!$C$3:$C$601,$C15,'Tree List'!$D$3:$D$601,"Broadleaf Evergreen")) &gt; 0,
            _xlfn.IFS($K15="Small",0.4,$K15="Small/Medium",0.8,$K15="Medium/Large",1.2,$K15="Large",1.6)
    ),
    ""
),
"")</f>
        <v/>
      </c>
      <c r="M15" s="474" t="str">
        <f t="shared" ref="M15:M178" si="0">IFERROR($D15*$L15,"")</f>
        <v/>
      </c>
      <c r="N15" s="620" t="str" cm="1">
        <f t="array" aca="1" ref="N1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IF(AND(_xlpm.baseRow,ISNA(MATCH($C15,'Tree List'!$C$3:$C$601,0)),SUMPRODUCT(--ISNUMBER(SEARCH(Tables2!$C$677:$C$772,$O15)))&gt;0),
Error!$B$57,
IF(AND(_xlpm.hasDM,$F15="Remove",$H15&lt;&gt;"",OR($I15="On-site replacement",$I15="Off-site replacement",$I15="Payment In Lieu")),
Error!$B$56,
IF(AND(_xlpm.hasDM,$F15="Remove",$H15&lt;&gt;"",$I15="Relocation"),
Error!$B$66,
IF(AND(OR(_xlpm.hasCN,_xlpm.hasPH,_xlpm.hasGR),$H15&lt;&gt;"",COUNTIF(Tables!$B$132:$B$134,$H15)&gt;0,$I15="N/A (No replacement required)"),
Error!$B$62,
IF(AND(_xlpm.baseRow,$E15&lt;&gt;"",ISNA(MATCH($E15,Tables!$B$225:$B$232,0))),
Error!$B$2,
IF(AND(_xlpm.baseRow,$F15&lt;&gt;"",ISNA(MATCH($F15,Tables!$B$234:$B$235,0))),
Error!$B$24,
IF(AND(_xlpm.baseRow,_xlpm.ECA_H&gt;0,_xlpm.Shore_H&gt;0),
Error!$B$16,
IF(AND(_xlpm.baseRow,$E15&lt;&gt;"",$D15=""),
Error!$B$3,
IF(AND(_xlpm.baseRow,OR($E15="Tier 3",$E15="Tier 4"),$C15&lt;&gt;"",$D15&gt;=24,COUNTIF(Tables2!$B$166:$B$674,$C15)&gt;0),
Error!$B$44,
IF(AND(_xlpm.baseRow,OR($E15="Tier 3",$E15="Tier 4"),$C15&lt;&gt;"",$D15&lt;&gt;"",COUNTIF(Tables2!$B$73:$B$152,$C15)&gt;0,
$D15&gt;=IFERROR(INDEX(Tables2!$C$73:$C$152,MATCH($C15,Tables2!$B$73:$B$152,0)),-1)),
Error!$B$44,
IF(AND(_xlpm.baseRow,OR($E15="Tier 2",$E15="Tier 2 Grove"),$C15&lt;&gt;"",$D15&gt;=12,COUNTIF(Tables2!$B$153:$B$162,$C15)&gt;0),
Error!$B$45,
IF(AND(_xlpm.baseRow,$E15="Tier 2 Grove",$D15&lt;12),
Error!$B$41,
IF(AND(_xlpm.baseRow,$E15="Tier 2",$D15&lt;5.88),
Error!$B$40,
IF(AND(_xlpm.baseRow,OR($E15="Tier 2",$E15="Tier 2 Grove"),$C15&lt;&gt;"",$D15&lt;12,$D15&gt;=6,COUNTIF(Tables2!$B$153:$B$162,$C15)&gt;0),
Error!$B$54,
IF(AND(_xlpm.baseRow,$E15="Tier 2",COUNTIF(Tables2!$B$166:$B$674,$C15)&gt;0,$D15&lt;24),
Error!$B$54,
IF(AND(_xlpm.baseRow,$E15="Tier 3",ISNA(MATCH($C15,Tables2!$B$153:$B$162,0)),OR($D15&lt;12,$D15&gt;=24)),
Error!$B$9,
IF(AND(_xlpm.baseRow,$E15="Tier 3",COUNTIF(Tables2!$B$153:$B$162,$C15)&gt;0,$D15&lt;12),
Error!$B$46,
IF(AND(_xlpm.baseRow,$E15="Tier 4",OR($D15&lt;6,$D15&gt;=12)),
Error!$B$10,
IF(AND(_xlpm.baseRow,$E15="&lt;6in DSH for Tree Points",OR($D15&gt;=6,$D15="")),
Error!$B$8,
IF(AND(_xlpm.baseRow,$E15="Street Tree for Green Factor",$F15&lt;&gt;"",$F15&lt;&gt;"Retain"),
Error!$B$14,
IF(AND($E15="&lt;6in DSH for Tree Points",$F15="Retain",$H15&lt;&gt;"",ISNA(MATCH($H15,Tables!$B$174:$B$174,0))),
Error!$B$15,
IF(AND($E15="Street Tree for Green Factor",$F15="Retain",$H15&lt;&gt;"",$H15&lt;&gt;"Zoning: Green Factor"),
Error!$B$15,
IF(AND($E15="ECA / Shoreline Tree",$F15="Remove",$H15&lt;&gt;"",ISNA(MATCH($H15,Tables!$B$189:$B$190,0))),
Error!$B$15,
IF(AND($E15="ECA / Shoreline Tree",$F15="Retain",$H15&lt;&gt;"",ISNA(MATCH($H15,Tables!$B$184:$B$186,0))),
Error!$B$15,
IF(AND($E15="Tier 4",$F15="Remove",$H15&lt;&gt;"",ISNA(MATCH($H15,Tables!$B$171,0))),
Error!$B$15,
IF(AND($E15="Tier 4",$F15="Retain",$H15&lt;&gt;"",ISNA(MATCH($H15,Tables!$B$166:$B$168,0))),
Error!$B$15,
IF(AND($E15="Tier 3",$F15="Retain",$H15&lt;&gt;"",ISNA(MATCH($H15,Tables!$B$158:$B$160,0))),
Error!$B$15,
IF(AND($E15="Tier 3",$F15="Remove",$H15&lt;&gt;"",ISNA(MATCH($H15,Tables!$B$163,0))),
Error!$B$15,
IF(AND(OR($E15="Tier 2",$E15="Tier 2 Grove"),$F15="Remove",$H15&lt;&gt;"",ISNA(MATCH($H15,Tables!$B$153:$B$155,0))),
Error!$B$15,
IF(AND(OR($E15="Tier 2",$E15="Tier 2 Grove"),$F15="Retain",$H15&lt;&gt;"",ISNA(MATCH($H15,Tables!$B$147:$B$150,0))),
Error!$B$15,
IF(AND($E15="Tier 1",$F15="Remove",$H15&lt;&gt;"",ISNA(MATCH($H15,Tables!$B$143:$B$144,0))),
Error!$B$15,
IF(AND($E15="Tier 1",$F15="Retain",$H15&lt;&gt;"",ISNA(MATCH($H15,Tables!$B$137:$B$140,0))),
Error!$B$15,
IF(AND($E15&lt;&gt;"Tier 2",$E15&lt;&gt;"Tier 2 Grove",$E15&lt;&gt;"Tier 3",$E15&lt;&gt;"Tier 4",$H15="Zoning: Green Factor",OR($D15="",$D15&lt;6)),
Error!$B$11,
IF(AND(_xlpm.baseRow,$D15&lt;6,$E15="&lt;6in DSH for Tree Points",_xlpm.TreePoints_H=0),
Error!$B$21,
IF(AND(_xlpm.baseRow,$E15&lt;&gt;"",$D15&lt;&gt;"",$F15=""),
Error!$B$4,
IF(AND(_xlpm.baseRow,$F15="Remove",OR($E15="Tier 1",$E15="Tier 2",$E15="Tier 2 Grove"),COUNTBLANK(_xlpm.HRange)&lt;3,_xlpm.uniqueH&gt;=2),
Error!$B$48,
IF(AND(_xlpm.baseRow,$F15="Retain",OR($E15="Tier 1",$E15="Tier 2",$E15="Tier 2 Grove"),COUNTIF(_xlpm.HRange,"Tree Code: Required to Retain Tier 1-2 Tree")=0),
Error!$B$47,
IF(AND(_xlpm.baseRow,$E15&lt;&gt;"",$D15&lt;&gt;"",$F15&lt;&gt;"",COUNTBLANK(_xlpm.HRange)=4),
Error!$B$5,
IF(AND($F15="Remove",$H15&lt;&gt;"",$I15=""),
Error!$B$18,
IF(AND($E15="Tier 4",$F15="Remove",$H15="Tree Protection Code: Tier 3 or Tier 4 Allowance",$H15&lt;&gt;"",ISNA(MATCH($I15,Tables!$B$200,0))),
Error!$B$17,
IF(AND($E15="Tier 3",$F15="Remove",$H15&lt;&gt;"",$H15="Tree Protection Code: Tier 3 or Tier 4 Allowance",OR($I15="",ISNA(MATCH($I15,Tables!$B$193:$B$197,0)))),
Error!$B$17,
IF(AND(OR($E15="Tier 2",$E15="Tier 2 Grove"),$F15="Remove",$H15="Tree Protection Code: Other removal allowance or exemption",$I15&lt;&gt;"",ISNA(MATCH($I15,Tables!$B$215:$B$218,0))),
Error!$B$17,
IF(AND(OR($E15="Tier 2",$E15="Tier 2 Grove"),$F15="Remove",$H15="Tree Protection Code: Development Capacity",$I15&lt;&gt;"",ISNA(MATCH($I15,Tables!$B$193:$B$197,0))),
Error!$B$17,
IF(AND(OR($E15="Tier 2",$E15="Tier 2 Grove"),$F15="Remove",$H15="Tree Protection Code: Necessary for Construction",$I15&lt;&gt;"",ISNA(MATCH($I15,Tables!$B$193:$B$197,0))),
Error!$B$17,
IF(AND($E15="Tier 1",$F15="Remove",$H15="Tree Protection Code: Special Exception",$I15&lt;&gt;"",ISNA(MATCH($I15,Tables!$B$215:$B$218,0))),
Error!$B$17,
IF(AND($E15="Tier 1",$F15="Remove",$H15="Tree Protection Code: Other removal allowance or exemption",$I15&lt;&gt;"",ISNA(MATCH($I15,Tables!$B$215:$B$218,0))),
Error!$B$17,
IF(AND($E15="ECA / Shoreline Tree",$F15="Remove",$H15&lt;&gt;"",OR($H15="Shoreline",$H15="Environmental Critical Area (ECA)"),ISNA(MATCH($I15,Tables!$B$209:$B$212,0))),
Error!$B$17,
IF(AND(_xlpm.baseRow,$F15="Retain",$E15="ECA / Shoreline Tree",_xlpm.ECA_Short=0),
Error!$B$61,
IF(AND($F15="Remove",ISNUMBER(MATCH($E15,{"Tier 1","Tier 2","Tier 3","Tier 4","Tier 2 Grove"},0)),ISNUMBER(MATCH($I15,{"On-site replacement","Off-site replacement"},0)),$J15="",$H15&lt;&gt;""),
Error!$B$19,
IF(AND(_xlpm.baseRow,$E15&lt;&gt;"",$D15&lt;&gt;"",$F15&lt;&gt;"",COUNTBLANK($B15:$C15)&gt;0,COUNTBLANK(_xlpm.HRange)&lt;&gt;4),
Error!$B$22,
IF(AND($H15="Zoning: Tree Points",$K15&lt;&gt;"",ISNA(MATCH($K15,Tables!$B$242:$B$253,0))),
Error!$B$58,
IF(AND($H15="Zoning: Tree Points",$K15="Small",$L15&lt;&gt;"",ISNA(MATCH($L15,Tables!$C$243:$C$244,0))),
Error!$B$59,
IF(AND($H15="Zoning: Tree Points",$K15="Small/Medium",$L15&lt;&gt;"",ISNA(MATCH($L15,Tables!$C$246:$C$247,0))),
Error!$B$59,
IF(AND($H15="Zoning: Tree Points",$K15="Medium/Large",$L15&lt;&gt;"",ISNA(MATCH($L15,Tables!$C$249:$C$250,0))),
Error!$B$59,
IF(AND($H15="Zoning: Tree Points",$K15="Large",$L15&lt;&gt;"",ISNA(MATCH($L15,Tables!$C$252:$C$253,0))),
Error!$B$59,
IF(AND($F15="Retain",$H15="Zoning: Tree Points",$C15&lt;&gt;"",$D15&lt;&gt;"",OR($K15="",$L15="",$M15="")),
Error!$B$20,
""
)))))))))))))))))))))))))))))))))))))))))))))))))))))))),
Error!$B$23))</f>
        <v/>
      </c>
      <c r="O15" s="343" t="str" cm="1">
        <f t="array" aca="1" ref="O15" ca="1">IFERROR(_xlfn.LET(
    _xlpm.txt, $C15,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6" spans="1:15" x14ac:dyDescent="0.3">
      <c r="A16" s="320"/>
      <c r="B16" s="616" t="str">
        <f>IF($B15="", "", $B15)</f>
        <v/>
      </c>
      <c r="C16" s="617" t="str">
        <f>IF($C15="", "", $C15)</f>
        <v/>
      </c>
      <c r="D16" s="618" t="str">
        <f t="shared" ref="D16:D18" si="1">IF($D15="", "", $D15)</f>
        <v/>
      </c>
      <c r="E16" s="616" t="str">
        <f>IF($E15="", "", $E15)</f>
        <v/>
      </c>
      <c r="F16" s="616" t="str">
        <f>IF($F15="", "", $F15)</f>
        <v/>
      </c>
      <c r="G16" s="619" t="str">
        <f>IF(Tree_Table1[[#This Row],[Tree Status  &amp;]]="Retain", Tables!$B$237, IF(Tree_Table1[[#This Row],[Tree Status  &amp;]]="Remove", Tables!$B$238, ""))</f>
        <v/>
      </c>
      <c r="H16" s="321"/>
      <c r="I16" s="322"/>
      <c r="J16" s="453"/>
      <c r="K16" s="323" t="str">
        <f>IFERROR(
    IF(
        AND($H16="Zoning: Tree Points", NOT(ISNUMBER(SEARCH("sp.", $C16)))),
        VLOOKUP($C16, 'Tree List'!$C$3:$F$601, 4, FALSE),
        ""
    ),
"")</f>
        <v/>
      </c>
      <c r="L16" s="324" t="str" cm="1">
        <f t="array" ref="L16">IFERROR(
IF(
    AND($H16="Zoning: Tree Points", NOT(ISNUMBER(SEARCH("sp.", $C16)))),
    _xlfn.IFS(
        (COUNTIFS('Tree List'!$C$3:$C$601,$C16,'Tree List'!$D$3:$D$601,"Coniferous")
        + COUNTIFS('Tree List'!$C$3:$C$601,$C16,'Tree List'!$D$3:$D$601,"Deciduous Conifer")) &gt; 0,
            _xlfn.IFS($K16="Small",0.5,$K16="Small/Medium",1,$K16="Medium/Large",1.4,$K16="Large",1.8),
        (COUNTIFS('Tree List'!$C$3:$C$601,$C16,'Tree List'!$D$3:$D$601,"Deciduous")
        + COUNTIFS('Tree List'!$C$3:$C$601,$C16,'Tree List'!$D$3:$D$601,"Broadleaf Evergreen")) &gt; 0,
            _xlfn.IFS($K16="Small",0.4,$K16="Small/Medium",0.8,$K16="Medium/Large",1.2,$K16="Large",1.6)
    ),
    ""
),
"")</f>
        <v/>
      </c>
      <c r="M16" s="475" t="str">
        <f t="shared" si="0"/>
        <v/>
      </c>
      <c r="N16" s="346" t="str" cm="1">
        <f t="array" aca="1" ref="N1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IF(AND(_xlpm.baseRow,ISNA(MATCH($C16,'Tree List'!$C$3:$C$601,0)),SUMPRODUCT(--ISNUMBER(SEARCH(Tables2!$C$677:$C$772,$O16)))&gt;0),
Error!$B$57,
IF(AND(_xlpm.hasDM,$F16="Remove",$H16&lt;&gt;"",OR($I16="On-site replacement",$I16="Off-site replacement",$I16="Payment In Lieu")),
Error!$B$56,
IF(AND(_xlpm.hasDM,$F16="Remove",$H16&lt;&gt;"",$I16="Relocation"),
Error!$B$66,
IF(AND(OR(_xlpm.hasCN,_xlpm.hasPH,_xlpm.hasGR),$H16&lt;&gt;"",COUNTIF(Tables!$B$132:$B$134,$H16)&gt;0,$I16="N/A (No replacement required)"),
Error!$B$62,
IF(AND(_xlpm.baseRow,$E16&lt;&gt;"",ISNA(MATCH($E16,Tables!$B$225:$B$232,0))),
Error!$B$2,
IF(AND(_xlpm.baseRow,$F16&lt;&gt;"",ISNA(MATCH($F16,Tables!$B$234:$B$235,0))),
Error!$B$24,
IF(AND(_xlpm.baseRow,_xlpm.ECA_H&gt;0,_xlpm.Shore_H&gt;0),
Error!$B$16,
IF(AND(_xlpm.baseRow,$E16&lt;&gt;"",$D16=""),
Error!$B$3,
IF(AND(_xlpm.baseRow,OR($E16="Tier 3",$E16="Tier 4"),$C16&lt;&gt;"",$D16&gt;=24,COUNTIF(Tables2!$B$166:$B$674,$C16)&gt;0),
Error!$B$44,
IF(AND(_xlpm.baseRow,OR($E16="Tier 3",$E16="Tier 4"),$C16&lt;&gt;"",$D16&lt;&gt;"",COUNTIF(Tables2!$B$73:$B$152,$C16)&gt;0,
$D16&gt;=IFERROR(INDEX(Tables2!$C$73:$C$152,MATCH($C16,Tables2!$B$73:$B$152,0)),-1)),
Error!$B$44,
IF(AND(_xlpm.baseRow,OR($E16="Tier 2",$E16="Tier 2 Grove"),$C16&lt;&gt;"",$D16&gt;=12,COUNTIF(Tables2!$B$153:$B$162,$C16)&gt;0),
Error!$B$45,
IF(AND(_xlpm.baseRow,$E16="Tier 2 Grove",$D16&lt;12),
Error!$B$41,
IF(AND(_xlpm.baseRow,$E16="Tier 2",$D16&lt;5.88),
Error!$B$40,
IF(AND(_xlpm.baseRow,OR($E16="Tier 2",$E16="Tier 2 Grove"),$C16&lt;&gt;"",$D16&lt;12,$D16&gt;=6,COUNTIF(Tables2!$B$153:$B$162,$C16)&gt;0),
Error!$B$54,
IF(AND(_xlpm.baseRow,$E16="Tier 2",COUNTIF(Tables2!$B$166:$B$674,$C16)&gt;0,$D16&lt;24),
Error!$B$54,
IF(AND(_xlpm.baseRow,$E16="Tier 3",ISNA(MATCH($C16,Tables2!$B$153:$B$162,0)),OR($D16&lt;12,$D16&gt;=24)),
Error!$B$9,
IF(AND(_xlpm.baseRow,$E16="Tier 3",COUNTIF(Tables2!$B$153:$B$162,$C16)&gt;0,$D16&lt;12),
Error!$B$46,
IF(AND(_xlpm.baseRow,$E16="Tier 4",OR($D16&lt;6,$D16&gt;=12)),
Error!$B$10,
IF(AND(_xlpm.baseRow,$E16="&lt;6in DSH for Tree Points",OR($D16&gt;=6,$D16="")),
Error!$B$8,
IF(AND(_xlpm.baseRow,$E16="Street Tree for Green Factor",$F16&lt;&gt;"",$F16&lt;&gt;"Retain"),
Error!$B$14,
IF(AND($E16="&lt;6in DSH for Tree Points",$F16="Retain",$H16&lt;&gt;"",ISNA(MATCH($H16,Tables!$B$174:$B$174,0))),
Error!$B$15,
IF(AND($E16="Street Tree for Green Factor",$F16="Retain",$H16&lt;&gt;"",$H16&lt;&gt;"Zoning: Green Factor"),
Error!$B$15,
IF(AND($E16="ECA / Shoreline Tree",$F16="Remove",$H16&lt;&gt;"",ISNA(MATCH($H16,Tables!$B$189:$B$190,0))),
Error!$B$15,
IF(AND($E16="ECA / Shoreline Tree",$F16="Retain",$H16&lt;&gt;"",ISNA(MATCH($H16,Tables!$B$184:$B$186,0))),
Error!$B$15,
IF(AND($E16="Tier 4",$F16="Remove",$H16&lt;&gt;"",ISNA(MATCH($H16,Tables!$B$171,0))),
Error!$B$15,
IF(AND($E16="Tier 4",$F16="Retain",$H16&lt;&gt;"",ISNA(MATCH($H16,Tables!$B$166:$B$168,0))),
Error!$B$15,
IF(AND($E16="Tier 3",$F16="Retain",$H16&lt;&gt;"",ISNA(MATCH($H16,Tables!$B$158:$B$160,0))),
Error!$B$15,
IF(AND($E16="Tier 3",$F16="Remove",$H16&lt;&gt;"",ISNA(MATCH($H16,Tables!$B$163,0))),
Error!$B$15,
IF(AND(OR($E16="Tier 2",$E16="Tier 2 Grove"),$F16="Remove",$H16&lt;&gt;"",ISNA(MATCH($H16,Tables!$B$153:$B$155,0))),
Error!$B$15,
IF(AND(OR($E16="Tier 2",$E16="Tier 2 Grove"),$F16="Retain",$H16&lt;&gt;"",ISNA(MATCH($H16,Tables!$B$147:$B$150,0))),
Error!$B$15,
IF(AND($E16="Tier 1",$F16="Remove",$H16&lt;&gt;"",ISNA(MATCH($H16,Tables!$B$143:$B$144,0))),
Error!$B$15,
IF(AND($E16="Tier 1",$F16="Retain",$H16&lt;&gt;"",ISNA(MATCH($H16,Tables!$B$137:$B$140,0))),
Error!$B$15,
IF(AND($E16&lt;&gt;"Tier 2",$E16&lt;&gt;"Tier 2 Grove",$E16&lt;&gt;"Tier 3",$E16&lt;&gt;"Tier 4",$H16="Zoning: Green Factor",OR($D16="",$D16&lt;6)),
Error!$B$11,
IF(AND(_xlpm.baseRow,$D16&lt;6,$E16="&lt;6in DSH for Tree Points",_xlpm.TreePoints_H=0),
Error!$B$21,
IF(AND(_xlpm.baseRow,$E16&lt;&gt;"",$D16&lt;&gt;"",$F16=""),
Error!$B$4,
IF(AND(_xlpm.baseRow,$F16="Remove",OR($E16="Tier 1",$E16="Tier 2",$E16="Tier 2 Grove"),COUNTBLANK(_xlpm.HRange)&lt;3,_xlpm.uniqueH&gt;=2),
Error!$B$48,
IF(AND(_xlpm.baseRow,$F16="Retain",OR($E16="Tier 1",$E16="Tier 2",$E16="Tier 2 Grove"),COUNTIF(_xlpm.HRange,"Tree Code: Required to Retain Tier 1-2 Tree")=0),
Error!$B$47,
IF(AND(_xlpm.baseRow,$E16&lt;&gt;"",$D16&lt;&gt;"",$F16&lt;&gt;"",COUNTBLANK(_xlpm.HRange)=4),
Error!$B$5,
IF(AND($F16="Remove",$H16&lt;&gt;"",$I16=""),
Error!$B$18,
IF(AND($E16="Tier 4",$F16="Remove",$H16="Tree Protection Code: Tier 3 or Tier 4 Allowance",$H16&lt;&gt;"",ISNA(MATCH($I16,Tables!$B$200,0))),
Error!$B$17,
IF(AND($E16="Tier 3",$F16="Remove",$H16&lt;&gt;"",$H16="Tree Protection Code: Tier 3 or Tier 4 Allowance",OR($I16="",ISNA(MATCH($I16,Tables!$B$193:$B$197,0)))),
Error!$B$17,
IF(AND(OR($E16="Tier 2",$E16="Tier 2 Grove"),$F16="Remove",$H16="Tree Protection Code: Other removal allowance or exemption",$I16&lt;&gt;"",ISNA(MATCH($I16,Tables!$B$215:$B$218,0))),
Error!$B$17,
IF(AND(OR($E16="Tier 2",$E16="Tier 2 Grove"),$F16="Remove",$H16="Tree Protection Code: Development Capacity",$I16&lt;&gt;"",ISNA(MATCH($I16,Tables!$B$193:$B$197,0))),
Error!$B$17,
IF(AND(OR($E16="Tier 2",$E16="Tier 2 Grove"),$F16="Remove",$H16="Tree Protection Code: Necessary for Construction",$I16&lt;&gt;"",ISNA(MATCH($I16,Tables!$B$193:$B$197,0))),
Error!$B$17,
IF(AND($E16="Tier 1",$F16="Remove",$H16="Tree Protection Code: Special Exception",$I16&lt;&gt;"",ISNA(MATCH($I16,Tables!$B$215:$B$218,0))),
Error!$B$17,
IF(AND($E16="Tier 1",$F16="Remove",$H16="Tree Protection Code: Other removal allowance or exemption",$I16&lt;&gt;"",ISNA(MATCH($I16,Tables!$B$215:$B$218,0))),
Error!$B$17,
IF(AND($E16="ECA / Shoreline Tree",$F16="Remove",$H16&lt;&gt;"",OR($H16="Shoreline",$H16="Environmental Critical Area (ECA)"),ISNA(MATCH($I16,Tables!$B$209:$B$212,0))),
Error!$B$17,
IF(AND(_xlpm.baseRow,$F16="Retain",$E16="ECA / Shoreline Tree",_xlpm.ECA_Short=0),
Error!$B$61,
IF(AND($F16="Remove",ISNUMBER(MATCH($E16,{"Tier 1","Tier 2","Tier 3","Tier 4","Tier 2 Grove"},0)),ISNUMBER(MATCH($I16,{"On-site replacement","Off-site replacement"},0)),$J16="",$H16&lt;&gt;""),
Error!$B$19,
IF(AND(_xlpm.baseRow,$E16&lt;&gt;"",$D16&lt;&gt;"",$F16&lt;&gt;"",COUNTBLANK($B16:$C16)&gt;0,COUNTBLANK(_xlpm.HRange)&lt;&gt;4),
Error!$B$22,
IF(AND($H16="Zoning: Tree Points",$K16&lt;&gt;"",ISNA(MATCH($K16,Tables!$B$242:$B$253,0))),
Error!$B$58,
IF(AND($H16="Zoning: Tree Points",$K16="Small",$L16&lt;&gt;"",ISNA(MATCH($L16,Tables!$C$243:$C$244,0))),
Error!$B$59,
IF(AND($H16="Zoning: Tree Points",$K16="Small/Medium",$L16&lt;&gt;"",ISNA(MATCH($L16,Tables!$C$246:$C$247,0))),
Error!$B$59,
IF(AND($H16="Zoning: Tree Points",$K16="Medium/Large",$L16&lt;&gt;"",ISNA(MATCH($L16,Tables!$C$249:$C$250,0))),
Error!$B$59,
IF(AND($H16="Zoning: Tree Points",$K16="Large",$L16&lt;&gt;"",ISNA(MATCH($L16,Tables!$C$252:$C$253,0))),
Error!$B$59,
IF(AND($F16="Retain",$H16="Zoning: Tree Points",$C16&lt;&gt;"",$D16&lt;&gt;"",OR($K16="",$L16="",$M16="")),
Error!$B$20,
""
)))))))))))))))))))))))))))))))))))))))))))))))))))))))),
Error!$B$23))</f>
        <v/>
      </c>
      <c r="O16" s="343" t="str" cm="1">
        <f t="array" aca="1" ref="O16" ca="1">IFERROR(_xlfn.LET(
    _xlpm.txt, $C16,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7" spans="1:15" x14ac:dyDescent="0.3">
      <c r="A17" s="320"/>
      <c r="B17" s="616" t="str">
        <f>IF($B16="", "", $B16)</f>
        <v/>
      </c>
      <c r="C17" s="617" t="str">
        <f>IF($C16="", "", $C16)</f>
        <v/>
      </c>
      <c r="D17" s="618" t="str">
        <f t="shared" si="1"/>
        <v/>
      </c>
      <c r="E17" s="616" t="str">
        <f>IF($E16="", "", $E16)</f>
        <v/>
      </c>
      <c r="F17" s="616" t="str">
        <f>IF($F16="", "", $F16)</f>
        <v/>
      </c>
      <c r="G17" s="619" t="str">
        <f>IF(Tree_Table1[[#This Row],[Tree Status  &amp;]]="Retain", Tables!$B$237, IF(Tree_Table1[[#This Row],[Tree Status  &amp;]]="Remove", Tables!$B$238, ""))</f>
        <v/>
      </c>
      <c r="H17" s="321"/>
      <c r="I17" s="322"/>
      <c r="J17" s="453"/>
      <c r="K17" s="323" t="str">
        <f>IFERROR(
    IF(
        AND($H17="Zoning: Tree Points", NOT(ISNUMBER(SEARCH("sp.", $C17)))),
        VLOOKUP($C17, 'Tree List'!$C$3:$F$601, 4, FALSE),
        ""
    ),
"")</f>
        <v/>
      </c>
      <c r="L17" s="324" t="str" cm="1">
        <f t="array" ref="L17">IFERROR(
IF(
    AND($H17="Zoning: Tree Points", NOT(ISNUMBER(SEARCH("sp.", $C17)))),
    _xlfn.IFS(
        (COUNTIFS('Tree List'!$C$3:$C$601,$C17,'Tree List'!$D$3:$D$601,"Coniferous")
        + COUNTIFS('Tree List'!$C$3:$C$601,$C17,'Tree List'!$D$3:$D$601,"Deciduous Conifer")) &gt; 0,
            _xlfn.IFS($K17="Small",0.5,$K17="Small/Medium",1,$K17="Medium/Large",1.4,$K17="Large",1.8),
        (COUNTIFS('Tree List'!$C$3:$C$601,$C17,'Tree List'!$D$3:$D$601,"Deciduous")
        + COUNTIFS('Tree List'!$C$3:$C$601,$C17,'Tree List'!$D$3:$D$601,"Broadleaf Evergreen")) &gt; 0,
            _xlfn.IFS($K17="Small",0.4,$K17="Small/Medium",0.8,$K17="Medium/Large",1.2,$K17="Large",1.6)
    ),
    ""
),
"")</f>
        <v/>
      </c>
      <c r="M17" s="475" t="str">
        <f t="shared" si="0"/>
        <v/>
      </c>
      <c r="N17" s="346" t="str" cm="1">
        <f t="array" aca="1" ref="N1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IF(AND(_xlpm.baseRow,ISNA(MATCH($C17,'Tree List'!$C$3:$C$601,0)),SUMPRODUCT(--ISNUMBER(SEARCH(Tables2!$C$677:$C$772,$O17)))&gt;0),
Error!$B$57,
IF(AND(_xlpm.hasDM,$F17="Remove",$H17&lt;&gt;"",OR($I17="On-site replacement",$I17="Off-site replacement",$I17="Payment In Lieu")),
Error!$B$56,
IF(AND(_xlpm.hasDM,$F17="Remove",$H17&lt;&gt;"",$I17="Relocation"),
Error!$B$66,
IF(AND(OR(_xlpm.hasCN,_xlpm.hasPH,_xlpm.hasGR),$H17&lt;&gt;"",COUNTIF(Tables!$B$132:$B$134,$H17)&gt;0,$I17="N/A (No replacement required)"),
Error!$B$62,
IF(AND(_xlpm.baseRow,$E17&lt;&gt;"",ISNA(MATCH($E17,Tables!$B$225:$B$232,0))),
Error!$B$2,
IF(AND(_xlpm.baseRow,$F17&lt;&gt;"",ISNA(MATCH($F17,Tables!$B$234:$B$235,0))),
Error!$B$24,
IF(AND(_xlpm.baseRow,_xlpm.ECA_H&gt;0,_xlpm.Shore_H&gt;0),
Error!$B$16,
IF(AND(_xlpm.baseRow,$E17&lt;&gt;"",$D17=""),
Error!$B$3,
IF(AND(_xlpm.baseRow,OR($E17="Tier 3",$E17="Tier 4"),$C17&lt;&gt;"",$D17&gt;=24,COUNTIF(Tables2!$B$166:$B$674,$C17)&gt;0),
Error!$B$44,
IF(AND(_xlpm.baseRow,OR($E17="Tier 3",$E17="Tier 4"),$C17&lt;&gt;"",$D17&lt;&gt;"",COUNTIF(Tables2!$B$73:$B$152,$C17)&gt;0,
$D17&gt;=IFERROR(INDEX(Tables2!$C$73:$C$152,MATCH($C17,Tables2!$B$73:$B$152,0)),-1)),
Error!$B$44,
IF(AND(_xlpm.baseRow,OR($E17="Tier 2",$E17="Tier 2 Grove"),$C17&lt;&gt;"",$D17&gt;=12,COUNTIF(Tables2!$B$153:$B$162,$C17)&gt;0),
Error!$B$45,
IF(AND(_xlpm.baseRow,$E17="Tier 2 Grove",$D17&lt;12),
Error!$B$41,
IF(AND(_xlpm.baseRow,$E17="Tier 2",$D17&lt;5.88),
Error!$B$40,
IF(AND(_xlpm.baseRow,OR($E17="Tier 2",$E17="Tier 2 Grove"),$C17&lt;&gt;"",$D17&lt;12,$D17&gt;=6,COUNTIF(Tables2!$B$153:$B$162,$C17)&gt;0),
Error!$B$54,
IF(AND(_xlpm.baseRow,$E17="Tier 2",COUNTIF(Tables2!$B$166:$B$674,$C17)&gt;0,$D17&lt;24),
Error!$B$54,
IF(AND(_xlpm.baseRow,$E17="Tier 3",ISNA(MATCH($C17,Tables2!$B$153:$B$162,0)),OR($D17&lt;12,$D17&gt;=24)),
Error!$B$9,
IF(AND(_xlpm.baseRow,$E17="Tier 3",COUNTIF(Tables2!$B$153:$B$162,$C17)&gt;0,$D17&lt;12),
Error!$B$46,
IF(AND(_xlpm.baseRow,$E17="Tier 4",OR($D17&lt;6,$D17&gt;=12)),
Error!$B$10,
IF(AND(_xlpm.baseRow,$E17="&lt;6in DSH for Tree Points",OR($D17&gt;=6,$D17="")),
Error!$B$8,
IF(AND(_xlpm.baseRow,$E17="Street Tree for Green Factor",$F17&lt;&gt;"",$F17&lt;&gt;"Retain"),
Error!$B$14,
IF(AND($E17="&lt;6in DSH for Tree Points",$F17="Retain",$H17&lt;&gt;"",ISNA(MATCH($H17,Tables!$B$174:$B$174,0))),
Error!$B$15,
IF(AND($E17="Street Tree for Green Factor",$F17="Retain",$H17&lt;&gt;"",$H17&lt;&gt;"Zoning: Green Factor"),
Error!$B$15,
IF(AND($E17="ECA / Shoreline Tree",$F17="Remove",$H17&lt;&gt;"",ISNA(MATCH($H17,Tables!$B$189:$B$190,0))),
Error!$B$15,
IF(AND($E17="ECA / Shoreline Tree",$F17="Retain",$H17&lt;&gt;"",ISNA(MATCH($H17,Tables!$B$184:$B$186,0))),
Error!$B$15,
IF(AND($E17="Tier 4",$F17="Remove",$H17&lt;&gt;"",ISNA(MATCH($H17,Tables!$B$171,0))),
Error!$B$15,
IF(AND($E17="Tier 4",$F17="Retain",$H17&lt;&gt;"",ISNA(MATCH($H17,Tables!$B$166:$B$168,0))),
Error!$B$15,
IF(AND($E17="Tier 3",$F17="Retain",$H17&lt;&gt;"",ISNA(MATCH($H17,Tables!$B$158:$B$160,0))),
Error!$B$15,
IF(AND($E17="Tier 3",$F17="Remove",$H17&lt;&gt;"",ISNA(MATCH($H17,Tables!$B$163,0))),
Error!$B$15,
IF(AND(OR($E17="Tier 2",$E17="Tier 2 Grove"),$F17="Remove",$H17&lt;&gt;"",ISNA(MATCH($H17,Tables!$B$153:$B$155,0))),
Error!$B$15,
IF(AND(OR($E17="Tier 2",$E17="Tier 2 Grove"),$F17="Retain",$H17&lt;&gt;"",ISNA(MATCH($H17,Tables!$B$147:$B$150,0))),
Error!$B$15,
IF(AND($E17="Tier 1",$F17="Remove",$H17&lt;&gt;"",ISNA(MATCH($H17,Tables!$B$143:$B$144,0))),
Error!$B$15,
IF(AND($E17="Tier 1",$F17="Retain",$H17&lt;&gt;"",ISNA(MATCH($H17,Tables!$B$137:$B$140,0))),
Error!$B$15,
IF(AND($E17&lt;&gt;"Tier 2",$E17&lt;&gt;"Tier 2 Grove",$E17&lt;&gt;"Tier 3",$E17&lt;&gt;"Tier 4",$H17="Zoning: Green Factor",OR($D17="",$D17&lt;6)),
Error!$B$11,
IF(AND(_xlpm.baseRow,$D17&lt;6,$E17="&lt;6in DSH for Tree Points",_xlpm.TreePoints_H=0),
Error!$B$21,
IF(AND(_xlpm.baseRow,$E17&lt;&gt;"",$D17&lt;&gt;"",$F17=""),
Error!$B$4,
IF(AND(_xlpm.baseRow,$F17="Remove",OR($E17="Tier 1",$E17="Tier 2",$E17="Tier 2 Grove"),COUNTBLANK(_xlpm.HRange)&lt;3,_xlpm.uniqueH&gt;=2),
Error!$B$48,
IF(AND(_xlpm.baseRow,$F17="Retain",OR($E17="Tier 1",$E17="Tier 2",$E17="Tier 2 Grove"),COUNTIF(_xlpm.HRange,"Tree Code: Required to Retain Tier 1-2 Tree")=0),
Error!$B$47,
IF(AND(_xlpm.baseRow,$E17&lt;&gt;"",$D17&lt;&gt;"",$F17&lt;&gt;"",COUNTBLANK(_xlpm.HRange)=4),
Error!$B$5,
IF(AND($F17="Remove",$H17&lt;&gt;"",$I17=""),
Error!$B$18,
IF(AND($E17="Tier 4",$F17="Remove",$H17="Tree Protection Code: Tier 3 or Tier 4 Allowance",$H17&lt;&gt;"",ISNA(MATCH($I17,Tables!$B$200,0))),
Error!$B$17,
IF(AND($E17="Tier 3",$F17="Remove",$H17&lt;&gt;"",$H17="Tree Protection Code: Tier 3 or Tier 4 Allowance",OR($I17="",ISNA(MATCH($I17,Tables!$B$193:$B$197,0)))),
Error!$B$17,
IF(AND(OR($E17="Tier 2",$E17="Tier 2 Grove"),$F17="Remove",$H17="Tree Protection Code: Other removal allowance or exemption",$I17&lt;&gt;"",ISNA(MATCH($I17,Tables!$B$215:$B$218,0))),
Error!$B$17,
IF(AND(OR($E17="Tier 2",$E17="Tier 2 Grove"),$F17="Remove",$H17="Tree Protection Code: Development Capacity",$I17&lt;&gt;"",ISNA(MATCH($I17,Tables!$B$193:$B$197,0))),
Error!$B$17,
IF(AND(OR($E17="Tier 2",$E17="Tier 2 Grove"),$F17="Remove",$H17="Tree Protection Code: Necessary for Construction",$I17&lt;&gt;"",ISNA(MATCH($I17,Tables!$B$193:$B$197,0))),
Error!$B$17,
IF(AND($E17="Tier 1",$F17="Remove",$H17="Tree Protection Code: Special Exception",$I17&lt;&gt;"",ISNA(MATCH($I17,Tables!$B$215:$B$218,0))),
Error!$B$17,
IF(AND($E17="Tier 1",$F17="Remove",$H17="Tree Protection Code: Other removal allowance or exemption",$I17&lt;&gt;"",ISNA(MATCH($I17,Tables!$B$215:$B$218,0))),
Error!$B$17,
IF(AND($E17="ECA / Shoreline Tree",$F17="Remove",$H17&lt;&gt;"",OR($H17="Shoreline",$H17="Environmental Critical Area (ECA)"),ISNA(MATCH($I17,Tables!$B$209:$B$212,0))),
Error!$B$17,
IF(AND(_xlpm.baseRow,$F17="Retain",$E17="ECA / Shoreline Tree",_xlpm.ECA_Short=0),
Error!$B$61,
IF(AND($F17="Remove",ISNUMBER(MATCH($E17,{"Tier 1","Tier 2","Tier 3","Tier 4","Tier 2 Grove"},0)),ISNUMBER(MATCH($I17,{"On-site replacement","Off-site replacement"},0)),$J17="",$H17&lt;&gt;""),
Error!$B$19,
IF(AND(_xlpm.baseRow,$E17&lt;&gt;"",$D17&lt;&gt;"",$F17&lt;&gt;"",COUNTBLANK($B17:$C17)&gt;0,COUNTBLANK(_xlpm.HRange)&lt;&gt;4),
Error!$B$22,
IF(AND($H17="Zoning: Tree Points",$K17&lt;&gt;"",ISNA(MATCH($K17,Tables!$B$242:$B$253,0))),
Error!$B$58,
IF(AND($H17="Zoning: Tree Points",$K17="Small",$L17&lt;&gt;"",ISNA(MATCH($L17,Tables!$C$243:$C$244,0))),
Error!$B$59,
IF(AND($H17="Zoning: Tree Points",$K17="Small/Medium",$L17&lt;&gt;"",ISNA(MATCH($L17,Tables!$C$246:$C$247,0))),
Error!$B$59,
IF(AND($H17="Zoning: Tree Points",$K17="Medium/Large",$L17&lt;&gt;"",ISNA(MATCH($L17,Tables!$C$249:$C$250,0))),
Error!$B$59,
IF(AND($H17="Zoning: Tree Points",$K17="Large",$L17&lt;&gt;"",ISNA(MATCH($L17,Tables!$C$252:$C$253,0))),
Error!$B$59,
IF(AND($F17="Retain",$H17="Zoning: Tree Points",$C17&lt;&gt;"",$D17&lt;&gt;"",OR($K17="",$L17="",$M17="")),
Error!$B$20,
""
)))))))))))))))))))))))))))))))))))))))))))))))))))))))),
Error!$B$23))</f>
        <v/>
      </c>
      <c r="O17" s="343" t="str" cm="1">
        <f t="array" aca="1" ref="O17" ca="1">IFERROR(_xlfn.LET(
    _xlpm.txt, $C17,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8" spans="1:15" ht="15" thickBot="1" x14ac:dyDescent="0.35">
      <c r="A18" s="320"/>
      <c r="B18" s="616" t="str">
        <f>IF($B17="", "", $B17)</f>
        <v/>
      </c>
      <c r="C18" s="617" t="str">
        <f>IF($C17="", "", $C17)</f>
        <v/>
      </c>
      <c r="D18" s="618" t="str">
        <f t="shared" si="1"/>
        <v/>
      </c>
      <c r="E18" s="616" t="str">
        <f>IF($E17="", "", $E17)</f>
        <v/>
      </c>
      <c r="F18" s="616" t="str">
        <f>IF($F17="", "", $F17)</f>
        <v/>
      </c>
      <c r="G18" s="619" t="str">
        <f>IF(Tree_Table1[[#This Row],[Tree Status  &amp;]]="Retain", Tables!$B$237, IF(Tree_Table1[[#This Row],[Tree Status  &amp;]]="Remove", Tables!$B$238, ""))</f>
        <v/>
      </c>
      <c r="H18" s="325"/>
      <c r="I18" s="326"/>
      <c r="J18" s="454"/>
      <c r="K18" s="327" t="str">
        <f>IFERROR(
    IF(
        AND($H18="Zoning: Tree Points", NOT(ISNUMBER(SEARCH("sp.", $C18)))),
        VLOOKUP($C18, 'Tree List'!$C$3:$F$601, 4, FALSE),
        ""
    ),
"")</f>
        <v/>
      </c>
      <c r="L18" s="328" t="str" cm="1">
        <f t="array" ref="L18">IFERROR(
IF(
    AND($H18="Zoning: Tree Points", NOT(ISNUMBER(SEARCH("sp.", $C18)))),
    _xlfn.IFS(
        (COUNTIFS('Tree List'!$C$3:$C$601,$C18,'Tree List'!$D$3:$D$601,"Coniferous")
        + COUNTIFS('Tree List'!$C$3:$C$601,$C18,'Tree List'!$D$3:$D$601,"Deciduous Conifer")) &gt; 0,
            _xlfn.IFS($K18="Small",0.5,$K18="Small/Medium",1,$K18="Medium/Large",1.4,$K18="Large",1.8),
        (COUNTIFS('Tree List'!$C$3:$C$601,$C18,'Tree List'!$D$3:$D$601,"Deciduous")
        + COUNTIFS('Tree List'!$C$3:$C$601,$C18,'Tree List'!$D$3:$D$601,"Broadleaf Evergreen")) &gt; 0,
            _xlfn.IFS($K18="Small",0.4,$K18="Small/Medium",0.8,$K18="Medium/Large",1.2,$K18="Large",1.6)
    ),
    ""
),
"")</f>
        <v/>
      </c>
      <c r="M18" s="476" t="str">
        <f t="shared" si="0"/>
        <v/>
      </c>
      <c r="N18" s="347" t="str" cm="1">
        <f t="array" aca="1" ref="N1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IF(AND(_xlpm.baseRow,ISNA(MATCH($C18,'Tree List'!$C$3:$C$601,0)),SUMPRODUCT(--ISNUMBER(SEARCH(Tables2!$C$677:$C$772,$O18)))&gt;0),
Error!$B$57,
IF(AND(_xlpm.hasDM,$F18="Remove",$H18&lt;&gt;"",OR($I18="On-site replacement",$I18="Off-site replacement",$I18="Payment In Lieu")),
Error!$B$56,
IF(AND(_xlpm.hasDM,$F18="Remove",$H18&lt;&gt;"",$I18="Relocation"),
Error!$B$66,
IF(AND(OR(_xlpm.hasCN,_xlpm.hasPH,_xlpm.hasGR),$H18&lt;&gt;"",COUNTIF(Tables!$B$132:$B$134,$H18)&gt;0,$I18="N/A (No replacement required)"),
Error!$B$62,
IF(AND(_xlpm.baseRow,$E18&lt;&gt;"",ISNA(MATCH($E18,Tables!$B$225:$B$232,0))),
Error!$B$2,
IF(AND(_xlpm.baseRow,$F18&lt;&gt;"",ISNA(MATCH($F18,Tables!$B$234:$B$235,0))),
Error!$B$24,
IF(AND(_xlpm.baseRow,_xlpm.ECA_H&gt;0,_xlpm.Shore_H&gt;0),
Error!$B$16,
IF(AND(_xlpm.baseRow,$E18&lt;&gt;"",$D18=""),
Error!$B$3,
IF(AND(_xlpm.baseRow,OR($E18="Tier 3",$E18="Tier 4"),$C18&lt;&gt;"",$D18&gt;=24,COUNTIF(Tables2!$B$166:$B$674,$C18)&gt;0),
Error!$B$44,
IF(AND(_xlpm.baseRow,OR($E18="Tier 3",$E18="Tier 4"),$C18&lt;&gt;"",$D18&lt;&gt;"",COUNTIF(Tables2!$B$73:$B$152,$C18)&gt;0,
$D18&gt;=IFERROR(INDEX(Tables2!$C$73:$C$152,MATCH($C18,Tables2!$B$73:$B$152,0)),-1)),
Error!$B$44,
IF(AND(_xlpm.baseRow,OR($E18="Tier 2",$E18="Tier 2 Grove"),$C18&lt;&gt;"",$D18&gt;=12,COUNTIF(Tables2!$B$153:$B$162,$C18)&gt;0),
Error!$B$45,
IF(AND(_xlpm.baseRow,$E18="Tier 2 Grove",$D18&lt;12),
Error!$B$41,
IF(AND(_xlpm.baseRow,$E18="Tier 2",$D18&lt;5.88),
Error!$B$40,
IF(AND(_xlpm.baseRow,OR($E18="Tier 2",$E18="Tier 2 Grove"),$C18&lt;&gt;"",$D18&lt;12,$D18&gt;=6,COUNTIF(Tables2!$B$153:$B$162,$C18)&gt;0),
Error!$B$54,
IF(AND(_xlpm.baseRow,$E18="Tier 2",COUNTIF(Tables2!$B$166:$B$674,$C18)&gt;0,$D18&lt;24),
Error!$B$54,
IF(AND(_xlpm.baseRow,$E18="Tier 3",ISNA(MATCH($C18,Tables2!$B$153:$B$162,0)),OR($D18&lt;12,$D18&gt;=24)),
Error!$B$9,
IF(AND(_xlpm.baseRow,$E18="Tier 3",COUNTIF(Tables2!$B$153:$B$162,$C18)&gt;0,$D18&lt;12),
Error!$B$46,
IF(AND(_xlpm.baseRow,$E18="Tier 4",OR($D18&lt;6,$D18&gt;=12)),
Error!$B$10,
IF(AND(_xlpm.baseRow,$E18="&lt;6in DSH for Tree Points",OR($D18&gt;=6,$D18="")),
Error!$B$8,
IF(AND(_xlpm.baseRow,$E18="Street Tree for Green Factor",$F18&lt;&gt;"",$F18&lt;&gt;"Retain"),
Error!$B$14,
IF(AND($E18="&lt;6in DSH for Tree Points",$F18="Retain",$H18&lt;&gt;"",ISNA(MATCH($H18,Tables!$B$174:$B$174,0))),
Error!$B$15,
IF(AND($E18="Street Tree for Green Factor",$F18="Retain",$H18&lt;&gt;"",$H18&lt;&gt;"Zoning: Green Factor"),
Error!$B$15,
IF(AND($E18="ECA / Shoreline Tree",$F18="Remove",$H18&lt;&gt;"",ISNA(MATCH($H18,Tables!$B$189:$B$190,0))),
Error!$B$15,
IF(AND($E18="ECA / Shoreline Tree",$F18="Retain",$H18&lt;&gt;"",ISNA(MATCH($H18,Tables!$B$184:$B$186,0))),
Error!$B$15,
IF(AND($E18="Tier 4",$F18="Remove",$H18&lt;&gt;"",ISNA(MATCH($H18,Tables!$B$171,0))),
Error!$B$15,
IF(AND($E18="Tier 4",$F18="Retain",$H18&lt;&gt;"",ISNA(MATCH($H18,Tables!$B$166:$B$168,0))),
Error!$B$15,
IF(AND($E18="Tier 3",$F18="Retain",$H18&lt;&gt;"",ISNA(MATCH($H18,Tables!$B$158:$B$160,0))),
Error!$B$15,
IF(AND($E18="Tier 3",$F18="Remove",$H18&lt;&gt;"",ISNA(MATCH($H18,Tables!$B$163,0))),
Error!$B$15,
IF(AND(OR($E18="Tier 2",$E18="Tier 2 Grove"),$F18="Remove",$H18&lt;&gt;"",ISNA(MATCH($H18,Tables!$B$153:$B$155,0))),
Error!$B$15,
IF(AND(OR($E18="Tier 2",$E18="Tier 2 Grove"),$F18="Retain",$H18&lt;&gt;"",ISNA(MATCH($H18,Tables!$B$147:$B$150,0))),
Error!$B$15,
IF(AND($E18="Tier 1",$F18="Remove",$H18&lt;&gt;"",ISNA(MATCH($H18,Tables!$B$143:$B$144,0))),
Error!$B$15,
IF(AND($E18="Tier 1",$F18="Retain",$H18&lt;&gt;"",ISNA(MATCH($H18,Tables!$B$137:$B$140,0))),
Error!$B$15,
IF(AND($E18&lt;&gt;"Tier 2",$E18&lt;&gt;"Tier 2 Grove",$E18&lt;&gt;"Tier 3",$E18&lt;&gt;"Tier 4",$H18="Zoning: Green Factor",OR($D18="",$D18&lt;6)),
Error!$B$11,
IF(AND(_xlpm.baseRow,$D18&lt;6,$E18="&lt;6in DSH for Tree Points",_xlpm.TreePoints_H=0),
Error!$B$21,
IF(AND(_xlpm.baseRow,$E18&lt;&gt;"",$D18&lt;&gt;"",$F18=""),
Error!$B$4,
IF(AND(_xlpm.baseRow,$F18="Remove",OR($E18="Tier 1",$E18="Tier 2",$E18="Tier 2 Grove"),COUNTBLANK(_xlpm.HRange)&lt;3,_xlpm.uniqueH&gt;=2),
Error!$B$48,
IF(AND(_xlpm.baseRow,$F18="Retain",OR($E18="Tier 1",$E18="Tier 2",$E18="Tier 2 Grove"),COUNTIF(_xlpm.HRange,"Tree Code: Required to Retain Tier 1-2 Tree")=0),
Error!$B$47,
IF(AND(_xlpm.baseRow,$E18&lt;&gt;"",$D18&lt;&gt;"",$F18&lt;&gt;"",COUNTBLANK(_xlpm.HRange)=4),
Error!$B$5,
IF(AND($F18="Remove",$H18&lt;&gt;"",$I18=""),
Error!$B$18,
IF(AND($E18="Tier 4",$F18="Remove",$H18="Tree Protection Code: Tier 3 or Tier 4 Allowance",$H18&lt;&gt;"",ISNA(MATCH($I18,Tables!$B$200,0))),
Error!$B$17,
IF(AND($E18="Tier 3",$F18="Remove",$H18&lt;&gt;"",$H18="Tree Protection Code: Tier 3 or Tier 4 Allowance",OR($I18="",ISNA(MATCH($I18,Tables!$B$193:$B$197,0)))),
Error!$B$17,
IF(AND(OR($E18="Tier 2",$E18="Tier 2 Grove"),$F18="Remove",$H18="Tree Protection Code: Other removal allowance or exemption",$I18&lt;&gt;"",ISNA(MATCH($I18,Tables!$B$215:$B$218,0))),
Error!$B$17,
IF(AND(OR($E18="Tier 2",$E18="Tier 2 Grove"),$F18="Remove",$H18="Tree Protection Code: Development Capacity",$I18&lt;&gt;"",ISNA(MATCH($I18,Tables!$B$193:$B$197,0))),
Error!$B$17,
IF(AND(OR($E18="Tier 2",$E18="Tier 2 Grove"),$F18="Remove",$H18="Tree Protection Code: Necessary for Construction",$I18&lt;&gt;"",ISNA(MATCH($I18,Tables!$B$193:$B$197,0))),
Error!$B$17,
IF(AND($E18="Tier 1",$F18="Remove",$H18="Tree Protection Code: Special Exception",$I18&lt;&gt;"",ISNA(MATCH($I18,Tables!$B$215:$B$218,0))),
Error!$B$17,
IF(AND($E18="Tier 1",$F18="Remove",$H18="Tree Protection Code: Other removal allowance or exemption",$I18&lt;&gt;"",ISNA(MATCH($I18,Tables!$B$215:$B$218,0))),
Error!$B$17,
IF(AND($E18="ECA / Shoreline Tree",$F18="Remove",$H18&lt;&gt;"",OR($H18="Shoreline",$H18="Environmental Critical Area (ECA)"),ISNA(MATCH($I18,Tables!$B$209:$B$212,0))),
Error!$B$17,
IF(AND(_xlpm.baseRow,$F18="Retain",$E18="ECA / Shoreline Tree",_xlpm.ECA_Short=0),
Error!$B$61,
IF(AND($F18="Remove",ISNUMBER(MATCH($E18,{"Tier 1","Tier 2","Tier 3","Tier 4","Tier 2 Grove"},0)),ISNUMBER(MATCH($I18,{"On-site replacement","Off-site replacement"},0)),$J18="",$H18&lt;&gt;""),
Error!$B$19,
IF(AND(_xlpm.baseRow,$E18&lt;&gt;"",$D18&lt;&gt;"",$F18&lt;&gt;"",COUNTBLANK($B18:$C18)&gt;0,COUNTBLANK(_xlpm.HRange)&lt;&gt;4),
Error!$B$22,
IF(AND($H18="Zoning: Tree Points",$K18&lt;&gt;"",ISNA(MATCH($K18,Tables!$B$242:$B$253,0))),
Error!$B$58,
IF(AND($H18="Zoning: Tree Points",$K18="Small",$L18&lt;&gt;"",ISNA(MATCH($L18,Tables!$C$243:$C$244,0))),
Error!$B$59,
IF(AND($H18="Zoning: Tree Points",$K18="Small/Medium",$L18&lt;&gt;"",ISNA(MATCH($L18,Tables!$C$246:$C$247,0))),
Error!$B$59,
IF(AND($H18="Zoning: Tree Points",$K18="Medium/Large",$L18&lt;&gt;"",ISNA(MATCH($L18,Tables!$C$249:$C$250,0))),
Error!$B$59,
IF(AND($H18="Zoning: Tree Points",$K18="Large",$L18&lt;&gt;"",ISNA(MATCH($L18,Tables!$C$252:$C$253,0))),
Error!$B$59,
IF(AND($F18="Retain",$H18="Zoning: Tree Points",$C18&lt;&gt;"",$D18&lt;&gt;"",OR($K18="",$L18="",$M18="")),
Error!$B$20,
""
)))))))))))))))))))))))))))))))))))))))))))))))))))))))),
Error!$B$23))</f>
        <v/>
      </c>
      <c r="O18" s="343" t="str" cm="1">
        <f t="array" aca="1" ref="O18" ca="1">IFERROR(_xlfn.LET(
    _xlpm.txt, $C18,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9" spans="1:15" ht="15" thickBot="1" x14ac:dyDescent="0.35">
      <c r="A19" s="311">
        <v>3</v>
      </c>
      <c r="B19" s="312"/>
      <c r="C19" s="313"/>
      <c r="D19" s="478"/>
      <c r="E19" s="314"/>
      <c r="F19" s="314"/>
      <c r="G19" s="315" t="str">
        <f>IF(Tree_Table1[[#This Row],[Tree Status  &amp;]]="Retain", Tables!$B$237, IF(Tree_Table1[[#This Row],[Tree Status  &amp;]]="Remove", Tables!$B$238, ""))</f>
        <v/>
      </c>
      <c r="H19" s="316"/>
      <c r="I19" s="317"/>
      <c r="J19" s="452"/>
      <c r="K19" s="318" t="str">
        <f>IFERROR(
    IF(
        AND($H19="Zoning: Tree Points", NOT(ISNUMBER(SEARCH("sp.", $C19)))),
        VLOOKUP($C19, 'Tree List'!$C$3:$F$601, 4, FALSE),
        ""
    ),
"")</f>
        <v/>
      </c>
      <c r="L19" s="319" t="str" cm="1">
        <f t="array" ref="L19">IFERROR(
IF(
    AND($H19="Zoning: Tree Points", NOT(ISNUMBER(SEARCH("sp.", $C19)))),
    _xlfn.IFS(
        (COUNTIFS('Tree List'!$C$3:$C$601,$C19,'Tree List'!$D$3:$D$601,"Coniferous")
        + COUNTIFS('Tree List'!$C$3:$C$601,$C19,'Tree List'!$D$3:$D$601,"Deciduous Conifer")) &gt; 0,
            _xlfn.IFS($K19="Small",0.5,$K19="Small/Medium",1,$K19="Medium/Large",1.4,$K19="Large",1.8),
        (COUNTIFS('Tree List'!$C$3:$C$601,$C19,'Tree List'!$D$3:$D$601,"Deciduous")
        + COUNTIFS('Tree List'!$C$3:$C$601,$C19,'Tree List'!$D$3:$D$601,"Broadleaf Evergreen")) &gt; 0,
            _xlfn.IFS($K19="Small",0.4,$K19="Small/Medium",0.8,$K19="Medium/Large",1.2,$K19="Large",1.6)
    ),
    ""
),
"")</f>
        <v/>
      </c>
      <c r="M19" s="474" t="str">
        <f t="shared" si="0"/>
        <v/>
      </c>
      <c r="N19" s="620" t="str" cm="1">
        <f t="array" aca="1" ref="N1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IF(AND(_xlpm.baseRow,ISNA(MATCH($C19,'Tree List'!$C$3:$C$601,0)),SUMPRODUCT(--ISNUMBER(SEARCH(Tables2!$C$677:$C$772,$O19)))&gt;0),
Error!$B$57,
IF(AND(_xlpm.hasDM,$F19="Remove",$H19&lt;&gt;"",OR($I19="On-site replacement",$I19="Off-site replacement",$I19="Payment In Lieu")),
Error!$B$56,
IF(AND(_xlpm.hasDM,$F19="Remove",$H19&lt;&gt;"",$I19="Relocation"),
Error!$B$66,
IF(AND(OR(_xlpm.hasCN,_xlpm.hasPH,_xlpm.hasGR),$H19&lt;&gt;"",COUNTIF(Tables!$B$132:$B$134,$H19)&gt;0,$I19="N/A (No replacement required)"),
Error!$B$62,
IF(AND(_xlpm.baseRow,$E19&lt;&gt;"",ISNA(MATCH($E19,Tables!$B$225:$B$232,0))),
Error!$B$2,
IF(AND(_xlpm.baseRow,$F19&lt;&gt;"",ISNA(MATCH($F19,Tables!$B$234:$B$235,0))),
Error!$B$24,
IF(AND(_xlpm.baseRow,_xlpm.ECA_H&gt;0,_xlpm.Shore_H&gt;0),
Error!$B$16,
IF(AND(_xlpm.baseRow,$E19&lt;&gt;"",$D19=""),
Error!$B$3,
IF(AND(_xlpm.baseRow,OR($E19="Tier 3",$E19="Tier 4"),$C19&lt;&gt;"",$D19&gt;=24,COUNTIF(Tables2!$B$166:$B$674,$C19)&gt;0),
Error!$B$44,
IF(AND(_xlpm.baseRow,OR($E19="Tier 3",$E19="Tier 4"),$C19&lt;&gt;"",$D19&lt;&gt;"",COUNTIF(Tables2!$B$73:$B$152,$C19)&gt;0,
$D19&gt;=IFERROR(INDEX(Tables2!$C$73:$C$152,MATCH($C19,Tables2!$B$73:$B$152,0)),-1)),
Error!$B$44,
IF(AND(_xlpm.baseRow,OR($E19="Tier 2",$E19="Tier 2 Grove"),$C19&lt;&gt;"",$D19&gt;=12,COUNTIF(Tables2!$B$153:$B$162,$C19)&gt;0),
Error!$B$45,
IF(AND(_xlpm.baseRow,$E19="Tier 2 Grove",$D19&lt;12),
Error!$B$41,
IF(AND(_xlpm.baseRow,$E19="Tier 2",$D19&lt;5.88),
Error!$B$40,
IF(AND(_xlpm.baseRow,OR($E19="Tier 2",$E19="Tier 2 Grove"),$C19&lt;&gt;"",$D19&lt;12,$D19&gt;=6,COUNTIF(Tables2!$B$153:$B$162,$C19)&gt;0),
Error!$B$54,
IF(AND(_xlpm.baseRow,$E19="Tier 2",COUNTIF(Tables2!$B$166:$B$674,$C19)&gt;0,$D19&lt;24),
Error!$B$54,
IF(AND(_xlpm.baseRow,$E19="Tier 3",ISNA(MATCH($C19,Tables2!$B$153:$B$162,0)),OR($D19&lt;12,$D19&gt;=24)),
Error!$B$9,
IF(AND(_xlpm.baseRow,$E19="Tier 3",COUNTIF(Tables2!$B$153:$B$162,$C19)&gt;0,$D19&lt;12),
Error!$B$46,
IF(AND(_xlpm.baseRow,$E19="Tier 4",OR($D19&lt;6,$D19&gt;=12)),
Error!$B$10,
IF(AND(_xlpm.baseRow,$E19="&lt;6in DSH for Tree Points",OR($D19&gt;=6,$D19="")),
Error!$B$8,
IF(AND(_xlpm.baseRow,$E19="Street Tree for Green Factor",$F19&lt;&gt;"",$F19&lt;&gt;"Retain"),
Error!$B$14,
IF(AND($E19="&lt;6in DSH for Tree Points",$F19="Retain",$H19&lt;&gt;"",ISNA(MATCH($H19,Tables!$B$174:$B$174,0))),
Error!$B$15,
IF(AND($E19="Street Tree for Green Factor",$F19="Retain",$H19&lt;&gt;"",$H19&lt;&gt;"Zoning: Green Factor"),
Error!$B$15,
IF(AND($E19="ECA / Shoreline Tree",$F19="Remove",$H19&lt;&gt;"",ISNA(MATCH($H19,Tables!$B$189:$B$190,0))),
Error!$B$15,
IF(AND($E19="ECA / Shoreline Tree",$F19="Retain",$H19&lt;&gt;"",ISNA(MATCH($H19,Tables!$B$184:$B$186,0))),
Error!$B$15,
IF(AND($E19="Tier 4",$F19="Remove",$H19&lt;&gt;"",ISNA(MATCH($H19,Tables!$B$171,0))),
Error!$B$15,
IF(AND($E19="Tier 4",$F19="Retain",$H19&lt;&gt;"",ISNA(MATCH($H19,Tables!$B$166:$B$168,0))),
Error!$B$15,
IF(AND($E19="Tier 3",$F19="Retain",$H19&lt;&gt;"",ISNA(MATCH($H19,Tables!$B$158:$B$160,0))),
Error!$B$15,
IF(AND($E19="Tier 3",$F19="Remove",$H19&lt;&gt;"",ISNA(MATCH($H19,Tables!$B$163,0))),
Error!$B$15,
IF(AND(OR($E19="Tier 2",$E19="Tier 2 Grove"),$F19="Remove",$H19&lt;&gt;"",ISNA(MATCH($H19,Tables!$B$153:$B$155,0))),
Error!$B$15,
IF(AND(OR($E19="Tier 2",$E19="Tier 2 Grove"),$F19="Retain",$H19&lt;&gt;"",ISNA(MATCH($H19,Tables!$B$147:$B$150,0))),
Error!$B$15,
IF(AND($E19="Tier 1",$F19="Remove",$H19&lt;&gt;"",ISNA(MATCH($H19,Tables!$B$143:$B$144,0))),
Error!$B$15,
IF(AND($E19="Tier 1",$F19="Retain",$H19&lt;&gt;"",ISNA(MATCH($H19,Tables!$B$137:$B$140,0))),
Error!$B$15,
IF(AND($E19&lt;&gt;"Tier 2",$E19&lt;&gt;"Tier 2 Grove",$E19&lt;&gt;"Tier 3",$E19&lt;&gt;"Tier 4",$H19="Zoning: Green Factor",OR($D19="",$D19&lt;6)),
Error!$B$11,
IF(AND(_xlpm.baseRow,$D19&lt;6,$E19="&lt;6in DSH for Tree Points",_xlpm.TreePoints_H=0),
Error!$B$21,
IF(AND(_xlpm.baseRow,$E19&lt;&gt;"",$D19&lt;&gt;"",$F19=""),
Error!$B$4,
IF(AND(_xlpm.baseRow,$F19="Remove",OR($E19="Tier 1",$E19="Tier 2",$E19="Tier 2 Grove"),COUNTBLANK(_xlpm.HRange)&lt;3,_xlpm.uniqueH&gt;=2),
Error!$B$48,
IF(AND(_xlpm.baseRow,$F19="Retain",OR($E19="Tier 1",$E19="Tier 2",$E19="Tier 2 Grove"),COUNTIF(_xlpm.HRange,"Tree Code: Required to Retain Tier 1-2 Tree")=0),
Error!$B$47,
IF(AND(_xlpm.baseRow,$E19&lt;&gt;"",$D19&lt;&gt;"",$F19&lt;&gt;"",COUNTBLANK(_xlpm.HRange)=4),
Error!$B$5,
IF(AND($F19="Remove",$H19&lt;&gt;"",$I19=""),
Error!$B$18,
IF(AND($E19="Tier 4",$F19="Remove",$H19="Tree Protection Code: Tier 3 or Tier 4 Allowance",$H19&lt;&gt;"",ISNA(MATCH($I19,Tables!$B$200,0))),
Error!$B$17,
IF(AND($E19="Tier 3",$F19="Remove",$H19&lt;&gt;"",$H19="Tree Protection Code: Tier 3 or Tier 4 Allowance",OR($I19="",ISNA(MATCH($I19,Tables!$B$193:$B$197,0)))),
Error!$B$17,
IF(AND(OR($E19="Tier 2",$E19="Tier 2 Grove"),$F19="Remove",$H19="Tree Protection Code: Other removal allowance or exemption",$I19&lt;&gt;"",ISNA(MATCH($I19,Tables!$B$215:$B$218,0))),
Error!$B$17,
IF(AND(OR($E19="Tier 2",$E19="Tier 2 Grove"),$F19="Remove",$H19="Tree Protection Code: Development Capacity",$I19&lt;&gt;"",ISNA(MATCH($I19,Tables!$B$193:$B$197,0))),
Error!$B$17,
IF(AND(OR($E19="Tier 2",$E19="Tier 2 Grove"),$F19="Remove",$H19="Tree Protection Code: Necessary for Construction",$I19&lt;&gt;"",ISNA(MATCH($I19,Tables!$B$193:$B$197,0))),
Error!$B$17,
IF(AND($E19="Tier 1",$F19="Remove",$H19="Tree Protection Code: Special Exception",$I19&lt;&gt;"",ISNA(MATCH($I19,Tables!$B$215:$B$218,0))),
Error!$B$17,
IF(AND($E19="Tier 1",$F19="Remove",$H19="Tree Protection Code: Other removal allowance or exemption",$I19&lt;&gt;"",ISNA(MATCH($I19,Tables!$B$215:$B$218,0))),
Error!$B$17,
IF(AND($E19="ECA / Shoreline Tree",$F19="Remove",$H19&lt;&gt;"",OR($H19="Shoreline",$H19="Environmental Critical Area (ECA)"),ISNA(MATCH($I19,Tables!$B$209:$B$212,0))),
Error!$B$17,
IF(AND(_xlpm.baseRow,$F19="Retain",$E19="ECA / Shoreline Tree",_xlpm.ECA_Short=0),
Error!$B$61,
IF(AND($F19="Remove",ISNUMBER(MATCH($E19,{"Tier 1","Tier 2","Tier 3","Tier 4","Tier 2 Grove"},0)),ISNUMBER(MATCH($I19,{"On-site replacement","Off-site replacement"},0)),$J19="",$H19&lt;&gt;""),
Error!$B$19,
IF(AND(_xlpm.baseRow,$E19&lt;&gt;"",$D19&lt;&gt;"",$F19&lt;&gt;"",COUNTBLANK($B19:$C19)&gt;0,COUNTBLANK(_xlpm.HRange)&lt;&gt;4),
Error!$B$22,
IF(AND($H19="Zoning: Tree Points",$K19&lt;&gt;"",ISNA(MATCH($K19,Tables!$B$242:$B$253,0))),
Error!$B$58,
IF(AND($H19="Zoning: Tree Points",$K19="Small",$L19&lt;&gt;"",ISNA(MATCH($L19,Tables!$C$243:$C$244,0))),
Error!$B$59,
IF(AND($H19="Zoning: Tree Points",$K19="Small/Medium",$L19&lt;&gt;"",ISNA(MATCH($L19,Tables!$C$246:$C$247,0))),
Error!$B$59,
IF(AND($H19="Zoning: Tree Points",$K19="Medium/Large",$L19&lt;&gt;"",ISNA(MATCH($L19,Tables!$C$249:$C$250,0))),
Error!$B$59,
IF(AND($H19="Zoning: Tree Points",$K19="Large",$L19&lt;&gt;"",ISNA(MATCH($L19,Tables!$C$252:$C$253,0))),
Error!$B$59,
IF(AND($F19="Retain",$H19="Zoning: Tree Points",$C19&lt;&gt;"",$D19&lt;&gt;"",OR($K19="",$L19="",$M19="")),
Error!$B$20,
""
)))))))))))))))))))))))))))))))))))))))))))))))))))))))),
Error!$B$23))</f>
        <v/>
      </c>
      <c r="O19" s="343" t="str" cm="1">
        <f t="array" aca="1" ref="O19" ca="1">IFERROR(_xlfn.LET(
    _xlpm.txt, $C19,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0" spans="1:15" x14ac:dyDescent="0.3">
      <c r="A20" s="320"/>
      <c r="B20" s="616" t="str">
        <f>IF($B19="", "", $B19)</f>
        <v/>
      </c>
      <c r="C20" s="617" t="str">
        <f>IF($C19="", "", $C19)</f>
        <v/>
      </c>
      <c r="D20" s="618" t="str">
        <f t="shared" ref="D20:D22" si="2">IF($D19="", "", $D19)</f>
        <v/>
      </c>
      <c r="E20" s="616" t="str">
        <f>IF($E19="", "", $E19)</f>
        <v/>
      </c>
      <c r="F20" s="616" t="str">
        <f>IF($F19="", "", $F19)</f>
        <v/>
      </c>
      <c r="G20" s="619" t="str">
        <f>IF(Tree_Table1[[#This Row],[Tree Status  &amp;]]="Retain", Tables!$B$237, IF(Tree_Table1[[#This Row],[Tree Status  &amp;]]="Remove", Tables!$B$238, ""))</f>
        <v/>
      </c>
      <c r="H20" s="321"/>
      <c r="I20" s="322"/>
      <c r="J20" s="453"/>
      <c r="K20" s="323" t="str">
        <f>IFERROR(
    IF(
        AND($H20="Zoning: Tree Points", NOT(ISNUMBER(SEARCH("sp.", $C20)))),
        VLOOKUP($C20, 'Tree List'!$C$3:$F$601, 4, FALSE),
        ""
    ),
"")</f>
        <v/>
      </c>
      <c r="L20" s="324" t="str" cm="1">
        <f t="array" ref="L20">IFERROR(
IF(
    AND($H20="Zoning: Tree Points", NOT(ISNUMBER(SEARCH("sp.", $C20)))),
    _xlfn.IFS(
        (COUNTIFS('Tree List'!$C$3:$C$601,$C20,'Tree List'!$D$3:$D$601,"Coniferous")
        + COUNTIFS('Tree List'!$C$3:$C$601,$C20,'Tree List'!$D$3:$D$601,"Deciduous Conifer")) &gt; 0,
            _xlfn.IFS($K20="Small",0.5,$K20="Small/Medium",1,$K20="Medium/Large",1.4,$K20="Large",1.8),
        (COUNTIFS('Tree List'!$C$3:$C$601,$C20,'Tree List'!$D$3:$D$601,"Deciduous")
        + COUNTIFS('Tree List'!$C$3:$C$601,$C20,'Tree List'!$D$3:$D$601,"Broadleaf Evergreen")) &gt; 0,
            _xlfn.IFS($K20="Small",0.4,$K20="Small/Medium",0.8,$K20="Medium/Large",1.2,$K20="Large",1.6)
    ),
    ""
),
"")</f>
        <v/>
      </c>
      <c r="M20" s="475" t="str">
        <f t="shared" si="0"/>
        <v/>
      </c>
      <c r="N20" s="346" t="str" cm="1">
        <f t="array" aca="1" ref="N2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IF(AND(_xlpm.baseRow,ISNA(MATCH($C20,'Tree List'!$C$3:$C$601,0)),SUMPRODUCT(--ISNUMBER(SEARCH(Tables2!$C$677:$C$772,$O20)))&gt;0),
Error!$B$57,
IF(AND(_xlpm.hasDM,$F20="Remove",$H20&lt;&gt;"",OR($I20="On-site replacement",$I20="Off-site replacement",$I20="Payment In Lieu")),
Error!$B$56,
IF(AND(_xlpm.hasDM,$F20="Remove",$H20&lt;&gt;"",$I20="Relocation"),
Error!$B$66,
IF(AND(OR(_xlpm.hasCN,_xlpm.hasPH,_xlpm.hasGR),$H20&lt;&gt;"",COUNTIF(Tables!$B$132:$B$134,$H20)&gt;0,$I20="N/A (No replacement required)"),
Error!$B$62,
IF(AND(_xlpm.baseRow,$E20&lt;&gt;"",ISNA(MATCH($E20,Tables!$B$225:$B$232,0))),
Error!$B$2,
IF(AND(_xlpm.baseRow,$F20&lt;&gt;"",ISNA(MATCH($F20,Tables!$B$234:$B$235,0))),
Error!$B$24,
IF(AND(_xlpm.baseRow,_xlpm.ECA_H&gt;0,_xlpm.Shore_H&gt;0),
Error!$B$16,
IF(AND(_xlpm.baseRow,$E20&lt;&gt;"",$D20=""),
Error!$B$3,
IF(AND(_xlpm.baseRow,OR($E20="Tier 3",$E20="Tier 4"),$C20&lt;&gt;"",$D20&gt;=24,COUNTIF(Tables2!$B$166:$B$674,$C20)&gt;0),
Error!$B$44,
IF(AND(_xlpm.baseRow,OR($E20="Tier 3",$E20="Tier 4"),$C20&lt;&gt;"",$D20&lt;&gt;"",COUNTIF(Tables2!$B$73:$B$152,$C20)&gt;0,
$D20&gt;=IFERROR(INDEX(Tables2!$C$73:$C$152,MATCH($C20,Tables2!$B$73:$B$152,0)),-1)),
Error!$B$44,
IF(AND(_xlpm.baseRow,OR($E20="Tier 2",$E20="Tier 2 Grove"),$C20&lt;&gt;"",$D20&gt;=12,COUNTIF(Tables2!$B$153:$B$162,$C20)&gt;0),
Error!$B$45,
IF(AND(_xlpm.baseRow,$E20="Tier 2 Grove",$D20&lt;12),
Error!$B$41,
IF(AND(_xlpm.baseRow,$E20="Tier 2",$D20&lt;5.88),
Error!$B$40,
IF(AND(_xlpm.baseRow,OR($E20="Tier 2",$E20="Tier 2 Grove"),$C20&lt;&gt;"",$D20&lt;12,$D20&gt;=6,COUNTIF(Tables2!$B$153:$B$162,$C20)&gt;0),
Error!$B$54,
IF(AND(_xlpm.baseRow,$E20="Tier 2",COUNTIF(Tables2!$B$166:$B$674,$C20)&gt;0,$D20&lt;24),
Error!$B$54,
IF(AND(_xlpm.baseRow,$E20="Tier 3",ISNA(MATCH($C20,Tables2!$B$153:$B$162,0)),OR($D20&lt;12,$D20&gt;=24)),
Error!$B$9,
IF(AND(_xlpm.baseRow,$E20="Tier 3",COUNTIF(Tables2!$B$153:$B$162,$C20)&gt;0,$D20&lt;12),
Error!$B$46,
IF(AND(_xlpm.baseRow,$E20="Tier 4",OR($D20&lt;6,$D20&gt;=12)),
Error!$B$10,
IF(AND(_xlpm.baseRow,$E20="&lt;6in DSH for Tree Points",OR($D20&gt;=6,$D20="")),
Error!$B$8,
IF(AND(_xlpm.baseRow,$E20="Street Tree for Green Factor",$F20&lt;&gt;"",$F20&lt;&gt;"Retain"),
Error!$B$14,
IF(AND($E20="&lt;6in DSH for Tree Points",$F20="Retain",$H20&lt;&gt;"",ISNA(MATCH($H20,Tables!$B$174:$B$174,0))),
Error!$B$15,
IF(AND($E20="Street Tree for Green Factor",$F20="Retain",$H20&lt;&gt;"",$H20&lt;&gt;"Zoning: Green Factor"),
Error!$B$15,
IF(AND($E20="ECA / Shoreline Tree",$F20="Remove",$H20&lt;&gt;"",ISNA(MATCH($H20,Tables!$B$189:$B$190,0))),
Error!$B$15,
IF(AND($E20="ECA / Shoreline Tree",$F20="Retain",$H20&lt;&gt;"",ISNA(MATCH($H20,Tables!$B$184:$B$186,0))),
Error!$B$15,
IF(AND($E20="Tier 4",$F20="Remove",$H20&lt;&gt;"",ISNA(MATCH($H20,Tables!$B$171,0))),
Error!$B$15,
IF(AND($E20="Tier 4",$F20="Retain",$H20&lt;&gt;"",ISNA(MATCH($H20,Tables!$B$166:$B$168,0))),
Error!$B$15,
IF(AND($E20="Tier 3",$F20="Retain",$H20&lt;&gt;"",ISNA(MATCH($H20,Tables!$B$158:$B$160,0))),
Error!$B$15,
IF(AND($E20="Tier 3",$F20="Remove",$H20&lt;&gt;"",ISNA(MATCH($H20,Tables!$B$163,0))),
Error!$B$15,
IF(AND(OR($E20="Tier 2",$E20="Tier 2 Grove"),$F20="Remove",$H20&lt;&gt;"",ISNA(MATCH($H20,Tables!$B$153:$B$155,0))),
Error!$B$15,
IF(AND(OR($E20="Tier 2",$E20="Tier 2 Grove"),$F20="Retain",$H20&lt;&gt;"",ISNA(MATCH($H20,Tables!$B$147:$B$150,0))),
Error!$B$15,
IF(AND($E20="Tier 1",$F20="Remove",$H20&lt;&gt;"",ISNA(MATCH($H20,Tables!$B$143:$B$144,0))),
Error!$B$15,
IF(AND($E20="Tier 1",$F20="Retain",$H20&lt;&gt;"",ISNA(MATCH($H20,Tables!$B$137:$B$140,0))),
Error!$B$15,
IF(AND($E20&lt;&gt;"Tier 2",$E20&lt;&gt;"Tier 2 Grove",$E20&lt;&gt;"Tier 3",$E20&lt;&gt;"Tier 4",$H20="Zoning: Green Factor",OR($D20="",$D20&lt;6)),
Error!$B$11,
IF(AND(_xlpm.baseRow,$D20&lt;6,$E20="&lt;6in DSH for Tree Points",_xlpm.TreePoints_H=0),
Error!$B$21,
IF(AND(_xlpm.baseRow,$E20&lt;&gt;"",$D20&lt;&gt;"",$F20=""),
Error!$B$4,
IF(AND(_xlpm.baseRow,$F20="Remove",OR($E20="Tier 1",$E20="Tier 2",$E20="Tier 2 Grove"),COUNTBLANK(_xlpm.HRange)&lt;3,_xlpm.uniqueH&gt;=2),
Error!$B$48,
IF(AND(_xlpm.baseRow,$F20="Retain",OR($E20="Tier 1",$E20="Tier 2",$E20="Tier 2 Grove"),COUNTIF(_xlpm.HRange,"Tree Code: Required to Retain Tier 1-2 Tree")=0),
Error!$B$47,
IF(AND(_xlpm.baseRow,$E20&lt;&gt;"",$D20&lt;&gt;"",$F20&lt;&gt;"",COUNTBLANK(_xlpm.HRange)=4),
Error!$B$5,
IF(AND($F20="Remove",$H20&lt;&gt;"",$I20=""),
Error!$B$18,
IF(AND($E20="Tier 4",$F20="Remove",$H20="Tree Protection Code: Tier 3 or Tier 4 Allowance",$H20&lt;&gt;"",ISNA(MATCH($I20,Tables!$B$200,0))),
Error!$B$17,
IF(AND($E20="Tier 3",$F20="Remove",$H20&lt;&gt;"",$H20="Tree Protection Code: Tier 3 or Tier 4 Allowance",OR($I20="",ISNA(MATCH($I20,Tables!$B$193:$B$197,0)))),
Error!$B$17,
IF(AND(OR($E20="Tier 2",$E20="Tier 2 Grove"),$F20="Remove",$H20="Tree Protection Code: Other removal allowance or exemption",$I20&lt;&gt;"",ISNA(MATCH($I20,Tables!$B$215:$B$218,0))),
Error!$B$17,
IF(AND(OR($E20="Tier 2",$E20="Tier 2 Grove"),$F20="Remove",$H20="Tree Protection Code: Development Capacity",$I20&lt;&gt;"",ISNA(MATCH($I20,Tables!$B$193:$B$197,0))),
Error!$B$17,
IF(AND(OR($E20="Tier 2",$E20="Tier 2 Grove"),$F20="Remove",$H20="Tree Protection Code: Necessary for Construction",$I20&lt;&gt;"",ISNA(MATCH($I20,Tables!$B$193:$B$197,0))),
Error!$B$17,
IF(AND($E20="Tier 1",$F20="Remove",$H20="Tree Protection Code: Special Exception",$I20&lt;&gt;"",ISNA(MATCH($I20,Tables!$B$215:$B$218,0))),
Error!$B$17,
IF(AND($E20="Tier 1",$F20="Remove",$H20="Tree Protection Code: Other removal allowance or exemption",$I20&lt;&gt;"",ISNA(MATCH($I20,Tables!$B$215:$B$218,0))),
Error!$B$17,
IF(AND($E20="ECA / Shoreline Tree",$F20="Remove",$H20&lt;&gt;"",OR($H20="Shoreline",$H20="Environmental Critical Area (ECA)"),ISNA(MATCH($I20,Tables!$B$209:$B$212,0))),
Error!$B$17,
IF(AND(_xlpm.baseRow,$F20="Retain",$E20="ECA / Shoreline Tree",_xlpm.ECA_Short=0),
Error!$B$61,
IF(AND($F20="Remove",ISNUMBER(MATCH($E20,{"Tier 1","Tier 2","Tier 3","Tier 4","Tier 2 Grove"},0)),ISNUMBER(MATCH($I20,{"On-site replacement","Off-site replacement"},0)),$J20="",$H20&lt;&gt;""),
Error!$B$19,
IF(AND(_xlpm.baseRow,$E20&lt;&gt;"",$D20&lt;&gt;"",$F20&lt;&gt;"",COUNTBLANK($B20:$C20)&gt;0,COUNTBLANK(_xlpm.HRange)&lt;&gt;4),
Error!$B$22,
IF(AND($H20="Zoning: Tree Points",$K20&lt;&gt;"",ISNA(MATCH($K20,Tables!$B$242:$B$253,0))),
Error!$B$58,
IF(AND($H20="Zoning: Tree Points",$K20="Small",$L20&lt;&gt;"",ISNA(MATCH($L20,Tables!$C$243:$C$244,0))),
Error!$B$59,
IF(AND($H20="Zoning: Tree Points",$K20="Small/Medium",$L20&lt;&gt;"",ISNA(MATCH($L20,Tables!$C$246:$C$247,0))),
Error!$B$59,
IF(AND($H20="Zoning: Tree Points",$K20="Medium/Large",$L20&lt;&gt;"",ISNA(MATCH($L20,Tables!$C$249:$C$250,0))),
Error!$B$59,
IF(AND($H20="Zoning: Tree Points",$K20="Large",$L20&lt;&gt;"",ISNA(MATCH($L20,Tables!$C$252:$C$253,0))),
Error!$B$59,
IF(AND($F20="Retain",$H20="Zoning: Tree Points",$C20&lt;&gt;"",$D20&lt;&gt;"",OR($K20="",$L20="",$M20="")),
Error!$B$20,
""
)))))))))))))))))))))))))))))))))))))))))))))))))))))))),
Error!$B$23))</f>
        <v/>
      </c>
      <c r="O20" s="343" t="str" cm="1">
        <f t="array" aca="1" ref="O20" ca="1">IFERROR(_xlfn.LET(
    _xlpm.txt, $C20,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1" spans="1:15" x14ac:dyDescent="0.3">
      <c r="A21" s="320"/>
      <c r="B21" s="616" t="str">
        <f>IF($B20="", "", $B20)</f>
        <v/>
      </c>
      <c r="C21" s="617" t="str">
        <f>IF($C20="", "", $C20)</f>
        <v/>
      </c>
      <c r="D21" s="618" t="str">
        <f t="shared" si="2"/>
        <v/>
      </c>
      <c r="E21" s="616" t="str">
        <f>IF($E20="", "", $E20)</f>
        <v/>
      </c>
      <c r="F21" s="616" t="str">
        <f>IF($F20="", "", $F20)</f>
        <v/>
      </c>
      <c r="G21" s="619" t="str">
        <f>IF(Tree_Table1[[#This Row],[Tree Status  &amp;]]="Retain", Tables!$B$237, IF(Tree_Table1[[#This Row],[Tree Status  &amp;]]="Remove", Tables!$B$238, ""))</f>
        <v/>
      </c>
      <c r="H21" s="321"/>
      <c r="I21" s="322"/>
      <c r="J21" s="453"/>
      <c r="K21" s="323" t="str">
        <f>IFERROR(
    IF(
        AND($H21="Zoning: Tree Points", NOT(ISNUMBER(SEARCH("sp.", $C21)))),
        VLOOKUP($C21, 'Tree List'!$C$3:$F$601, 4, FALSE),
        ""
    ),
"")</f>
        <v/>
      </c>
      <c r="L21" s="324" t="str" cm="1">
        <f t="array" ref="L21">IFERROR(
IF(
    AND($H21="Zoning: Tree Points", NOT(ISNUMBER(SEARCH("sp.", $C21)))),
    _xlfn.IFS(
        (COUNTIFS('Tree List'!$C$3:$C$601,$C21,'Tree List'!$D$3:$D$601,"Coniferous")
        + COUNTIFS('Tree List'!$C$3:$C$601,$C21,'Tree List'!$D$3:$D$601,"Deciduous Conifer")) &gt; 0,
            _xlfn.IFS($K21="Small",0.5,$K21="Small/Medium",1,$K21="Medium/Large",1.4,$K21="Large",1.8),
        (COUNTIFS('Tree List'!$C$3:$C$601,$C21,'Tree List'!$D$3:$D$601,"Deciduous")
        + COUNTIFS('Tree List'!$C$3:$C$601,$C21,'Tree List'!$D$3:$D$601,"Broadleaf Evergreen")) &gt; 0,
            _xlfn.IFS($K21="Small",0.4,$K21="Small/Medium",0.8,$K21="Medium/Large",1.2,$K21="Large",1.6)
    ),
    ""
),
"")</f>
        <v/>
      </c>
      <c r="M21" s="475" t="str">
        <f t="shared" si="0"/>
        <v/>
      </c>
      <c r="N21" s="346" t="str" cm="1">
        <f t="array" aca="1" ref="N2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IF(AND(_xlpm.baseRow,ISNA(MATCH($C21,'Tree List'!$C$3:$C$601,0)),SUMPRODUCT(--ISNUMBER(SEARCH(Tables2!$C$677:$C$772,$O21)))&gt;0),
Error!$B$57,
IF(AND(_xlpm.hasDM,$F21="Remove",$H21&lt;&gt;"",OR($I21="On-site replacement",$I21="Off-site replacement",$I21="Payment In Lieu")),
Error!$B$56,
IF(AND(_xlpm.hasDM,$F21="Remove",$H21&lt;&gt;"",$I21="Relocation"),
Error!$B$66,
IF(AND(OR(_xlpm.hasCN,_xlpm.hasPH,_xlpm.hasGR),$H21&lt;&gt;"",COUNTIF(Tables!$B$132:$B$134,$H21)&gt;0,$I21="N/A (No replacement required)"),
Error!$B$62,
IF(AND(_xlpm.baseRow,$E21&lt;&gt;"",ISNA(MATCH($E21,Tables!$B$225:$B$232,0))),
Error!$B$2,
IF(AND(_xlpm.baseRow,$F21&lt;&gt;"",ISNA(MATCH($F21,Tables!$B$234:$B$235,0))),
Error!$B$24,
IF(AND(_xlpm.baseRow,_xlpm.ECA_H&gt;0,_xlpm.Shore_H&gt;0),
Error!$B$16,
IF(AND(_xlpm.baseRow,$E21&lt;&gt;"",$D21=""),
Error!$B$3,
IF(AND(_xlpm.baseRow,OR($E21="Tier 3",$E21="Tier 4"),$C21&lt;&gt;"",$D21&gt;=24,COUNTIF(Tables2!$B$166:$B$674,$C21)&gt;0),
Error!$B$44,
IF(AND(_xlpm.baseRow,OR($E21="Tier 3",$E21="Tier 4"),$C21&lt;&gt;"",$D21&lt;&gt;"",COUNTIF(Tables2!$B$73:$B$152,$C21)&gt;0,
$D21&gt;=IFERROR(INDEX(Tables2!$C$73:$C$152,MATCH($C21,Tables2!$B$73:$B$152,0)),-1)),
Error!$B$44,
IF(AND(_xlpm.baseRow,OR($E21="Tier 2",$E21="Tier 2 Grove"),$C21&lt;&gt;"",$D21&gt;=12,COUNTIF(Tables2!$B$153:$B$162,$C21)&gt;0),
Error!$B$45,
IF(AND(_xlpm.baseRow,$E21="Tier 2 Grove",$D21&lt;12),
Error!$B$41,
IF(AND(_xlpm.baseRow,$E21="Tier 2",$D21&lt;5.88),
Error!$B$40,
IF(AND(_xlpm.baseRow,OR($E21="Tier 2",$E21="Tier 2 Grove"),$C21&lt;&gt;"",$D21&lt;12,$D21&gt;=6,COUNTIF(Tables2!$B$153:$B$162,$C21)&gt;0),
Error!$B$54,
IF(AND(_xlpm.baseRow,$E21="Tier 2",COUNTIF(Tables2!$B$166:$B$674,$C21)&gt;0,$D21&lt;24),
Error!$B$54,
IF(AND(_xlpm.baseRow,$E21="Tier 3",ISNA(MATCH($C21,Tables2!$B$153:$B$162,0)),OR($D21&lt;12,$D21&gt;=24)),
Error!$B$9,
IF(AND(_xlpm.baseRow,$E21="Tier 3",COUNTIF(Tables2!$B$153:$B$162,$C21)&gt;0,$D21&lt;12),
Error!$B$46,
IF(AND(_xlpm.baseRow,$E21="Tier 4",OR($D21&lt;6,$D21&gt;=12)),
Error!$B$10,
IF(AND(_xlpm.baseRow,$E21="&lt;6in DSH for Tree Points",OR($D21&gt;=6,$D21="")),
Error!$B$8,
IF(AND(_xlpm.baseRow,$E21="Street Tree for Green Factor",$F21&lt;&gt;"",$F21&lt;&gt;"Retain"),
Error!$B$14,
IF(AND($E21="&lt;6in DSH for Tree Points",$F21="Retain",$H21&lt;&gt;"",ISNA(MATCH($H21,Tables!$B$174:$B$174,0))),
Error!$B$15,
IF(AND($E21="Street Tree for Green Factor",$F21="Retain",$H21&lt;&gt;"",$H21&lt;&gt;"Zoning: Green Factor"),
Error!$B$15,
IF(AND($E21="ECA / Shoreline Tree",$F21="Remove",$H21&lt;&gt;"",ISNA(MATCH($H21,Tables!$B$189:$B$190,0))),
Error!$B$15,
IF(AND($E21="ECA / Shoreline Tree",$F21="Retain",$H21&lt;&gt;"",ISNA(MATCH($H21,Tables!$B$184:$B$186,0))),
Error!$B$15,
IF(AND($E21="Tier 4",$F21="Remove",$H21&lt;&gt;"",ISNA(MATCH($H21,Tables!$B$171,0))),
Error!$B$15,
IF(AND($E21="Tier 4",$F21="Retain",$H21&lt;&gt;"",ISNA(MATCH($H21,Tables!$B$166:$B$168,0))),
Error!$B$15,
IF(AND($E21="Tier 3",$F21="Retain",$H21&lt;&gt;"",ISNA(MATCH($H21,Tables!$B$158:$B$160,0))),
Error!$B$15,
IF(AND($E21="Tier 3",$F21="Remove",$H21&lt;&gt;"",ISNA(MATCH($H21,Tables!$B$163,0))),
Error!$B$15,
IF(AND(OR($E21="Tier 2",$E21="Tier 2 Grove"),$F21="Remove",$H21&lt;&gt;"",ISNA(MATCH($H21,Tables!$B$153:$B$155,0))),
Error!$B$15,
IF(AND(OR($E21="Tier 2",$E21="Tier 2 Grove"),$F21="Retain",$H21&lt;&gt;"",ISNA(MATCH($H21,Tables!$B$147:$B$150,0))),
Error!$B$15,
IF(AND($E21="Tier 1",$F21="Remove",$H21&lt;&gt;"",ISNA(MATCH($H21,Tables!$B$143:$B$144,0))),
Error!$B$15,
IF(AND($E21="Tier 1",$F21="Retain",$H21&lt;&gt;"",ISNA(MATCH($H21,Tables!$B$137:$B$140,0))),
Error!$B$15,
IF(AND($E21&lt;&gt;"Tier 2",$E21&lt;&gt;"Tier 2 Grove",$E21&lt;&gt;"Tier 3",$E21&lt;&gt;"Tier 4",$H21="Zoning: Green Factor",OR($D21="",$D21&lt;6)),
Error!$B$11,
IF(AND(_xlpm.baseRow,$D21&lt;6,$E21="&lt;6in DSH for Tree Points",_xlpm.TreePoints_H=0),
Error!$B$21,
IF(AND(_xlpm.baseRow,$E21&lt;&gt;"",$D21&lt;&gt;"",$F21=""),
Error!$B$4,
IF(AND(_xlpm.baseRow,$F21="Remove",OR($E21="Tier 1",$E21="Tier 2",$E21="Tier 2 Grove"),COUNTBLANK(_xlpm.HRange)&lt;3,_xlpm.uniqueH&gt;=2),
Error!$B$48,
IF(AND(_xlpm.baseRow,$F21="Retain",OR($E21="Tier 1",$E21="Tier 2",$E21="Tier 2 Grove"),COUNTIF(_xlpm.HRange,"Tree Code: Required to Retain Tier 1-2 Tree")=0),
Error!$B$47,
IF(AND(_xlpm.baseRow,$E21&lt;&gt;"",$D21&lt;&gt;"",$F21&lt;&gt;"",COUNTBLANK(_xlpm.HRange)=4),
Error!$B$5,
IF(AND($F21="Remove",$H21&lt;&gt;"",$I21=""),
Error!$B$18,
IF(AND($E21="Tier 4",$F21="Remove",$H21="Tree Protection Code: Tier 3 or Tier 4 Allowance",$H21&lt;&gt;"",ISNA(MATCH($I21,Tables!$B$200,0))),
Error!$B$17,
IF(AND($E21="Tier 3",$F21="Remove",$H21&lt;&gt;"",$H21="Tree Protection Code: Tier 3 or Tier 4 Allowance",OR($I21="",ISNA(MATCH($I21,Tables!$B$193:$B$197,0)))),
Error!$B$17,
IF(AND(OR($E21="Tier 2",$E21="Tier 2 Grove"),$F21="Remove",$H21="Tree Protection Code: Other removal allowance or exemption",$I21&lt;&gt;"",ISNA(MATCH($I21,Tables!$B$215:$B$218,0))),
Error!$B$17,
IF(AND(OR($E21="Tier 2",$E21="Tier 2 Grove"),$F21="Remove",$H21="Tree Protection Code: Development Capacity",$I21&lt;&gt;"",ISNA(MATCH($I21,Tables!$B$193:$B$197,0))),
Error!$B$17,
IF(AND(OR($E21="Tier 2",$E21="Tier 2 Grove"),$F21="Remove",$H21="Tree Protection Code: Necessary for Construction",$I21&lt;&gt;"",ISNA(MATCH($I21,Tables!$B$193:$B$197,0))),
Error!$B$17,
IF(AND($E21="Tier 1",$F21="Remove",$H21="Tree Protection Code: Special Exception",$I21&lt;&gt;"",ISNA(MATCH($I21,Tables!$B$215:$B$218,0))),
Error!$B$17,
IF(AND($E21="Tier 1",$F21="Remove",$H21="Tree Protection Code: Other removal allowance or exemption",$I21&lt;&gt;"",ISNA(MATCH($I21,Tables!$B$215:$B$218,0))),
Error!$B$17,
IF(AND($E21="ECA / Shoreline Tree",$F21="Remove",$H21&lt;&gt;"",OR($H21="Shoreline",$H21="Environmental Critical Area (ECA)"),ISNA(MATCH($I21,Tables!$B$209:$B$212,0))),
Error!$B$17,
IF(AND(_xlpm.baseRow,$F21="Retain",$E21="ECA / Shoreline Tree",_xlpm.ECA_Short=0),
Error!$B$61,
IF(AND($F21="Remove",ISNUMBER(MATCH($E21,{"Tier 1","Tier 2","Tier 3","Tier 4","Tier 2 Grove"},0)),ISNUMBER(MATCH($I21,{"On-site replacement","Off-site replacement"},0)),$J21="",$H21&lt;&gt;""),
Error!$B$19,
IF(AND(_xlpm.baseRow,$E21&lt;&gt;"",$D21&lt;&gt;"",$F21&lt;&gt;"",COUNTBLANK($B21:$C21)&gt;0,COUNTBLANK(_xlpm.HRange)&lt;&gt;4),
Error!$B$22,
IF(AND($H21="Zoning: Tree Points",$K21&lt;&gt;"",ISNA(MATCH($K21,Tables!$B$242:$B$253,0))),
Error!$B$58,
IF(AND($H21="Zoning: Tree Points",$K21="Small",$L21&lt;&gt;"",ISNA(MATCH($L21,Tables!$C$243:$C$244,0))),
Error!$B$59,
IF(AND($H21="Zoning: Tree Points",$K21="Small/Medium",$L21&lt;&gt;"",ISNA(MATCH($L21,Tables!$C$246:$C$247,0))),
Error!$B$59,
IF(AND($H21="Zoning: Tree Points",$K21="Medium/Large",$L21&lt;&gt;"",ISNA(MATCH($L21,Tables!$C$249:$C$250,0))),
Error!$B$59,
IF(AND($H21="Zoning: Tree Points",$K21="Large",$L21&lt;&gt;"",ISNA(MATCH($L21,Tables!$C$252:$C$253,0))),
Error!$B$59,
IF(AND($F21="Retain",$H21="Zoning: Tree Points",$C21&lt;&gt;"",$D21&lt;&gt;"",OR($K21="",$L21="",$M21="")),
Error!$B$20,
""
)))))))))))))))))))))))))))))))))))))))))))))))))))))))),
Error!$B$23))</f>
        <v/>
      </c>
      <c r="O21" s="343" t="str" cm="1">
        <f t="array" aca="1" ref="O21" ca="1">IFERROR(_xlfn.LET(
    _xlpm.txt, $C21,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2" spans="1:15" ht="15" thickBot="1" x14ac:dyDescent="0.35">
      <c r="A22" s="320"/>
      <c r="B22" s="616" t="str">
        <f>IF($B21="", "", $B21)</f>
        <v/>
      </c>
      <c r="C22" s="617" t="str">
        <f>IF($C21="", "", $C21)</f>
        <v/>
      </c>
      <c r="D22" s="618" t="str">
        <f t="shared" si="2"/>
        <v/>
      </c>
      <c r="E22" s="616" t="str">
        <f>IF($E21="", "", $E21)</f>
        <v/>
      </c>
      <c r="F22" s="616" t="str">
        <f>IF($F21="", "", $F21)</f>
        <v/>
      </c>
      <c r="G22" s="619" t="str">
        <f>IF(Tree_Table1[[#This Row],[Tree Status  &amp;]]="Retain", Tables!$B$237, IF(Tree_Table1[[#This Row],[Tree Status  &amp;]]="Remove", Tables!$B$238, ""))</f>
        <v/>
      </c>
      <c r="H22" s="329"/>
      <c r="I22" s="330"/>
      <c r="J22" s="455"/>
      <c r="K22" s="327" t="str">
        <f>IFERROR(
    IF(
        AND($H22="Zoning: Tree Points", NOT(ISNUMBER(SEARCH("sp.", $C22)))),
        VLOOKUP($C22, 'Tree List'!$C$3:$F$601, 4, FALSE),
        ""
    ),
"")</f>
        <v/>
      </c>
      <c r="L22" s="328" t="str" cm="1">
        <f t="array" ref="L22">IFERROR(
IF(
    AND($H22="Zoning: Tree Points", NOT(ISNUMBER(SEARCH("sp.", $C22)))),
    _xlfn.IFS(
        (COUNTIFS('Tree List'!$C$3:$C$601,$C22,'Tree List'!$D$3:$D$601,"Coniferous")
        + COUNTIFS('Tree List'!$C$3:$C$601,$C22,'Tree List'!$D$3:$D$601,"Deciduous Conifer")) &gt; 0,
            _xlfn.IFS($K22="Small",0.5,$K22="Small/Medium",1,$K22="Medium/Large",1.4,$K22="Large",1.8),
        (COUNTIFS('Tree List'!$C$3:$C$601,$C22,'Tree List'!$D$3:$D$601,"Deciduous")
        + COUNTIFS('Tree List'!$C$3:$C$601,$C22,'Tree List'!$D$3:$D$601,"Broadleaf Evergreen")) &gt; 0,
            _xlfn.IFS($K22="Small",0.4,$K22="Small/Medium",0.8,$K22="Medium/Large",1.2,$K22="Large",1.6)
    ),
    ""
),
"")</f>
        <v/>
      </c>
      <c r="M22" s="476" t="str">
        <f t="shared" si="0"/>
        <v/>
      </c>
      <c r="N22" s="347" t="str" cm="1">
        <f t="array" aca="1" ref="N2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IF(AND(_xlpm.baseRow,ISNA(MATCH($C22,'Tree List'!$C$3:$C$601,0)),SUMPRODUCT(--ISNUMBER(SEARCH(Tables2!$C$677:$C$772,$O22)))&gt;0),
Error!$B$57,
IF(AND(_xlpm.hasDM,$F22="Remove",$H22&lt;&gt;"",OR($I22="On-site replacement",$I22="Off-site replacement",$I22="Payment In Lieu")),
Error!$B$56,
IF(AND(_xlpm.hasDM,$F22="Remove",$H22&lt;&gt;"",$I22="Relocation"),
Error!$B$66,
IF(AND(OR(_xlpm.hasCN,_xlpm.hasPH,_xlpm.hasGR),$H22&lt;&gt;"",COUNTIF(Tables!$B$132:$B$134,$H22)&gt;0,$I22="N/A (No replacement required)"),
Error!$B$62,
IF(AND(_xlpm.baseRow,$E22&lt;&gt;"",ISNA(MATCH($E22,Tables!$B$225:$B$232,0))),
Error!$B$2,
IF(AND(_xlpm.baseRow,$F22&lt;&gt;"",ISNA(MATCH($F22,Tables!$B$234:$B$235,0))),
Error!$B$24,
IF(AND(_xlpm.baseRow,_xlpm.ECA_H&gt;0,_xlpm.Shore_H&gt;0),
Error!$B$16,
IF(AND(_xlpm.baseRow,$E22&lt;&gt;"",$D22=""),
Error!$B$3,
IF(AND(_xlpm.baseRow,OR($E22="Tier 3",$E22="Tier 4"),$C22&lt;&gt;"",$D22&gt;=24,COUNTIF(Tables2!$B$166:$B$674,$C22)&gt;0),
Error!$B$44,
IF(AND(_xlpm.baseRow,OR($E22="Tier 3",$E22="Tier 4"),$C22&lt;&gt;"",$D22&lt;&gt;"",COUNTIF(Tables2!$B$73:$B$152,$C22)&gt;0,
$D22&gt;=IFERROR(INDEX(Tables2!$C$73:$C$152,MATCH($C22,Tables2!$B$73:$B$152,0)),-1)),
Error!$B$44,
IF(AND(_xlpm.baseRow,OR($E22="Tier 2",$E22="Tier 2 Grove"),$C22&lt;&gt;"",$D22&gt;=12,COUNTIF(Tables2!$B$153:$B$162,$C22)&gt;0),
Error!$B$45,
IF(AND(_xlpm.baseRow,$E22="Tier 2 Grove",$D22&lt;12),
Error!$B$41,
IF(AND(_xlpm.baseRow,$E22="Tier 2",$D22&lt;5.88),
Error!$B$40,
IF(AND(_xlpm.baseRow,OR($E22="Tier 2",$E22="Tier 2 Grove"),$C22&lt;&gt;"",$D22&lt;12,$D22&gt;=6,COUNTIF(Tables2!$B$153:$B$162,$C22)&gt;0),
Error!$B$54,
IF(AND(_xlpm.baseRow,$E22="Tier 2",COUNTIF(Tables2!$B$166:$B$674,$C22)&gt;0,$D22&lt;24),
Error!$B$54,
IF(AND(_xlpm.baseRow,$E22="Tier 3",ISNA(MATCH($C22,Tables2!$B$153:$B$162,0)),OR($D22&lt;12,$D22&gt;=24)),
Error!$B$9,
IF(AND(_xlpm.baseRow,$E22="Tier 3",COUNTIF(Tables2!$B$153:$B$162,$C22)&gt;0,$D22&lt;12),
Error!$B$46,
IF(AND(_xlpm.baseRow,$E22="Tier 4",OR($D22&lt;6,$D22&gt;=12)),
Error!$B$10,
IF(AND(_xlpm.baseRow,$E22="&lt;6in DSH for Tree Points",OR($D22&gt;=6,$D22="")),
Error!$B$8,
IF(AND(_xlpm.baseRow,$E22="Street Tree for Green Factor",$F22&lt;&gt;"",$F22&lt;&gt;"Retain"),
Error!$B$14,
IF(AND($E22="&lt;6in DSH for Tree Points",$F22="Retain",$H22&lt;&gt;"",ISNA(MATCH($H22,Tables!$B$174:$B$174,0))),
Error!$B$15,
IF(AND($E22="Street Tree for Green Factor",$F22="Retain",$H22&lt;&gt;"",$H22&lt;&gt;"Zoning: Green Factor"),
Error!$B$15,
IF(AND($E22="ECA / Shoreline Tree",$F22="Remove",$H22&lt;&gt;"",ISNA(MATCH($H22,Tables!$B$189:$B$190,0))),
Error!$B$15,
IF(AND($E22="ECA / Shoreline Tree",$F22="Retain",$H22&lt;&gt;"",ISNA(MATCH($H22,Tables!$B$184:$B$186,0))),
Error!$B$15,
IF(AND($E22="Tier 4",$F22="Remove",$H22&lt;&gt;"",ISNA(MATCH($H22,Tables!$B$171,0))),
Error!$B$15,
IF(AND($E22="Tier 4",$F22="Retain",$H22&lt;&gt;"",ISNA(MATCH($H22,Tables!$B$166:$B$168,0))),
Error!$B$15,
IF(AND($E22="Tier 3",$F22="Retain",$H22&lt;&gt;"",ISNA(MATCH($H22,Tables!$B$158:$B$160,0))),
Error!$B$15,
IF(AND($E22="Tier 3",$F22="Remove",$H22&lt;&gt;"",ISNA(MATCH($H22,Tables!$B$163,0))),
Error!$B$15,
IF(AND(OR($E22="Tier 2",$E22="Tier 2 Grove"),$F22="Remove",$H22&lt;&gt;"",ISNA(MATCH($H22,Tables!$B$153:$B$155,0))),
Error!$B$15,
IF(AND(OR($E22="Tier 2",$E22="Tier 2 Grove"),$F22="Retain",$H22&lt;&gt;"",ISNA(MATCH($H22,Tables!$B$147:$B$150,0))),
Error!$B$15,
IF(AND($E22="Tier 1",$F22="Remove",$H22&lt;&gt;"",ISNA(MATCH($H22,Tables!$B$143:$B$144,0))),
Error!$B$15,
IF(AND($E22="Tier 1",$F22="Retain",$H22&lt;&gt;"",ISNA(MATCH($H22,Tables!$B$137:$B$140,0))),
Error!$B$15,
IF(AND($E22&lt;&gt;"Tier 2",$E22&lt;&gt;"Tier 2 Grove",$E22&lt;&gt;"Tier 3",$E22&lt;&gt;"Tier 4",$H22="Zoning: Green Factor",OR($D22="",$D22&lt;6)),
Error!$B$11,
IF(AND(_xlpm.baseRow,$D22&lt;6,$E22="&lt;6in DSH for Tree Points",_xlpm.TreePoints_H=0),
Error!$B$21,
IF(AND(_xlpm.baseRow,$E22&lt;&gt;"",$D22&lt;&gt;"",$F22=""),
Error!$B$4,
IF(AND(_xlpm.baseRow,$F22="Remove",OR($E22="Tier 1",$E22="Tier 2",$E22="Tier 2 Grove"),COUNTBLANK(_xlpm.HRange)&lt;3,_xlpm.uniqueH&gt;=2),
Error!$B$48,
IF(AND(_xlpm.baseRow,$F22="Retain",OR($E22="Tier 1",$E22="Tier 2",$E22="Tier 2 Grove"),COUNTIF(_xlpm.HRange,"Tree Code: Required to Retain Tier 1-2 Tree")=0),
Error!$B$47,
IF(AND(_xlpm.baseRow,$E22&lt;&gt;"",$D22&lt;&gt;"",$F22&lt;&gt;"",COUNTBLANK(_xlpm.HRange)=4),
Error!$B$5,
IF(AND($F22="Remove",$H22&lt;&gt;"",$I22=""),
Error!$B$18,
IF(AND($E22="Tier 4",$F22="Remove",$H22="Tree Protection Code: Tier 3 or Tier 4 Allowance",$H22&lt;&gt;"",ISNA(MATCH($I22,Tables!$B$200,0))),
Error!$B$17,
IF(AND($E22="Tier 3",$F22="Remove",$H22&lt;&gt;"",$H22="Tree Protection Code: Tier 3 or Tier 4 Allowance",OR($I22="",ISNA(MATCH($I22,Tables!$B$193:$B$197,0)))),
Error!$B$17,
IF(AND(OR($E22="Tier 2",$E22="Tier 2 Grove"),$F22="Remove",$H22="Tree Protection Code: Other removal allowance or exemption",$I22&lt;&gt;"",ISNA(MATCH($I22,Tables!$B$215:$B$218,0))),
Error!$B$17,
IF(AND(OR($E22="Tier 2",$E22="Tier 2 Grove"),$F22="Remove",$H22="Tree Protection Code: Development Capacity",$I22&lt;&gt;"",ISNA(MATCH($I22,Tables!$B$193:$B$197,0))),
Error!$B$17,
IF(AND(OR($E22="Tier 2",$E22="Tier 2 Grove"),$F22="Remove",$H22="Tree Protection Code: Necessary for Construction",$I22&lt;&gt;"",ISNA(MATCH($I22,Tables!$B$193:$B$197,0))),
Error!$B$17,
IF(AND($E22="Tier 1",$F22="Remove",$H22="Tree Protection Code: Special Exception",$I22&lt;&gt;"",ISNA(MATCH($I22,Tables!$B$215:$B$218,0))),
Error!$B$17,
IF(AND($E22="Tier 1",$F22="Remove",$H22="Tree Protection Code: Other removal allowance or exemption",$I22&lt;&gt;"",ISNA(MATCH($I22,Tables!$B$215:$B$218,0))),
Error!$B$17,
IF(AND($E22="ECA / Shoreline Tree",$F22="Remove",$H22&lt;&gt;"",OR($H22="Shoreline",$H22="Environmental Critical Area (ECA)"),ISNA(MATCH($I22,Tables!$B$209:$B$212,0))),
Error!$B$17,
IF(AND(_xlpm.baseRow,$F22="Retain",$E22="ECA / Shoreline Tree",_xlpm.ECA_Short=0),
Error!$B$61,
IF(AND($F22="Remove",ISNUMBER(MATCH($E22,{"Tier 1","Tier 2","Tier 3","Tier 4","Tier 2 Grove"},0)),ISNUMBER(MATCH($I22,{"On-site replacement","Off-site replacement"},0)),$J22="",$H22&lt;&gt;""),
Error!$B$19,
IF(AND(_xlpm.baseRow,$E22&lt;&gt;"",$D22&lt;&gt;"",$F22&lt;&gt;"",COUNTBLANK($B22:$C22)&gt;0,COUNTBLANK(_xlpm.HRange)&lt;&gt;4),
Error!$B$22,
IF(AND($H22="Zoning: Tree Points",$K22&lt;&gt;"",ISNA(MATCH($K22,Tables!$B$242:$B$253,0))),
Error!$B$58,
IF(AND($H22="Zoning: Tree Points",$K22="Small",$L22&lt;&gt;"",ISNA(MATCH($L22,Tables!$C$243:$C$244,0))),
Error!$B$59,
IF(AND($H22="Zoning: Tree Points",$K22="Small/Medium",$L22&lt;&gt;"",ISNA(MATCH($L22,Tables!$C$246:$C$247,0))),
Error!$B$59,
IF(AND($H22="Zoning: Tree Points",$K22="Medium/Large",$L22&lt;&gt;"",ISNA(MATCH($L22,Tables!$C$249:$C$250,0))),
Error!$B$59,
IF(AND($H22="Zoning: Tree Points",$K22="Large",$L22&lt;&gt;"",ISNA(MATCH($L22,Tables!$C$252:$C$253,0))),
Error!$B$59,
IF(AND($F22="Retain",$H22="Zoning: Tree Points",$C22&lt;&gt;"",$D22&lt;&gt;"",OR($K22="",$L22="",$M22="")),
Error!$B$20,
""
)))))))))))))))))))))))))))))))))))))))))))))))))))))))),
Error!$B$23))</f>
        <v/>
      </c>
      <c r="O22" s="343" t="str" cm="1">
        <f t="array" aca="1" ref="O22" ca="1">IFERROR(_xlfn.LET(
    _xlpm.txt, $C22,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3" spans="1:15" ht="15" thickBot="1" x14ac:dyDescent="0.35">
      <c r="A23" s="311">
        <v>4</v>
      </c>
      <c r="B23" s="312"/>
      <c r="C23" s="313"/>
      <c r="D23" s="478"/>
      <c r="E23" s="314"/>
      <c r="F23" s="314"/>
      <c r="G23" s="315" t="str">
        <f>IF(Tree_Table1[[#This Row],[Tree Status  &amp;]]="Retain", Tables!$B$237, IF(Tree_Table1[[#This Row],[Tree Status  &amp;]]="Remove", Tables!$B$238, ""))</f>
        <v/>
      </c>
      <c r="H23" s="316"/>
      <c r="I23" s="317"/>
      <c r="J23" s="452"/>
      <c r="K23" s="318" t="str">
        <f>IFERROR(
    IF(
        AND($H23="Zoning: Tree Points", NOT(ISNUMBER(SEARCH("sp.", $C23)))),
        VLOOKUP($C23, 'Tree List'!$C$3:$F$601, 4, FALSE),
        ""
    ),
"")</f>
        <v/>
      </c>
      <c r="L23" s="319" t="str" cm="1">
        <f t="array" ref="L23">IFERROR(
IF(
    AND($H23="Zoning: Tree Points", NOT(ISNUMBER(SEARCH("sp.", $C23)))),
    _xlfn.IFS(
        (COUNTIFS('Tree List'!$C$3:$C$601,$C23,'Tree List'!$D$3:$D$601,"Coniferous")
        + COUNTIFS('Tree List'!$C$3:$C$601,$C23,'Tree List'!$D$3:$D$601,"Deciduous Conifer")) &gt; 0,
            _xlfn.IFS($K23="Small",0.5,$K23="Small/Medium",1,$K23="Medium/Large",1.4,$K23="Large",1.8),
        (COUNTIFS('Tree List'!$C$3:$C$601,$C23,'Tree List'!$D$3:$D$601,"Deciduous")
        + COUNTIFS('Tree List'!$C$3:$C$601,$C23,'Tree List'!$D$3:$D$601,"Broadleaf Evergreen")) &gt; 0,
            _xlfn.IFS($K23="Small",0.4,$K23="Small/Medium",0.8,$K23="Medium/Large",1.2,$K23="Large",1.6)
    ),
    ""
),
"")</f>
        <v/>
      </c>
      <c r="M23" s="474" t="str">
        <f t="shared" si="0"/>
        <v/>
      </c>
      <c r="N23" s="620" t="str" cm="1">
        <f t="array" aca="1" ref="N2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IF(AND(_xlpm.baseRow,ISNA(MATCH($C23,'Tree List'!$C$3:$C$601,0)),SUMPRODUCT(--ISNUMBER(SEARCH(Tables2!$C$677:$C$772,$O23)))&gt;0),
Error!$B$57,
IF(AND(_xlpm.hasDM,$F23="Remove",$H23&lt;&gt;"",OR($I23="On-site replacement",$I23="Off-site replacement",$I23="Payment In Lieu")),
Error!$B$56,
IF(AND(_xlpm.hasDM,$F23="Remove",$H23&lt;&gt;"",$I23="Relocation"),
Error!$B$66,
IF(AND(OR(_xlpm.hasCN,_xlpm.hasPH,_xlpm.hasGR),$H23&lt;&gt;"",COUNTIF(Tables!$B$132:$B$134,$H23)&gt;0,$I23="N/A (No replacement required)"),
Error!$B$62,
IF(AND(_xlpm.baseRow,$E23&lt;&gt;"",ISNA(MATCH($E23,Tables!$B$225:$B$232,0))),
Error!$B$2,
IF(AND(_xlpm.baseRow,$F23&lt;&gt;"",ISNA(MATCH($F23,Tables!$B$234:$B$235,0))),
Error!$B$24,
IF(AND(_xlpm.baseRow,_xlpm.ECA_H&gt;0,_xlpm.Shore_H&gt;0),
Error!$B$16,
IF(AND(_xlpm.baseRow,$E23&lt;&gt;"",$D23=""),
Error!$B$3,
IF(AND(_xlpm.baseRow,OR($E23="Tier 3",$E23="Tier 4"),$C23&lt;&gt;"",$D23&gt;=24,COUNTIF(Tables2!$B$166:$B$674,$C23)&gt;0),
Error!$B$44,
IF(AND(_xlpm.baseRow,OR($E23="Tier 3",$E23="Tier 4"),$C23&lt;&gt;"",$D23&lt;&gt;"",COUNTIF(Tables2!$B$73:$B$152,$C23)&gt;0,
$D23&gt;=IFERROR(INDEX(Tables2!$C$73:$C$152,MATCH($C23,Tables2!$B$73:$B$152,0)),-1)),
Error!$B$44,
IF(AND(_xlpm.baseRow,OR($E23="Tier 2",$E23="Tier 2 Grove"),$C23&lt;&gt;"",$D23&gt;=12,COUNTIF(Tables2!$B$153:$B$162,$C23)&gt;0),
Error!$B$45,
IF(AND(_xlpm.baseRow,$E23="Tier 2 Grove",$D23&lt;12),
Error!$B$41,
IF(AND(_xlpm.baseRow,$E23="Tier 2",$D23&lt;5.88),
Error!$B$40,
IF(AND(_xlpm.baseRow,OR($E23="Tier 2",$E23="Tier 2 Grove"),$C23&lt;&gt;"",$D23&lt;12,$D23&gt;=6,COUNTIF(Tables2!$B$153:$B$162,$C23)&gt;0),
Error!$B$54,
IF(AND(_xlpm.baseRow,$E23="Tier 2",COUNTIF(Tables2!$B$166:$B$674,$C23)&gt;0,$D23&lt;24),
Error!$B$54,
IF(AND(_xlpm.baseRow,$E23="Tier 3",ISNA(MATCH($C23,Tables2!$B$153:$B$162,0)),OR($D23&lt;12,$D23&gt;=24)),
Error!$B$9,
IF(AND(_xlpm.baseRow,$E23="Tier 3",COUNTIF(Tables2!$B$153:$B$162,$C23)&gt;0,$D23&lt;12),
Error!$B$46,
IF(AND(_xlpm.baseRow,$E23="Tier 4",OR($D23&lt;6,$D23&gt;=12)),
Error!$B$10,
IF(AND(_xlpm.baseRow,$E23="&lt;6in DSH for Tree Points",OR($D23&gt;=6,$D23="")),
Error!$B$8,
IF(AND(_xlpm.baseRow,$E23="Street Tree for Green Factor",$F23&lt;&gt;"",$F23&lt;&gt;"Retain"),
Error!$B$14,
IF(AND($E23="&lt;6in DSH for Tree Points",$F23="Retain",$H23&lt;&gt;"",ISNA(MATCH($H23,Tables!$B$174:$B$174,0))),
Error!$B$15,
IF(AND($E23="Street Tree for Green Factor",$F23="Retain",$H23&lt;&gt;"",$H23&lt;&gt;"Zoning: Green Factor"),
Error!$B$15,
IF(AND($E23="ECA / Shoreline Tree",$F23="Remove",$H23&lt;&gt;"",ISNA(MATCH($H23,Tables!$B$189:$B$190,0))),
Error!$B$15,
IF(AND($E23="ECA / Shoreline Tree",$F23="Retain",$H23&lt;&gt;"",ISNA(MATCH($H23,Tables!$B$184:$B$186,0))),
Error!$B$15,
IF(AND($E23="Tier 4",$F23="Remove",$H23&lt;&gt;"",ISNA(MATCH($H23,Tables!$B$171,0))),
Error!$B$15,
IF(AND($E23="Tier 4",$F23="Retain",$H23&lt;&gt;"",ISNA(MATCH($H23,Tables!$B$166:$B$168,0))),
Error!$B$15,
IF(AND($E23="Tier 3",$F23="Retain",$H23&lt;&gt;"",ISNA(MATCH($H23,Tables!$B$158:$B$160,0))),
Error!$B$15,
IF(AND($E23="Tier 3",$F23="Remove",$H23&lt;&gt;"",ISNA(MATCH($H23,Tables!$B$163,0))),
Error!$B$15,
IF(AND(OR($E23="Tier 2",$E23="Tier 2 Grove"),$F23="Remove",$H23&lt;&gt;"",ISNA(MATCH($H23,Tables!$B$153:$B$155,0))),
Error!$B$15,
IF(AND(OR($E23="Tier 2",$E23="Tier 2 Grove"),$F23="Retain",$H23&lt;&gt;"",ISNA(MATCH($H23,Tables!$B$147:$B$150,0))),
Error!$B$15,
IF(AND($E23="Tier 1",$F23="Remove",$H23&lt;&gt;"",ISNA(MATCH($H23,Tables!$B$143:$B$144,0))),
Error!$B$15,
IF(AND($E23="Tier 1",$F23="Retain",$H23&lt;&gt;"",ISNA(MATCH($H23,Tables!$B$137:$B$140,0))),
Error!$B$15,
IF(AND($E23&lt;&gt;"Tier 2",$E23&lt;&gt;"Tier 2 Grove",$E23&lt;&gt;"Tier 3",$E23&lt;&gt;"Tier 4",$H23="Zoning: Green Factor",OR($D23="",$D23&lt;6)),
Error!$B$11,
IF(AND(_xlpm.baseRow,$D23&lt;6,$E23="&lt;6in DSH for Tree Points",_xlpm.TreePoints_H=0),
Error!$B$21,
IF(AND(_xlpm.baseRow,$E23&lt;&gt;"",$D23&lt;&gt;"",$F23=""),
Error!$B$4,
IF(AND(_xlpm.baseRow,$F23="Remove",OR($E23="Tier 1",$E23="Tier 2",$E23="Tier 2 Grove"),COUNTBLANK(_xlpm.HRange)&lt;3,_xlpm.uniqueH&gt;=2),
Error!$B$48,
IF(AND(_xlpm.baseRow,$F23="Retain",OR($E23="Tier 1",$E23="Tier 2",$E23="Tier 2 Grove"),COUNTIF(_xlpm.HRange,"Tree Code: Required to Retain Tier 1-2 Tree")=0),
Error!$B$47,
IF(AND(_xlpm.baseRow,$E23&lt;&gt;"",$D23&lt;&gt;"",$F23&lt;&gt;"",COUNTBLANK(_xlpm.HRange)=4),
Error!$B$5,
IF(AND($F23="Remove",$H23&lt;&gt;"",$I23=""),
Error!$B$18,
IF(AND($E23="Tier 4",$F23="Remove",$H23="Tree Protection Code: Tier 3 or Tier 4 Allowance",$H23&lt;&gt;"",ISNA(MATCH($I23,Tables!$B$200,0))),
Error!$B$17,
IF(AND($E23="Tier 3",$F23="Remove",$H23&lt;&gt;"",$H23="Tree Protection Code: Tier 3 or Tier 4 Allowance",OR($I23="",ISNA(MATCH($I23,Tables!$B$193:$B$197,0)))),
Error!$B$17,
IF(AND(OR($E23="Tier 2",$E23="Tier 2 Grove"),$F23="Remove",$H23="Tree Protection Code: Other removal allowance or exemption",$I23&lt;&gt;"",ISNA(MATCH($I23,Tables!$B$215:$B$218,0))),
Error!$B$17,
IF(AND(OR($E23="Tier 2",$E23="Tier 2 Grove"),$F23="Remove",$H23="Tree Protection Code: Development Capacity",$I23&lt;&gt;"",ISNA(MATCH($I23,Tables!$B$193:$B$197,0))),
Error!$B$17,
IF(AND(OR($E23="Tier 2",$E23="Tier 2 Grove"),$F23="Remove",$H23="Tree Protection Code: Necessary for Construction",$I23&lt;&gt;"",ISNA(MATCH($I23,Tables!$B$193:$B$197,0))),
Error!$B$17,
IF(AND($E23="Tier 1",$F23="Remove",$H23="Tree Protection Code: Special Exception",$I23&lt;&gt;"",ISNA(MATCH($I23,Tables!$B$215:$B$218,0))),
Error!$B$17,
IF(AND($E23="Tier 1",$F23="Remove",$H23="Tree Protection Code: Other removal allowance or exemption",$I23&lt;&gt;"",ISNA(MATCH($I23,Tables!$B$215:$B$218,0))),
Error!$B$17,
IF(AND($E23="ECA / Shoreline Tree",$F23="Remove",$H23&lt;&gt;"",OR($H23="Shoreline",$H23="Environmental Critical Area (ECA)"),ISNA(MATCH($I23,Tables!$B$209:$B$212,0))),
Error!$B$17,
IF(AND(_xlpm.baseRow,$F23="Retain",$E23="ECA / Shoreline Tree",_xlpm.ECA_Short=0),
Error!$B$61,
IF(AND($F23="Remove",ISNUMBER(MATCH($E23,{"Tier 1","Tier 2","Tier 3","Tier 4","Tier 2 Grove"},0)),ISNUMBER(MATCH($I23,{"On-site replacement","Off-site replacement"},0)),$J23="",$H23&lt;&gt;""),
Error!$B$19,
IF(AND(_xlpm.baseRow,$E23&lt;&gt;"",$D23&lt;&gt;"",$F23&lt;&gt;"",COUNTBLANK($B23:$C23)&gt;0,COUNTBLANK(_xlpm.HRange)&lt;&gt;4),
Error!$B$22,
IF(AND($H23="Zoning: Tree Points",$K23&lt;&gt;"",ISNA(MATCH($K23,Tables!$B$242:$B$253,0))),
Error!$B$58,
IF(AND($H23="Zoning: Tree Points",$K23="Small",$L23&lt;&gt;"",ISNA(MATCH($L23,Tables!$C$243:$C$244,0))),
Error!$B$59,
IF(AND($H23="Zoning: Tree Points",$K23="Small/Medium",$L23&lt;&gt;"",ISNA(MATCH($L23,Tables!$C$246:$C$247,0))),
Error!$B$59,
IF(AND($H23="Zoning: Tree Points",$K23="Medium/Large",$L23&lt;&gt;"",ISNA(MATCH($L23,Tables!$C$249:$C$250,0))),
Error!$B$59,
IF(AND($H23="Zoning: Tree Points",$K23="Large",$L23&lt;&gt;"",ISNA(MATCH($L23,Tables!$C$252:$C$253,0))),
Error!$B$59,
IF(AND($F23="Retain",$H23="Zoning: Tree Points",$C23&lt;&gt;"",$D23&lt;&gt;"",OR($K23="",$L23="",$M23="")),
Error!$B$20,
""
)))))))))))))))))))))))))))))))))))))))))))))))))))))))),
Error!$B$23))</f>
        <v/>
      </c>
      <c r="O23" s="343" t="str" cm="1">
        <f t="array" aca="1" ref="O23" ca="1">IFERROR(_xlfn.LET(
    _xlpm.txt, $C23,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4" spans="1:15" x14ac:dyDescent="0.3">
      <c r="A24" s="320"/>
      <c r="B24" s="616" t="str">
        <f>IF($B23="", "", $B23)</f>
        <v/>
      </c>
      <c r="C24" s="617" t="str">
        <f>IF($C23="", "", $C23)</f>
        <v/>
      </c>
      <c r="D24" s="618" t="str">
        <f t="shared" ref="D24:D26" si="3">IF($D23="", "", $D23)</f>
        <v/>
      </c>
      <c r="E24" s="616" t="str">
        <f>IF($E23="", "", $E23)</f>
        <v/>
      </c>
      <c r="F24" s="616" t="str">
        <f>IF($F23="", "", $F23)</f>
        <v/>
      </c>
      <c r="G24" s="619" t="str">
        <f>IF(Tree_Table1[[#This Row],[Tree Status  &amp;]]="Retain", Tables!$B$237, IF(Tree_Table1[[#This Row],[Tree Status  &amp;]]="Remove", Tables!$B$238, ""))</f>
        <v/>
      </c>
      <c r="H24" s="321"/>
      <c r="I24" s="322"/>
      <c r="J24" s="453"/>
      <c r="K24" s="323" t="str">
        <f>IFERROR(
    IF(
        AND($H24="Zoning: Tree Points", NOT(ISNUMBER(SEARCH("sp.", $C24)))),
        VLOOKUP($C24, 'Tree List'!$C$3:$F$601, 4, FALSE),
        ""
    ),
"")</f>
        <v/>
      </c>
      <c r="L24" s="324" t="str" cm="1">
        <f t="array" ref="L24">IFERROR(
IF(
    AND($H24="Zoning: Tree Points", NOT(ISNUMBER(SEARCH("sp.", $C24)))),
    _xlfn.IFS(
        (COUNTIFS('Tree List'!$C$3:$C$601,$C24,'Tree List'!$D$3:$D$601,"Coniferous")
        + COUNTIFS('Tree List'!$C$3:$C$601,$C24,'Tree List'!$D$3:$D$601,"Deciduous Conifer")) &gt; 0,
            _xlfn.IFS($K24="Small",0.5,$K24="Small/Medium",1,$K24="Medium/Large",1.4,$K24="Large",1.8),
        (COUNTIFS('Tree List'!$C$3:$C$601,$C24,'Tree List'!$D$3:$D$601,"Deciduous")
        + COUNTIFS('Tree List'!$C$3:$C$601,$C24,'Tree List'!$D$3:$D$601,"Broadleaf Evergreen")) &gt; 0,
            _xlfn.IFS($K24="Small",0.4,$K24="Small/Medium",0.8,$K24="Medium/Large",1.2,$K24="Large",1.6)
    ),
    ""
),
"")</f>
        <v/>
      </c>
      <c r="M24" s="475" t="str">
        <f t="shared" si="0"/>
        <v/>
      </c>
      <c r="N24" s="346" t="str" cm="1">
        <f t="array" aca="1" ref="N2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IF(AND(_xlpm.baseRow,ISNA(MATCH($C24,'Tree List'!$C$3:$C$601,0)),SUMPRODUCT(--ISNUMBER(SEARCH(Tables2!$C$677:$C$772,$O24)))&gt;0),
Error!$B$57,
IF(AND(_xlpm.hasDM,$F24="Remove",$H24&lt;&gt;"",OR($I24="On-site replacement",$I24="Off-site replacement",$I24="Payment In Lieu")),
Error!$B$56,
IF(AND(_xlpm.hasDM,$F24="Remove",$H24&lt;&gt;"",$I24="Relocation"),
Error!$B$66,
IF(AND(OR(_xlpm.hasCN,_xlpm.hasPH,_xlpm.hasGR),$H24&lt;&gt;"",COUNTIF(Tables!$B$132:$B$134,$H24)&gt;0,$I24="N/A (No replacement required)"),
Error!$B$62,
IF(AND(_xlpm.baseRow,$E24&lt;&gt;"",ISNA(MATCH($E24,Tables!$B$225:$B$232,0))),
Error!$B$2,
IF(AND(_xlpm.baseRow,$F24&lt;&gt;"",ISNA(MATCH($F24,Tables!$B$234:$B$235,0))),
Error!$B$24,
IF(AND(_xlpm.baseRow,_xlpm.ECA_H&gt;0,_xlpm.Shore_H&gt;0),
Error!$B$16,
IF(AND(_xlpm.baseRow,$E24&lt;&gt;"",$D24=""),
Error!$B$3,
IF(AND(_xlpm.baseRow,OR($E24="Tier 3",$E24="Tier 4"),$C24&lt;&gt;"",$D24&gt;=24,COUNTIF(Tables2!$B$166:$B$674,$C24)&gt;0),
Error!$B$44,
IF(AND(_xlpm.baseRow,OR($E24="Tier 3",$E24="Tier 4"),$C24&lt;&gt;"",$D24&lt;&gt;"",COUNTIF(Tables2!$B$73:$B$152,$C24)&gt;0,
$D24&gt;=IFERROR(INDEX(Tables2!$C$73:$C$152,MATCH($C24,Tables2!$B$73:$B$152,0)),-1)),
Error!$B$44,
IF(AND(_xlpm.baseRow,OR($E24="Tier 2",$E24="Tier 2 Grove"),$C24&lt;&gt;"",$D24&gt;=12,COUNTIF(Tables2!$B$153:$B$162,$C24)&gt;0),
Error!$B$45,
IF(AND(_xlpm.baseRow,$E24="Tier 2 Grove",$D24&lt;12),
Error!$B$41,
IF(AND(_xlpm.baseRow,$E24="Tier 2",$D24&lt;5.88),
Error!$B$40,
IF(AND(_xlpm.baseRow,OR($E24="Tier 2",$E24="Tier 2 Grove"),$C24&lt;&gt;"",$D24&lt;12,$D24&gt;=6,COUNTIF(Tables2!$B$153:$B$162,$C24)&gt;0),
Error!$B$54,
IF(AND(_xlpm.baseRow,$E24="Tier 2",COUNTIF(Tables2!$B$166:$B$674,$C24)&gt;0,$D24&lt;24),
Error!$B$54,
IF(AND(_xlpm.baseRow,$E24="Tier 3",ISNA(MATCH($C24,Tables2!$B$153:$B$162,0)),OR($D24&lt;12,$D24&gt;=24)),
Error!$B$9,
IF(AND(_xlpm.baseRow,$E24="Tier 3",COUNTIF(Tables2!$B$153:$B$162,$C24)&gt;0,$D24&lt;12),
Error!$B$46,
IF(AND(_xlpm.baseRow,$E24="Tier 4",OR($D24&lt;6,$D24&gt;=12)),
Error!$B$10,
IF(AND(_xlpm.baseRow,$E24="&lt;6in DSH for Tree Points",OR($D24&gt;=6,$D24="")),
Error!$B$8,
IF(AND(_xlpm.baseRow,$E24="Street Tree for Green Factor",$F24&lt;&gt;"",$F24&lt;&gt;"Retain"),
Error!$B$14,
IF(AND($E24="&lt;6in DSH for Tree Points",$F24="Retain",$H24&lt;&gt;"",ISNA(MATCH($H24,Tables!$B$174:$B$174,0))),
Error!$B$15,
IF(AND($E24="Street Tree for Green Factor",$F24="Retain",$H24&lt;&gt;"",$H24&lt;&gt;"Zoning: Green Factor"),
Error!$B$15,
IF(AND($E24="ECA / Shoreline Tree",$F24="Remove",$H24&lt;&gt;"",ISNA(MATCH($H24,Tables!$B$189:$B$190,0))),
Error!$B$15,
IF(AND($E24="ECA / Shoreline Tree",$F24="Retain",$H24&lt;&gt;"",ISNA(MATCH($H24,Tables!$B$184:$B$186,0))),
Error!$B$15,
IF(AND($E24="Tier 4",$F24="Remove",$H24&lt;&gt;"",ISNA(MATCH($H24,Tables!$B$171,0))),
Error!$B$15,
IF(AND($E24="Tier 4",$F24="Retain",$H24&lt;&gt;"",ISNA(MATCH($H24,Tables!$B$166:$B$168,0))),
Error!$B$15,
IF(AND($E24="Tier 3",$F24="Retain",$H24&lt;&gt;"",ISNA(MATCH($H24,Tables!$B$158:$B$160,0))),
Error!$B$15,
IF(AND($E24="Tier 3",$F24="Remove",$H24&lt;&gt;"",ISNA(MATCH($H24,Tables!$B$163,0))),
Error!$B$15,
IF(AND(OR($E24="Tier 2",$E24="Tier 2 Grove"),$F24="Remove",$H24&lt;&gt;"",ISNA(MATCH($H24,Tables!$B$153:$B$155,0))),
Error!$B$15,
IF(AND(OR($E24="Tier 2",$E24="Tier 2 Grove"),$F24="Retain",$H24&lt;&gt;"",ISNA(MATCH($H24,Tables!$B$147:$B$150,0))),
Error!$B$15,
IF(AND($E24="Tier 1",$F24="Remove",$H24&lt;&gt;"",ISNA(MATCH($H24,Tables!$B$143:$B$144,0))),
Error!$B$15,
IF(AND($E24="Tier 1",$F24="Retain",$H24&lt;&gt;"",ISNA(MATCH($H24,Tables!$B$137:$B$140,0))),
Error!$B$15,
IF(AND($E24&lt;&gt;"Tier 2",$E24&lt;&gt;"Tier 2 Grove",$E24&lt;&gt;"Tier 3",$E24&lt;&gt;"Tier 4",$H24="Zoning: Green Factor",OR($D24="",$D24&lt;6)),
Error!$B$11,
IF(AND(_xlpm.baseRow,$D24&lt;6,$E24="&lt;6in DSH for Tree Points",_xlpm.TreePoints_H=0),
Error!$B$21,
IF(AND(_xlpm.baseRow,$E24&lt;&gt;"",$D24&lt;&gt;"",$F24=""),
Error!$B$4,
IF(AND(_xlpm.baseRow,$F24="Remove",OR($E24="Tier 1",$E24="Tier 2",$E24="Tier 2 Grove"),COUNTBLANK(_xlpm.HRange)&lt;3,_xlpm.uniqueH&gt;=2),
Error!$B$48,
IF(AND(_xlpm.baseRow,$F24="Retain",OR($E24="Tier 1",$E24="Tier 2",$E24="Tier 2 Grove"),COUNTIF(_xlpm.HRange,"Tree Code: Required to Retain Tier 1-2 Tree")=0),
Error!$B$47,
IF(AND(_xlpm.baseRow,$E24&lt;&gt;"",$D24&lt;&gt;"",$F24&lt;&gt;"",COUNTBLANK(_xlpm.HRange)=4),
Error!$B$5,
IF(AND($F24="Remove",$H24&lt;&gt;"",$I24=""),
Error!$B$18,
IF(AND($E24="Tier 4",$F24="Remove",$H24="Tree Protection Code: Tier 3 or Tier 4 Allowance",$H24&lt;&gt;"",ISNA(MATCH($I24,Tables!$B$200,0))),
Error!$B$17,
IF(AND($E24="Tier 3",$F24="Remove",$H24&lt;&gt;"",$H24="Tree Protection Code: Tier 3 or Tier 4 Allowance",OR($I24="",ISNA(MATCH($I24,Tables!$B$193:$B$197,0)))),
Error!$B$17,
IF(AND(OR($E24="Tier 2",$E24="Tier 2 Grove"),$F24="Remove",$H24="Tree Protection Code: Other removal allowance or exemption",$I24&lt;&gt;"",ISNA(MATCH($I24,Tables!$B$215:$B$218,0))),
Error!$B$17,
IF(AND(OR($E24="Tier 2",$E24="Tier 2 Grove"),$F24="Remove",$H24="Tree Protection Code: Development Capacity",$I24&lt;&gt;"",ISNA(MATCH($I24,Tables!$B$193:$B$197,0))),
Error!$B$17,
IF(AND(OR($E24="Tier 2",$E24="Tier 2 Grove"),$F24="Remove",$H24="Tree Protection Code: Necessary for Construction",$I24&lt;&gt;"",ISNA(MATCH($I24,Tables!$B$193:$B$197,0))),
Error!$B$17,
IF(AND($E24="Tier 1",$F24="Remove",$H24="Tree Protection Code: Special Exception",$I24&lt;&gt;"",ISNA(MATCH($I24,Tables!$B$215:$B$218,0))),
Error!$B$17,
IF(AND($E24="Tier 1",$F24="Remove",$H24="Tree Protection Code: Other removal allowance or exemption",$I24&lt;&gt;"",ISNA(MATCH($I24,Tables!$B$215:$B$218,0))),
Error!$B$17,
IF(AND($E24="ECA / Shoreline Tree",$F24="Remove",$H24&lt;&gt;"",OR($H24="Shoreline",$H24="Environmental Critical Area (ECA)"),ISNA(MATCH($I24,Tables!$B$209:$B$212,0))),
Error!$B$17,
IF(AND(_xlpm.baseRow,$F24="Retain",$E24="ECA / Shoreline Tree",_xlpm.ECA_Short=0),
Error!$B$61,
IF(AND($F24="Remove",ISNUMBER(MATCH($E24,{"Tier 1","Tier 2","Tier 3","Tier 4","Tier 2 Grove"},0)),ISNUMBER(MATCH($I24,{"On-site replacement","Off-site replacement"},0)),$J24="",$H24&lt;&gt;""),
Error!$B$19,
IF(AND(_xlpm.baseRow,$E24&lt;&gt;"",$D24&lt;&gt;"",$F24&lt;&gt;"",COUNTBLANK($B24:$C24)&gt;0,COUNTBLANK(_xlpm.HRange)&lt;&gt;4),
Error!$B$22,
IF(AND($H24="Zoning: Tree Points",$K24&lt;&gt;"",ISNA(MATCH($K24,Tables!$B$242:$B$253,0))),
Error!$B$58,
IF(AND($H24="Zoning: Tree Points",$K24="Small",$L24&lt;&gt;"",ISNA(MATCH($L24,Tables!$C$243:$C$244,0))),
Error!$B$59,
IF(AND($H24="Zoning: Tree Points",$K24="Small/Medium",$L24&lt;&gt;"",ISNA(MATCH($L24,Tables!$C$246:$C$247,0))),
Error!$B$59,
IF(AND($H24="Zoning: Tree Points",$K24="Medium/Large",$L24&lt;&gt;"",ISNA(MATCH($L24,Tables!$C$249:$C$250,0))),
Error!$B$59,
IF(AND($H24="Zoning: Tree Points",$K24="Large",$L24&lt;&gt;"",ISNA(MATCH($L24,Tables!$C$252:$C$253,0))),
Error!$B$59,
IF(AND($F24="Retain",$H24="Zoning: Tree Points",$C24&lt;&gt;"",$D24&lt;&gt;"",OR($K24="",$L24="",$M24="")),
Error!$B$20,
""
)))))))))))))))))))))))))))))))))))))))))))))))))))))))),
Error!$B$23))</f>
        <v/>
      </c>
      <c r="O24" s="343" t="str" cm="1">
        <f t="array" aca="1" ref="O24" ca="1">IFERROR(_xlfn.LET(
    _xlpm.txt, $C24,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5" spans="1:15" x14ac:dyDescent="0.3">
      <c r="A25" s="320"/>
      <c r="B25" s="616" t="str">
        <f>IF($B24="", "", $B24)</f>
        <v/>
      </c>
      <c r="C25" s="617" t="str">
        <f>IF($C24="", "", $C24)</f>
        <v/>
      </c>
      <c r="D25" s="618" t="str">
        <f t="shared" si="3"/>
        <v/>
      </c>
      <c r="E25" s="616" t="str">
        <f>IF($E24="", "", $E24)</f>
        <v/>
      </c>
      <c r="F25" s="616" t="str">
        <f>IF($F24="", "", $F24)</f>
        <v/>
      </c>
      <c r="G25" s="619" t="str">
        <f>IF(Tree_Table1[[#This Row],[Tree Status  &amp;]]="Retain", Tables!$B$237, IF(Tree_Table1[[#This Row],[Tree Status  &amp;]]="Remove", Tables!$B$238, ""))</f>
        <v/>
      </c>
      <c r="H25" s="321"/>
      <c r="I25" s="322"/>
      <c r="J25" s="453"/>
      <c r="K25" s="323" t="str">
        <f>IFERROR(
    IF(
        AND($H25="Zoning: Tree Points", NOT(ISNUMBER(SEARCH("sp.", $C25)))),
        VLOOKUP($C25, 'Tree List'!$C$3:$F$601, 4, FALSE),
        ""
    ),
"")</f>
        <v/>
      </c>
      <c r="L25" s="324" t="str" cm="1">
        <f t="array" ref="L25">IFERROR(
IF(
    AND($H25="Zoning: Tree Points", NOT(ISNUMBER(SEARCH("sp.", $C25)))),
    _xlfn.IFS(
        (COUNTIFS('Tree List'!$C$3:$C$601,$C25,'Tree List'!$D$3:$D$601,"Coniferous")
        + COUNTIFS('Tree List'!$C$3:$C$601,$C25,'Tree List'!$D$3:$D$601,"Deciduous Conifer")) &gt; 0,
            _xlfn.IFS($K25="Small",0.5,$K25="Small/Medium",1,$K25="Medium/Large",1.4,$K25="Large",1.8),
        (COUNTIFS('Tree List'!$C$3:$C$601,$C25,'Tree List'!$D$3:$D$601,"Deciduous")
        + COUNTIFS('Tree List'!$C$3:$C$601,$C25,'Tree List'!$D$3:$D$601,"Broadleaf Evergreen")) &gt; 0,
            _xlfn.IFS($K25="Small",0.4,$K25="Small/Medium",0.8,$K25="Medium/Large",1.2,$K25="Large",1.6)
    ),
    ""
),
"")</f>
        <v/>
      </c>
      <c r="M25" s="475" t="str">
        <f t="shared" si="0"/>
        <v/>
      </c>
      <c r="N25" s="346" t="str" cm="1">
        <f t="array" aca="1" ref="N2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IF(AND(_xlpm.baseRow,ISNA(MATCH($C25,'Tree List'!$C$3:$C$601,0)),SUMPRODUCT(--ISNUMBER(SEARCH(Tables2!$C$677:$C$772,$O25)))&gt;0),
Error!$B$57,
IF(AND(_xlpm.hasDM,$F25="Remove",$H25&lt;&gt;"",OR($I25="On-site replacement",$I25="Off-site replacement",$I25="Payment In Lieu")),
Error!$B$56,
IF(AND(_xlpm.hasDM,$F25="Remove",$H25&lt;&gt;"",$I25="Relocation"),
Error!$B$66,
IF(AND(OR(_xlpm.hasCN,_xlpm.hasPH,_xlpm.hasGR),$H25&lt;&gt;"",COUNTIF(Tables!$B$132:$B$134,$H25)&gt;0,$I25="N/A (No replacement required)"),
Error!$B$62,
IF(AND(_xlpm.baseRow,$E25&lt;&gt;"",ISNA(MATCH($E25,Tables!$B$225:$B$232,0))),
Error!$B$2,
IF(AND(_xlpm.baseRow,$F25&lt;&gt;"",ISNA(MATCH($F25,Tables!$B$234:$B$235,0))),
Error!$B$24,
IF(AND(_xlpm.baseRow,_xlpm.ECA_H&gt;0,_xlpm.Shore_H&gt;0),
Error!$B$16,
IF(AND(_xlpm.baseRow,$E25&lt;&gt;"",$D25=""),
Error!$B$3,
IF(AND(_xlpm.baseRow,OR($E25="Tier 3",$E25="Tier 4"),$C25&lt;&gt;"",$D25&gt;=24,COUNTIF(Tables2!$B$166:$B$674,$C25)&gt;0),
Error!$B$44,
IF(AND(_xlpm.baseRow,OR($E25="Tier 3",$E25="Tier 4"),$C25&lt;&gt;"",$D25&lt;&gt;"",COUNTIF(Tables2!$B$73:$B$152,$C25)&gt;0,
$D25&gt;=IFERROR(INDEX(Tables2!$C$73:$C$152,MATCH($C25,Tables2!$B$73:$B$152,0)),-1)),
Error!$B$44,
IF(AND(_xlpm.baseRow,OR($E25="Tier 2",$E25="Tier 2 Grove"),$C25&lt;&gt;"",$D25&gt;=12,COUNTIF(Tables2!$B$153:$B$162,$C25)&gt;0),
Error!$B$45,
IF(AND(_xlpm.baseRow,$E25="Tier 2 Grove",$D25&lt;12),
Error!$B$41,
IF(AND(_xlpm.baseRow,$E25="Tier 2",$D25&lt;5.88),
Error!$B$40,
IF(AND(_xlpm.baseRow,OR($E25="Tier 2",$E25="Tier 2 Grove"),$C25&lt;&gt;"",$D25&lt;12,$D25&gt;=6,COUNTIF(Tables2!$B$153:$B$162,$C25)&gt;0),
Error!$B$54,
IF(AND(_xlpm.baseRow,$E25="Tier 2",COUNTIF(Tables2!$B$166:$B$674,$C25)&gt;0,$D25&lt;24),
Error!$B$54,
IF(AND(_xlpm.baseRow,$E25="Tier 3",ISNA(MATCH($C25,Tables2!$B$153:$B$162,0)),OR($D25&lt;12,$D25&gt;=24)),
Error!$B$9,
IF(AND(_xlpm.baseRow,$E25="Tier 3",COUNTIF(Tables2!$B$153:$B$162,$C25)&gt;0,$D25&lt;12),
Error!$B$46,
IF(AND(_xlpm.baseRow,$E25="Tier 4",OR($D25&lt;6,$D25&gt;=12)),
Error!$B$10,
IF(AND(_xlpm.baseRow,$E25="&lt;6in DSH for Tree Points",OR($D25&gt;=6,$D25="")),
Error!$B$8,
IF(AND(_xlpm.baseRow,$E25="Street Tree for Green Factor",$F25&lt;&gt;"",$F25&lt;&gt;"Retain"),
Error!$B$14,
IF(AND($E25="&lt;6in DSH for Tree Points",$F25="Retain",$H25&lt;&gt;"",ISNA(MATCH($H25,Tables!$B$174:$B$174,0))),
Error!$B$15,
IF(AND($E25="Street Tree for Green Factor",$F25="Retain",$H25&lt;&gt;"",$H25&lt;&gt;"Zoning: Green Factor"),
Error!$B$15,
IF(AND($E25="ECA / Shoreline Tree",$F25="Remove",$H25&lt;&gt;"",ISNA(MATCH($H25,Tables!$B$189:$B$190,0))),
Error!$B$15,
IF(AND($E25="ECA / Shoreline Tree",$F25="Retain",$H25&lt;&gt;"",ISNA(MATCH($H25,Tables!$B$184:$B$186,0))),
Error!$B$15,
IF(AND($E25="Tier 4",$F25="Remove",$H25&lt;&gt;"",ISNA(MATCH($H25,Tables!$B$171,0))),
Error!$B$15,
IF(AND($E25="Tier 4",$F25="Retain",$H25&lt;&gt;"",ISNA(MATCH($H25,Tables!$B$166:$B$168,0))),
Error!$B$15,
IF(AND($E25="Tier 3",$F25="Retain",$H25&lt;&gt;"",ISNA(MATCH($H25,Tables!$B$158:$B$160,0))),
Error!$B$15,
IF(AND($E25="Tier 3",$F25="Remove",$H25&lt;&gt;"",ISNA(MATCH($H25,Tables!$B$163,0))),
Error!$B$15,
IF(AND(OR($E25="Tier 2",$E25="Tier 2 Grove"),$F25="Remove",$H25&lt;&gt;"",ISNA(MATCH($H25,Tables!$B$153:$B$155,0))),
Error!$B$15,
IF(AND(OR($E25="Tier 2",$E25="Tier 2 Grove"),$F25="Retain",$H25&lt;&gt;"",ISNA(MATCH($H25,Tables!$B$147:$B$150,0))),
Error!$B$15,
IF(AND($E25="Tier 1",$F25="Remove",$H25&lt;&gt;"",ISNA(MATCH($H25,Tables!$B$143:$B$144,0))),
Error!$B$15,
IF(AND($E25="Tier 1",$F25="Retain",$H25&lt;&gt;"",ISNA(MATCH($H25,Tables!$B$137:$B$140,0))),
Error!$B$15,
IF(AND($E25&lt;&gt;"Tier 2",$E25&lt;&gt;"Tier 2 Grove",$E25&lt;&gt;"Tier 3",$E25&lt;&gt;"Tier 4",$H25="Zoning: Green Factor",OR($D25="",$D25&lt;6)),
Error!$B$11,
IF(AND(_xlpm.baseRow,$D25&lt;6,$E25="&lt;6in DSH for Tree Points",_xlpm.TreePoints_H=0),
Error!$B$21,
IF(AND(_xlpm.baseRow,$E25&lt;&gt;"",$D25&lt;&gt;"",$F25=""),
Error!$B$4,
IF(AND(_xlpm.baseRow,$F25="Remove",OR($E25="Tier 1",$E25="Tier 2",$E25="Tier 2 Grove"),COUNTBLANK(_xlpm.HRange)&lt;3,_xlpm.uniqueH&gt;=2),
Error!$B$48,
IF(AND(_xlpm.baseRow,$F25="Retain",OR($E25="Tier 1",$E25="Tier 2",$E25="Tier 2 Grove"),COUNTIF(_xlpm.HRange,"Tree Code: Required to Retain Tier 1-2 Tree")=0),
Error!$B$47,
IF(AND(_xlpm.baseRow,$E25&lt;&gt;"",$D25&lt;&gt;"",$F25&lt;&gt;"",COUNTBLANK(_xlpm.HRange)=4),
Error!$B$5,
IF(AND($F25="Remove",$H25&lt;&gt;"",$I25=""),
Error!$B$18,
IF(AND($E25="Tier 4",$F25="Remove",$H25="Tree Protection Code: Tier 3 or Tier 4 Allowance",$H25&lt;&gt;"",ISNA(MATCH($I25,Tables!$B$200,0))),
Error!$B$17,
IF(AND($E25="Tier 3",$F25="Remove",$H25&lt;&gt;"",$H25="Tree Protection Code: Tier 3 or Tier 4 Allowance",OR($I25="",ISNA(MATCH($I25,Tables!$B$193:$B$197,0)))),
Error!$B$17,
IF(AND(OR($E25="Tier 2",$E25="Tier 2 Grove"),$F25="Remove",$H25="Tree Protection Code: Other removal allowance or exemption",$I25&lt;&gt;"",ISNA(MATCH($I25,Tables!$B$215:$B$218,0))),
Error!$B$17,
IF(AND(OR($E25="Tier 2",$E25="Tier 2 Grove"),$F25="Remove",$H25="Tree Protection Code: Development Capacity",$I25&lt;&gt;"",ISNA(MATCH($I25,Tables!$B$193:$B$197,0))),
Error!$B$17,
IF(AND(OR($E25="Tier 2",$E25="Tier 2 Grove"),$F25="Remove",$H25="Tree Protection Code: Necessary for Construction",$I25&lt;&gt;"",ISNA(MATCH($I25,Tables!$B$193:$B$197,0))),
Error!$B$17,
IF(AND($E25="Tier 1",$F25="Remove",$H25="Tree Protection Code: Special Exception",$I25&lt;&gt;"",ISNA(MATCH($I25,Tables!$B$215:$B$218,0))),
Error!$B$17,
IF(AND($E25="Tier 1",$F25="Remove",$H25="Tree Protection Code: Other removal allowance or exemption",$I25&lt;&gt;"",ISNA(MATCH($I25,Tables!$B$215:$B$218,0))),
Error!$B$17,
IF(AND($E25="ECA / Shoreline Tree",$F25="Remove",$H25&lt;&gt;"",OR($H25="Shoreline",$H25="Environmental Critical Area (ECA)"),ISNA(MATCH($I25,Tables!$B$209:$B$212,0))),
Error!$B$17,
IF(AND(_xlpm.baseRow,$F25="Retain",$E25="ECA / Shoreline Tree",_xlpm.ECA_Short=0),
Error!$B$61,
IF(AND($F25="Remove",ISNUMBER(MATCH($E25,{"Tier 1","Tier 2","Tier 3","Tier 4","Tier 2 Grove"},0)),ISNUMBER(MATCH($I25,{"On-site replacement","Off-site replacement"},0)),$J25="",$H25&lt;&gt;""),
Error!$B$19,
IF(AND(_xlpm.baseRow,$E25&lt;&gt;"",$D25&lt;&gt;"",$F25&lt;&gt;"",COUNTBLANK($B25:$C25)&gt;0,COUNTBLANK(_xlpm.HRange)&lt;&gt;4),
Error!$B$22,
IF(AND($H25="Zoning: Tree Points",$K25&lt;&gt;"",ISNA(MATCH($K25,Tables!$B$242:$B$253,0))),
Error!$B$58,
IF(AND($H25="Zoning: Tree Points",$K25="Small",$L25&lt;&gt;"",ISNA(MATCH($L25,Tables!$C$243:$C$244,0))),
Error!$B$59,
IF(AND($H25="Zoning: Tree Points",$K25="Small/Medium",$L25&lt;&gt;"",ISNA(MATCH($L25,Tables!$C$246:$C$247,0))),
Error!$B$59,
IF(AND($H25="Zoning: Tree Points",$K25="Medium/Large",$L25&lt;&gt;"",ISNA(MATCH($L25,Tables!$C$249:$C$250,0))),
Error!$B$59,
IF(AND($H25="Zoning: Tree Points",$K25="Large",$L25&lt;&gt;"",ISNA(MATCH($L25,Tables!$C$252:$C$253,0))),
Error!$B$59,
IF(AND($F25="Retain",$H25="Zoning: Tree Points",$C25&lt;&gt;"",$D25&lt;&gt;"",OR($K25="",$L25="",$M25="")),
Error!$B$20,
""
)))))))))))))))))))))))))))))))))))))))))))))))))))))))),
Error!$B$23))</f>
        <v/>
      </c>
      <c r="O25" s="343" t="str" cm="1">
        <f t="array" aca="1" ref="O25" ca="1">IFERROR(_xlfn.LET(
    _xlpm.txt, $C25,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6" spans="1:15" ht="15" thickBot="1" x14ac:dyDescent="0.35">
      <c r="A26" s="320"/>
      <c r="B26" s="616" t="str">
        <f>IF($B25="", "", $B25)</f>
        <v/>
      </c>
      <c r="C26" s="617" t="str">
        <f>IF($C25="", "", $C25)</f>
        <v/>
      </c>
      <c r="D26" s="618" t="str">
        <f t="shared" si="3"/>
        <v/>
      </c>
      <c r="E26" s="616" t="str">
        <f>IF($E25="", "", $E25)</f>
        <v/>
      </c>
      <c r="F26" s="616" t="str">
        <f>IF($F25="", "", $F25)</f>
        <v/>
      </c>
      <c r="G26" s="619" t="str">
        <f>IF(Tree_Table1[[#This Row],[Tree Status  &amp;]]="Retain", Tables!$B$237, IF(Tree_Table1[[#This Row],[Tree Status  &amp;]]="Remove", Tables!$B$238, ""))</f>
        <v/>
      </c>
      <c r="H26" s="329"/>
      <c r="I26" s="330"/>
      <c r="J26" s="455"/>
      <c r="K26" s="327" t="str">
        <f>IFERROR(
    IF(
        AND($H26="Zoning: Tree Points", NOT(ISNUMBER(SEARCH("sp.", $C26)))),
        VLOOKUP($C26, 'Tree List'!$C$3:$F$601, 4, FALSE),
        ""
    ),
"")</f>
        <v/>
      </c>
      <c r="L26" s="328" t="str" cm="1">
        <f t="array" ref="L26">IFERROR(
IF(
    AND($H26="Zoning: Tree Points", NOT(ISNUMBER(SEARCH("sp.", $C26)))),
    _xlfn.IFS(
        (COUNTIFS('Tree List'!$C$3:$C$601,$C26,'Tree List'!$D$3:$D$601,"Coniferous")
        + COUNTIFS('Tree List'!$C$3:$C$601,$C26,'Tree List'!$D$3:$D$601,"Deciduous Conifer")) &gt; 0,
            _xlfn.IFS($K26="Small",0.5,$K26="Small/Medium",1,$K26="Medium/Large",1.4,$K26="Large",1.8),
        (COUNTIFS('Tree List'!$C$3:$C$601,$C26,'Tree List'!$D$3:$D$601,"Deciduous")
        + COUNTIFS('Tree List'!$C$3:$C$601,$C26,'Tree List'!$D$3:$D$601,"Broadleaf Evergreen")) &gt; 0,
            _xlfn.IFS($K26="Small",0.4,$K26="Small/Medium",0.8,$K26="Medium/Large",1.2,$K26="Large",1.6)
    ),
    ""
),
"")</f>
        <v/>
      </c>
      <c r="M26" s="476" t="str">
        <f t="shared" si="0"/>
        <v/>
      </c>
      <c r="N26" s="347" t="str" cm="1">
        <f t="array" aca="1" ref="N2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IF(AND(_xlpm.baseRow,ISNA(MATCH($C26,'Tree List'!$C$3:$C$601,0)),SUMPRODUCT(--ISNUMBER(SEARCH(Tables2!$C$677:$C$772,$O26)))&gt;0),
Error!$B$57,
IF(AND(_xlpm.hasDM,$F26="Remove",$H26&lt;&gt;"",OR($I26="On-site replacement",$I26="Off-site replacement",$I26="Payment In Lieu")),
Error!$B$56,
IF(AND(_xlpm.hasDM,$F26="Remove",$H26&lt;&gt;"",$I26="Relocation"),
Error!$B$66,
IF(AND(OR(_xlpm.hasCN,_xlpm.hasPH,_xlpm.hasGR),$H26&lt;&gt;"",COUNTIF(Tables!$B$132:$B$134,$H26)&gt;0,$I26="N/A (No replacement required)"),
Error!$B$62,
IF(AND(_xlpm.baseRow,$E26&lt;&gt;"",ISNA(MATCH($E26,Tables!$B$225:$B$232,0))),
Error!$B$2,
IF(AND(_xlpm.baseRow,$F26&lt;&gt;"",ISNA(MATCH($F26,Tables!$B$234:$B$235,0))),
Error!$B$24,
IF(AND(_xlpm.baseRow,_xlpm.ECA_H&gt;0,_xlpm.Shore_H&gt;0),
Error!$B$16,
IF(AND(_xlpm.baseRow,$E26&lt;&gt;"",$D26=""),
Error!$B$3,
IF(AND(_xlpm.baseRow,OR($E26="Tier 3",$E26="Tier 4"),$C26&lt;&gt;"",$D26&gt;=24,COUNTIF(Tables2!$B$166:$B$674,$C26)&gt;0),
Error!$B$44,
IF(AND(_xlpm.baseRow,OR($E26="Tier 3",$E26="Tier 4"),$C26&lt;&gt;"",$D26&lt;&gt;"",COUNTIF(Tables2!$B$73:$B$152,$C26)&gt;0,
$D26&gt;=IFERROR(INDEX(Tables2!$C$73:$C$152,MATCH($C26,Tables2!$B$73:$B$152,0)),-1)),
Error!$B$44,
IF(AND(_xlpm.baseRow,OR($E26="Tier 2",$E26="Tier 2 Grove"),$C26&lt;&gt;"",$D26&gt;=12,COUNTIF(Tables2!$B$153:$B$162,$C26)&gt;0),
Error!$B$45,
IF(AND(_xlpm.baseRow,$E26="Tier 2 Grove",$D26&lt;12),
Error!$B$41,
IF(AND(_xlpm.baseRow,$E26="Tier 2",$D26&lt;5.88),
Error!$B$40,
IF(AND(_xlpm.baseRow,OR($E26="Tier 2",$E26="Tier 2 Grove"),$C26&lt;&gt;"",$D26&lt;12,$D26&gt;=6,COUNTIF(Tables2!$B$153:$B$162,$C26)&gt;0),
Error!$B$54,
IF(AND(_xlpm.baseRow,$E26="Tier 2",COUNTIF(Tables2!$B$166:$B$674,$C26)&gt;0,$D26&lt;24),
Error!$B$54,
IF(AND(_xlpm.baseRow,$E26="Tier 3",ISNA(MATCH($C26,Tables2!$B$153:$B$162,0)),OR($D26&lt;12,$D26&gt;=24)),
Error!$B$9,
IF(AND(_xlpm.baseRow,$E26="Tier 3",COUNTIF(Tables2!$B$153:$B$162,$C26)&gt;0,$D26&lt;12),
Error!$B$46,
IF(AND(_xlpm.baseRow,$E26="Tier 4",OR($D26&lt;6,$D26&gt;=12)),
Error!$B$10,
IF(AND(_xlpm.baseRow,$E26="&lt;6in DSH for Tree Points",OR($D26&gt;=6,$D26="")),
Error!$B$8,
IF(AND(_xlpm.baseRow,$E26="Street Tree for Green Factor",$F26&lt;&gt;"",$F26&lt;&gt;"Retain"),
Error!$B$14,
IF(AND($E26="&lt;6in DSH for Tree Points",$F26="Retain",$H26&lt;&gt;"",ISNA(MATCH($H26,Tables!$B$174:$B$174,0))),
Error!$B$15,
IF(AND($E26="Street Tree for Green Factor",$F26="Retain",$H26&lt;&gt;"",$H26&lt;&gt;"Zoning: Green Factor"),
Error!$B$15,
IF(AND($E26="ECA / Shoreline Tree",$F26="Remove",$H26&lt;&gt;"",ISNA(MATCH($H26,Tables!$B$189:$B$190,0))),
Error!$B$15,
IF(AND($E26="ECA / Shoreline Tree",$F26="Retain",$H26&lt;&gt;"",ISNA(MATCH($H26,Tables!$B$184:$B$186,0))),
Error!$B$15,
IF(AND($E26="Tier 4",$F26="Remove",$H26&lt;&gt;"",ISNA(MATCH($H26,Tables!$B$171,0))),
Error!$B$15,
IF(AND($E26="Tier 4",$F26="Retain",$H26&lt;&gt;"",ISNA(MATCH($H26,Tables!$B$166:$B$168,0))),
Error!$B$15,
IF(AND($E26="Tier 3",$F26="Retain",$H26&lt;&gt;"",ISNA(MATCH($H26,Tables!$B$158:$B$160,0))),
Error!$B$15,
IF(AND($E26="Tier 3",$F26="Remove",$H26&lt;&gt;"",ISNA(MATCH($H26,Tables!$B$163,0))),
Error!$B$15,
IF(AND(OR($E26="Tier 2",$E26="Tier 2 Grove"),$F26="Remove",$H26&lt;&gt;"",ISNA(MATCH($H26,Tables!$B$153:$B$155,0))),
Error!$B$15,
IF(AND(OR($E26="Tier 2",$E26="Tier 2 Grove"),$F26="Retain",$H26&lt;&gt;"",ISNA(MATCH($H26,Tables!$B$147:$B$150,0))),
Error!$B$15,
IF(AND($E26="Tier 1",$F26="Remove",$H26&lt;&gt;"",ISNA(MATCH($H26,Tables!$B$143:$B$144,0))),
Error!$B$15,
IF(AND($E26="Tier 1",$F26="Retain",$H26&lt;&gt;"",ISNA(MATCH($H26,Tables!$B$137:$B$140,0))),
Error!$B$15,
IF(AND($E26&lt;&gt;"Tier 2",$E26&lt;&gt;"Tier 2 Grove",$E26&lt;&gt;"Tier 3",$E26&lt;&gt;"Tier 4",$H26="Zoning: Green Factor",OR($D26="",$D26&lt;6)),
Error!$B$11,
IF(AND(_xlpm.baseRow,$D26&lt;6,$E26="&lt;6in DSH for Tree Points",_xlpm.TreePoints_H=0),
Error!$B$21,
IF(AND(_xlpm.baseRow,$E26&lt;&gt;"",$D26&lt;&gt;"",$F26=""),
Error!$B$4,
IF(AND(_xlpm.baseRow,$F26="Remove",OR($E26="Tier 1",$E26="Tier 2",$E26="Tier 2 Grove"),COUNTBLANK(_xlpm.HRange)&lt;3,_xlpm.uniqueH&gt;=2),
Error!$B$48,
IF(AND(_xlpm.baseRow,$F26="Retain",OR($E26="Tier 1",$E26="Tier 2",$E26="Tier 2 Grove"),COUNTIF(_xlpm.HRange,"Tree Code: Required to Retain Tier 1-2 Tree")=0),
Error!$B$47,
IF(AND(_xlpm.baseRow,$E26&lt;&gt;"",$D26&lt;&gt;"",$F26&lt;&gt;"",COUNTBLANK(_xlpm.HRange)=4),
Error!$B$5,
IF(AND($F26="Remove",$H26&lt;&gt;"",$I26=""),
Error!$B$18,
IF(AND($E26="Tier 4",$F26="Remove",$H26="Tree Protection Code: Tier 3 or Tier 4 Allowance",$H26&lt;&gt;"",ISNA(MATCH($I26,Tables!$B$200,0))),
Error!$B$17,
IF(AND($E26="Tier 3",$F26="Remove",$H26&lt;&gt;"",$H26="Tree Protection Code: Tier 3 or Tier 4 Allowance",OR($I26="",ISNA(MATCH($I26,Tables!$B$193:$B$197,0)))),
Error!$B$17,
IF(AND(OR($E26="Tier 2",$E26="Tier 2 Grove"),$F26="Remove",$H26="Tree Protection Code: Other removal allowance or exemption",$I26&lt;&gt;"",ISNA(MATCH($I26,Tables!$B$215:$B$218,0))),
Error!$B$17,
IF(AND(OR($E26="Tier 2",$E26="Tier 2 Grove"),$F26="Remove",$H26="Tree Protection Code: Development Capacity",$I26&lt;&gt;"",ISNA(MATCH($I26,Tables!$B$193:$B$197,0))),
Error!$B$17,
IF(AND(OR($E26="Tier 2",$E26="Tier 2 Grove"),$F26="Remove",$H26="Tree Protection Code: Necessary for Construction",$I26&lt;&gt;"",ISNA(MATCH($I26,Tables!$B$193:$B$197,0))),
Error!$B$17,
IF(AND($E26="Tier 1",$F26="Remove",$H26="Tree Protection Code: Special Exception",$I26&lt;&gt;"",ISNA(MATCH($I26,Tables!$B$215:$B$218,0))),
Error!$B$17,
IF(AND($E26="Tier 1",$F26="Remove",$H26="Tree Protection Code: Other removal allowance or exemption",$I26&lt;&gt;"",ISNA(MATCH($I26,Tables!$B$215:$B$218,0))),
Error!$B$17,
IF(AND($E26="ECA / Shoreline Tree",$F26="Remove",$H26&lt;&gt;"",OR($H26="Shoreline",$H26="Environmental Critical Area (ECA)"),ISNA(MATCH($I26,Tables!$B$209:$B$212,0))),
Error!$B$17,
IF(AND(_xlpm.baseRow,$F26="Retain",$E26="ECA / Shoreline Tree",_xlpm.ECA_Short=0),
Error!$B$61,
IF(AND($F26="Remove",ISNUMBER(MATCH($E26,{"Tier 1","Tier 2","Tier 3","Tier 4","Tier 2 Grove"},0)),ISNUMBER(MATCH($I26,{"On-site replacement","Off-site replacement"},0)),$J26="",$H26&lt;&gt;""),
Error!$B$19,
IF(AND(_xlpm.baseRow,$E26&lt;&gt;"",$D26&lt;&gt;"",$F26&lt;&gt;"",COUNTBLANK($B26:$C26)&gt;0,COUNTBLANK(_xlpm.HRange)&lt;&gt;4),
Error!$B$22,
IF(AND($H26="Zoning: Tree Points",$K26&lt;&gt;"",ISNA(MATCH($K26,Tables!$B$242:$B$253,0))),
Error!$B$58,
IF(AND($H26="Zoning: Tree Points",$K26="Small",$L26&lt;&gt;"",ISNA(MATCH($L26,Tables!$C$243:$C$244,0))),
Error!$B$59,
IF(AND($H26="Zoning: Tree Points",$K26="Small/Medium",$L26&lt;&gt;"",ISNA(MATCH($L26,Tables!$C$246:$C$247,0))),
Error!$B$59,
IF(AND($H26="Zoning: Tree Points",$K26="Medium/Large",$L26&lt;&gt;"",ISNA(MATCH($L26,Tables!$C$249:$C$250,0))),
Error!$B$59,
IF(AND($H26="Zoning: Tree Points",$K26="Large",$L26&lt;&gt;"",ISNA(MATCH($L26,Tables!$C$252:$C$253,0))),
Error!$B$59,
IF(AND($F26="Retain",$H26="Zoning: Tree Points",$C26&lt;&gt;"",$D26&lt;&gt;"",OR($K26="",$L26="",$M26="")),
Error!$B$20,
""
)))))))))))))))))))))))))))))))))))))))))))))))))))))))),
Error!$B$23))</f>
        <v/>
      </c>
      <c r="O26" s="343" t="str" cm="1">
        <f t="array" aca="1" ref="O26" ca="1">IFERROR(_xlfn.LET(
    _xlpm.txt, $C26,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7" spans="1:15" ht="15" thickBot="1" x14ac:dyDescent="0.35">
      <c r="A27" s="311">
        <v>5</v>
      </c>
      <c r="B27" s="312"/>
      <c r="C27" s="313"/>
      <c r="D27" s="478"/>
      <c r="E27" s="314"/>
      <c r="F27" s="314"/>
      <c r="G27" s="315" t="str">
        <f>IF(Tree_Table1[[#This Row],[Tree Status  &amp;]]="Retain", Tables!$B$237, IF(Tree_Table1[[#This Row],[Tree Status  &amp;]]="Remove", Tables!$B$238, ""))</f>
        <v/>
      </c>
      <c r="H27" s="316"/>
      <c r="I27" s="317"/>
      <c r="J27" s="452"/>
      <c r="K27" s="318" t="str">
        <f>IFERROR(
    IF(
        AND($H27="Zoning: Tree Points", NOT(ISNUMBER(SEARCH("sp.", $C27)))),
        VLOOKUP($C27, 'Tree List'!$C$3:$F$601, 4, FALSE),
        ""
    ),
"")</f>
        <v/>
      </c>
      <c r="L27" s="319" t="str" cm="1">
        <f t="array" ref="L27">IFERROR(
IF(
    AND($H27="Zoning: Tree Points", NOT(ISNUMBER(SEARCH("sp.", $C27)))),
    _xlfn.IFS(
        (COUNTIFS('Tree List'!$C$3:$C$601,$C27,'Tree List'!$D$3:$D$601,"Coniferous")
        + COUNTIFS('Tree List'!$C$3:$C$601,$C27,'Tree List'!$D$3:$D$601,"Deciduous Conifer")) &gt; 0,
            _xlfn.IFS($K27="Small",0.5,$K27="Small/Medium",1,$K27="Medium/Large",1.4,$K27="Large",1.8),
        (COUNTIFS('Tree List'!$C$3:$C$601,$C27,'Tree List'!$D$3:$D$601,"Deciduous")
        + COUNTIFS('Tree List'!$C$3:$C$601,$C27,'Tree List'!$D$3:$D$601,"Broadleaf Evergreen")) &gt; 0,
            _xlfn.IFS($K27="Small",0.4,$K27="Small/Medium",0.8,$K27="Medium/Large",1.2,$K27="Large",1.6)
    ),
    ""
),
"")</f>
        <v/>
      </c>
      <c r="M27" s="474" t="str">
        <f>IFERROR($D27*$L27,"")</f>
        <v/>
      </c>
      <c r="N27" s="620" t="str" cm="1">
        <f t="array" aca="1" ref="N2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IF(AND(_xlpm.baseRow,ISNA(MATCH($C27,'Tree List'!$C$3:$C$601,0)),SUMPRODUCT(--ISNUMBER(SEARCH(Tables2!$C$677:$C$772,$O27)))&gt;0),
Error!$B$57,
IF(AND(_xlpm.hasDM,$F27="Remove",$H27&lt;&gt;"",OR($I27="On-site replacement",$I27="Off-site replacement",$I27="Payment In Lieu")),
Error!$B$56,
IF(AND(_xlpm.hasDM,$F27="Remove",$H27&lt;&gt;"",$I27="Relocation"),
Error!$B$66,
IF(AND(OR(_xlpm.hasCN,_xlpm.hasPH,_xlpm.hasGR),$H27&lt;&gt;"",COUNTIF(Tables!$B$132:$B$134,$H27)&gt;0,$I27="N/A (No replacement required)"),
Error!$B$62,
IF(AND(_xlpm.baseRow,$E27&lt;&gt;"",ISNA(MATCH($E27,Tables!$B$225:$B$232,0))),
Error!$B$2,
IF(AND(_xlpm.baseRow,$F27&lt;&gt;"",ISNA(MATCH($F27,Tables!$B$234:$B$235,0))),
Error!$B$24,
IF(AND(_xlpm.baseRow,_xlpm.ECA_H&gt;0,_xlpm.Shore_H&gt;0),
Error!$B$16,
IF(AND(_xlpm.baseRow,$E27&lt;&gt;"",$D27=""),
Error!$B$3,
IF(AND(_xlpm.baseRow,OR($E27="Tier 3",$E27="Tier 4"),$C27&lt;&gt;"",$D27&gt;=24,COUNTIF(Tables2!$B$166:$B$674,$C27)&gt;0),
Error!$B$44,
IF(AND(_xlpm.baseRow,OR($E27="Tier 3",$E27="Tier 4"),$C27&lt;&gt;"",$D27&lt;&gt;"",COUNTIF(Tables2!$B$73:$B$152,$C27)&gt;0,
$D27&gt;=IFERROR(INDEX(Tables2!$C$73:$C$152,MATCH($C27,Tables2!$B$73:$B$152,0)),-1)),
Error!$B$44,
IF(AND(_xlpm.baseRow,OR($E27="Tier 2",$E27="Tier 2 Grove"),$C27&lt;&gt;"",$D27&gt;=12,COUNTIF(Tables2!$B$153:$B$162,$C27)&gt;0),
Error!$B$45,
IF(AND(_xlpm.baseRow,$E27="Tier 2 Grove",$D27&lt;12),
Error!$B$41,
IF(AND(_xlpm.baseRow,$E27="Tier 2",$D27&lt;5.88),
Error!$B$40,
IF(AND(_xlpm.baseRow,OR($E27="Tier 2",$E27="Tier 2 Grove"),$C27&lt;&gt;"",$D27&lt;12,$D27&gt;=6,COUNTIF(Tables2!$B$153:$B$162,$C27)&gt;0),
Error!$B$54,
IF(AND(_xlpm.baseRow,$E27="Tier 2",COUNTIF(Tables2!$B$166:$B$674,$C27)&gt;0,$D27&lt;24),
Error!$B$54,
IF(AND(_xlpm.baseRow,$E27="Tier 3",ISNA(MATCH($C27,Tables2!$B$153:$B$162,0)),OR($D27&lt;12,$D27&gt;=24)),
Error!$B$9,
IF(AND(_xlpm.baseRow,$E27="Tier 3",COUNTIF(Tables2!$B$153:$B$162,$C27)&gt;0,$D27&lt;12),
Error!$B$46,
IF(AND(_xlpm.baseRow,$E27="Tier 4",OR($D27&lt;6,$D27&gt;=12)),
Error!$B$10,
IF(AND(_xlpm.baseRow,$E27="&lt;6in DSH for Tree Points",OR($D27&gt;=6,$D27="")),
Error!$B$8,
IF(AND(_xlpm.baseRow,$E27="Street Tree for Green Factor",$F27&lt;&gt;"",$F27&lt;&gt;"Retain"),
Error!$B$14,
IF(AND($E27="&lt;6in DSH for Tree Points",$F27="Retain",$H27&lt;&gt;"",ISNA(MATCH($H27,Tables!$B$174:$B$174,0))),
Error!$B$15,
IF(AND($E27="Street Tree for Green Factor",$F27="Retain",$H27&lt;&gt;"",$H27&lt;&gt;"Zoning: Green Factor"),
Error!$B$15,
IF(AND($E27="ECA / Shoreline Tree",$F27="Remove",$H27&lt;&gt;"",ISNA(MATCH($H27,Tables!$B$189:$B$190,0))),
Error!$B$15,
IF(AND($E27="ECA / Shoreline Tree",$F27="Retain",$H27&lt;&gt;"",ISNA(MATCH($H27,Tables!$B$184:$B$186,0))),
Error!$B$15,
IF(AND($E27="Tier 4",$F27="Remove",$H27&lt;&gt;"",ISNA(MATCH($H27,Tables!$B$171,0))),
Error!$B$15,
IF(AND($E27="Tier 4",$F27="Retain",$H27&lt;&gt;"",ISNA(MATCH($H27,Tables!$B$166:$B$168,0))),
Error!$B$15,
IF(AND($E27="Tier 3",$F27="Retain",$H27&lt;&gt;"",ISNA(MATCH($H27,Tables!$B$158:$B$160,0))),
Error!$B$15,
IF(AND($E27="Tier 3",$F27="Remove",$H27&lt;&gt;"",ISNA(MATCH($H27,Tables!$B$163,0))),
Error!$B$15,
IF(AND(OR($E27="Tier 2",$E27="Tier 2 Grove"),$F27="Remove",$H27&lt;&gt;"",ISNA(MATCH($H27,Tables!$B$153:$B$155,0))),
Error!$B$15,
IF(AND(OR($E27="Tier 2",$E27="Tier 2 Grove"),$F27="Retain",$H27&lt;&gt;"",ISNA(MATCH($H27,Tables!$B$147:$B$150,0))),
Error!$B$15,
IF(AND($E27="Tier 1",$F27="Remove",$H27&lt;&gt;"",ISNA(MATCH($H27,Tables!$B$143:$B$144,0))),
Error!$B$15,
IF(AND($E27="Tier 1",$F27="Retain",$H27&lt;&gt;"",ISNA(MATCH($H27,Tables!$B$137:$B$140,0))),
Error!$B$15,
IF(AND($E27&lt;&gt;"Tier 2",$E27&lt;&gt;"Tier 2 Grove",$E27&lt;&gt;"Tier 3",$E27&lt;&gt;"Tier 4",$H27="Zoning: Green Factor",OR($D27="",$D27&lt;6)),
Error!$B$11,
IF(AND(_xlpm.baseRow,$D27&lt;6,$E27="&lt;6in DSH for Tree Points",_xlpm.TreePoints_H=0),
Error!$B$21,
IF(AND(_xlpm.baseRow,$E27&lt;&gt;"",$D27&lt;&gt;"",$F27=""),
Error!$B$4,
IF(AND(_xlpm.baseRow,$F27="Remove",OR($E27="Tier 1",$E27="Tier 2",$E27="Tier 2 Grove"),COUNTBLANK(_xlpm.HRange)&lt;3,_xlpm.uniqueH&gt;=2),
Error!$B$48,
IF(AND(_xlpm.baseRow,$F27="Retain",OR($E27="Tier 1",$E27="Tier 2",$E27="Tier 2 Grove"),COUNTIF(_xlpm.HRange,"Tree Code: Required to Retain Tier 1-2 Tree")=0),
Error!$B$47,
IF(AND(_xlpm.baseRow,$E27&lt;&gt;"",$D27&lt;&gt;"",$F27&lt;&gt;"",COUNTBLANK(_xlpm.HRange)=4),
Error!$B$5,
IF(AND($F27="Remove",$H27&lt;&gt;"",$I27=""),
Error!$B$18,
IF(AND($E27="Tier 4",$F27="Remove",$H27="Tree Protection Code: Tier 3 or Tier 4 Allowance",$H27&lt;&gt;"",ISNA(MATCH($I27,Tables!$B$200,0))),
Error!$B$17,
IF(AND($E27="Tier 3",$F27="Remove",$H27&lt;&gt;"",$H27="Tree Protection Code: Tier 3 or Tier 4 Allowance",OR($I27="",ISNA(MATCH($I27,Tables!$B$193:$B$197,0)))),
Error!$B$17,
IF(AND(OR($E27="Tier 2",$E27="Tier 2 Grove"),$F27="Remove",$H27="Tree Protection Code: Other removal allowance or exemption",$I27&lt;&gt;"",ISNA(MATCH($I27,Tables!$B$215:$B$218,0))),
Error!$B$17,
IF(AND(OR($E27="Tier 2",$E27="Tier 2 Grove"),$F27="Remove",$H27="Tree Protection Code: Development Capacity",$I27&lt;&gt;"",ISNA(MATCH($I27,Tables!$B$193:$B$197,0))),
Error!$B$17,
IF(AND(OR($E27="Tier 2",$E27="Tier 2 Grove"),$F27="Remove",$H27="Tree Protection Code: Necessary for Construction",$I27&lt;&gt;"",ISNA(MATCH($I27,Tables!$B$193:$B$197,0))),
Error!$B$17,
IF(AND($E27="Tier 1",$F27="Remove",$H27="Tree Protection Code: Special Exception",$I27&lt;&gt;"",ISNA(MATCH($I27,Tables!$B$215:$B$218,0))),
Error!$B$17,
IF(AND($E27="Tier 1",$F27="Remove",$H27="Tree Protection Code: Other removal allowance or exemption",$I27&lt;&gt;"",ISNA(MATCH($I27,Tables!$B$215:$B$218,0))),
Error!$B$17,
IF(AND($E27="ECA / Shoreline Tree",$F27="Remove",$H27&lt;&gt;"",OR($H27="Shoreline",$H27="Environmental Critical Area (ECA)"),ISNA(MATCH($I27,Tables!$B$209:$B$212,0))),
Error!$B$17,
IF(AND(_xlpm.baseRow,$F27="Retain",$E27="ECA / Shoreline Tree",_xlpm.ECA_Short=0),
Error!$B$61,
IF(AND($F27="Remove",ISNUMBER(MATCH($E27,{"Tier 1","Tier 2","Tier 3","Tier 4","Tier 2 Grove"},0)),ISNUMBER(MATCH($I27,{"On-site replacement","Off-site replacement"},0)),$J27="",$H27&lt;&gt;""),
Error!$B$19,
IF(AND(_xlpm.baseRow,$E27&lt;&gt;"",$D27&lt;&gt;"",$F27&lt;&gt;"",COUNTBLANK($B27:$C27)&gt;0,COUNTBLANK(_xlpm.HRange)&lt;&gt;4),
Error!$B$22,
IF(AND($H27="Zoning: Tree Points",$K27&lt;&gt;"",ISNA(MATCH($K27,Tables!$B$242:$B$253,0))),
Error!$B$58,
IF(AND($H27="Zoning: Tree Points",$K27="Small",$L27&lt;&gt;"",ISNA(MATCH($L27,Tables!$C$243:$C$244,0))),
Error!$B$59,
IF(AND($H27="Zoning: Tree Points",$K27="Small/Medium",$L27&lt;&gt;"",ISNA(MATCH($L27,Tables!$C$246:$C$247,0))),
Error!$B$59,
IF(AND($H27="Zoning: Tree Points",$K27="Medium/Large",$L27&lt;&gt;"",ISNA(MATCH($L27,Tables!$C$249:$C$250,0))),
Error!$B$59,
IF(AND($H27="Zoning: Tree Points",$K27="Large",$L27&lt;&gt;"",ISNA(MATCH($L27,Tables!$C$252:$C$253,0))),
Error!$B$59,
IF(AND($F27="Retain",$H27="Zoning: Tree Points",$C27&lt;&gt;"",$D27&lt;&gt;"",OR($K27="",$L27="",$M27="")),
Error!$B$20,
""
)))))))))))))))))))))))))))))))))))))))))))))))))))))))),
Error!$B$23))</f>
        <v/>
      </c>
      <c r="O27" s="343" t="str" cm="1">
        <f t="array" aca="1" ref="O27" ca="1">IFERROR(_xlfn.LET(
    _xlpm.txt, $C27,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8" spans="1:15" x14ac:dyDescent="0.3">
      <c r="A28" s="320"/>
      <c r="B28" s="616" t="str">
        <f t="shared" ref="B28:B30" si="4">IF($B27="", "", $B27)</f>
        <v/>
      </c>
      <c r="C28" s="617" t="str">
        <f>IF($C27="", "", $C27)</f>
        <v/>
      </c>
      <c r="D28" s="618" t="str">
        <f>IF($D27="", "", $D27)</f>
        <v/>
      </c>
      <c r="E28" s="616" t="str">
        <f>IF($E27="", "", $E27)</f>
        <v/>
      </c>
      <c r="F28" s="616" t="str">
        <f>IF($F27="", "", $F27)</f>
        <v/>
      </c>
      <c r="G28" s="619" t="str">
        <f>IF(Tree_Table1[[#This Row],[Tree Status  &amp;]]="Retain", Tables!$B$237, IF(Tree_Table1[[#This Row],[Tree Status  &amp;]]="Remove", Tables!$B$238, ""))</f>
        <v/>
      </c>
      <c r="H28" s="321"/>
      <c r="I28" s="322"/>
      <c r="J28" s="453"/>
      <c r="K28" s="323" t="str">
        <f>IFERROR(
    IF(
        AND($H28="Zoning: Tree Points", NOT(ISNUMBER(SEARCH("sp.", $C28)))),
        VLOOKUP($C28, 'Tree List'!$C$3:$F$601, 4, FALSE),
        ""
    ),
"")</f>
        <v/>
      </c>
      <c r="L28" s="324" t="str" cm="1">
        <f t="array" ref="L28">IFERROR(
IF(
    AND($H28="Zoning: Tree Points", NOT(ISNUMBER(SEARCH("sp.", $C28)))),
    _xlfn.IFS(
        (COUNTIFS('Tree List'!$C$3:$C$601,$C28,'Tree List'!$D$3:$D$601,"Coniferous")
        + COUNTIFS('Tree List'!$C$3:$C$601,$C28,'Tree List'!$D$3:$D$601,"Deciduous Conifer")) &gt; 0,
            _xlfn.IFS($K28="Small",0.5,$K28="Small/Medium",1,$K28="Medium/Large",1.4,$K28="Large",1.8),
        (COUNTIFS('Tree List'!$C$3:$C$601,$C28,'Tree List'!$D$3:$D$601,"Deciduous")
        + COUNTIFS('Tree List'!$C$3:$C$601,$C28,'Tree List'!$D$3:$D$601,"Broadleaf Evergreen")) &gt; 0,
            _xlfn.IFS($K28="Small",0.4,$K28="Small/Medium",0.8,$K28="Medium/Large",1.2,$K28="Large",1.6)
    ),
    ""
),
"")</f>
        <v/>
      </c>
      <c r="M28" s="475" t="str">
        <f t="shared" si="0"/>
        <v/>
      </c>
      <c r="N28" s="346" t="str" cm="1">
        <f t="array" aca="1" ref="N2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IF(AND(_xlpm.baseRow,ISNA(MATCH($C28,'Tree List'!$C$3:$C$601,0)),SUMPRODUCT(--ISNUMBER(SEARCH(Tables2!$C$677:$C$772,$O28)))&gt;0),
Error!$B$57,
IF(AND(_xlpm.hasDM,$F28="Remove",$H28&lt;&gt;"",OR($I28="On-site replacement",$I28="Off-site replacement",$I28="Payment In Lieu")),
Error!$B$56,
IF(AND(_xlpm.hasDM,$F28="Remove",$H28&lt;&gt;"",$I28="Relocation"),
Error!$B$66,
IF(AND(OR(_xlpm.hasCN,_xlpm.hasPH,_xlpm.hasGR),$H28&lt;&gt;"",COUNTIF(Tables!$B$132:$B$134,$H28)&gt;0,$I28="N/A (No replacement required)"),
Error!$B$62,
IF(AND(_xlpm.baseRow,$E28&lt;&gt;"",ISNA(MATCH($E28,Tables!$B$225:$B$232,0))),
Error!$B$2,
IF(AND(_xlpm.baseRow,$F28&lt;&gt;"",ISNA(MATCH($F28,Tables!$B$234:$B$235,0))),
Error!$B$24,
IF(AND(_xlpm.baseRow,_xlpm.ECA_H&gt;0,_xlpm.Shore_H&gt;0),
Error!$B$16,
IF(AND(_xlpm.baseRow,$E28&lt;&gt;"",$D28=""),
Error!$B$3,
IF(AND(_xlpm.baseRow,OR($E28="Tier 3",$E28="Tier 4"),$C28&lt;&gt;"",$D28&gt;=24,COUNTIF(Tables2!$B$166:$B$674,$C28)&gt;0),
Error!$B$44,
IF(AND(_xlpm.baseRow,OR($E28="Tier 3",$E28="Tier 4"),$C28&lt;&gt;"",$D28&lt;&gt;"",COUNTIF(Tables2!$B$73:$B$152,$C28)&gt;0,
$D28&gt;=IFERROR(INDEX(Tables2!$C$73:$C$152,MATCH($C28,Tables2!$B$73:$B$152,0)),-1)),
Error!$B$44,
IF(AND(_xlpm.baseRow,OR($E28="Tier 2",$E28="Tier 2 Grove"),$C28&lt;&gt;"",$D28&gt;=12,COUNTIF(Tables2!$B$153:$B$162,$C28)&gt;0),
Error!$B$45,
IF(AND(_xlpm.baseRow,$E28="Tier 2 Grove",$D28&lt;12),
Error!$B$41,
IF(AND(_xlpm.baseRow,$E28="Tier 2",$D28&lt;5.88),
Error!$B$40,
IF(AND(_xlpm.baseRow,OR($E28="Tier 2",$E28="Tier 2 Grove"),$C28&lt;&gt;"",$D28&lt;12,$D28&gt;=6,COUNTIF(Tables2!$B$153:$B$162,$C28)&gt;0),
Error!$B$54,
IF(AND(_xlpm.baseRow,$E28="Tier 2",COUNTIF(Tables2!$B$166:$B$674,$C28)&gt;0,$D28&lt;24),
Error!$B$54,
IF(AND(_xlpm.baseRow,$E28="Tier 3",ISNA(MATCH($C28,Tables2!$B$153:$B$162,0)),OR($D28&lt;12,$D28&gt;=24)),
Error!$B$9,
IF(AND(_xlpm.baseRow,$E28="Tier 3",COUNTIF(Tables2!$B$153:$B$162,$C28)&gt;0,$D28&lt;12),
Error!$B$46,
IF(AND(_xlpm.baseRow,$E28="Tier 4",OR($D28&lt;6,$D28&gt;=12)),
Error!$B$10,
IF(AND(_xlpm.baseRow,$E28="&lt;6in DSH for Tree Points",OR($D28&gt;=6,$D28="")),
Error!$B$8,
IF(AND(_xlpm.baseRow,$E28="Street Tree for Green Factor",$F28&lt;&gt;"",$F28&lt;&gt;"Retain"),
Error!$B$14,
IF(AND($E28="&lt;6in DSH for Tree Points",$F28="Retain",$H28&lt;&gt;"",ISNA(MATCH($H28,Tables!$B$174:$B$174,0))),
Error!$B$15,
IF(AND($E28="Street Tree for Green Factor",$F28="Retain",$H28&lt;&gt;"",$H28&lt;&gt;"Zoning: Green Factor"),
Error!$B$15,
IF(AND($E28="ECA / Shoreline Tree",$F28="Remove",$H28&lt;&gt;"",ISNA(MATCH($H28,Tables!$B$189:$B$190,0))),
Error!$B$15,
IF(AND($E28="ECA / Shoreline Tree",$F28="Retain",$H28&lt;&gt;"",ISNA(MATCH($H28,Tables!$B$184:$B$186,0))),
Error!$B$15,
IF(AND($E28="Tier 4",$F28="Remove",$H28&lt;&gt;"",ISNA(MATCH($H28,Tables!$B$171,0))),
Error!$B$15,
IF(AND($E28="Tier 4",$F28="Retain",$H28&lt;&gt;"",ISNA(MATCH($H28,Tables!$B$166:$B$168,0))),
Error!$B$15,
IF(AND($E28="Tier 3",$F28="Retain",$H28&lt;&gt;"",ISNA(MATCH($H28,Tables!$B$158:$B$160,0))),
Error!$B$15,
IF(AND($E28="Tier 3",$F28="Remove",$H28&lt;&gt;"",ISNA(MATCH($H28,Tables!$B$163,0))),
Error!$B$15,
IF(AND(OR($E28="Tier 2",$E28="Tier 2 Grove"),$F28="Remove",$H28&lt;&gt;"",ISNA(MATCH($H28,Tables!$B$153:$B$155,0))),
Error!$B$15,
IF(AND(OR($E28="Tier 2",$E28="Tier 2 Grove"),$F28="Retain",$H28&lt;&gt;"",ISNA(MATCH($H28,Tables!$B$147:$B$150,0))),
Error!$B$15,
IF(AND($E28="Tier 1",$F28="Remove",$H28&lt;&gt;"",ISNA(MATCH($H28,Tables!$B$143:$B$144,0))),
Error!$B$15,
IF(AND($E28="Tier 1",$F28="Retain",$H28&lt;&gt;"",ISNA(MATCH($H28,Tables!$B$137:$B$140,0))),
Error!$B$15,
IF(AND($E28&lt;&gt;"Tier 2",$E28&lt;&gt;"Tier 2 Grove",$E28&lt;&gt;"Tier 3",$E28&lt;&gt;"Tier 4",$H28="Zoning: Green Factor",OR($D28="",$D28&lt;6)),
Error!$B$11,
IF(AND(_xlpm.baseRow,$D28&lt;6,$E28="&lt;6in DSH for Tree Points",_xlpm.TreePoints_H=0),
Error!$B$21,
IF(AND(_xlpm.baseRow,$E28&lt;&gt;"",$D28&lt;&gt;"",$F28=""),
Error!$B$4,
IF(AND(_xlpm.baseRow,$F28="Remove",OR($E28="Tier 1",$E28="Tier 2",$E28="Tier 2 Grove"),COUNTBLANK(_xlpm.HRange)&lt;3,_xlpm.uniqueH&gt;=2),
Error!$B$48,
IF(AND(_xlpm.baseRow,$F28="Retain",OR($E28="Tier 1",$E28="Tier 2",$E28="Tier 2 Grove"),COUNTIF(_xlpm.HRange,"Tree Code: Required to Retain Tier 1-2 Tree")=0),
Error!$B$47,
IF(AND(_xlpm.baseRow,$E28&lt;&gt;"",$D28&lt;&gt;"",$F28&lt;&gt;"",COUNTBLANK(_xlpm.HRange)=4),
Error!$B$5,
IF(AND($F28="Remove",$H28&lt;&gt;"",$I28=""),
Error!$B$18,
IF(AND($E28="Tier 4",$F28="Remove",$H28="Tree Protection Code: Tier 3 or Tier 4 Allowance",$H28&lt;&gt;"",ISNA(MATCH($I28,Tables!$B$200,0))),
Error!$B$17,
IF(AND($E28="Tier 3",$F28="Remove",$H28&lt;&gt;"",$H28="Tree Protection Code: Tier 3 or Tier 4 Allowance",OR($I28="",ISNA(MATCH($I28,Tables!$B$193:$B$197,0)))),
Error!$B$17,
IF(AND(OR($E28="Tier 2",$E28="Tier 2 Grove"),$F28="Remove",$H28="Tree Protection Code: Other removal allowance or exemption",$I28&lt;&gt;"",ISNA(MATCH($I28,Tables!$B$215:$B$218,0))),
Error!$B$17,
IF(AND(OR($E28="Tier 2",$E28="Tier 2 Grove"),$F28="Remove",$H28="Tree Protection Code: Development Capacity",$I28&lt;&gt;"",ISNA(MATCH($I28,Tables!$B$193:$B$197,0))),
Error!$B$17,
IF(AND(OR($E28="Tier 2",$E28="Tier 2 Grove"),$F28="Remove",$H28="Tree Protection Code: Necessary for Construction",$I28&lt;&gt;"",ISNA(MATCH($I28,Tables!$B$193:$B$197,0))),
Error!$B$17,
IF(AND($E28="Tier 1",$F28="Remove",$H28="Tree Protection Code: Special Exception",$I28&lt;&gt;"",ISNA(MATCH($I28,Tables!$B$215:$B$218,0))),
Error!$B$17,
IF(AND($E28="Tier 1",$F28="Remove",$H28="Tree Protection Code: Other removal allowance or exemption",$I28&lt;&gt;"",ISNA(MATCH($I28,Tables!$B$215:$B$218,0))),
Error!$B$17,
IF(AND($E28="ECA / Shoreline Tree",$F28="Remove",$H28&lt;&gt;"",OR($H28="Shoreline",$H28="Environmental Critical Area (ECA)"),ISNA(MATCH($I28,Tables!$B$209:$B$212,0))),
Error!$B$17,
IF(AND(_xlpm.baseRow,$F28="Retain",$E28="ECA / Shoreline Tree",_xlpm.ECA_Short=0),
Error!$B$61,
IF(AND($F28="Remove",ISNUMBER(MATCH($E28,{"Tier 1","Tier 2","Tier 3","Tier 4","Tier 2 Grove"},0)),ISNUMBER(MATCH($I28,{"On-site replacement","Off-site replacement"},0)),$J28="",$H28&lt;&gt;""),
Error!$B$19,
IF(AND(_xlpm.baseRow,$E28&lt;&gt;"",$D28&lt;&gt;"",$F28&lt;&gt;"",COUNTBLANK($B28:$C28)&gt;0,COUNTBLANK(_xlpm.HRange)&lt;&gt;4),
Error!$B$22,
IF(AND($H28="Zoning: Tree Points",$K28&lt;&gt;"",ISNA(MATCH($K28,Tables!$B$242:$B$253,0))),
Error!$B$58,
IF(AND($H28="Zoning: Tree Points",$K28="Small",$L28&lt;&gt;"",ISNA(MATCH($L28,Tables!$C$243:$C$244,0))),
Error!$B$59,
IF(AND($H28="Zoning: Tree Points",$K28="Small/Medium",$L28&lt;&gt;"",ISNA(MATCH($L28,Tables!$C$246:$C$247,0))),
Error!$B$59,
IF(AND($H28="Zoning: Tree Points",$K28="Medium/Large",$L28&lt;&gt;"",ISNA(MATCH($L28,Tables!$C$249:$C$250,0))),
Error!$B$59,
IF(AND($H28="Zoning: Tree Points",$K28="Large",$L28&lt;&gt;"",ISNA(MATCH($L28,Tables!$C$252:$C$253,0))),
Error!$B$59,
IF(AND($F28="Retain",$H28="Zoning: Tree Points",$C28&lt;&gt;"",$D28&lt;&gt;"",OR($K28="",$L28="",$M28="")),
Error!$B$20,
""
)))))))))))))))))))))))))))))))))))))))))))))))))))))))),
Error!$B$23))</f>
        <v/>
      </c>
      <c r="O28" s="343" t="str" cm="1">
        <f t="array" aca="1" ref="O28" ca="1">IFERROR(_xlfn.LET(
    _xlpm.txt, $C28,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9" spans="1:15" x14ac:dyDescent="0.3">
      <c r="A29" s="320"/>
      <c r="B29" s="616" t="str">
        <f t="shared" si="4"/>
        <v/>
      </c>
      <c r="C29" s="617" t="str">
        <f>IF($C28="", "", $C28)</f>
        <v/>
      </c>
      <c r="D29" s="618" t="str">
        <f t="shared" ref="D29:D30" si="5">IF($D28="", "", $D28)</f>
        <v/>
      </c>
      <c r="E29" s="616" t="str">
        <f>IF($E28="", "", $E28)</f>
        <v/>
      </c>
      <c r="F29" s="616" t="str">
        <f>IF($F28="", "", $F28)</f>
        <v/>
      </c>
      <c r="G29" s="619" t="str">
        <f>IF(Tree_Table1[[#This Row],[Tree Status  &amp;]]="Retain", Tables!$B$237, IF(Tree_Table1[[#This Row],[Tree Status  &amp;]]="Remove", Tables!$B$238, ""))</f>
        <v/>
      </c>
      <c r="H29" s="321"/>
      <c r="I29" s="322"/>
      <c r="J29" s="453"/>
      <c r="K29" s="323" t="str">
        <f>IFERROR(
    IF(
        AND($H29="Zoning: Tree Points", NOT(ISNUMBER(SEARCH("sp.", $C29)))),
        VLOOKUP($C29, 'Tree List'!$C$3:$F$601, 4, FALSE),
        ""
    ),
"")</f>
        <v/>
      </c>
      <c r="L29" s="324" t="str" cm="1">
        <f t="array" ref="L29">IFERROR(
IF(
    AND($H29="Zoning: Tree Points", NOT(ISNUMBER(SEARCH("sp.", $C29)))),
    _xlfn.IFS(
        (COUNTIFS('Tree List'!$C$3:$C$601,$C29,'Tree List'!$D$3:$D$601,"Coniferous")
        + COUNTIFS('Tree List'!$C$3:$C$601,$C29,'Tree List'!$D$3:$D$601,"Deciduous Conifer")) &gt; 0,
            _xlfn.IFS($K29="Small",0.5,$K29="Small/Medium",1,$K29="Medium/Large",1.4,$K29="Large",1.8),
        (COUNTIFS('Tree List'!$C$3:$C$601,$C29,'Tree List'!$D$3:$D$601,"Deciduous")
        + COUNTIFS('Tree List'!$C$3:$C$601,$C29,'Tree List'!$D$3:$D$601,"Broadleaf Evergreen")) &gt; 0,
            _xlfn.IFS($K29="Small",0.4,$K29="Small/Medium",0.8,$K29="Medium/Large",1.2,$K29="Large",1.6)
    ),
    ""
),
"")</f>
        <v/>
      </c>
      <c r="M29" s="475" t="str">
        <f t="shared" si="0"/>
        <v/>
      </c>
      <c r="N29" s="346" t="str" cm="1">
        <f t="array" aca="1" ref="N2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IF(AND(_xlpm.baseRow,ISNA(MATCH($C29,'Tree List'!$C$3:$C$601,0)),SUMPRODUCT(--ISNUMBER(SEARCH(Tables2!$C$677:$C$772,$O29)))&gt;0),
Error!$B$57,
IF(AND(_xlpm.hasDM,$F29="Remove",$H29&lt;&gt;"",OR($I29="On-site replacement",$I29="Off-site replacement",$I29="Payment In Lieu")),
Error!$B$56,
IF(AND(_xlpm.hasDM,$F29="Remove",$H29&lt;&gt;"",$I29="Relocation"),
Error!$B$66,
IF(AND(OR(_xlpm.hasCN,_xlpm.hasPH,_xlpm.hasGR),$H29&lt;&gt;"",COUNTIF(Tables!$B$132:$B$134,$H29)&gt;0,$I29="N/A (No replacement required)"),
Error!$B$62,
IF(AND(_xlpm.baseRow,$E29&lt;&gt;"",ISNA(MATCH($E29,Tables!$B$225:$B$232,0))),
Error!$B$2,
IF(AND(_xlpm.baseRow,$F29&lt;&gt;"",ISNA(MATCH($F29,Tables!$B$234:$B$235,0))),
Error!$B$24,
IF(AND(_xlpm.baseRow,_xlpm.ECA_H&gt;0,_xlpm.Shore_H&gt;0),
Error!$B$16,
IF(AND(_xlpm.baseRow,$E29&lt;&gt;"",$D29=""),
Error!$B$3,
IF(AND(_xlpm.baseRow,OR($E29="Tier 3",$E29="Tier 4"),$C29&lt;&gt;"",$D29&gt;=24,COUNTIF(Tables2!$B$166:$B$674,$C29)&gt;0),
Error!$B$44,
IF(AND(_xlpm.baseRow,OR($E29="Tier 3",$E29="Tier 4"),$C29&lt;&gt;"",$D29&lt;&gt;"",COUNTIF(Tables2!$B$73:$B$152,$C29)&gt;0,
$D29&gt;=IFERROR(INDEX(Tables2!$C$73:$C$152,MATCH($C29,Tables2!$B$73:$B$152,0)),-1)),
Error!$B$44,
IF(AND(_xlpm.baseRow,OR($E29="Tier 2",$E29="Tier 2 Grove"),$C29&lt;&gt;"",$D29&gt;=12,COUNTIF(Tables2!$B$153:$B$162,$C29)&gt;0),
Error!$B$45,
IF(AND(_xlpm.baseRow,$E29="Tier 2 Grove",$D29&lt;12),
Error!$B$41,
IF(AND(_xlpm.baseRow,$E29="Tier 2",$D29&lt;5.88),
Error!$B$40,
IF(AND(_xlpm.baseRow,OR($E29="Tier 2",$E29="Tier 2 Grove"),$C29&lt;&gt;"",$D29&lt;12,$D29&gt;=6,COUNTIF(Tables2!$B$153:$B$162,$C29)&gt;0),
Error!$B$54,
IF(AND(_xlpm.baseRow,$E29="Tier 2",COUNTIF(Tables2!$B$166:$B$674,$C29)&gt;0,$D29&lt;24),
Error!$B$54,
IF(AND(_xlpm.baseRow,$E29="Tier 3",ISNA(MATCH($C29,Tables2!$B$153:$B$162,0)),OR($D29&lt;12,$D29&gt;=24)),
Error!$B$9,
IF(AND(_xlpm.baseRow,$E29="Tier 3",COUNTIF(Tables2!$B$153:$B$162,$C29)&gt;0,$D29&lt;12),
Error!$B$46,
IF(AND(_xlpm.baseRow,$E29="Tier 4",OR($D29&lt;6,$D29&gt;=12)),
Error!$B$10,
IF(AND(_xlpm.baseRow,$E29="&lt;6in DSH for Tree Points",OR($D29&gt;=6,$D29="")),
Error!$B$8,
IF(AND(_xlpm.baseRow,$E29="Street Tree for Green Factor",$F29&lt;&gt;"",$F29&lt;&gt;"Retain"),
Error!$B$14,
IF(AND($E29="&lt;6in DSH for Tree Points",$F29="Retain",$H29&lt;&gt;"",ISNA(MATCH($H29,Tables!$B$174:$B$174,0))),
Error!$B$15,
IF(AND($E29="Street Tree for Green Factor",$F29="Retain",$H29&lt;&gt;"",$H29&lt;&gt;"Zoning: Green Factor"),
Error!$B$15,
IF(AND($E29="ECA / Shoreline Tree",$F29="Remove",$H29&lt;&gt;"",ISNA(MATCH($H29,Tables!$B$189:$B$190,0))),
Error!$B$15,
IF(AND($E29="ECA / Shoreline Tree",$F29="Retain",$H29&lt;&gt;"",ISNA(MATCH($H29,Tables!$B$184:$B$186,0))),
Error!$B$15,
IF(AND($E29="Tier 4",$F29="Remove",$H29&lt;&gt;"",ISNA(MATCH($H29,Tables!$B$171,0))),
Error!$B$15,
IF(AND($E29="Tier 4",$F29="Retain",$H29&lt;&gt;"",ISNA(MATCH($H29,Tables!$B$166:$B$168,0))),
Error!$B$15,
IF(AND($E29="Tier 3",$F29="Retain",$H29&lt;&gt;"",ISNA(MATCH($H29,Tables!$B$158:$B$160,0))),
Error!$B$15,
IF(AND($E29="Tier 3",$F29="Remove",$H29&lt;&gt;"",ISNA(MATCH($H29,Tables!$B$163,0))),
Error!$B$15,
IF(AND(OR($E29="Tier 2",$E29="Tier 2 Grove"),$F29="Remove",$H29&lt;&gt;"",ISNA(MATCH($H29,Tables!$B$153:$B$155,0))),
Error!$B$15,
IF(AND(OR($E29="Tier 2",$E29="Tier 2 Grove"),$F29="Retain",$H29&lt;&gt;"",ISNA(MATCH($H29,Tables!$B$147:$B$150,0))),
Error!$B$15,
IF(AND($E29="Tier 1",$F29="Remove",$H29&lt;&gt;"",ISNA(MATCH($H29,Tables!$B$143:$B$144,0))),
Error!$B$15,
IF(AND($E29="Tier 1",$F29="Retain",$H29&lt;&gt;"",ISNA(MATCH($H29,Tables!$B$137:$B$140,0))),
Error!$B$15,
IF(AND($E29&lt;&gt;"Tier 2",$E29&lt;&gt;"Tier 2 Grove",$E29&lt;&gt;"Tier 3",$E29&lt;&gt;"Tier 4",$H29="Zoning: Green Factor",OR($D29="",$D29&lt;6)),
Error!$B$11,
IF(AND(_xlpm.baseRow,$D29&lt;6,$E29="&lt;6in DSH for Tree Points",_xlpm.TreePoints_H=0),
Error!$B$21,
IF(AND(_xlpm.baseRow,$E29&lt;&gt;"",$D29&lt;&gt;"",$F29=""),
Error!$B$4,
IF(AND(_xlpm.baseRow,$F29="Remove",OR($E29="Tier 1",$E29="Tier 2",$E29="Tier 2 Grove"),COUNTBLANK(_xlpm.HRange)&lt;3,_xlpm.uniqueH&gt;=2),
Error!$B$48,
IF(AND(_xlpm.baseRow,$F29="Retain",OR($E29="Tier 1",$E29="Tier 2",$E29="Tier 2 Grove"),COUNTIF(_xlpm.HRange,"Tree Code: Required to Retain Tier 1-2 Tree")=0),
Error!$B$47,
IF(AND(_xlpm.baseRow,$E29&lt;&gt;"",$D29&lt;&gt;"",$F29&lt;&gt;"",COUNTBLANK(_xlpm.HRange)=4),
Error!$B$5,
IF(AND($F29="Remove",$H29&lt;&gt;"",$I29=""),
Error!$B$18,
IF(AND($E29="Tier 4",$F29="Remove",$H29="Tree Protection Code: Tier 3 or Tier 4 Allowance",$H29&lt;&gt;"",ISNA(MATCH($I29,Tables!$B$200,0))),
Error!$B$17,
IF(AND($E29="Tier 3",$F29="Remove",$H29&lt;&gt;"",$H29="Tree Protection Code: Tier 3 or Tier 4 Allowance",OR($I29="",ISNA(MATCH($I29,Tables!$B$193:$B$197,0)))),
Error!$B$17,
IF(AND(OR($E29="Tier 2",$E29="Tier 2 Grove"),$F29="Remove",$H29="Tree Protection Code: Other removal allowance or exemption",$I29&lt;&gt;"",ISNA(MATCH($I29,Tables!$B$215:$B$218,0))),
Error!$B$17,
IF(AND(OR($E29="Tier 2",$E29="Tier 2 Grove"),$F29="Remove",$H29="Tree Protection Code: Development Capacity",$I29&lt;&gt;"",ISNA(MATCH($I29,Tables!$B$193:$B$197,0))),
Error!$B$17,
IF(AND(OR($E29="Tier 2",$E29="Tier 2 Grove"),$F29="Remove",$H29="Tree Protection Code: Necessary for Construction",$I29&lt;&gt;"",ISNA(MATCH($I29,Tables!$B$193:$B$197,0))),
Error!$B$17,
IF(AND($E29="Tier 1",$F29="Remove",$H29="Tree Protection Code: Special Exception",$I29&lt;&gt;"",ISNA(MATCH($I29,Tables!$B$215:$B$218,0))),
Error!$B$17,
IF(AND($E29="Tier 1",$F29="Remove",$H29="Tree Protection Code: Other removal allowance or exemption",$I29&lt;&gt;"",ISNA(MATCH($I29,Tables!$B$215:$B$218,0))),
Error!$B$17,
IF(AND($E29="ECA / Shoreline Tree",$F29="Remove",$H29&lt;&gt;"",OR($H29="Shoreline",$H29="Environmental Critical Area (ECA)"),ISNA(MATCH($I29,Tables!$B$209:$B$212,0))),
Error!$B$17,
IF(AND(_xlpm.baseRow,$F29="Retain",$E29="ECA / Shoreline Tree",_xlpm.ECA_Short=0),
Error!$B$61,
IF(AND($F29="Remove",ISNUMBER(MATCH($E29,{"Tier 1","Tier 2","Tier 3","Tier 4","Tier 2 Grove"},0)),ISNUMBER(MATCH($I29,{"On-site replacement","Off-site replacement"},0)),$J29="",$H29&lt;&gt;""),
Error!$B$19,
IF(AND(_xlpm.baseRow,$E29&lt;&gt;"",$D29&lt;&gt;"",$F29&lt;&gt;"",COUNTBLANK($B29:$C29)&gt;0,COUNTBLANK(_xlpm.HRange)&lt;&gt;4),
Error!$B$22,
IF(AND($H29="Zoning: Tree Points",$K29&lt;&gt;"",ISNA(MATCH($K29,Tables!$B$242:$B$253,0))),
Error!$B$58,
IF(AND($H29="Zoning: Tree Points",$K29="Small",$L29&lt;&gt;"",ISNA(MATCH($L29,Tables!$C$243:$C$244,0))),
Error!$B$59,
IF(AND($H29="Zoning: Tree Points",$K29="Small/Medium",$L29&lt;&gt;"",ISNA(MATCH($L29,Tables!$C$246:$C$247,0))),
Error!$B$59,
IF(AND($H29="Zoning: Tree Points",$K29="Medium/Large",$L29&lt;&gt;"",ISNA(MATCH($L29,Tables!$C$249:$C$250,0))),
Error!$B$59,
IF(AND($H29="Zoning: Tree Points",$K29="Large",$L29&lt;&gt;"",ISNA(MATCH($L29,Tables!$C$252:$C$253,0))),
Error!$B$59,
IF(AND($F29="Retain",$H29="Zoning: Tree Points",$C29&lt;&gt;"",$D29&lt;&gt;"",OR($K29="",$L29="",$M29="")),
Error!$B$20,
""
)))))))))))))))))))))))))))))))))))))))))))))))))))))))),
Error!$B$23))</f>
        <v/>
      </c>
      <c r="O29" s="343" t="str" cm="1">
        <f t="array" aca="1" ref="O29" ca="1">IFERROR(_xlfn.LET(
    _xlpm.txt, $C29,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0" spans="1:15" ht="15" thickBot="1" x14ac:dyDescent="0.35">
      <c r="A30" s="320"/>
      <c r="B30" s="616" t="str">
        <f t="shared" si="4"/>
        <v/>
      </c>
      <c r="C30" s="617" t="str">
        <f>IF($C29="", "", $C29)</f>
        <v/>
      </c>
      <c r="D30" s="618" t="str">
        <f t="shared" si="5"/>
        <v/>
      </c>
      <c r="E30" s="616" t="str">
        <f>IF($E29="", "", $E29)</f>
        <v/>
      </c>
      <c r="F30" s="616" t="str">
        <f>IF($F29="", "", $F29)</f>
        <v/>
      </c>
      <c r="G30" s="619" t="str">
        <f>IF(Tree_Table1[[#This Row],[Tree Status  &amp;]]="Retain", Tables!$B$237, IF(Tree_Table1[[#This Row],[Tree Status  &amp;]]="Remove", Tables!$B$238, ""))</f>
        <v/>
      </c>
      <c r="H30" s="329"/>
      <c r="I30" s="330"/>
      <c r="J30" s="455"/>
      <c r="K30" s="327" t="str">
        <f>IFERROR(
    IF(
        AND($H30="Zoning: Tree Points", NOT(ISNUMBER(SEARCH("sp.", $C30)))),
        VLOOKUP($C30, 'Tree List'!$C$3:$F$601, 4, FALSE),
        ""
    ),
"")</f>
        <v/>
      </c>
      <c r="L30" s="328" t="str" cm="1">
        <f t="array" ref="L30">IFERROR(
IF(
    AND($H30="Zoning: Tree Points", NOT(ISNUMBER(SEARCH("sp.", $C30)))),
    _xlfn.IFS(
        (COUNTIFS('Tree List'!$C$3:$C$601,$C30,'Tree List'!$D$3:$D$601,"Coniferous")
        + COUNTIFS('Tree List'!$C$3:$C$601,$C30,'Tree List'!$D$3:$D$601,"Deciduous Conifer")) &gt; 0,
            _xlfn.IFS($K30="Small",0.5,$K30="Small/Medium",1,$K30="Medium/Large",1.4,$K30="Large",1.8),
        (COUNTIFS('Tree List'!$C$3:$C$601,$C30,'Tree List'!$D$3:$D$601,"Deciduous")
        + COUNTIFS('Tree List'!$C$3:$C$601,$C30,'Tree List'!$D$3:$D$601,"Broadleaf Evergreen")) &gt; 0,
            _xlfn.IFS($K30="Small",0.4,$K30="Small/Medium",0.8,$K30="Medium/Large",1.2,$K30="Large",1.6)
    ),
    ""
),
"")</f>
        <v/>
      </c>
      <c r="M30" s="476" t="str">
        <f t="shared" si="0"/>
        <v/>
      </c>
      <c r="N30" s="347" t="str" cm="1">
        <f t="array" aca="1" ref="N3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IF(AND(_xlpm.baseRow,ISNA(MATCH($C30,'Tree List'!$C$3:$C$601,0)),SUMPRODUCT(--ISNUMBER(SEARCH(Tables2!$C$677:$C$772,$O30)))&gt;0),
Error!$B$57,
IF(AND(_xlpm.hasDM,$F30="Remove",$H30&lt;&gt;"",OR($I30="On-site replacement",$I30="Off-site replacement",$I30="Payment In Lieu")),
Error!$B$56,
IF(AND(_xlpm.hasDM,$F30="Remove",$H30&lt;&gt;"",$I30="Relocation"),
Error!$B$66,
IF(AND(OR(_xlpm.hasCN,_xlpm.hasPH,_xlpm.hasGR),$H30&lt;&gt;"",COUNTIF(Tables!$B$132:$B$134,$H30)&gt;0,$I30="N/A (No replacement required)"),
Error!$B$62,
IF(AND(_xlpm.baseRow,$E30&lt;&gt;"",ISNA(MATCH($E30,Tables!$B$225:$B$232,0))),
Error!$B$2,
IF(AND(_xlpm.baseRow,$F30&lt;&gt;"",ISNA(MATCH($F30,Tables!$B$234:$B$235,0))),
Error!$B$24,
IF(AND(_xlpm.baseRow,_xlpm.ECA_H&gt;0,_xlpm.Shore_H&gt;0),
Error!$B$16,
IF(AND(_xlpm.baseRow,$E30&lt;&gt;"",$D30=""),
Error!$B$3,
IF(AND(_xlpm.baseRow,OR($E30="Tier 3",$E30="Tier 4"),$C30&lt;&gt;"",$D30&gt;=24,COUNTIF(Tables2!$B$166:$B$674,$C30)&gt;0),
Error!$B$44,
IF(AND(_xlpm.baseRow,OR($E30="Tier 3",$E30="Tier 4"),$C30&lt;&gt;"",$D30&lt;&gt;"",COUNTIF(Tables2!$B$73:$B$152,$C30)&gt;0,
$D30&gt;=IFERROR(INDEX(Tables2!$C$73:$C$152,MATCH($C30,Tables2!$B$73:$B$152,0)),-1)),
Error!$B$44,
IF(AND(_xlpm.baseRow,OR($E30="Tier 2",$E30="Tier 2 Grove"),$C30&lt;&gt;"",$D30&gt;=12,COUNTIF(Tables2!$B$153:$B$162,$C30)&gt;0),
Error!$B$45,
IF(AND(_xlpm.baseRow,$E30="Tier 2 Grove",$D30&lt;12),
Error!$B$41,
IF(AND(_xlpm.baseRow,$E30="Tier 2",$D30&lt;5.88),
Error!$B$40,
IF(AND(_xlpm.baseRow,OR($E30="Tier 2",$E30="Tier 2 Grove"),$C30&lt;&gt;"",$D30&lt;12,$D30&gt;=6,COUNTIF(Tables2!$B$153:$B$162,$C30)&gt;0),
Error!$B$54,
IF(AND(_xlpm.baseRow,$E30="Tier 2",COUNTIF(Tables2!$B$166:$B$674,$C30)&gt;0,$D30&lt;24),
Error!$B$54,
IF(AND(_xlpm.baseRow,$E30="Tier 3",ISNA(MATCH($C30,Tables2!$B$153:$B$162,0)),OR($D30&lt;12,$D30&gt;=24)),
Error!$B$9,
IF(AND(_xlpm.baseRow,$E30="Tier 3",COUNTIF(Tables2!$B$153:$B$162,$C30)&gt;0,$D30&lt;12),
Error!$B$46,
IF(AND(_xlpm.baseRow,$E30="Tier 4",OR($D30&lt;6,$D30&gt;=12)),
Error!$B$10,
IF(AND(_xlpm.baseRow,$E30="&lt;6in DSH for Tree Points",OR($D30&gt;=6,$D30="")),
Error!$B$8,
IF(AND(_xlpm.baseRow,$E30="Street Tree for Green Factor",$F30&lt;&gt;"",$F30&lt;&gt;"Retain"),
Error!$B$14,
IF(AND($E30="&lt;6in DSH for Tree Points",$F30="Retain",$H30&lt;&gt;"",ISNA(MATCH($H30,Tables!$B$174:$B$174,0))),
Error!$B$15,
IF(AND($E30="Street Tree for Green Factor",$F30="Retain",$H30&lt;&gt;"",$H30&lt;&gt;"Zoning: Green Factor"),
Error!$B$15,
IF(AND($E30="ECA / Shoreline Tree",$F30="Remove",$H30&lt;&gt;"",ISNA(MATCH($H30,Tables!$B$189:$B$190,0))),
Error!$B$15,
IF(AND($E30="ECA / Shoreline Tree",$F30="Retain",$H30&lt;&gt;"",ISNA(MATCH($H30,Tables!$B$184:$B$186,0))),
Error!$B$15,
IF(AND($E30="Tier 4",$F30="Remove",$H30&lt;&gt;"",ISNA(MATCH($H30,Tables!$B$171,0))),
Error!$B$15,
IF(AND($E30="Tier 4",$F30="Retain",$H30&lt;&gt;"",ISNA(MATCH($H30,Tables!$B$166:$B$168,0))),
Error!$B$15,
IF(AND($E30="Tier 3",$F30="Retain",$H30&lt;&gt;"",ISNA(MATCH($H30,Tables!$B$158:$B$160,0))),
Error!$B$15,
IF(AND($E30="Tier 3",$F30="Remove",$H30&lt;&gt;"",ISNA(MATCH($H30,Tables!$B$163,0))),
Error!$B$15,
IF(AND(OR($E30="Tier 2",$E30="Tier 2 Grove"),$F30="Remove",$H30&lt;&gt;"",ISNA(MATCH($H30,Tables!$B$153:$B$155,0))),
Error!$B$15,
IF(AND(OR($E30="Tier 2",$E30="Tier 2 Grove"),$F30="Retain",$H30&lt;&gt;"",ISNA(MATCH($H30,Tables!$B$147:$B$150,0))),
Error!$B$15,
IF(AND($E30="Tier 1",$F30="Remove",$H30&lt;&gt;"",ISNA(MATCH($H30,Tables!$B$143:$B$144,0))),
Error!$B$15,
IF(AND($E30="Tier 1",$F30="Retain",$H30&lt;&gt;"",ISNA(MATCH($H30,Tables!$B$137:$B$140,0))),
Error!$B$15,
IF(AND($E30&lt;&gt;"Tier 2",$E30&lt;&gt;"Tier 2 Grove",$E30&lt;&gt;"Tier 3",$E30&lt;&gt;"Tier 4",$H30="Zoning: Green Factor",OR($D30="",$D30&lt;6)),
Error!$B$11,
IF(AND(_xlpm.baseRow,$D30&lt;6,$E30="&lt;6in DSH for Tree Points",_xlpm.TreePoints_H=0),
Error!$B$21,
IF(AND(_xlpm.baseRow,$E30&lt;&gt;"",$D30&lt;&gt;"",$F30=""),
Error!$B$4,
IF(AND(_xlpm.baseRow,$F30="Remove",OR($E30="Tier 1",$E30="Tier 2",$E30="Tier 2 Grove"),COUNTBLANK(_xlpm.HRange)&lt;3,_xlpm.uniqueH&gt;=2),
Error!$B$48,
IF(AND(_xlpm.baseRow,$F30="Retain",OR($E30="Tier 1",$E30="Tier 2",$E30="Tier 2 Grove"),COUNTIF(_xlpm.HRange,"Tree Code: Required to Retain Tier 1-2 Tree")=0),
Error!$B$47,
IF(AND(_xlpm.baseRow,$E30&lt;&gt;"",$D30&lt;&gt;"",$F30&lt;&gt;"",COUNTBLANK(_xlpm.HRange)=4),
Error!$B$5,
IF(AND($F30="Remove",$H30&lt;&gt;"",$I30=""),
Error!$B$18,
IF(AND($E30="Tier 4",$F30="Remove",$H30="Tree Protection Code: Tier 3 or Tier 4 Allowance",$H30&lt;&gt;"",ISNA(MATCH($I30,Tables!$B$200,0))),
Error!$B$17,
IF(AND($E30="Tier 3",$F30="Remove",$H30&lt;&gt;"",$H30="Tree Protection Code: Tier 3 or Tier 4 Allowance",OR($I30="",ISNA(MATCH($I30,Tables!$B$193:$B$197,0)))),
Error!$B$17,
IF(AND(OR($E30="Tier 2",$E30="Tier 2 Grove"),$F30="Remove",$H30="Tree Protection Code: Other removal allowance or exemption",$I30&lt;&gt;"",ISNA(MATCH($I30,Tables!$B$215:$B$218,0))),
Error!$B$17,
IF(AND(OR($E30="Tier 2",$E30="Tier 2 Grove"),$F30="Remove",$H30="Tree Protection Code: Development Capacity",$I30&lt;&gt;"",ISNA(MATCH($I30,Tables!$B$193:$B$197,0))),
Error!$B$17,
IF(AND(OR($E30="Tier 2",$E30="Tier 2 Grove"),$F30="Remove",$H30="Tree Protection Code: Necessary for Construction",$I30&lt;&gt;"",ISNA(MATCH($I30,Tables!$B$193:$B$197,0))),
Error!$B$17,
IF(AND($E30="Tier 1",$F30="Remove",$H30="Tree Protection Code: Special Exception",$I30&lt;&gt;"",ISNA(MATCH($I30,Tables!$B$215:$B$218,0))),
Error!$B$17,
IF(AND($E30="Tier 1",$F30="Remove",$H30="Tree Protection Code: Other removal allowance or exemption",$I30&lt;&gt;"",ISNA(MATCH($I30,Tables!$B$215:$B$218,0))),
Error!$B$17,
IF(AND($E30="ECA / Shoreline Tree",$F30="Remove",$H30&lt;&gt;"",OR($H30="Shoreline",$H30="Environmental Critical Area (ECA)"),ISNA(MATCH($I30,Tables!$B$209:$B$212,0))),
Error!$B$17,
IF(AND(_xlpm.baseRow,$F30="Retain",$E30="ECA / Shoreline Tree",_xlpm.ECA_Short=0),
Error!$B$61,
IF(AND($F30="Remove",ISNUMBER(MATCH($E30,{"Tier 1","Tier 2","Tier 3","Tier 4","Tier 2 Grove"},0)),ISNUMBER(MATCH($I30,{"On-site replacement","Off-site replacement"},0)),$J30="",$H30&lt;&gt;""),
Error!$B$19,
IF(AND(_xlpm.baseRow,$E30&lt;&gt;"",$D30&lt;&gt;"",$F30&lt;&gt;"",COUNTBLANK($B30:$C30)&gt;0,COUNTBLANK(_xlpm.HRange)&lt;&gt;4),
Error!$B$22,
IF(AND($H30="Zoning: Tree Points",$K30&lt;&gt;"",ISNA(MATCH($K30,Tables!$B$242:$B$253,0))),
Error!$B$58,
IF(AND($H30="Zoning: Tree Points",$K30="Small",$L30&lt;&gt;"",ISNA(MATCH($L30,Tables!$C$243:$C$244,0))),
Error!$B$59,
IF(AND($H30="Zoning: Tree Points",$K30="Small/Medium",$L30&lt;&gt;"",ISNA(MATCH($L30,Tables!$C$246:$C$247,0))),
Error!$B$59,
IF(AND($H30="Zoning: Tree Points",$K30="Medium/Large",$L30&lt;&gt;"",ISNA(MATCH($L30,Tables!$C$249:$C$250,0))),
Error!$B$59,
IF(AND($H30="Zoning: Tree Points",$K30="Large",$L30&lt;&gt;"",ISNA(MATCH($L30,Tables!$C$252:$C$253,0))),
Error!$B$59,
IF(AND($F30="Retain",$H30="Zoning: Tree Points",$C30&lt;&gt;"",$D30&lt;&gt;"",OR($K30="",$L30="",$M30="")),
Error!$B$20,
""
)))))))))))))))))))))))))))))))))))))))))))))))))))))))),
Error!$B$23))</f>
        <v/>
      </c>
      <c r="O30" s="343" t="str" cm="1">
        <f t="array" aca="1" ref="O30" ca="1">IFERROR(_xlfn.LET(
    _xlpm.txt, $C30,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1" spans="1:15" ht="15" thickBot="1" x14ac:dyDescent="0.35">
      <c r="A31" s="311">
        <v>6</v>
      </c>
      <c r="B31" s="312"/>
      <c r="C31" s="313"/>
      <c r="D31" s="478"/>
      <c r="E31" s="314"/>
      <c r="F31" s="314"/>
      <c r="G31" s="315" t="str">
        <f>IF(Tree_Table1[[#This Row],[Tree Status  &amp;]]="Retain", Tables!$B$237, IF(Tree_Table1[[#This Row],[Tree Status  &amp;]]="Remove", Tables!$B$238, ""))</f>
        <v/>
      </c>
      <c r="H31" s="316"/>
      <c r="I31" s="317"/>
      <c r="J31" s="452"/>
      <c r="K31" s="318" t="str">
        <f>IFERROR(
    IF(
        AND($H31="Zoning: Tree Points", NOT(ISNUMBER(SEARCH("sp.", $C31)))),
        VLOOKUP($C31, 'Tree List'!$C$3:$F$601, 4, FALSE),
        ""
    ),
"")</f>
        <v/>
      </c>
      <c r="L31" s="319" t="str" cm="1">
        <f t="array" ref="L31">IFERROR(
IF(
    AND($H31="Zoning: Tree Points", NOT(ISNUMBER(SEARCH("sp.", $C31)))),
    _xlfn.IFS(
        (COUNTIFS('Tree List'!$C$3:$C$601,$C31,'Tree List'!$D$3:$D$601,"Coniferous")
        + COUNTIFS('Tree List'!$C$3:$C$601,$C31,'Tree List'!$D$3:$D$601,"Deciduous Conifer")) &gt; 0,
            _xlfn.IFS($K31="Small",0.5,$K31="Small/Medium",1,$K31="Medium/Large",1.4,$K31="Large",1.8),
        (COUNTIFS('Tree List'!$C$3:$C$601,$C31,'Tree List'!$D$3:$D$601,"Deciduous")
        + COUNTIFS('Tree List'!$C$3:$C$601,$C31,'Tree List'!$D$3:$D$601,"Broadleaf Evergreen")) &gt; 0,
            _xlfn.IFS($K31="Small",0.4,$K31="Small/Medium",0.8,$K31="Medium/Large",1.2,$K31="Large",1.6)
    ),
    ""
),
"")</f>
        <v/>
      </c>
      <c r="M31" s="474" t="str">
        <f>IFERROR($D31*$L31,"")</f>
        <v/>
      </c>
      <c r="N31" s="620" t="str" cm="1">
        <f t="array" aca="1" ref="N3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IF(AND(_xlpm.baseRow,ISNA(MATCH($C31,'Tree List'!$C$3:$C$601,0)),SUMPRODUCT(--ISNUMBER(SEARCH(Tables2!$C$677:$C$772,$O31)))&gt;0),
Error!$B$57,
IF(AND(_xlpm.hasDM,$F31="Remove",$H31&lt;&gt;"",OR($I31="On-site replacement",$I31="Off-site replacement",$I31="Payment In Lieu")),
Error!$B$56,
IF(AND(_xlpm.hasDM,$F31="Remove",$H31&lt;&gt;"",$I31="Relocation"),
Error!$B$66,
IF(AND(OR(_xlpm.hasCN,_xlpm.hasPH,_xlpm.hasGR),$H31&lt;&gt;"",COUNTIF(Tables!$B$132:$B$134,$H31)&gt;0,$I31="N/A (No replacement required)"),
Error!$B$62,
IF(AND(_xlpm.baseRow,$E31&lt;&gt;"",ISNA(MATCH($E31,Tables!$B$225:$B$232,0))),
Error!$B$2,
IF(AND(_xlpm.baseRow,$F31&lt;&gt;"",ISNA(MATCH($F31,Tables!$B$234:$B$235,0))),
Error!$B$24,
IF(AND(_xlpm.baseRow,_xlpm.ECA_H&gt;0,_xlpm.Shore_H&gt;0),
Error!$B$16,
IF(AND(_xlpm.baseRow,$E31&lt;&gt;"",$D31=""),
Error!$B$3,
IF(AND(_xlpm.baseRow,OR($E31="Tier 3",$E31="Tier 4"),$C31&lt;&gt;"",$D31&gt;=24,COUNTIF(Tables2!$B$166:$B$674,$C31)&gt;0),
Error!$B$44,
IF(AND(_xlpm.baseRow,OR($E31="Tier 3",$E31="Tier 4"),$C31&lt;&gt;"",$D31&lt;&gt;"",COUNTIF(Tables2!$B$73:$B$152,$C31)&gt;0,
$D31&gt;=IFERROR(INDEX(Tables2!$C$73:$C$152,MATCH($C31,Tables2!$B$73:$B$152,0)),-1)),
Error!$B$44,
IF(AND(_xlpm.baseRow,OR($E31="Tier 2",$E31="Tier 2 Grove"),$C31&lt;&gt;"",$D31&gt;=12,COUNTIF(Tables2!$B$153:$B$162,$C31)&gt;0),
Error!$B$45,
IF(AND(_xlpm.baseRow,$E31="Tier 2 Grove",$D31&lt;12),
Error!$B$41,
IF(AND(_xlpm.baseRow,$E31="Tier 2",$D31&lt;5.88),
Error!$B$40,
IF(AND(_xlpm.baseRow,OR($E31="Tier 2",$E31="Tier 2 Grove"),$C31&lt;&gt;"",$D31&lt;12,$D31&gt;=6,COUNTIF(Tables2!$B$153:$B$162,$C31)&gt;0),
Error!$B$54,
IF(AND(_xlpm.baseRow,$E31="Tier 2",COUNTIF(Tables2!$B$166:$B$674,$C31)&gt;0,$D31&lt;24),
Error!$B$54,
IF(AND(_xlpm.baseRow,$E31="Tier 3",ISNA(MATCH($C31,Tables2!$B$153:$B$162,0)),OR($D31&lt;12,$D31&gt;=24)),
Error!$B$9,
IF(AND(_xlpm.baseRow,$E31="Tier 3",COUNTIF(Tables2!$B$153:$B$162,$C31)&gt;0,$D31&lt;12),
Error!$B$46,
IF(AND(_xlpm.baseRow,$E31="Tier 4",OR($D31&lt;6,$D31&gt;=12)),
Error!$B$10,
IF(AND(_xlpm.baseRow,$E31="&lt;6in DSH for Tree Points",OR($D31&gt;=6,$D31="")),
Error!$B$8,
IF(AND(_xlpm.baseRow,$E31="Street Tree for Green Factor",$F31&lt;&gt;"",$F31&lt;&gt;"Retain"),
Error!$B$14,
IF(AND($E31="&lt;6in DSH for Tree Points",$F31="Retain",$H31&lt;&gt;"",ISNA(MATCH($H31,Tables!$B$174:$B$174,0))),
Error!$B$15,
IF(AND($E31="Street Tree for Green Factor",$F31="Retain",$H31&lt;&gt;"",$H31&lt;&gt;"Zoning: Green Factor"),
Error!$B$15,
IF(AND($E31="ECA / Shoreline Tree",$F31="Remove",$H31&lt;&gt;"",ISNA(MATCH($H31,Tables!$B$189:$B$190,0))),
Error!$B$15,
IF(AND($E31="ECA / Shoreline Tree",$F31="Retain",$H31&lt;&gt;"",ISNA(MATCH($H31,Tables!$B$184:$B$186,0))),
Error!$B$15,
IF(AND($E31="Tier 4",$F31="Remove",$H31&lt;&gt;"",ISNA(MATCH($H31,Tables!$B$171,0))),
Error!$B$15,
IF(AND($E31="Tier 4",$F31="Retain",$H31&lt;&gt;"",ISNA(MATCH($H31,Tables!$B$166:$B$168,0))),
Error!$B$15,
IF(AND($E31="Tier 3",$F31="Retain",$H31&lt;&gt;"",ISNA(MATCH($H31,Tables!$B$158:$B$160,0))),
Error!$B$15,
IF(AND($E31="Tier 3",$F31="Remove",$H31&lt;&gt;"",ISNA(MATCH($H31,Tables!$B$163,0))),
Error!$B$15,
IF(AND(OR($E31="Tier 2",$E31="Tier 2 Grove"),$F31="Remove",$H31&lt;&gt;"",ISNA(MATCH($H31,Tables!$B$153:$B$155,0))),
Error!$B$15,
IF(AND(OR($E31="Tier 2",$E31="Tier 2 Grove"),$F31="Retain",$H31&lt;&gt;"",ISNA(MATCH($H31,Tables!$B$147:$B$150,0))),
Error!$B$15,
IF(AND($E31="Tier 1",$F31="Remove",$H31&lt;&gt;"",ISNA(MATCH($H31,Tables!$B$143:$B$144,0))),
Error!$B$15,
IF(AND($E31="Tier 1",$F31="Retain",$H31&lt;&gt;"",ISNA(MATCH($H31,Tables!$B$137:$B$140,0))),
Error!$B$15,
IF(AND($E31&lt;&gt;"Tier 2",$E31&lt;&gt;"Tier 2 Grove",$E31&lt;&gt;"Tier 3",$E31&lt;&gt;"Tier 4",$H31="Zoning: Green Factor",OR($D31="",$D31&lt;6)),
Error!$B$11,
IF(AND(_xlpm.baseRow,$D31&lt;6,$E31="&lt;6in DSH for Tree Points",_xlpm.TreePoints_H=0),
Error!$B$21,
IF(AND(_xlpm.baseRow,$E31&lt;&gt;"",$D31&lt;&gt;"",$F31=""),
Error!$B$4,
IF(AND(_xlpm.baseRow,$F31="Remove",OR($E31="Tier 1",$E31="Tier 2",$E31="Tier 2 Grove"),COUNTBLANK(_xlpm.HRange)&lt;3,_xlpm.uniqueH&gt;=2),
Error!$B$48,
IF(AND(_xlpm.baseRow,$F31="Retain",OR($E31="Tier 1",$E31="Tier 2",$E31="Tier 2 Grove"),COUNTIF(_xlpm.HRange,"Tree Code: Required to Retain Tier 1-2 Tree")=0),
Error!$B$47,
IF(AND(_xlpm.baseRow,$E31&lt;&gt;"",$D31&lt;&gt;"",$F31&lt;&gt;"",COUNTBLANK(_xlpm.HRange)=4),
Error!$B$5,
IF(AND($F31="Remove",$H31&lt;&gt;"",$I31=""),
Error!$B$18,
IF(AND($E31="Tier 4",$F31="Remove",$H31="Tree Protection Code: Tier 3 or Tier 4 Allowance",$H31&lt;&gt;"",ISNA(MATCH($I31,Tables!$B$200,0))),
Error!$B$17,
IF(AND($E31="Tier 3",$F31="Remove",$H31&lt;&gt;"",$H31="Tree Protection Code: Tier 3 or Tier 4 Allowance",OR($I31="",ISNA(MATCH($I31,Tables!$B$193:$B$197,0)))),
Error!$B$17,
IF(AND(OR($E31="Tier 2",$E31="Tier 2 Grove"),$F31="Remove",$H31="Tree Protection Code: Other removal allowance or exemption",$I31&lt;&gt;"",ISNA(MATCH($I31,Tables!$B$215:$B$218,0))),
Error!$B$17,
IF(AND(OR($E31="Tier 2",$E31="Tier 2 Grove"),$F31="Remove",$H31="Tree Protection Code: Development Capacity",$I31&lt;&gt;"",ISNA(MATCH($I31,Tables!$B$193:$B$197,0))),
Error!$B$17,
IF(AND(OR($E31="Tier 2",$E31="Tier 2 Grove"),$F31="Remove",$H31="Tree Protection Code: Necessary for Construction",$I31&lt;&gt;"",ISNA(MATCH($I31,Tables!$B$193:$B$197,0))),
Error!$B$17,
IF(AND($E31="Tier 1",$F31="Remove",$H31="Tree Protection Code: Special Exception",$I31&lt;&gt;"",ISNA(MATCH($I31,Tables!$B$215:$B$218,0))),
Error!$B$17,
IF(AND($E31="Tier 1",$F31="Remove",$H31="Tree Protection Code: Other removal allowance or exemption",$I31&lt;&gt;"",ISNA(MATCH($I31,Tables!$B$215:$B$218,0))),
Error!$B$17,
IF(AND($E31="ECA / Shoreline Tree",$F31="Remove",$H31&lt;&gt;"",OR($H31="Shoreline",$H31="Environmental Critical Area (ECA)"),ISNA(MATCH($I31,Tables!$B$209:$B$212,0))),
Error!$B$17,
IF(AND(_xlpm.baseRow,$F31="Retain",$E31="ECA / Shoreline Tree",_xlpm.ECA_Short=0),
Error!$B$61,
IF(AND($F31="Remove",ISNUMBER(MATCH($E31,{"Tier 1","Tier 2","Tier 3","Tier 4","Tier 2 Grove"},0)),ISNUMBER(MATCH($I31,{"On-site replacement","Off-site replacement"},0)),$J31="",$H31&lt;&gt;""),
Error!$B$19,
IF(AND(_xlpm.baseRow,$E31&lt;&gt;"",$D31&lt;&gt;"",$F31&lt;&gt;"",COUNTBLANK($B31:$C31)&gt;0,COUNTBLANK(_xlpm.HRange)&lt;&gt;4),
Error!$B$22,
IF(AND($H31="Zoning: Tree Points",$K31&lt;&gt;"",ISNA(MATCH($K31,Tables!$B$242:$B$253,0))),
Error!$B$58,
IF(AND($H31="Zoning: Tree Points",$K31="Small",$L31&lt;&gt;"",ISNA(MATCH($L31,Tables!$C$243:$C$244,0))),
Error!$B$59,
IF(AND($H31="Zoning: Tree Points",$K31="Small/Medium",$L31&lt;&gt;"",ISNA(MATCH($L31,Tables!$C$246:$C$247,0))),
Error!$B$59,
IF(AND($H31="Zoning: Tree Points",$K31="Medium/Large",$L31&lt;&gt;"",ISNA(MATCH($L31,Tables!$C$249:$C$250,0))),
Error!$B$59,
IF(AND($H31="Zoning: Tree Points",$K31="Large",$L31&lt;&gt;"",ISNA(MATCH($L31,Tables!$C$252:$C$253,0))),
Error!$B$59,
IF(AND($F31="Retain",$H31="Zoning: Tree Points",$C31&lt;&gt;"",$D31&lt;&gt;"",OR($K31="",$L31="",$M31="")),
Error!$B$20,
""
)))))))))))))))))))))))))))))))))))))))))))))))))))))))),
Error!$B$23))</f>
        <v/>
      </c>
      <c r="O31" s="343" t="str" cm="1">
        <f t="array" aca="1" ref="O31" ca="1">IFERROR(_xlfn.LET(
    _xlpm.txt, $C31,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2" spans="1:15" x14ac:dyDescent="0.3">
      <c r="A32" s="320"/>
      <c r="B32" s="616" t="str">
        <f t="shared" ref="B32:B34" si="6">IF($B31="", "", $B31)</f>
        <v/>
      </c>
      <c r="C32" s="617" t="str">
        <f>IF($C31="", "", $C31)</f>
        <v/>
      </c>
      <c r="D32" s="618" t="str">
        <f>IF($D31="", "", $D31)</f>
        <v/>
      </c>
      <c r="E32" s="616" t="str">
        <f>IF($E31="", "", $E31)</f>
        <v/>
      </c>
      <c r="F32" s="616" t="str">
        <f>IF($F31="", "", $F31)</f>
        <v/>
      </c>
      <c r="G32" s="619" t="str">
        <f>IF(Tree_Table1[[#This Row],[Tree Status  &amp;]]="Retain", Tables!$B$237, IF(Tree_Table1[[#This Row],[Tree Status  &amp;]]="Remove", Tables!$B$238, ""))</f>
        <v/>
      </c>
      <c r="H32" s="321"/>
      <c r="I32" s="322"/>
      <c r="J32" s="453"/>
      <c r="K32" s="323" t="str">
        <f>IFERROR(
    IF(
        AND($H32="Zoning: Tree Points", NOT(ISNUMBER(SEARCH("sp.", $C32)))),
        VLOOKUP($C32, 'Tree List'!$C$3:$F$601, 4, FALSE),
        ""
    ),
"")</f>
        <v/>
      </c>
      <c r="L32" s="324" t="str" cm="1">
        <f t="array" ref="L32">IFERROR(
IF(
    AND($H32="Zoning: Tree Points", NOT(ISNUMBER(SEARCH("sp.", $C32)))),
    _xlfn.IFS(
        (COUNTIFS('Tree List'!$C$3:$C$601,$C32,'Tree List'!$D$3:$D$601,"Coniferous")
        + COUNTIFS('Tree List'!$C$3:$C$601,$C32,'Tree List'!$D$3:$D$601,"Deciduous Conifer")) &gt; 0,
            _xlfn.IFS($K32="Small",0.5,$K32="Small/Medium",1,$K32="Medium/Large",1.4,$K32="Large",1.8),
        (COUNTIFS('Tree List'!$C$3:$C$601,$C32,'Tree List'!$D$3:$D$601,"Deciduous")
        + COUNTIFS('Tree List'!$C$3:$C$601,$C32,'Tree List'!$D$3:$D$601,"Broadleaf Evergreen")) &gt; 0,
            _xlfn.IFS($K32="Small",0.4,$K32="Small/Medium",0.8,$K32="Medium/Large",1.2,$K32="Large",1.6)
    ),
    ""
),
"")</f>
        <v/>
      </c>
      <c r="M32" s="475" t="str">
        <f t="shared" si="0"/>
        <v/>
      </c>
      <c r="N32" s="346" t="str" cm="1">
        <f t="array" aca="1" ref="N3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IF(AND(_xlpm.baseRow,ISNA(MATCH($C32,'Tree List'!$C$3:$C$601,0)),SUMPRODUCT(--ISNUMBER(SEARCH(Tables2!$C$677:$C$772,$O32)))&gt;0),
Error!$B$57,
IF(AND(_xlpm.hasDM,$F32="Remove",$H32&lt;&gt;"",OR($I32="On-site replacement",$I32="Off-site replacement",$I32="Payment In Lieu")),
Error!$B$56,
IF(AND(_xlpm.hasDM,$F32="Remove",$H32&lt;&gt;"",$I32="Relocation"),
Error!$B$66,
IF(AND(OR(_xlpm.hasCN,_xlpm.hasPH,_xlpm.hasGR),$H32&lt;&gt;"",COUNTIF(Tables!$B$132:$B$134,$H32)&gt;0,$I32="N/A (No replacement required)"),
Error!$B$62,
IF(AND(_xlpm.baseRow,$E32&lt;&gt;"",ISNA(MATCH($E32,Tables!$B$225:$B$232,0))),
Error!$B$2,
IF(AND(_xlpm.baseRow,$F32&lt;&gt;"",ISNA(MATCH($F32,Tables!$B$234:$B$235,0))),
Error!$B$24,
IF(AND(_xlpm.baseRow,_xlpm.ECA_H&gt;0,_xlpm.Shore_H&gt;0),
Error!$B$16,
IF(AND(_xlpm.baseRow,$E32&lt;&gt;"",$D32=""),
Error!$B$3,
IF(AND(_xlpm.baseRow,OR($E32="Tier 3",$E32="Tier 4"),$C32&lt;&gt;"",$D32&gt;=24,COUNTIF(Tables2!$B$166:$B$674,$C32)&gt;0),
Error!$B$44,
IF(AND(_xlpm.baseRow,OR($E32="Tier 3",$E32="Tier 4"),$C32&lt;&gt;"",$D32&lt;&gt;"",COUNTIF(Tables2!$B$73:$B$152,$C32)&gt;0,
$D32&gt;=IFERROR(INDEX(Tables2!$C$73:$C$152,MATCH($C32,Tables2!$B$73:$B$152,0)),-1)),
Error!$B$44,
IF(AND(_xlpm.baseRow,OR($E32="Tier 2",$E32="Tier 2 Grove"),$C32&lt;&gt;"",$D32&gt;=12,COUNTIF(Tables2!$B$153:$B$162,$C32)&gt;0),
Error!$B$45,
IF(AND(_xlpm.baseRow,$E32="Tier 2 Grove",$D32&lt;12),
Error!$B$41,
IF(AND(_xlpm.baseRow,$E32="Tier 2",$D32&lt;5.88),
Error!$B$40,
IF(AND(_xlpm.baseRow,OR($E32="Tier 2",$E32="Tier 2 Grove"),$C32&lt;&gt;"",$D32&lt;12,$D32&gt;=6,COUNTIF(Tables2!$B$153:$B$162,$C32)&gt;0),
Error!$B$54,
IF(AND(_xlpm.baseRow,$E32="Tier 2",COUNTIF(Tables2!$B$166:$B$674,$C32)&gt;0,$D32&lt;24),
Error!$B$54,
IF(AND(_xlpm.baseRow,$E32="Tier 3",ISNA(MATCH($C32,Tables2!$B$153:$B$162,0)),OR($D32&lt;12,$D32&gt;=24)),
Error!$B$9,
IF(AND(_xlpm.baseRow,$E32="Tier 3",COUNTIF(Tables2!$B$153:$B$162,$C32)&gt;0,$D32&lt;12),
Error!$B$46,
IF(AND(_xlpm.baseRow,$E32="Tier 4",OR($D32&lt;6,$D32&gt;=12)),
Error!$B$10,
IF(AND(_xlpm.baseRow,$E32="&lt;6in DSH for Tree Points",OR($D32&gt;=6,$D32="")),
Error!$B$8,
IF(AND(_xlpm.baseRow,$E32="Street Tree for Green Factor",$F32&lt;&gt;"",$F32&lt;&gt;"Retain"),
Error!$B$14,
IF(AND($E32="&lt;6in DSH for Tree Points",$F32="Retain",$H32&lt;&gt;"",ISNA(MATCH($H32,Tables!$B$174:$B$174,0))),
Error!$B$15,
IF(AND($E32="Street Tree for Green Factor",$F32="Retain",$H32&lt;&gt;"",$H32&lt;&gt;"Zoning: Green Factor"),
Error!$B$15,
IF(AND($E32="ECA / Shoreline Tree",$F32="Remove",$H32&lt;&gt;"",ISNA(MATCH($H32,Tables!$B$189:$B$190,0))),
Error!$B$15,
IF(AND($E32="ECA / Shoreline Tree",$F32="Retain",$H32&lt;&gt;"",ISNA(MATCH($H32,Tables!$B$184:$B$186,0))),
Error!$B$15,
IF(AND($E32="Tier 4",$F32="Remove",$H32&lt;&gt;"",ISNA(MATCH($H32,Tables!$B$171,0))),
Error!$B$15,
IF(AND($E32="Tier 4",$F32="Retain",$H32&lt;&gt;"",ISNA(MATCH($H32,Tables!$B$166:$B$168,0))),
Error!$B$15,
IF(AND($E32="Tier 3",$F32="Retain",$H32&lt;&gt;"",ISNA(MATCH($H32,Tables!$B$158:$B$160,0))),
Error!$B$15,
IF(AND($E32="Tier 3",$F32="Remove",$H32&lt;&gt;"",ISNA(MATCH($H32,Tables!$B$163,0))),
Error!$B$15,
IF(AND(OR($E32="Tier 2",$E32="Tier 2 Grove"),$F32="Remove",$H32&lt;&gt;"",ISNA(MATCH($H32,Tables!$B$153:$B$155,0))),
Error!$B$15,
IF(AND(OR($E32="Tier 2",$E32="Tier 2 Grove"),$F32="Retain",$H32&lt;&gt;"",ISNA(MATCH($H32,Tables!$B$147:$B$150,0))),
Error!$B$15,
IF(AND($E32="Tier 1",$F32="Remove",$H32&lt;&gt;"",ISNA(MATCH($H32,Tables!$B$143:$B$144,0))),
Error!$B$15,
IF(AND($E32="Tier 1",$F32="Retain",$H32&lt;&gt;"",ISNA(MATCH($H32,Tables!$B$137:$B$140,0))),
Error!$B$15,
IF(AND($E32&lt;&gt;"Tier 2",$E32&lt;&gt;"Tier 2 Grove",$E32&lt;&gt;"Tier 3",$E32&lt;&gt;"Tier 4",$H32="Zoning: Green Factor",OR($D32="",$D32&lt;6)),
Error!$B$11,
IF(AND(_xlpm.baseRow,$D32&lt;6,$E32="&lt;6in DSH for Tree Points",_xlpm.TreePoints_H=0),
Error!$B$21,
IF(AND(_xlpm.baseRow,$E32&lt;&gt;"",$D32&lt;&gt;"",$F32=""),
Error!$B$4,
IF(AND(_xlpm.baseRow,$F32="Remove",OR($E32="Tier 1",$E32="Tier 2",$E32="Tier 2 Grove"),COUNTBLANK(_xlpm.HRange)&lt;3,_xlpm.uniqueH&gt;=2),
Error!$B$48,
IF(AND(_xlpm.baseRow,$F32="Retain",OR($E32="Tier 1",$E32="Tier 2",$E32="Tier 2 Grove"),COUNTIF(_xlpm.HRange,"Tree Code: Required to Retain Tier 1-2 Tree")=0),
Error!$B$47,
IF(AND(_xlpm.baseRow,$E32&lt;&gt;"",$D32&lt;&gt;"",$F32&lt;&gt;"",COUNTBLANK(_xlpm.HRange)=4),
Error!$B$5,
IF(AND($F32="Remove",$H32&lt;&gt;"",$I32=""),
Error!$B$18,
IF(AND($E32="Tier 4",$F32="Remove",$H32="Tree Protection Code: Tier 3 or Tier 4 Allowance",$H32&lt;&gt;"",ISNA(MATCH($I32,Tables!$B$200,0))),
Error!$B$17,
IF(AND($E32="Tier 3",$F32="Remove",$H32&lt;&gt;"",$H32="Tree Protection Code: Tier 3 or Tier 4 Allowance",OR($I32="",ISNA(MATCH($I32,Tables!$B$193:$B$197,0)))),
Error!$B$17,
IF(AND(OR($E32="Tier 2",$E32="Tier 2 Grove"),$F32="Remove",$H32="Tree Protection Code: Other removal allowance or exemption",$I32&lt;&gt;"",ISNA(MATCH($I32,Tables!$B$215:$B$218,0))),
Error!$B$17,
IF(AND(OR($E32="Tier 2",$E32="Tier 2 Grove"),$F32="Remove",$H32="Tree Protection Code: Development Capacity",$I32&lt;&gt;"",ISNA(MATCH($I32,Tables!$B$193:$B$197,0))),
Error!$B$17,
IF(AND(OR($E32="Tier 2",$E32="Tier 2 Grove"),$F32="Remove",$H32="Tree Protection Code: Necessary for Construction",$I32&lt;&gt;"",ISNA(MATCH($I32,Tables!$B$193:$B$197,0))),
Error!$B$17,
IF(AND($E32="Tier 1",$F32="Remove",$H32="Tree Protection Code: Special Exception",$I32&lt;&gt;"",ISNA(MATCH($I32,Tables!$B$215:$B$218,0))),
Error!$B$17,
IF(AND($E32="Tier 1",$F32="Remove",$H32="Tree Protection Code: Other removal allowance or exemption",$I32&lt;&gt;"",ISNA(MATCH($I32,Tables!$B$215:$B$218,0))),
Error!$B$17,
IF(AND($E32="ECA / Shoreline Tree",$F32="Remove",$H32&lt;&gt;"",OR($H32="Shoreline",$H32="Environmental Critical Area (ECA)"),ISNA(MATCH($I32,Tables!$B$209:$B$212,0))),
Error!$B$17,
IF(AND(_xlpm.baseRow,$F32="Retain",$E32="ECA / Shoreline Tree",_xlpm.ECA_Short=0),
Error!$B$61,
IF(AND($F32="Remove",ISNUMBER(MATCH($E32,{"Tier 1","Tier 2","Tier 3","Tier 4","Tier 2 Grove"},0)),ISNUMBER(MATCH($I32,{"On-site replacement","Off-site replacement"},0)),$J32="",$H32&lt;&gt;""),
Error!$B$19,
IF(AND(_xlpm.baseRow,$E32&lt;&gt;"",$D32&lt;&gt;"",$F32&lt;&gt;"",COUNTBLANK($B32:$C32)&gt;0,COUNTBLANK(_xlpm.HRange)&lt;&gt;4),
Error!$B$22,
IF(AND($H32="Zoning: Tree Points",$K32&lt;&gt;"",ISNA(MATCH($K32,Tables!$B$242:$B$253,0))),
Error!$B$58,
IF(AND($H32="Zoning: Tree Points",$K32="Small",$L32&lt;&gt;"",ISNA(MATCH($L32,Tables!$C$243:$C$244,0))),
Error!$B$59,
IF(AND($H32="Zoning: Tree Points",$K32="Small/Medium",$L32&lt;&gt;"",ISNA(MATCH($L32,Tables!$C$246:$C$247,0))),
Error!$B$59,
IF(AND($H32="Zoning: Tree Points",$K32="Medium/Large",$L32&lt;&gt;"",ISNA(MATCH($L32,Tables!$C$249:$C$250,0))),
Error!$B$59,
IF(AND($H32="Zoning: Tree Points",$K32="Large",$L32&lt;&gt;"",ISNA(MATCH($L32,Tables!$C$252:$C$253,0))),
Error!$B$59,
IF(AND($F32="Retain",$H32="Zoning: Tree Points",$C32&lt;&gt;"",$D32&lt;&gt;"",OR($K32="",$L32="",$M32="")),
Error!$B$20,
""
)))))))))))))))))))))))))))))))))))))))))))))))))))))))),
Error!$B$23))</f>
        <v/>
      </c>
      <c r="O32" s="343" t="str" cm="1">
        <f t="array" aca="1" ref="O32" ca="1">IFERROR(_xlfn.LET(
    _xlpm.txt, $C32,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3" spans="1:15" x14ac:dyDescent="0.3">
      <c r="A33" s="320"/>
      <c r="B33" s="616" t="str">
        <f t="shared" si="6"/>
        <v/>
      </c>
      <c r="C33" s="617" t="str">
        <f>IF($C32="", "", $C32)</f>
        <v/>
      </c>
      <c r="D33" s="618" t="str">
        <f t="shared" ref="D33:D34" si="7">IF($D32="", "", $D32)</f>
        <v/>
      </c>
      <c r="E33" s="616" t="str">
        <f>IF($E32="", "", $E32)</f>
        <v/>
      </c>
      <c r="F33" s="616" t="str">
        <f>IF($F32="", "", $F32)</f>
        <v/>
      </c>
      <c r="G33" s="619" t="str">
        <f>IF(Tree_Table1[[#This Row],[Tree Status  &amp;]]="Retain", Tables!$B$237, IF(Tree_Table1[[#This Row],[Tree Status  &amp;]]="Remove", Tables!$B$238, ""))</f>
        <v/>
      </c>
      <c r="H33" s="321"/>
      <c r="I33" s="322"/>
      <c r="J33" s="453"/>
      <c r="K33" s="323" t="str">
        <f>IFERROR(
    IF(
        AND($H33="Zoning: Tree Points", NOT(ISNUMBER(SEARCH("sp.", $C33)))),
        VLOOKUP($C33, 'Tree List'!$C$3:$F$601, 4, FALSE),
        ""
    ),
"")</f>
        <v/>
      </c>
      <c r="L33" s="324" t="str" cm="1">
        <f t="array" ref="L33">IFERROR(
IF(
    AND($H33="Zoning: Tree Points", NOT(ISNUMBER(SEARCH("sp.", $C33)))),
    _xlfn.IFS(
        (COUNTIFS('Tree List'!$C$3:$C$601,$C33,'Tree List'!$D$3:$D$601,"Coniferous")
        + COUNTIFS('Tree List'!$C$3:$C$601,$C33,'Tree List'!$D$3:$D$601,"Deciduous Conifer")) &gt; 0,
            _xlfn.IFS($K33="Small",0.5,$K33="Small/Medium",1,$K33="Medium/Large",1.4,$K33="Large",1.8),
        (COUNTIFS('Tree List'!$C$3:$C$601,$C33,'Tree List'!$D$3:$D$601,"Deciduous")
        + COUNTIFS('Tree List'!$C$3:$C$601,$C33,'Tree List'!$D$3:$D$601,"Broadleaf Evergreen")) &gt; 0,
            _xlfn.IFS($K33="Small",0.4,$K33="Small/Medium",0.8,$K33="Medium/Large",1.2,$K33="Large",1.6)
    ),
    ""
),
"")</f>
        <v/>
      </c>
      <c r="M33" s="475" t="str">
        <f t="shared" si="0"/>
        <v/>
      </c>
      <c r="N33" s="346" t="str" cm="1">
        <f t="array" aca="1" ref="N3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IF(AND(_xlpm.baseRow,ISNA(MATCH($C33,'Tree List'!$C$3:$C$601,0)),SUMPRODUCT(--ISNUMBER(SEARCH(Tables2!$C$677:$C$772,$O33)))&gt;0),
Error!$B$57,
IF(AND(_xlpm.hasDM,$F33="Remove",$H33&lt;&gt;"",OR($I33="On-site replacement",$I33="Off-site replacement",$I33="Payment In Lieu")),
Error!$B$56,
IF(AND(_xlpm.hasDM,$F33="Remove",$H33&lt;&gt;"",$I33="Relocation"),
Error!$B$66,
IF(AND(OR(_xlpm.hasCN,_xlpm.hasPH,_xlpm.hasGR),$H33&lt;&gt;"",COUNTIF(Tables!$B$132:$B$134,$H33)&gt;0,$I33="N/A (No replacement required)"),
Error!$B$62,
IF(AND(_xlpm.baseRow,$E33&lt;&gt;"",ISNA(MATCH($E33,Tables!$B$225:$B$232,0))),
Error!$B$2,
IF(AND(_xlpm.baseRow,$F33&lt;&gt;"",ISNA(MATCH($F33,Tables!$B$234:$B$235,0))),
Error!$B$24,
IF(AND(_xlpm.baseRow,_xlpm.ECA_H&gt;0,_xlpm.Shore_H&gt;0),
Error!$B$16,
IF(AND(_xlpm.baseRow,$E33&lt;&gt;"",$D33=""),
Error!$B$3,
IF(AND(_xlpm.baseRow,OR($E33="Tier 3",$E33="Tier 4"),$C33&lt;&gt;"",$D33&gt;=24,COUNTIF(Tables2!$B$166:$B$674,$C33)&gt;0),
Error!$B$44,
IF(AND(_xlpm.baseRow,OR($E33="Tier 3",$E33="Tier 4"),$C33&lt;&gt;"",$D33&lt;&gt;"",COUNTIF(Tables2!$B$73:$B$152,$C33)&gt;0,
$D33&gt;=IFERROR(INDEX(Tables2!$C$73:$C$152,MATCH($C33,Tables2!$B$73:$B$152,0)),-1)),
Error!$B$44,
IF(AND(_xlpm.baseRow,OR($E33="Tier 2",$E33="Tier 2 Grove"),$C33&lt;&gt;"",$D33&gt;=12,COUNTIF(Tables2!$B$153:$B$162,$C33)&gt;0),
Error!$B$45,
IF(AND(_xlpm.baseRow,$E33="Tier 2 Grove",$D33&lt;12),
Error!$B$41,
IF(AND(_xlpm.baseRow,$E33="Tier 2",$D33&lt;5.88),
Error!$B$40,
IF(AND(_xlpm.baseRow,OR($E33="Tier 2",$E33="Tier 2 Grove"),$C33&lt;&gt;"",$D33&lt;12,$D33&gt;=6,COUNTIF(Tables2!$B$153:$B$162,$C33)&gt;0),
Error!$B$54,
IF(AND(_xlpm.baseRow,$E33="Tier 2",COUNTIF(Tables2!$B$166:$B$674,$C33)&gt;0,$D33&lt;24),
Error!$B$54,
IF(AND(_xlpm.baseRow,$E33="Tier 3",ISNA(MATCH($C33,Tables2!$B$153:$B$162,0)),OR($D33&lt;12,$D33&gt;=24)),
Error!$B$9,
IF(AND(_xlpm.baseRow,$E33="Tier 3",COUNTIF(Tables2!$B$153:$B$162,$C33)&gt;0,$D33&lt;12),
Error!$B$46,
IF(AND(_xlpm.baseRow,$E33="Tier 4",OR($D33&lt;6,$D33&gt;=12)),
Error!$B$10,
IF(AND(_xlpm.baseRow,$E33="&lt;6in DSH for Tree Points",OR($D33&gt;=6,$D33="")),
Error!$B$8,
IF(AND(_xlpm.baseRow,$E33="Street Tree for Green Factor",$F33&lt;&gt;"",$F33&lt;&gt;"Retain"),
Error!$B$14,
IF(AND($E33="&lt;6in DSH for Tree Points",$F33="Retain",$H33&lt;&gt;"",ISNA(MATCH($H33,Tables!$B$174:$B$174,0))),
Error!$B$15,
IF(AND($E33="Street Tree for Green Factor",$F33="Retain",$H33&lt;&gt;"",$H33&lt;&gt;"Zoning: Green Factor"),
Error!$B$15,
IF(AND($E33="ECA / Shoreline Tree",$F33="Remove",$H33&lt;&gt;"",ISNA(MATCH($H33,Tables!$B$189:$B$190,0))),
Error!$B$15,
IF(AND($E33="ECA / Shoreline Tree",$F33="Retain",$H33&lt;&gt;"",ISNA(MATCH($H33,Tables!$B$184:$B$186,0))),
Error!$B$15,
IF(AND($E33="Tier 4",$F33="Remove",$H33&lt;&gt;"",ISNA(MATCH($H33,Tables!$B$171,0))),
Error!$B$15,
IF(AND($E33="Tier 4",$F33="Retain",$H33&lt;&gt;"",ISNA(MATCH($H33,Tables!$B$166:$B$168,0))),
Error!$B$15,
IF(AND($E33="Tier 3",$F33="Retain",$H33&lt;&gt;"",ISNA(MATCH($H33,Tables!$B$158:$B$160,0))),
Error!$B$15,
IF(AND($E33="Tier 3",$F33="Remove",$H33&lt;&gt;"",ISNA(MATCH($H33,Tables!$B$163,0))),
Error!$B$15,
IF(AND(OR($E33="Tier 2",$E33="Tier 2 Grove"),$F33="Remove",$H33&lt;&gt;"",ISNA(MATCH($H33,Tables!$B$153:$B$155,0))),
Error!$B$15,
IF(AND(OR($E33="Tier 2",$E33="Tier 2 Grove"),$F33="Retain",$H33&lt;&gt;"",ISNA(MATCH($H33,Tables!$B$147:$B$150,0))),
Error!$B$15,
IF(AND($E33="Tier 1",$F33="Remove",$H33&lt;&gt;"",ISNA(MATCH($H33,Tables!$B$143:$B$144,0))),
Error!$B$15,
IF(AND($E33="Tier 1",$F33="Retain",$H33&lt;&gt;"",ISNA(MATCH($H33,Tables!$B$137:$B$140,0))),
Error!$B$15,
IF(AND($E33&lt;&gt;"Tier 2",$E33&lt;&gt;"Tier 2 Grove",$E33&lt;&gt;"Tier 3",$E33&lt;&gt;"Tier 4",$H33="Zoning: Green Factor",OR($D33="",$D33&lt;6)),
Error!$B$11,
IF(AND(_xlpm.baseRow,$D33&lt;6,$E33="&lt;6in DSH for Tree Points",_xlpm.TreePoints_H=0),
Error!$B$21,
IF(AND(_xlpm.baseRow,$E33&lt;&gt;"",$D33&lt;&gt;"",$F33=""),
Error!$B$4,
IF(AND(_xlpm.baseRow,$F33="Remove",OR($E33="Tier 1",$E33="Tier 2",$E33="Tier 2 Grove"),COUNTBLANK(_xlpm.HRange)&lt;3,_xlpm.uniqueH&gt;=2),
Error!$B$48,
IF(AND(_xlpm.baseRow,$F33="Retain",OR($E33="Tier 1",$E33="Tier 2",$E33="Tier 2 Grove"),COUNTIF(_xlpm.HRange,"Tree Code: Required to Retain Tier 1-2 Tree")=0),
Error!$B$47,
IF(AND(_xlpm.baseRow,$E33&lt;&gt;"",$D33&lt;&gt;"",$F33&lt;&gt;"",COUNTBLANK(_xlpm.HRange)=4),
Error!$B$5,
IF(AND($F33="Remove",$H33&lt;&gt;"",$I33=""),
Error!$B$18,
IF(AND($E33="Tier 4",$F33="Remove",$H33="Tree Protection Code: Tier 3 or Tier 4 Allowance",$H33&lt;&gt;"",ISNA(MATCH($I33,Tables!$B$200,0))),
Error!$B$17,
IF(AND($E33="Tier 3",$F33="Remove",$H33&lt;&gt;"",$H33="Tree Protection Code: Tier 3 or Tier 4 Allowance",OR($I33="",ISNA(MATCH($I33,Tables!$B$193:$B$197,0)))),
Error!$B$17,
IF(AND(OR($E33="Tier 2",$E33="Tier 2 Grove"),$F33="Remove",$H33="Tree Protection Code: Other removal allowance or exemption",$I33&lt;&gt;"",ISNA(MATCH($I33,Tables!$B$215:$B$218,0))),
Error!$B$17,
IF(AND(OR($E33="Tier 2",$E33="Tier 2 Grove"),$F33="Remove",$H33="Tree Protection Code: Development Capacity",$I33&lt;&gt;"",ISNA(MATCH($I33,Tables!$B$193:$B$197,0))),
Error!$B$17,
IF(AND(OR($E33="Tier 2",$E33="Tier 2 Grove"),$F33="Remove",$H33="Tree Protection Code: Necessary for Construction",$I33&lt;&gt;"",ISNA(MATCH($I33,Tables!$B$193:$B$197,0))),
Error!$B$17,
IF(AND($E33="Tier 1",$F33="Remove",$H33="Tree Protection Code: Special Exception",$I33&lt;&gt;"",ISNA(MATCH($I33,Tables!$B$215:$B$218,0))),
Error!$B$17,
IF(AND($E33="Tier 1",$F33="Remove",$H33="Tree Protection Code: Other removal allowance or exemption",$I33&lt;&gt;"",ISNA(MATCH($I33,Tables!$B$215:$B$218,0))),
Error!$B$17,
IF(AND($E33="ECA / Shoreline Tree",$F33="Remove",$H33&lt;&gt;"",OR($H33="Shoreline",$H33="Environmental Critical Area (ECA)"),ISNA(MATCH($I33,Tables!$B$209:$B$212,0))),
Error!$B$17,
IF(AND(_xlpm.baseRow,$F33="Retain",$E33="ECA / Shoreline Tree",_xlpm.ECA_Short=0),
Error!$B$61,
IF(AND($F33="Remove",ISNUMBER(MATCH($E33,{"Tier 1","Tier 2","Tier 3","Tier 4","Tier 2 Grove"},0)),ISNUMBER(MATCH($I33,{"On-site replacement","Off-site replacement"},0)),$J33="",$H33&lt;&gt;""),
Error!$B$19,
IF(AND(_xlpm.baseRow,$E33&lt;&gt;"",$D33&lt;&gt;"",$F33&lt;&gt;"",COUNTBLANK($B33:$C33)&gt;0,COUNTBLANK(_xlpm.HRange)&lt;&gt;4),
Error!$B$22,
IF(AND($H33="Zoning: Tree Points",$K33&lt;&gt;"",ISNA(MATCH($K33,Tables!$B$242:$B$253,0))),
Error!$B$58,
IF(AND($H33="Zoning: Tree Points",$K33="Small",$L33&lt;&gt;"",ISNA(MATCH($L33,Tables!$C$243:$C$244,0))),
Error!$B$59,
IF(AND($H33="Zoning: Tree Points",$K33="Small/Medium",$L33&lt;&gt;"",ISNA(MATCH($L33,Tables!$C$246:$C$247,0))),
Error!$B$59,
IF(AND($H33="Zoning: Tree Points",$K33="Medium/Large",$L33&lt;&gt;"",ISNA(MATCH($L33,Tables!$C$249:$C$250,0))),
Error!$B$59,
IF(AND($H33="Zoning: Tree Points",$K33="Large",$L33&lt;&gt;"",ISNA(MATCH($L33,Tables!$C$252:$C$253,0))),
Error!$B$59,
IF(AND($F33="Retain",$H33="Zoning: Tree Points",$C33&lt;&gt;"",$D33&lt;&gt;"",OR($K33="",$L33="",$M33="")),
Error!$B$20,
""
)))))))))))))))))))))))))))))))))))))))))))))))))))))))),
Error!$B$23))</f>
        <v/>
      </c>
      <c r="O33" s="343" t="str" cm="1">
        <f t="array" aca="1" ref="O33" ca="1">IFERROR(_xlfn.LET(
    _xlpm.txt, $C33,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4" spans="1:15" ht="15" thickBot="1" x14ac:dyDescent="0.35">
      <c r="A34" s="331"/>
      <c r="B34" s="616" t="str">
        <f t="shared" si="6"/>
        <v/>
      </c>
      <c r="C34" s="617" t="str">
        <f>IF($C33="", "", $C33)</f>
        <v/>
      </c>
      <c r="D34" s="618" t="str">
        <f t="shared" si="7"/>
        <v/>
      </c>
      <c r="E34" s="616" t="str">
        <f>IF($E33="", "", $E33)</f>
        <v/>
      </c>
      <c r="F34" s="616" t="str">
        <f>IF($F33="", "", $F33)</f>
        <v/>
      </c>
      <c r="G34" s="619" t="str">
        <f>IF(Tree_Table1[[#This Row],[Tree Status  &amp;]]="Retain", Tables!$B$237, IF(Tree_Table1[[#This Row],[Tree Status  &amp;]]="Remove", Tables!$B$238, ""))</f>
        <v/>
      </c>
      <c r="H34" s="329"/>
      <c r="I34" s="330"/>
      <c r="J34" s="455"/>
      <c r="K34" s="327" t="str">
        <f>IFERROR(
    IF(
        AND($H34="Zoning: Tree Points", NOT(ISNUMBER(SEARCH("sp.", $C34)))),
        VLOOKUP($C34, 'Tree List'!$C$3:$F$601, 4, FALSE),
        ""
    ),
"")</f>
        <v/>
      </c>
      <c r="L34" s="328" t="str" cm="1">
        <f t="array" ref="L34">IFERROR(
IF(
    AND($H34="Zoning: Tree Points", NOT(ISNUMBER(SEARCH("sp.", $C34)))),
    _xlfn.IFS(
        (COUNTIFS('Tree List'!$C$3:$C$601,$C34,'Tree List'!$D$3:$D$601,"Coniferous")
        + COUNTIFS('Tree List'!$C$3:$C$601,$C34,'Tree List'!$D$3:$D$601,"Deciduous Conifer")) &gt; 0,
            _xlfn.IFS($K34="Small",0.5,$K34="Small/Medium",1,$K34="Medium/Large",1.4,$K34="Large",1.8),
        (COUNTIFS('Tree List'!$C$3:$C$601,$C34,'Tree List'!$D$3:$D$601,"Deciduous")
        + COUNTIFS('Tree List'!$C$3:$C$601,$C34,'Tree List'!$D$3:$D$601,"Broadleaf Evergreen")) &gt; 0,
            _xlfn.IFS($K34="Small",0.4,$K34="Small/Medium",0.8,$K34="Medium/Large",1.2,$K34="Large",1.6)
    ),
    ""
),
"")</f>
        <v/>
      </c>
      <c r="M34" s="476" t="str">
        <f>IFERROR($D34*$L34,"")</f>
        <v/>
      </c>
      <c r="N34" s="347" t="str" cm="1">
        <f t="array" aca="1" ref="N3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IF(AND(_xlpm.baseRow,ISNA(MATCH($C34,'Tree List'!$C$3:$C$601,0)),SUMPRODUCT(--ISNUMBER(SEARCH(Tables2!$C$677:$C$772,$O34)))&gt;0),
Error!$B$57,
IF(AND(_xlpm.hasDM,$F34="Remove",$H34&lt;&gt;"",OR($I34="On-site replacement",$I34="Off-site replacement",$I34="Payment In Lieu")),
Error!$B$56,
IF(AND(_xlpm.hasDM,$F34="Remove",$H34&lt;&gt;"",$I34="Relocation"),
Error!$B$66,
IF(AND(OR(_xlpm.hasCN,_xlpm.hasPH,_xlpm.hasGR),$H34&lt;&gt;"",COUNTIF(Tables!$B$132:$B$134,$H34)&gt;0,$I34="N/A (No replacement required)"),
Error!$B$62,
IF(AND(_xlpm.baseRow,$E34&lt;&gt;"",ISNA(MATCH($E34,Tables!$B$225:$B$232,0))),
Error!$B$2,
IF(AND(_xlpm.baseRow,$F34&lt;&gt;"",ISNA(MATCH($F34,Tables!$B$234:$B$235,0))),
Error!$B$24,
IF(AND(_xlpm.baseRow,_xlpm.ECA_H&gt;0,_xlpm.Shore_H&gt;0),
Error!$B$16,
IF(AND(_xlpm.baseRow,$E34&lt;&gt;"",$D34=""),
Error!$B$3,
IF(AND(_xlpm.baseRow,OR($E34="Tier 3",$E34="Tier 4"),$C34&lt;&gt;"",$D34&gt;=24,COUNTIF(Tables2!$B$166:$B$674,$C34)&gt;0),
Error!$B$44,
IF(AND(_xlpm.baseRow,OR($E34="Tier 3",$E34="Tier 4"),$C34&lt;&gt;"",$D34&lt;&gt;"",COUNTIF(Tables2!$B$73:$B$152,$C34)&gt;0,
$D34&gt;=IFERROR(INDEX(Tables2!$C$73:$C$152,MATCH($C34,Tables2!$B$73:$B$152,0)),-1)),
Error!$B$44,
IF(AND(_xlpm.baseRow,OR($E34="Tier 2",$E34="Tier 2 Grove"),$C34&lt;&gt;"",$D34&gt;=12,COUNTIF(Tables2!$B$153:$B$162,$C34)&gt;0),
Error!$B$45,
IF(AND(_xlpm.baseRow,$E34="Tier 2 Grove",$D34&lt;12),
Error!$B$41,
IF(AND(_xlpm.baseRow,$E34="Tier 2",$D34&lt;5.88),
Error!$B$40,
IF(AND(_xlpm.baseRow,OR($E34="Tier 2",$E34="Tier 2 Grove"),$C34&lt;&gt;"",$D34&lt;12,$D34&gt;=6,COUNTIF(Tables2!$B$153:$B$162,$C34)&gt;0),
Error!$B$54,
IF(AND(_xlpm.baseRow,$E34="Tier 2",COUNTIF(Tables2!$B$166:$B$674,$C34)&gt;0,$D34&lt;24),
Error!$B$54,
IF(AND(_xlpm.baseRow,$E34="Tier 3",ISNA(MATCH($C34,Tables2!$B$153:$B$162,0)),OR($D34&lt;12,$D34&gt;=24)),
Error!$B$9,
IF(AND(_xlpm.baseRow,$E34="Tier 3",COUNTIF(Tables2!$B$153:$B$162,$C34)&gt;0,$D34&lt;12),
Error!$B$46,
IF(AND(_xlpm.baseRow,$E34="Tier 4",OR($D34&lt;6,$D34&gt;=12)),
Error!$B$10,
IF(AND(_xlpm.baseRow,$E34="&lt;6in DSH for Tree Points",OR($D34&gt;=6,$D34="")),
Error!$B$8,
IF(AND(_xlpm.baseRow,$E34="Street Tree for Green Factor",$F34&lt;&gt;"",$F34&lt;&gt;"Retain"),
Error!$B$14,
IF(AND($E34="&lt;6in DSH for Tree Points",$F34="Retain",$H34&lt;&gt;"",ISNA(MATCH($H34,Tables!$B$174:$B$174,0))),
Error!$B$15,
IF(AND($E34="Street Tree for Green Factor",$F34="Retain",$H34&lt;&gt;"",$H34&lt;&gt;"Zoning: Green Factor"),
Error!$B$15,
IF(AND($E34="ECA / Shoreline Tree",$F34="Remove",$H34&lt;&gt;"",ISNA(MATCH($H34,Tables!$B$189:$B$190,0))),
Error!$B$15,
IF(AND($E34="ECA / Shoreline Tree",$F34="Retain",$H34&lt;&gt;"",ISNA(MATCH($H34,Tables!$B$184:$B$186,0))),
Error!$B$15,
IF(AND($E34="Tier 4",$F34="Remove",$H34&lt;&gt;"",ISNA(MATCH($H34,Tables!$B$171,0))),
Error!$B$15,
IF(AND($E34="Tier 4",$F34="Retain",$H34&lt;&gt;"",ISNA(MATCH($H34,Tables!$B$166:$B$168,0))),
Error!$B$15,
IF(AND($E34="Tier 3",$F34="Retain",$H34&lt;&gt;"",ISNA(MATCH($H34,Tables!$B$158:$B$160,0))),
Error!$B$15,
IF(AND($E34="Tier 3",$F34="Remove",$H34&lt;&gt;"",ISNA(MATCH($H34,Tables!$B$163,0))),
Error!$B$15,
IF(AND(OR($E34="Tier 2",$E34="Tier 2 Grove"),$F34="Remove",$H34&lt;&gt;"",ISNA(MATCH($H34,Tables!$B$153:$B$155,0))),
Error!$B$15,
IF(AND(OR($E34="Tier 2",$E34="Tier 2 Grove"),$F34="Retain",$H34&lt;&gt;"",ISNA(MATCH($H34,Tables!$B$147:$B$150,0))),
Error!$B$15,
IF(AND($E34="Tier 1",$F34="Remove",$H34&lt;&gt;"",ISNA(MATCH($H34,Tables!$B$143:$B$144,0))),
Error!$B$15,
IF(AND($E34="Tier 1",$F34="Retain",$H34&lt;&gt;"",ISNA(MATCH($H34,Tables!$B$137:$B$140,0))),
Error!$B$15,
IF(AND($E34&lt;&gt;"Tier 2",$E34&lt;&gt;"Tier 2 Grove",$E34&lt;&gt;"Tier 3",$E34&lt;&gt;"Tier 4",$H34="Zoning: Green Factor",OR($D34="",$D34&lt;6)),
Error!$B$11,
IF(AND(_xlpm.baseRow,$D34&lt;6,$E34="&lt;6in DSH for Tree Points",_xlpm.TreePoints_H=0),
Error!$B$21,
IF(AND(_xlpm.baseRow,$E34&lt;&gt;"",$D34&lt;&gt;"",$F34=""),
Error!$B$4,
IF(AND(_xlpm.baseRow,$F34="Remove",OR($E34="Tier 1",$E34="Tier 2",$E34="Tier 2 Grove"),COUNTBLANK(_xlpm.HRange)&lt;3,_xlpm.uniqueH&gt;=2),
Error!$B$48,
IF(AND(_xlpm.baseRow,$F34="Retain",OR($E34="Tier 1",$E34="Tier 2",$E34="Tier 2 Grove"),COUNTIF(_xlpm.HRange,"Tree Code: Required to Retain Tier 1-2 Tree")=0),
Error!$B$47,
IF(AND(_xlpm.baseRow,$E34&lt;&gt;"",$D34&lt;&gt;"",$F34&lt;&gt;"",COUNTBLANK(_xlpm.HRange)=4),
Error!$B$5,
IF(AND($F34="Remove",$H34&lt;&gt;"",$I34=""),
Error!$B$18,
IF(AND($E34="Tier 4",$F34="Remove",$H34="Tree Protection Code: Tier 3 or Tier 4 Allowance",$H34&lt;&gt;"",ISNA(MATCH($I34,Tables!$B$200,0))),
Error!$B$17,
IF(AND($E34="Tier 3",$F34="Remove",$H34&lt;&gt;"",$H34="Tree Protection Code: Tier 3 or Tier 4 Allowance",OR($I34="",ISNA(MATCH($I34,Tables!$B$193:$B$197,0)))),
Error!$B$17,
IF(AND(OR($E34="Tier 2",$E34="Tier 2 Grove"),$F34="Remove",$H34="Tree Protection Code: Other removal allowance or exemption",$I34&lt;&gt;"",ISNA(MATCH($I34,Tables!$B$215:$B$218,0))),
Error!$B$17,
IF(AND(OR($E34="Tier 2",$E34="Tier 2 Grove"),$F34="Remove",$H34="Tree Protection Code: Development Capacity",$I34&lt;&gt;"",ISNA(MATCH($I34,Tables!$B$193:$B$197,0))),
Error!$B$17,
IF(AND(OR($E34="Tier 2",$E34="Tier 2 Grove"),$F34="Remove",$H34="Tree Protection Code: Necessary for Construction",$I34&lt;&gt;"",ISNA(MATCH($I34,Tables!$B$193:$B$197,0))),
Error!$B$17,
IF(AND($E34="Tier 1",$F34="Remove",$H34="Tree Protection Code: Special Exception",$I34&lt;&gt;"",ISNA(MATCH($I34,Tables!$B$215:$B$218,0))),
Error!$B$17,
IF(AND($E34="Tier 1",$F34="Remove",$H34="Tree Protection Code: Other removal allowance or exemption",$I34&lt;&gt;"",ISNA(MATCH($I34,Tables!$B$215:$B$218,0))),
Error!$B$17,
IF(AND($E34="ECA / Shoreline Tree",$F34="Remove",$H34&lt;&gt;"",OR($H34="Shoreline",$H34="Environmental Critical Area (ECA)"),ISNA(MATCH($I34,Tables!$B$209:$B$212,0))),
Error!$B$17,
IF(AND(_xlpm.baseRow,$F34="Retain",$E34="ECA / Shoreline Tree",_xlpm.ECA_Short=0),
Error!$B$61,
IF(AND($F34="Remove",ISNUMBER(MATCH($E34,{"Tier 1","Tier 2","Tier 3","Tier 4","Tier 2 Grove"},0)),ISNUMBER(MATCH($I34,{"On-site replacement","Off-site replacement"},0)),$J34="",$H34&lt;&gt;""),
Error!$B$19,
IF(AND(_xlpm.baseRow,$E34&lt;&gt;"",$D34&lt;&gt;"",$F34&lt;&gt;"",COUNTBLANK($B34:$C34)&gt;0,COUNTBLANK(_xlpm.HRange)&lt;&gt;4),
Error!$B$22,
IF(AND($H34="Zoning: Tree Points",$K34&lt;&gt;"",ISNA(MATCH($K34,Tables!$B$242:$B$253,0))),
Error!$B$58,
IF(AND($H34="Zoning: Tree Points",$K34="Small",$L34&lt;&gt;"",ISNA(MATCH($L34,Tables!$C$243:$C$244,0))),
Error!$B$59,
IF(AND($H34="Zoning: Tree Points",$K34="Small/Medium",$L34&lt;&gt;"",ISNA(MATCH($L34,Tables!$C$246:$C$247,0))),
Error!$B$59,
IF(AND($H34="Zoning: Tree Points",$K34="Medium/Large",$L34&lt;&gt;"",ISNA(MATCH($L34,Tables!$C$249:$C$250,0))),
Error!$B$59,
IF(AND($H34="Zoning: Tree Points",$K34="Large",$L34&lt;&gt;"",ISNA(MATCH($L34,Tables!$C$252:$C$253,0))),
Error!$B$59,
IF(AND($F34="Retain",$H34="Zoning: Tree Points",$C34&lt;&gt;"",$D34&lt;&gt;"",OR($K34="",$L34="",$M34="")),
Error!$B$20,
""
)))))))))))))))))))))))))))))))))))))))))))))))))))))))),
Error!$B$23))</f>
        <v/>
      </c>
      <c r="O34" s="343" t="str" cm="1">
        <f t="array" aca="1" ref="O34" ca="1">IFERROR(_xlfn.LET(
    _xlpm.txt, $C34,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5" spans="1:15" ht="15" thickBot="1" x14ac:dyDescent="0.35">
      <c r="A35" s="311">
        <v>7</v>
      </c>
      <c r="B35" s="312"/>
      <c r="C35" s="313"/>
      <c r="D35" s="478"/>
      <c r="E35" s="314"/>
      <c r="F35" s="314"/>
      <c r="G35" s="315" t="str">
        <f>IF(Tree_Table1[[#This Row],[Tree Status  &amp;]]="Retain", Tables!$B$237, IF(Tree_Table1[[#This Row],[Tree Status  &amp;]]="Remove", Tables!$B$238, ""))</f>
        <v/>
      </c>
      <c r="H35" s="316"/>
      <c r="I35" s="317"/>
      <c r="J35" s="452"/>
      <c r="K35" s="318" t="str">
        <f>IFERROR(
    IF(
        AND($H35="Zoning: Tree Points", NOT(ISNUMBER(SEARCH("sp.", $C35)))),
        VLOOKUP($C35, 'Tree List'!$C$3:$F$601, 4, FALSE),
        ""
    ),
"")</f>
        <v/>
      </c>
      <c r="L35" s="319" t="str" cm="1">
        <f t="array" ref="L35">IFERROR(
IF(
    AND($H35="Zoning: Tree Points", NOT(ISNUMBER(SEARCH("sp.", $C35)))),
    _xlfn.IFS(
        (COUNTIFS('Tree List'!$C$3:$C$601,$C35,'Tree List'!$D$3:$D$601,"Coniferous")
        + COUNTIFS('Tree List'!$C$3:$C$601,$C35,'Tree List'!$D$3:$D$601,"Deciduous Conifer")) &gt; 0,
            _xlfn.IFS($K35="Small",0.5,$K35="Small/Medium",1,$K35="Medium/Large",1.4,$K35="Large",1.8),
        (COUNTIFS('Tree List'!$C$3:$C$601,$C35,'Tree List'!$D$3:$D$601,"Deciduous")
        + COUNTIFS('Tree List'!$C$3:$C$601,$C35,'Tree List'!$D$3:$D$601,"Broadleaf Evergreen")) &gt; 0,
            _xlfn.IFS($K35="Small",0.4,$K35="Small/Medium",0.8,$K35="Medium/Large",1.2,$K35="Large",1.6)
    ),
    ""
),
"")</f>
        <v/>
      </c>
      <c r="M35" s="474" t="str">
        <f t="shared" si="0"/>
        <v/>
      </c>
      <c r="N35" s="620" t="str" cm="1">
        <f t="array" aca="1" ref="N3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IF(AND(_xlpm.baseRow,ISNA(MATCH($C35,'Tree List'!$C$3:$C$601,0)),SUMPRODUCT(--ISNUMBER(SEARCH(Tables2!$C$677:$C$772,$O35)))&gt;0),
Error!$B$57,
IF(AND(_xlpm.hasDM,$F35="Remove",$H35&lt;&gt;"",OR($I35="On-site replacement",$I35="Off-site replacement",$I35="Payment In Lieu")),
Error!$B$56,
IF(AND(_xlpm.hasDM,$F35="Remove",$H35&lt;&gt;"",$I35="Relocation"),
Error!$B$66,
IF(AND(OR(_xlpm.hasCN,_xlpm.hasPH,_xlpm.hasGR),$H35&lt;&gt;"",COUNTIF(Tables!$B$132:$B$134,$H35)&gt;0,$I35="N/A (No replacement required)"),
Error!$B$62,
IF(AND(_xlpm.baseRow,$E35&lt;&gt;"",ISNA(MATCH($E35,Tables!$B$225:$B$232,0))),
Error!$B$2,
IF(AND(_xlpm.baseRow,$F35&lt;&gt;"",ISNA(MATCH($F35,Tables!$B$234:$B$235,0))),
Error!$B$24,
IF(AND(_xlpm.baseRow,_xlpm.ECA_H&gt;0,_xlpm.Shore_H&gt;0),
Error!$B$16,
IF(AND(_xlpm.baseRow,$E35&lt;&gt;"",$D35=""),
Error!$B$3,
IF(AND(_xlpm.baseRow,OR($E35="Tier 3",$E35="Tier 4"),$C35&lt;&gt;"",$D35&gt;=24,COUNTIF(Tables2!$B$166:$B$674,$C35)&gt;0),
Error!$B$44,
IF(AND(_xlpm.baseRow,OR($E35="Tier 3",$E35="Tier 4"),$C35&lt;&gt;"",$D35&lt;&gt;"",COUNTIF(Tables2!$B$73:$B$152,$C35)&gt;0,
$D35&gt;=IFERROR(INDEX(Tables2!$C$73:$C$152,MATCH($C35,Tables2!$B$73:$B$152,0)),-1)),
Error!$B$44,
IF(AND(_xlpm.baseRow,OR($E35="Tier 2",$E35="Tier 2 Grove"),$C35&lt;&gt;"",$D35&gt;=12,COUNTIF(Tables2!$B$153:$B$162,$C35)&gt;0),
Error!$B$45,
IF(AND(_xlpm.baseRow,$E35="Tier 2 Grove",$D35&lt;12),
Error!$B$41,
IF(AND(_xlpm.baseRow,$E35="Tier 2",$D35&lt;5.88),
Error!$B$40,
IF(AND(_xlpm.baseRow,OR($E35="Tier 2",$E35="Tier 2 Grove"),$C35&lt;&gt;"",$D35&lt;12,$D35&gt;=6,COUNTIF(Tables2!$B$153:$B$162,$C35)&gt;0),
Error!$B$54,
IF(AND(_xlpm.baseRow,$E35="Tier 2",COUNTIF(Tables2!$B$166:$B$674,$C35)&gt;0,$D35&lt;24),
Error!$B$54,
IF(AND(_xlpm.baseRow,$E35="Tier 3",ISNA(MATCH($C35,Tables2!$B$153:$B$162,0)),OR($D35&lt;12,$D35&gt;=24)),
Error!$B$9,
IF(AND(_xlpm.baseRow,$E35="Tier 3",COUNTIF(Tables2!$B$153:$B$162,$C35)&gt;0,$D35&lt;12),
Error!$B$46,
IF(AND(_xlpm.baseRow,$E35="Tier 4",OR($D35&lt;6,$D35&gt;=12)),
Error!$B$10,
IF(AND(_xlpm.baseRow,$E35="&lt;6in DSH for Tree Points",OR($D35&gt;=6,$D35="")),
Error!$B$8,
IF(AND(_xlpm.baseRow,$E35="Street Tree for Green Factor",$F35&lt;&gt;"",$F35&lt;&gt;"Retain"),
Error!$B$14,
IF(AND($E35="&lt;6in DSH for Tree Points",$F35="Retain",$H35&lt;&gt;"",ISNA(MATCH($H35,Tables!$B$174:$B$174,0))),
Error!$B$15,
IF(AND($E35="Street Tree for Green Factor",$F35="Retain",$H35&lt;&gt;"",$H35&lt;&gt;"Zoning: Green Factor"),
Error!$B$15,
IF(AND($E35="ECA / Shoreline Tree",$F35="Remove",$H35&lt;&gt;"",ISNA(MATCH($H35,Tables!$B$189:$B$190,0))),
Error!$B$15,
IF(AND($E35="ECA / Shoreline Tree",$F35="Retain",$H35&lt;&gt;"",ISNA(MATCH($H35,Tables!$B$184:$B$186,0))),
Error!$B$15,
IF(AND($E35="Tier 4",$F35="Remove",$H35&lt;&gt;"",ISNA(MATCH($H35,Tables!$B$171,0))),
Error!$B$15,
IF(AND($E35="Tier 4",$F35="Retain",$H35&lt;&gt;"",ISNA(MATCH($H35,Tables!$B$166:$B$168,0))),
Error!$B$15,
IF(AND($E35="Tier 3",$F35="Retain",$H35&lt;&gt;"",ISNA(MATCH($H35,Tables!$B$158:$B$160,0))),
Error!$B$15,
IF(AND($E35="Tier 3",$F35="Remove",$H35&lt;&gt;"",ISNA(MATCH($H35,Tables!$B$163,0))),
Error!$B$15,
IF(AND(OR($E35="Tier 2",$E35="Tier 2 Grove"),$F35="Remove",$H35&lt;&gt;"",ISNA(MATCH($H35,Tables!$B$153:$B$155,0))),
Error!$B$15,
IF(AND(OR($E35="Tier 2",$E35="Tier 2 Grove"),$F35="Retain",$H35&lt;&gt;"",ISNA(MATCH($H35,Tables!$B$147:$B$150,0))),
Error!$B$15,
IF(AND($E35="Tier 1",$F35="Remove",$H35&lt;&gt;"",ISNA(MATCH($H35,Tables!$B$143:$B$144,0))),
Error!$B$15,
IF(AND($E35="Tier 1",$F35="Retain",$H35&lt;&gt;"",ISNA(MATCH($H35,Tables!$B$137:$B$140,0))),
Error!$B$15,
IF(AND($E35&lt;&gt;"Tier 2",$E35&lt;&gt;"Tier 2 Grove",$E35&lt;&gt;"Tier 3",$E35&lt;&gt;"Tier 4",$H35="Zoning: Green Factor",OR($D35="",$D35&lt;6)),
Error!$B$11,
IF(AND(_xlpm.baseRow,$D35&lt;6,$E35="&lt;6in DSH for Tree Points",_xlpm.TreePoints_H=0),
Error!$B$21,
IF(AND(_xlpm.baseRow,$E35&lt;&gt;"",$D35&lt;&gt;"",$F35=""),
Error!$B$4,
IF(AND(_xlpm.baseRow,$F35="Remove",OR($E35="Tier 1",$E35="Tier 2",$E35="Tier 2 Grove"),COUNTBLANK(_xlpm.HRange)&lt;3,_xlpm.uniqueH&gt;=2),
Error!$B$48,
IF(AND(_xlpm.baseRow,$F35="Retain",OR($E35="Tier 1",$E35="Tier 2",$E35="Tier 2 Grove"),COUNTIF(_xlpm.HRange,"Tree Code: Required to Retain Tier 1-2 Tree")=0),
Error!$B$47,
IF(AND(_xlpm.baseRow,$E35&lt;&gt;"",$D35&lt;&gt;"",$F35&lt;&gt;"",COUNTBLANK(_xlpm.HRange)=4),
Error!$B$5,
IF(AND($F35="Remove",$H35&lt;&gt;"",$I35=""),
Error!$B$18,
IF(AND($E35="Tier 4",$F35="Remove",$H35="Tree Protection Code: Tier 3 or Tier 4 Allowance",$H35&lt;&gt;"",ISNA(MATCH($I35,Tables!$B$200,0))),
Error!$B$17,
IF(AND($E35="Tier 3",$F35="Remove",$H35&lt;&gt;"",$H35="Tree Protection Code: Tier 3 or Tier 4 Allowance",OR($I35="",ISNA(MATCH($I35,Tables!$B$193:$B$197,0)))),
Error!$B$17,
IF(AND(OR($E35="Tier 2",$E35="Tier 2 Grove"),$F35="Remove",$H35="Tree Protection Code: Other removal allowance or exemption",$I35&lt;&gt;"",ISNA(MATCH($I35,Tables!$B$215:$B$218,0))),
Error!$B$17,
IF(AND(OR($E35="Tier 2",$E35="Tier 2 Grove"),$F35="Remove",$H35="Tree Protection Code: Development Capacity",$I35&lt;&gt;"",ISNA(MATCH($I35,Tables!$B$193:$B$197,0))),
Error!$B$17,
IF(AND(OR($E35="Tier 2",$E35="Tier 2 Grove"),$F35="Remove",$H35="Tree Protection Code: Necessary for Construction",$I35&lt;&gt;"",ISNA(MATCH($I35,Tables!$B$193:$B$197,0))),
Error!$B$17,
IF(AND($E35="Tier 1",$F35="Remove",$H35="Tree Protection Code: Special Exception",$I35&lt;&gt;"",ISNA(MATCH($I35,Tables!$B$215:$B$218,0))),
Error!$B$17,
IF(AND($E35="Tier 1",$F35="Remove",$H35="Tree Protection Code: Other removal allowance or exemption",$I35&lt;&gt;"",ISNA(MATCH($I35,Tables!$B$215:$B$218,0))),
Error!$B$17,
IF(AND($E35="ECA / Shoreline Tree",$F35="Remove",$H35&lt;&gt;"",OR($H35="Shoreline",$H35="Environmental Critical Area (ECA)"),ISNA(MATCH($I35,Tables!$B$209:$B$212,0))),
Error!$B$17,
IF(AND(_xlpm.baseRow,$F35="Retain",$E35="ECA / Shoreline Tree",_xlpm.ECA_Short=0),
Error!$B$61,
IF(AND($F35="Remove",ISNUMBER(MATCH($E35,{"Tier 1","Tier 2","Tier 3","Tier 4","Tier 2 Grove"},0)),ISNUMBER(MATCH($I35,{"On-site replacement","Off-site replacement"},0)),$J35="",$H35&lt;&gt;""),
Error!$B$19,
IF(AND(_xlpm.baseRow,$E35&lt;&gt;"",$D35&lt;&gt;"",$F35&lt;&gt;"",COUNTBLANK($B35:$C35)&gt;0,COUNTBLANK(_xlpm.HRange)&lt;&gt;4),
Error!$B$22,
IF(AND($H35="Zoning: Tree Points",$K35&lt;&gt;"",ISNA(MATCH($K35,Tables!$B$242:$B$253,0))),
Error!$B$58,
IF(AND($H35="Zoning: Tree Points",$K35="Small",$L35&lt;&gt;"",ISNA(MATCH($L35,Tables!$C$243:$C$244,0))),
Error!$B$59,
IF(AND($H35="Zoning: Tree Points",$K35="Small/Medium",$L35&lt;&gt;"",ISNA(MATCH($L35,Tables!$C$246:$C$247,0))),
Error!$B$59,
IF(AND($H35="Zoning: Tree Points",$K35="Medium/Large",$L35&lt;&gt;"",ISNA(MATCH($L35,Tables!$C$249:$C$250,0))),
Error!$B$59,
IF(AND($H35="Zoning: Tree Points",$K35="Large",$L35&lt;&gt;"",ISNA(MATCH($L35,Tables!$C$252:$C$253,0))),
Error!$B$59,
IF(AND($F35="Retain",$H35="Zoning: Tree Points",$C35&lt;&gt;"",$D35&lt;&gt;"",OR($K35="",$L35="",$M35="")),
Error!$B$20,
""
)))))))))))))))))))))))))))))))))))))))))))))))))))))))),
Error!$B$23))</f>
        <v/>
      </c>
      <c r="O35" s="343" t="str" cm="1">
        <f t="array" aca="1" ref="O35" ca="1">IFERROR(_xlfn.LET(
    _xlpm.txt, $C35,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6" spans="1:15" x14ac:dyDescent="0.3">
      <c r="A36" s="320"/>
      <c r="B36" s="616" t="str">
        <f t="shared" ref="B36:B38" si="8">IF($B35="", "", $B35)</f>
        <v/>
      </c>
      <c r="C36" s="617" t="str">
        <f>IF($C35="", "", $C35)</f>
        <v/>
      </c>
      <c r="D36" s="618" t="str">
        <f t="shared" ref="D36:D38" si="9">IF($D35="", "", $D35)</f>
        <v/>
      </c>
      <c r="E36" s="616" t="str">
        <f>IF($E35="", "", $E35)</f>
        <v/>
      </c>
      <c r="F36" s="616" t="str">
        <f>IF($F35="", "", $F35)</f>
        <v/>
      </c>
      <c r="G36" s="619" t="str">
        <f>IF(Tree_Table1[[#This Row],[Tree Status  &amp;]]="Retain", Tables!$B$237, IF(Tree_Table1[[#This Row],[Tree Status  &amp;]]="Remove", Tables!$B$238, ""))</f>
        <v/>
      </c>
      <c r="H36" s="321"/>
      <c r="I36" s="322"/>
      <c r="J36" s="453"/>
      <c r="K36" s="323" t="str">
        <f>IFERROR(
    IF(
        AND($H36="Zoning: Tree Points", NOT(ISNUMBER(SEARCH("sp.", $C36)))),
        VLOOKUP($C36, 'Tree List'!$C$3:$F$601, 4, FALSE),
        ""
    ),
"")</f>
        <v/>
      </c>
      <c r="L36" s="324" t="str" cm="1">
        <f t="array" ref="L36">IFERROR(
IF(
    AND($H36="Zoning: Tree Points", NOT(ISNUMBER(SEARCH("sp.", $C36)))),
    _xlfn.IFS(
        (COUNTIFS('Tree List'!$C$3:$C$601,$C36,'Tree List'!$D$3:$D$601,"Coniferous")
        + COUNTIFS('Tree List'!$C$3:$C$601,$C36,'Tree List'!$D$3:$D$601,"Deciduous Conifer")) &gt; 0,
            _xlfn.IFS($K36="Small",0.5,$K36="Small/Medium",1,$K36="Medium/Large",1.4,$K36="Large",1.8),
        (COUNTIFS('Tree List'!$C$3:$C$601,$C36,'Tree List'!$D$3:$D$601,"Deciduous")
        + COUNTIFS('Tree List'!$C$3:$C$601,$C36,'Tree List'!$D$3:$D$601,"Broadleaf Evergreen")) &gt; 0,
            _xlfn.IFS($K36="Small",0.4,$K36="Small/Medium",0.8,$K36="Medium/Large",1.2,$K36="Large",1.6)
    ),
    ""
),
"")</f>
        <v/>
      </c>
      <c r="M36" s="475" t="str">
        <f t="shared" si="0"/>
        <v/>
      </c>
      <c r="N36" s="346" t="str" cm="1">
        <f t="array" aca="1" ref="N3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IF(AND(_xlpm.baseRow,ISNA(MATCH($C36,'Tree List'!$C$3:$C$601,0)),SUMPRODUCT(--ISNUMBER(SEARCH(Tables2!$C$677:$C$772,$O36)))&gt;0),
Error!$B$57,
IF(AND(_xlpm.hasDM,$F36="Remove",$H36&lt;&gt;"",OR($I36="On-site replacement",$I36="Off-site replacement",$I36="Payment In Lieu")),
Error!$B$56,
IF(AND(_xlpm.hasDM,$F36="Remove",$H36&lt;&gt;"",$I36="Relocation"),
Error!$B$66,
IF(AND(OR(_xlpm.hasCN,_xlpm.hasPH,_xlpm.hasGR),$H36&lt;&gt;"",COUNTIF(Tables!$B$132:$B$134,$H36)&gt;0,$I36="N/A (No replacement required)"),
Error!$B$62,
IF(AND(_xlpm.baseRow,$E36&lt;&gt;"",ISNA(MATCH($E36,Tables!$B$225:$B$232,0))),
Error!$B$2,
IF(AND(_xlpm.baseRow,$F36&lt;&gt;"",ISNA(MATCH($F36,Tables!$B$234:$B$235,0))),
Error!$B$24,
IF(AND(_xlpm.baseRow,_xlpm.ECA_H&gt;0,_xlpm.Shore_H&gt;0),
Error!$B$16,
IF(AND(_xlpm.baseRow,$E36&lt;&gt;"",$D36=""),
Error!$B$3,
IF(AND(_xlpm.baseRow,OR($E36="Tier 3",$E36="Tier 4"),$C36&lt;&gt;"",$D36&gt;=24,COUNTIF(Tables2!$B$166:$B$674,$C36)&gt;0),
Error!$B$44,
IF(AND(_xlpm.baseRow,OR($E36="Tier 3",$E36="Tier 4"),$C36&lt;&gt;"",$D36&lt;&gt;"",COUNTIF(Tables2!$B$73:$B$152,$C36)&gt;0,
$D36&gt;=IFERROR(INDEX(Tables2!$C$73:$C$152,MATCH($C36,Tables2!$B$73:$B$152,0)),-1)),
Error!$B$44,
IF(AND(_xlpm.baseRow,OR($E36="Tier 2",$E36="Tier 2 Grove"),$C36&lt;&gt;"",$D36&gt;=12,COUNTIF(Tables2!$B$153:$B$162,$C36)&gt;0),
Error!$B$45,
IF(AND(_xlpm.baseRow,$E36="Tier 2 Grove",$D36&lt;12),
Error!$B$41,
IF(AND(_xlpm.baseRow,$E36="Tier 2",$D36&lt;5.88),
Error!$B$40,
IF(AND(_xlpm.baseRow,OR($E36="Tier 2",$E36="Tier 2 Grove"),$C36&lt;&gt;"",$D36&lt;12,$D36&gt;=6,COUNTIF(Tables2!$B$153:$B$162,$C36)&gt;0),
Error!$B$54,
IF(AND(_xlpm.baseRow,$E36="Tier 2",COUNTIF(Tables2!$B$166:$B$674,$C36)&gt;0,$D36&lt;24),
Error!$B$54,
IF(AND(_xlpm.baseRow,$E36="Tier 3",ISNA(MATCH($C36,Tables2!$B$153:$B$162,0)),OR($D36&lt;12,$D36&gt;=24)),
Error!$B$9,
IF(AND(_xlpm.baseRow,$E36="Tier 3",COUNTIF(Tables2!$B$153:$B$162,$C36)&gt;0,$D36&lt;12),
Error!$B$46,
IF(AND(_xlpm.baseRow,$E36="Tier 4",OR($D36&lt;6,$D36&gt;=12)),
Error!$B$10,
IF(AND(_xlpm.baseRow,$E36="&lt;6in DSH for Tree Points",OR($D36&gt;=6,$D36="")),
Error!$B$8,
IF(AND(_xlpm.baseRow,$E36="Street Tree for Green Factor",$F36&lt;&gt;"",$F36&lt;&gt;"Retain"),
Error!$B$14,
IF(AND($E36="&lt;6in DSH for Tree Points",$F36="Retain",$H36&lt;&gt;"",ISNA(MATCH($H36,Tables!$B$174:$B$174,0))),
Error!$B$15,
IF(AND($E36="Street Tree for Green Factor",$F36="Retain",$H36&lt;&gt;"",$H36&lt;&gt;"Zoning: Green Factor"),
Error!$B$15,
IF(AND($E36="ECA / Shoreline Tree",$F36="Remove",$H36&lt;&gt;"",ISNA(MATCH($H36,Tables!$B$189:$B$190,0))),
Error!$B$15,
IF(AND($E36="ECA / Shoreline Tree",$F36="Retain",$H36&lt;&gt;"",ISNA(MATCH($H36,Tables!$B$184:$B$186,0))),
Error!$B$15,
IF(AND($E36="Tier 4",$F36="Remove",$H36&lt;&gt;"",ISNA(MATCH($H36,Tables!$B$171,0))),
Error!$B$15,
IF(AND($E36="Tier 4",$F36="Retain",$H36&lt;&gt;"",ISNA(MATCH($H36,Tables!$B$166:$B$168,0))),
Error!$B$15,
IF(AND($E36="Tier 3",$F36="Retain",$H36&lt;&gt;"",ISNA(MATCH($H36,Tables!$B$158:$B$160,0))),
Error!$B$15,
IF(AND($E36="Tier 3",$F36="Remove",$H36&lt;&gt;"",ISNA(MATCH($H36,Tables!$B$163,0))),
Error!$B$15,
IF(AND(OR($E36="Tier 2",$E36="Tier 2 Grove"),$F36="Remove",$H36&lt;&gt;"",ISNA(MATCH($H36,Tables!$B$153:$B$155,0))),
Error!$B$15,
IF(AND(OR($E36="Tier 2",$E36="Tier 2 Grove"),$F36="Retain",$H36&lt;&gt;"",ISNA(MATCH($H36,Tables!$B$147:$B$150,0))),
Error!$B$15,
IF(AND($E36="Tier 1",$F36="Remove",$H36&lt;&gt;"",ISNA(MATCH($H36,Tables!$B$143:$B$144,0))),
Error!$B$15,
IF(AND($E36="Tier 1",$F36="Retain",$H36&lt;&gt;"",ISNA(MATCH($H36,Tables!$B$137:$B$140,0))),
Error!$B$15,
IF(AND($E36&lt;&gt;"Tier 2",$E36&lt;&gt;"Tier 2 Grove",$E36&lt;&gt;"Tier 3",$E36&lt;&gt;"Tier 4",$H36="Zoning: Green Factor",OR($D36="",$D36&lt;6)),
Error!$B$11,
IF(AND(_xlpm.baseRow,$D36&lt;6,$E36="&lt;6in DSH for Tree Points",_xlpm.TreePoints_H=0),
Error!$B$21,
IF(AND(_xlpm.baseRow,$E36&lt;&gt;"",$D36&lt;&gt;"",$F36=""),
Error!$B$4,
IF(AND(_xlpm.baseRow,$F36="Remove",OR($E36="Tier 1",$E36="Tier 2",$E36="Tier 2 Grove"),COUNTBLANK(_xlpm.HRange)&lt;3,_xlpm.uniqueH&gt;=2),
Error!$B$48,
IF(AND(_xlpm.baseRow,$F36="Retain",OR($E36="Tier 1",$E36="Tier 2",$E36="Tier 2 Grove"),COUNTIF(_xlpm.HRange,"Tree Code: Required to Retain Tier 1-2 Tree")=0),
Error!$B$47,
IF(AND(_xlpm.baseRow,$E36&lt;&gt;"",$D36&lt;&gt;"",$F36&lt;&gt;"",COUNTBLANK(_xlpm.HRange)=4),
Error!$B$5,
IF(AND($F36="Remove",$H36&lt;&gt;"",$I36=""),
Error!$B$18,
IF(AND($E36="Tier 4",$F36="Remove",$H36="Tree Protection Code: Tier 3 or Tier 4 Allowance",$H36&lt;&gt;"",ISNA(MATCH($I36,Tables!$B$200,0))),
Error!$B$17,
IF(AND($E36="Tier 3",$F36="Remove",$H36&lt;&gt;"",$H36="Tree Protection Code: Tier 3 or Tier 4 Allowance",OR($I36="",ISNA(MATCH($I36,Tables!$B$193:$B$197,0)))),
Error!$B$17,
IF(AND(OR($E36="Tier 2",$E36="Tier 2 Grove"),$F36="Remove",$H36="Tree Protection Code: Other removal allowance or exemption",$I36&lt;&gt;"",ISNA(MATCH($I36,Tables!$B$215:$B$218,0))),
Error!$B$17,
IF(AND(OR($E36="Tier 2",$E36="Tier 2 Grove"),$F36="Remove",$H36="Tree Protection Code: Development Capacity",$I36&lt;&gt;"",ISNA(MATCH($I36,Tables!$B$193:$B$197,0))),
Error!$B$17,
IF(AND(OR($E36="Tier 2",$E36="Tier 2 Grove"),$F36="Remove",$H36="Tree Protection Code: Necessary for Construction",$I36&lt;&gt;"",ISNA(MATCH($I36,Tables!$B$193:$B$197,0))),
Error!$B$17,
IF(AND($E36="Tier 1",$F36="Remove",$H36="Tree Protection Code: Special Exception",$I36&lt;&gt;"",ISNA(MATCH($I36,Tables!$B$215:$B$218,0))),
Error!$B$17,
IF(AND($E36="Tier 1",$F36="Remove",$H36="Tree Protection Code: Other removal allowance or exemption",$I36&lt;&gt;"",ISNA(MATCH($I36,Tables!$B$215:$B$218,0))),
Error!$B$17,
IF(AND($E36="ECA / Shoreline Tree",$F36="Remove",$H36&lt;&gt;"",OR($H36="Shoreline",$H36="Environmental Critical Area (ECA)"),ISNA(MATCH($I36,Tables!$B$209:$B$212,0))),
Error!$B$17,
IF(AND(_xlpm.baseRow,$F36="Retain",$E36="ECA / Shoreline Tree",_xlpm.ECA_Short=0),
Error!$B$61,
IF(AND($F36="Remove",ISNUMBER(MATCH($E36,{"Tier 1","Tier 2","Tier 3","Tier 4","Tier 2 Grove"},0)),ISNUMBER(MATCH($I36,{"On-site replacement","Off-site replacement"},0)),$J36="",$H36&lt;&gt;""),
Error!$B$19,
IF(AND(_xlpm.baseRow,$E36&lt;&gt;"",$D36&lt;&gt;"",$F36&lt;&gt;"",COUNTBLANK($B36:$C36)&gt;0,COUNTBLANK(_xlpm.HRange)&lt;&gt;4),
Error!$B$22,
IF(AND($H36="Zoning: Tree Points",$K36&lt;&gt;"",ISNA(MATCH($K36,Tables!$B$242:$B$253,0))),
Error!$B$58,
IF(AND($H36="Zoning: Tree Points",$K36="Small",$L36&lt;&gt;"",ISNA(MATCH($L36,Tables!$C$243:$C$244,0))),
Error!$B$59,
IF(AND($H36="Zoning: Tree Points",$K36="Small/Medium",$L36&lt;&gt;"",ISNA(MATCH($L36,Tables!$C$246:$C$247,0))),
Error!$B$59,
IF(AND($H36="Zoning: Tree Points",$K36="Medium/Large",$L36&lt;&gt;"",ISNA(MATCH($L36,Tables!$C$249:$C$250,0))),
Error!$B$59,
IF(AND($H36="Zoning: Tree Points",$K36="Large",$L36&lt;&gt;"",ISNA(MATCH($L36,Tables!$C$252:$C$253,0))),
Error!$B$59,
IF(AND($F36="Retain",$H36="Zoning: Tree Points",$C36&lt;&gt;"",$D36&lt;&gt;"",OR($K36="",$L36="",$M36="")),
Error!$B$20,
""
)))))))))))))))))))))))))))))))))))))))))))))))))))))))),
Error!$B$23))</f>
        <v/>
      </c>
      <c r="O36" s="343" t="str" cm="1">
        <f t="array" aca="1" ref="O36" ca="1">IFERROR(_xlfn.LET(
    _xlpm.txt, $C36,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7" spans="1:15" x14ac:dyDescent="0.3">
      <c r="A37" s="320"/>
      <c r="B37" s="616" t="str">
        <f t="shared" si="8"/>
        <v/>
      </c>
      <c r="C37" s="617" t="str">
        <f>IF($C36="", "", $C36)</f>
        <v/>
      </c>
      <c r="D37" s="618" t="str">
        <f t="shared" si="9"/>
        <v/>
      </c>
      <c r="E37" s="616" t="str">
        <f>IF($E36="", "", $E36)</f>
        <v/>
      </c>
      <c r="F37" s="616" t="str">
        <f>IF($F36="", "", $F36)</f>
        <v/>
      </c>
      <c r="G37" s="619" t="str">
        <f>IF(Tree_Table1[[#This Row],[Tree Status  &amp;]]="Retain", Tables!$B$237, IF(Tree_Table1[[#This Row],[Tree Status  &amp;]]="Remove", Tables!$B$238, ""))</f>
        <v/>
      </c>
      <c r="H37" s="321"/>
      <c r="I37" s="322"/>
      <c r="J37" s="453"/>
      <c r="K37" s="323" t="str">
        <f>IFERROR(
    IF(
        AND($H37="Zoning: Tree Points", NOT(ISNUMBER(SEARCH("sp.", $C37)))),
        VLOOKUP($C37, 'Tree List'!$C$3:$F$601, 4, FALSE),
        ""
    ),
"")</f>
        <v/>
      </c>
      <c r="L37" s="324" t="str" cm="1">
        <f t="array" ref="L37">IFERROR(
IF(
    AND($H37="Zoning: Tree Points", NOT(ISNUMBER(SEARCH("sp.", $C37)))),
    _xlfn.IFS(
        (COUNTIFS('Tree List'!$C$3:$C$601,$C37,'Tree List'!$D$3:$D$601,"Coniferous")
        + COUNTIFS('Tree List'!$C$3:$C$601,$C37,'Tree List'!$D$3:$D$601,"Deciduous Conifer")) &gt; 0,
            _xlfn.IFS($K37="Small",0.5,$K37="Small/Medium",1,$K37="Medium/Large",1.4,$K37="Large",1.8),
        (COUNTIFS('Tree List'!$C$3:$C$601,$C37,'Tree List'!$D$3:$D$601,"Deciduous")
        + COUNTIFS('Tree List'!$C$3:$C$601,$C37,'Tree List'!$D$3:$D$601,"Broadleaf Evergreen")) &gt; 0,
            _xlfn.IFS($K37="Small",0.4,$K37="Small/Medium",0.8,$K37="Medium/Large",1.2,$K37="Large",1.6)
    ),
    ""
),
"")</f>
        <v/>
      </c>
      <c r="M37" s="475" t="str">
        <f t="shared" si="0"/>
        <v/>
      </c>
      <c r="N37" s="346" t="str" cm="1">
        <f t="array" aca="1" ref="N3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IF(AND(_xlpm.baseRow,ISNA(MATCH($C37,'Tree List'!$C$3:$C$601,0)),SUMPRODUCT(--ISNUMBER(SEARCH(Tables2!$C$677:$C$772,$O37)))&gt;0),
Error!$B$57,
IF(AND(_xlpm.hasDM,$F37="Remove",$H37&lt;&gt;"",OR($I37="On-site replacement",$I37="Off-site replacement",$I37="Payment In Lieu")),
Error!$B$56,
IF(AND(_xlpm.hasDM,$F37="Remove",$H37&lt;&gt;"",$I37="Relocation"),
Error!$B$66,
IF(AND(OR(_xlpm.hasCN,_xlpm.hasPH,_xlpm.hasGR),$H37&lt;&gt;"",COUNTIF(Tables!$B$132:$B$134,$H37)&gt;0,$I37="N/A (No replacement required)"),
Error!$B$62,
IF(AND(_xlpm.baseRow,$E37&lt;&gt;"",ISNA(MATCH($E37,Tables!$B$225:$B$232,0))),
Error!$B$2,
IF(AND(_xlpm.baseRow,$F37&lt;&gt;"",ISNA(MATCH($F37,Tables!$B$234:$B$235,0))),
Error!$B$24,
IF(AND(_xlpm.baseRow,_xlpm.ECA_H&gt;0,_xlpm.Shore_H&gt;0),
Error!$B$16,
IF(AND(_xlpm.baseRow,$E37&lt;&gt;"",$D37=""),
Error!$B$3,
IF(AND(_xlpm.baseRow,OR($E37="Tier 3",$E37="Tier 4"),$C37&lt;&gt;"",$D37&gt;=24,COUNTIF(Tables2!$B$166:$B$674,$C37)&gt;0),
Error!$B$44,
IF(AND(_xlpm.baseRow,OR($E37="Tier 3",$E37="Tier 4"),$C37&lt;&gt;"",$D37&lt;&gt;"",COUNTIF(Tables2!$B$73:$B$152,$C37)&gt;0,
$D37&gt;=IFERROR(INDEX(Tables2!$C$73:$C$152,MATCH($C37,Tables2!$B$73:$B$152,0)),-1)),
Error!$B$44,
IF(AND(_xlpm.baseRow,OR($E37="Tier 2",$E37="Tier 2 Grove"),$C37&lt;&gt;"",$D37&gt;=12,COUNTIF(Tables2!$B$153:$B$162,$C37)&gt;0),
Error!$B$45,
IF(AND(_xlpm.baseRow,$E37="Tier 2 Grove",$D37&lt;12),
Error!$B$41,
IF(AND(_xlpm.baseRow,$E37="Tier 2",$D37&lt;5.88),
Error!$B$40,
IF(AND(_xlpm.baseRow,OR($E37="Tier 2",$E37="Tier 2 Grove"),$C37&lt;&gt;"",$D37&lt;12,$D37&gt;=6,COUNTIF(Tables2!$B$153:$B$162,$C37)&gt;0),
Error!$B$54,
IF(AND(_xlpm.baseRow,$E37="Tier 2",COUNTIF(Tables2!$B$166:$B$674,$C37)&gt;0,$D37&lt;24),
Error!$B$54,
IF(AND(_xlpm.baseRow,$E37="Tier 3",ISNA(MATCH($C37,Tables2!$B$153:$B$162,0)),OR($D37&lt;12,$D37&gt;=24)),
Error!$B$9,
IF(AND(_xlpm.baseRow,$E37="Tier 3",COUNTIF(Tables2!$B$153:$B$162,$C37)&gt;0,$D37&lt;12),
Error!$B$46,
IF(AND(_xlpm.baseRow,$E37="Tier 4",OR($D37&lt;6,$D37&gt;=12)),
Error!$B$10,
IF(AND(_xlpm.baseRow,$E37="&lt;6in DSH for Tree Points",OR($D37&gt;=6,$D37="")),
Error!$B$8,
IF(AND(_xlpm.baseRow,$E37="Street Tree for Green Factor",$F37&lt;&gt;"",$F37&lt;&gt;"Retain"),
Error!$B$14,
IF(AND($E37="&lt;6in DSH for Tree Points",$F37="Retain",$H37&lt;&gt;"",ISNA(MATCH($H37,Tables!$B$174:$B$174,0))),
Error!$B$15,
IF(AND($E37="Street Tree for Green Factor",$F37="Retain",$H37&lt;&gt;"",$H37&lt;&gt;"Zoning: Green Factor"),
Error!$B$15,
IF(AND($E37="ECA / Shoreline Tree",$F37="Remove",$H37&lt;&gt;"",ISNA(MATCH($H37,Tables!$B$189:$B$190,0))),
Error!$B$15,
IF(AND($E37="ECA / Shoreline Tree",$F37="Retain",$H37&lt;&gt;"",ISNA(MATCH($H37,Tables!$B$184:$B$186,0))),
Error!$B$15,
IF(AND($E37="Tier 4",$F37="Remove",$H37&lt;&gt;"",ISNA(MATCH($H37,Tables!$B$171,0))),
Error!$B$15,
IF(AND($E37="Tier 4",$F37="Retain",$H37&lt;&gt;"",ISNA(MATCH($H37,Tables!$B$166:$B$168,0))),
Error!$B$15,
IF(AND($E37="Tier 3",$F37="Retain",$H37&lt;&gt;"",ISNA(MATCH($H37,Tables!$B$158:$B$160,0))),
Error!$B$15,
IF(AND($E37="Tier 3",$F37="Remove",$H37&lt;&gt;"",ISNA(MATCH($H37,Tables!$B$163,0))),
Error!$B$15,
IF(AND(OR($E37="Tier 2",$E37="Tier 2 Grove"),$F37="Remove",$H37&lt;&gt;"",ISNA(MATCH($H37,Tables!$B$153:$B$155,0))),
Error!$B$15,
IF(AND(OR($E37="Tier 2",$E37="Tier 2 Grove"),$F37="Retain",$H37&lt;&gt;"",ISNA(MATCH($H37,Tables!$B$147:$B$150,0))),
Error!$B$15,
IF(AND($E37="Tier 1",$F37="Remove",$H37&lt;&gt;"",ISNA(MATCH($H37,Tables!$B$143:$B$144,0))),
Error!$B$15,
IF(AND($E37="Tier 1",$F37="Retain",$H37&lt;&gt;"",ISNA(MATCH($H37,Tables!$B$137:$B$140,0))),
Error!$B$15,
IF(AND($E37&lt;&gt;"Tier 2",$E37&lt;&gt;"Tier 2 Grove",$E37&lt;&gt;"Tier 3",$E37&lt;&gt;"Tier 4",$H37="Zoning: Green Factor",OR($D37="",$D37&lt;6)),
Error!$B$11,
IF(AND(_xlpm.baseRow,$D37&lt;6,$E37="&lt;6in DSH for Tree Points",_xlpm.TreePoints_H=0),
Error!$B$21,
IF(AND(_xlpm.baseRow,$E37&lt;&gt;"",$D37&lt;&gt;"",$F37=""),
Error!$B$4,
IF(AND(_xlpm.baseRow,$F37="Remove",OR($E37="Tier 1",$E37="Tier 2",$E37="Tier 2 Grove"),COUNTBLANK(_xlpm.HRange)&lt;3,_xlpm.uniqueH&gt;=2),
Error!$B$48,
IF(AND(_xlpm.baseRow,$F37="Retain",OR($E37="Tier 1",$E37="Tier 2",$E37="Tier 2 Grove"),COUNTIF(_xlpm.HRange,"Tree Code: Required to Retain Tier 1-2 Tree")=0),
Error!$B$47,
IF(AND(_xlpm.baseRow,$E37&lt;&gt;"",$D37&lt;&gt;"",$F37&lt;&gt;"",COUNTBLANK(_xlpm.HRange)=4),
Error!$B$5,
IF(AND($F37="Remove",$H37&lt;&gt;"",$I37=""),
Error!$B$18,
IF(AND($E37="Tier 4",$F37="Remove",$H37="Tree Protection Code: Tier 3 or Tier 4 Allowance",$H37&lt;&gt;"",ISNA(MATCH($I37,Tables!$B$200,0))),
Error!$B$17,
IF(AND($E37="Tier 3",$F37="Remove",$H37&lt;&gt;"",$H37="Tree Protection Code: Tier 3 or Tier 4 Allowance",OR($I37="",ISNA(MATCH($I37,Tables!$B$193:$B$197,0)))),
Error!$B$17,
IF(AND(OR($E37="Tier 2",$E37="Tier 2 Grove"),$F37="Remove",$H37="Tree Protection Code: Other removal allowance or exemption",$I37&lt;&gt;"",ISNA(MATCH($I37,Tables!$B$215:$B$218,0))),
Error!$B$17,
IF(AND(OR($E37="Tier 2",$E37="Tier 2 Grove"),$F37="Remove",$H37="Tree Protection Code: Development Capacity",$I37&lt;&gt;"",ISNA(MATCH($I37,Tables!$B$193:$B$197,0))),
Error!$B$17,
IF(AND(OR($E37="Tier 2",$E37="Tier 2 Grove"),$F37="Remove",$H37="Tree Protection Code: Necessary for Construction",$I37&lt;&gt;"",ISNA(MATCH($I37,Tables!$B$193:$B$197,0))),
Error!$B$17,
IF(AND($E37="Tier 1",$F37="Remove",$H37="Tree Protection Code: Special Exception",$I37&lt;&gt;"",ISNA(MATCH($I37,Tables!$B$215:$B$218,0))),
Error!$B$17,
IF(AND($E37="Tier 1",$F37="Remove",$H37="Tree Protection Code: Other removal allowance or exemption",$I37&lt;&gt;"",ISNA(MATCH($I37,Tables!$B$215:$B$218,0))),
Error!$B$17,
IF(AND($E37="ECA / Shoreline Tree",$F37="Remove",$H37&lt;&gt;"",OR($H37="Shoreline",$H37="Environmental Critical Area (ECA)"),ISNA(MATCH($I37,Tables!$B$209:$B$212,0))),
Error!$B$17,
IF(AND(_xlpm.baseRow,$F37="Retain",$E37="ECA / Shoreline Tree",_xlpm.ECA_Short=0),
Error!$B$61,
IF(AND($F37="Remove",ISNUMBER(MATCH($E37,{"Tier 1","Tier 2","Tier 3","Tier 4","Tier 2 Grove"},0)),ISNUMBER(MATCH($I37,{"On-site replacement","Off-site replacement"},0)),$J37="",$H37&lt;&gt;""),
Error!$B$19,
IF(AND(_xlpm.baseRow,$E37&lt;&gt;"",$D37&lt;&gt;"",$F37&lt;&gt;"",COUNTBLANK($B37:$C37)&gt;0,COUNTBLANK(_xlpm.HRange)&lt;&gt;4),
Error!$B$22,
IF(AND($H37="Zoning: Tree Points",$K37&lt;&gt;"",ISNA(MATCH($K37,Tables!$B$242:$B$253,0))),
Error!$B$58,
IF(AND($H37="Zoning: Tree Points",$K37="Small",$L37&lt;&gt;"",ISNA(MATCH($L37,Tables!$C$243:$C$244,0))),
Error!$B$59,
IF(AND($H37="Zoning: Tree Points",$K37="Small/Medium",$L37&lt;&gt;"",ISNA(MATCH($L37,Tables!$C$246:$C$247,0))),
Error!$B$59,
IF(AND($H37="Zoning: Tree Points",$K37="Medium/Large",$L37&lt;&gt;"",ISNA(MATCH($L37,Tables!$C$249:$C$250,0))),
Error!$B$59,
IF(AND($H37="Zoning: Tree Points",$K37="Large",$L37&lt;&gt;"",ISNA(MATCH($L37,Tables!$C$252:$C$253,0))),
Error!$B$59,
IF(AND($F37="Retain",$H37="Zoning: Tree Points",$C37&lt;&gt;"",$D37&lt;&gt;"",OR($K37="",$L37="",$M37="")),
Error!$B$20,
""
)))))))))))))))))))))))))))))))))))))))))))))))))))))))),
Error!$B$23))</f>
        <v/>
      </c>
      <c r="O37" s="343" t="str" cm="1">
        <f t="array" aca="1" ref="O37" ca="1">IFERROR(_xlfn.LET(
    _xlpm.txt, $C37,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8" spans="1:15" ht="15" thickBot="1" x14ac:dyDescent="0.35">
      <c r="A38" s="331"/>
      <c r="B38" s="616" t="str">
        <f t="shared" si="8"/>
        <v/>
      </c>
      <c r="C38" s="617" t="str">
        <f>IF($C37="", "", $C37)</f>
        <v/>
      </c>
      <c r="D38" s="618" t="str">
        <f t="shared" si="9"/>
        <v/>
      </c>
      <c r="E38" s="616" t="str">
        <f>IF($E37="", "", $E37)</f>
        <v/>
      </c>
      <c r="F38" s="616" t="str">
        <f>IF($F37="", "", $F37)</f>
        <v/>
      </c>
      <c r="G38" s="619" t="str">
        <f>IF(Tree_Table1[[#This Row],[Tree Status  &amp;]]="Retain", Tables!$B$237, IF(Tree_Table1[[#This Row],[Tree Status  &amp;]]="Remove", Tables!$B$238, ""))</f>
        <v/>
      </c>
      <c r="H38" s="329"/>
      <c r="I38" s="330"/>
      <c r="J38" s="455"/>
      <c r="K38" s="327" t="str">
        <f>IFERROR(
    IF(
        AND($H38="Zoning: Tree Points", NOT(ISNUMBER(SEARCH("sp.", $C38)))),
        VLOOKUP($C38, 'Tree List'!$C$3:$F$601, 4, FALSE),
        ""
    ),
"")</f>
        <v/>
      </c>
      <c r="L38" s="328" t="str" cm="1">
        <f t="array" ref="L38">IFERROR(
IF(
    AND($H38="Zoning: Tree Points", NOT(ISNUMBER(SEARCH("sp.", $C38)))),
    _xlfn.IFS(
        (COUNTIFS('Tree List'!$C$3:$C$601,$C38,'Tree List'!$D$3:$D$601,"Coniferous")
        + COUNTIFS('Tree List'!$C$3:$C$601,$C38,'Tree List'!$D$3:$D$601,"Deciduous Conifer")) &gt; 0,
            _xlfn.IFS($K38="Small",0.5,$K38="Small/Medium",1,$K38="Medium/Large",1.4,$K38="Large",1.8),
        (COUNTIFS('Tree List'!$C$3:$C$601,$C38,'Tree List'!$D$3:$D$601,"Deciduous")
        + COUNTIFS('Tree List'!$C$3:$C$601,$C38,'Tree List'!$D$3:$D$601,"Broadleaf Evergreen")) &gt; 0,
            _xlfn.IFS($K38="Small",0.4,$K38="Small/Medium",0.8,$K38="Medium/Large",1.2,$K38="Large",1.6)
    ),
    ""
),
"")</f>
        <v/>
      </c>
      <c r="M38" s="476" t="str">
        <f t="shared" si="0"/>
        <v/>
      </c>
      <c r="N38" s="347" t="str" cm="1">
        <f t="array" aca="1" ref="N3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IF(AND(_xlpm.baseRow,ISNA(MATCH($C38,'Tree List'!$C$3:$C$601,0)),SUMPRODUCT(--ISNUMBER(SEARCH(Tables2!$C$677:$C$772,$O38)))&gt;0),
Error!$B$57,
IF(AND(_xlpm.hasDM,$F38="Remove",$H38&lt;&gt;"",OR($I38="On-site replacement",$I38="Off-site replacement",$I38="Payment In Lieu")),
Error!$B$56,
IF(AND(_xlpm.hasDM,$F38="Remove",$H38&lt;&gt;"",$I38="Relocation"),
Error!$B$66,
IF(AND(OR(_xlpm.hasCN,_xlpm.hasPH,_xlpm.hasGR),$H38&lt;&gt;"",COUNTIF(Tables!$B$132:$B$134,$H38)&gt;0,$I38="N/A (No replacement required)"),
Error!$B$62,
IF(AND(_xlpm.baseRow,$E38&lt;&gt;"",ISNA(MATCH($E38,Tables!$B$225:$B$232,0))),
Error!$B$2,
IF(AND(_xlpm.baseRow,$F38&lt;&gt;"",ISNA(MATCH($F38,Tables!$B$234:$B$235,0))),
Error!$B$24,
IF(AND(_xlpm.baseRow,_xlpm.ECA_H&gt;0,_xlpm.Shore_H&gt;0),
Error!$B$16,
IF(AND(_xlpm.baseRow,$E38&lt;&gt;"",$D38=""),
Error!$B$3,
IF(AND(_xlpm.baseRow,OR($E38="Tier 3",$E38="Tier 4"),$C38&lt;&gt;"",$D38&gt;=24,COUNTIF(Tables2!$B$166:$B$674,$C38)&gt;0),
Error!$B$44,
IF(AND(_xlpm.baseRow,OR($E38="Tier 3",$E38="Tier 4"),$C38&lt;&gt;"",$D38&lt;&gt;"",COUNTIF(Tables2!$B$73:$B$152,$C38)&gt;0,
$D38&gt;=IFERROR(INDEX(Tables2!$C$73:$C$152,MATCH($C38,Tables2!$B$73:$B$152,0)),-1)),
Error!$B$44,
IF(AND(_xlpm.baseRow,OR($E38="Tier 2",$E38="Tier 2 Grove"),$C38&lt;&gt;"",$D38&gt;=12,COUNTIF(Tables2!$B$153:$B$162,$C38)&gt;0),
Error!$B$45,
IF(AND(_xlpm.baseRow,$E38="Tier 2 Grove",$D38&lt;12),
Error!$B$41,
IF(AND(_xlpm.baseRow,$E38="Tier 2",$D38&lt;5.88),
Error!$B$40,
IF(AND(_xlpm.baseRow,OR($E38="Tier 2",$E38="Tier 2 Grove"),$C38&lt;&gt;"",$D38&lt;12,$D38&gt;=6,COUNTIF(Tables2!$B$153:$B$162,$C38)&gt;0),
Error!$B$54,
IF(AND(_xlpm.baseRow,$E38="Tier 2",COUNTIF(Tables2!$B$166:$B$674,$C38)&gt;0,$D38&lt;24),
Error!$B$54,
IF(AND(_xlpm.baseRow,$E38="Tier 3",ISNA(MATCH($C38,Tables2!$B$153:$B$162,0)),OR($D38&lt;12,$D38&gt;=24)),
Error!$B$9,
IF(AND(_xlpm.baseRow,$E38="Tier 3",COUNTIF(Tables2!$B$153:$B$162,$C38)&gt;0,$D38&lt;12),
Error!$B$46,
IF(AND(_xlpm.baseRow,$E38="Tier 4",OR($D38&lt;6,$D38&gt;=12)),
Error!$B$10,
IF(AND(_xlpm.baseRow,$E38="&lt;6in DSH for Tree Points",OR($D38&gt;=6,$D38="")),
Error!$B$8,
IF(AND(_xlpm.baseRow,$E38="Street Tree for Green Factor",$F38&lt;&gt;"",$F38&lt;&gt;"Retain"),
Error!$B$14,
IF(AND($E38="&lt;6in DSH for Tree Points",$F38="Retain",$H38&lt;&gt;"",ISNA(MATCH($H38,Tables!$B$174:$B$174,0))),
Error!$B$15,
IF(AND($E38="Street Tree for Green Factor",$F38="Retain",$H38&lt;&gt;"",$H38&lt;&gt;"Zoning: Green Factor"),
Error!$B$15,
IF(AND($E38="ECA / Shoreline Tree",$F38="Remove",$H38&lt;&gt;"",ISNA(MATCH($H38,Tables!$B$189:$B$190,0))),
Error!$B$15,
IF(AND($E38="ECA / Shoreline Tree",$F38="Retain",$H38&lt;&gt;"",ISNA(MATCH($H38,Tables!$B$184:$B$186,0))),
Error!$B$15,
IF(AND($E38="Tier 4",$F38="Remove",$H38&lt;&gt;"",ISNA(MATCH($H38,Tables!$B$171,0))),
Error!$B$15,
IF(AND($E38="Tier 4",$F38="Retain",$H38&lt;&gt;"",ISNA(MATCH($H38,Tables!$B$166:$B$168,0))),
Error!$B$15,
IF(AND($E38="Tier 3",$F38="Retain",$H38&lt;&gt;"",ISNA(MATCH($H38,Tables!$B$158:$B$160,0))),
Error!$B$15,
IF(AND($E38="Tier 3",$F38="Remove",$H38&lt;&gt;"",ISNA(MATCH($H38,Tables!$B$163,0))),
Error!$B$15,
IF(AND(OR($E38="Tier 2",$E38="Tier 2 Grove"),$F38="Remove",$H38&lt;&gt;"",ISNA(MATCH($H38,Tables!$B$153:$B$155,0))),
Error!$B$15,
IF(AND(OR($E38="Tier 2",$E38="Tier 2 Grove"),$F38="Retain",$H38&lt;&gt;"",ISNA(MATCH($H38,Tables!$B$147:$B$150,0))),
Error!$B$15,
IF(AND($E38="Tier 1",$F38="Remove",$H38&lt;&gt;"",ISNA(MATCH($H38,Tables!$B$143:$B$144,0))),
Error!$B$15,
IF(AND($E38="Tier 1",$F38="Retain",$H38&lt;&gt;"",ISNA(MATCH($H38,Tables!$B$137:$B$140,0))),
Error!$B$15,
IF(AND($E38&lt;&gt;"Tier 2",$E38&lt;&gt;"Tier 2 Grove",$E38&lt;&gt;"Tier 3",$E38&lt;&gt;"Tier 4",$H38="Zoning: Green Factor",OR($D38="",$D38&lt;6)),
Error!$B$11,
IF(AND(_xlpm.baseRow,$D38&lt;6,$E38="&lt;6in DSH for Tree Points",_xlpm.TreePoints_H=0),
Error!$B$21,
IF(AND(_xlpm.baseRow,$E38&lt;&gt;"",$D38&lt;&gt;"",$F38=""),
Error!$B$4,
IF(AND(_xlpm.baseRow,$F38="Remove",OR($E38="Tier 1",$E38="Tier 2",$E38="Tier 2 Grove"),COUNTBLANK(_xlpm.HRange)&lt;3,_xlpm.uniqueH&gt;=2),
Error!$B$48,
IF(AND(_xlpm.baseRow,$F38="Retain",OR($E38="Tier 1",$E38="Tier 2",$E38="Tier 2 Grove"),COUNTIF(_xlpm.HRange,"Tree Code: Required to Retain Tier 1-2 Tree")=0),
Error!$B$47,
IF(AND(_xlpm.baseRow,$E38&lt;&gt;"",$D38&lt;&gt;"",$F38&lt;&gt;"",COUNTBLANK(_xlpm.HRange)=4),
Error!$B$5,
IF(AND($F38="Remove",$H38&lt;&gt;"",$I38=""),
Error!$B$18,
IF(AND($E38="Tier 4",$F38="Remove",$H38="Tree Protection Code: Tier 3 or Tier 4 Allowance",$H38&lt;&gt;"",ISNA(MATCH($I38,Tables!$B$200,0))),
Error!$B$17,
IF(AND($E38="Tier 3",$F38="Remove",$H38&lt;&gt;"",$H38="Tree Protection Code: Tier 3 or Tier 4 Allowance",OR($I38="",ISNA(MATCH($I38,Tables!$B$193:$B$197,0)))),
Error!$B$17,
IF(AND(OR($E38="Tier 2",$E38="Tier 2 Grove"),$F38="Remove",$H38="Tree Protection Code: Other removal allowance or exemption",$I38&lt;&gt;"",ISNA(MATCH($I38,Tables!$B$215:$B$218,0))),
Error!$B$17,
IF(AND(OR($E38="Tier 2",$E38="Tier 2 Grove"),$F38="Remove",$H38="Tree Protection Code: Development Capacity",$I38&lt;&gt;"",ISNA(MATCH($I38,Tables!$B$193:$B$197,0))),
Error!$B$17,
IF(AND(OR($E38="Tier 2",$E38="Tier 2 Grove"),$F38="Remove",$H38="Tree Protection Code: Necessary for Construction",$I38&lt;&gt;"",ISNA(MATCH($I38,Tables!$B$193:$B$197,0))),
Error!$B$17,
IF(AND($E38="Tier 1",$F38="Remove",$H38="Tree Protection Code: Special Exception",$I38&lt;&gt;"",ISNA(MATCH($I38,Tables!$B$215:$B$218,0))),
Error!$B$17,
IF(AND($E38="Tier 1",$F38="Remove",$H38="Tree Protection Code: Other removal allowance or exemption",$I38&lt;&gt;"",ISNA(MATCH($I38,Tables!$B$215:$B$218,0))),
Error!$B$17,
IF(AND($E38="ECA / Shoreline Tree",$F38="Remove",$H38&lt;&gt;"",OR($H38="Shoreline",$H38="Environmental Critical Area (ECA)"),ISNA(MATCH($I38,Tables!$B$209:$B$212,0))),
Error!$B$17,
IF(AND(_xlpm.baseRow,$F38="Retain",$E38="ECA / Shoreline Tree",_xlpm.ECA_Short=0),
Error!$B$61,
IF(AND($F38="Remove",ISNUMBER(MATCH($E38,{"Tier 1","Tier 2","Tier 3","Tier 4","Tier 2 Grove"},0)),ISNUMBER(MATCH($I38,{"On-site replacement","Off-site replacement"},0)),$J38="",$H38&lt;&gt;""),
Error!$B$19,
IF(AND(_xlpm.baseRow,$E38&lt;&gt;"",$D38&lt;&gt;"",$F38&lt;&gt;"",COUNTBLANK($B38:$C38)&gt;0,COUNTBLANK(_xlpm.HRange)&lt;&gt;4),
Error!$B$22,
IF(AND($H38="Zoning: Tree Points",$K38&lt;&gt;"",ISNA(MATCH($K38,Tables!$B$242:$B$253,0))),
Error!$B$58,
IF(AND($H38="Zoning: Tree Points",$K38="Small",$L38&lt;&gt;"",ISNA(MATCH($L38,Tables!$C$243:$C$244,0))),
Error!$B$59,
IF(AND($H38="Zoning: Tree Points",$K38="Small/Medium",$L38&lt;&gt;"",ISNA(MATCH($L38,Tables!$C$246:$C$247,0))),
Error!$B$59,
IF(AND($H38="Zoning: Tree Points",$K38="Medium/Large",$L38&lt;&gt;"",ISNA(MATCH($L38,Tables!$C$249:$C$250,0))),
Error!$B$59,
IF(AND($H38="Zoning: Tree Points",$K38="Large",$L38&lt;&gt;"",ISNA(MATCH($L38,Tables!$C$252:$C$253,0))),
Error!$B$59,
IF(AND($F38="Retain",$H38="Zoning: Tree Points",$C38&lt;&gt;"",$D38&lt;&gt;"",OR($K38="",$L38="",$M38="")),
Error!$B$20,
""
)))))))))))))))))))))))))))))))))))))))))))))))))))))))),
Error!$B$23))</f>
        <v/>
      </c>
      <c r="O38" s="343" t="str" cm="1">
        <f t="array" aca="1" ref="O38" ca="1">IFERROR(_xlfn.LET(
    _xlpm.txt, $C38,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9" spans="1:15" ht="15" thickBot="1" x14ac:dyDescent="0.35">
      <c r="A39" s="311">
        <v>8</v>
      </c>
      <c r="B39" s="312"/>
      <c r="C39" s="313"/>
      <c r="D39" s="478"/>
      <c r="E39" s="314"/>
      <c r="F39" s="314"/>
      <c r="G39" s="315" t="str">
        <f>IF(Tree_Table1[[#This Row],[Tree Status  &amp;]]="Retain", Tables!$B$237, IF(Tree_Table1[[#This Row],[Tree Status  &amp;]]="Remove", Tables!$B$238, ""))</f>
        <v/>
      </c>
      <c r="H39" s="316"/>
      <c r="I39" s="317"/>
      <c r="J39" s="452"/>
      <c r="K39" s="318" t="str">
        <f>IFERROR(
    IF(
        AND($H39="Zoning: Tree Points", NOT(ISNUMBER(SEARCH("sp.", $C39)))),
        VLOOKUP($C39, 'Tree List'!$C$3:$F$601, 4, FALSE),
        ""
    ),
"")</f>
        <v/>
      </c>
      <c r="L39" s="319" t="str" cm="1">
        <f t="array" ref="L39">IFERROR(
IF(
    AND($H39="Zoning: Tree Points", NOT(ISNUMBER(SEARCH("sp.", $C39)))),
    _xlfn.IFS(
        (COUNTIFS('Tree List'!$C$3:$C$601,$C39,'Tree List'!$D$3:$D$601,"Coniferous")
        + COUNTIFS('Tree List'!$C$3:$C$601,$C39,'Tree List'!$D$3:$D$601,"Deciduous Conifer")) &gt; 0,
            _xlfn.IFS($K39="Small",0.5,$K39="Small/Medium",1,$K39="Medium/Large",1.4,$K39="Large",1.8),
        (COUNTIFS('Tree List'!$C$3:$C$601,$C39,'Tree List'!$D$3:$D$601,"Deciduous")
        + COUNTIFS('Tree List'!$C$3:$C$601,$C39,'Tree List'!$D$3:$D$601,"Broadleaf Evergreen")) &gt; 0,
            _xlfn.IFS($K39="Small",0.4,$K39="Small/Medium",0.8,$K39="Medium/Large",1.2,$K39="Large",1.6)
    ),
    ""
),
"")</f>
        <v/>
      </c>
      <c r="M39" s="474" t="str">
        <f>IFERROR($D39*$L39,"")</f>
        <v/>
      </c>
      <c r="N39" s="620" t="str" cm="1">
        <f t="array" aca="1" ref="N3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IF(AND(_xlpm.baseRow,ISNA(MATCH($C39,'Tree List'!$C$3:$C$601,0)),SUMPRODUCT(--ISNUMBER(SEARCH(Tables2!$C$677:$C$772,$O39)))&gt;0),
Error!$B$57,
IF(AND(_xlpm.hasDM,$F39="Remove",$H39&lt;&gt;"",OR($I39="On-site replacement",$I39="Off-site replacement",$I39="Payment In Lieu")),
Error!$B$56,
IF(AND(_xlpm.hasDM,$F39="Remove",$H39&lt;&gt;"",$I39="Relocation"),
Error!$B$66,
IF(AND(OR(_xlpm.hasCN,_xlpm.hasPH,_xlpm.hasGR),$H39&lt;&gt;"",COUNTIF(Tables!$B$132:$B$134,$H39)&gt;0,$I39="N/A (No replacement required)"),
Error!$B$62,
IF(AND(_xlpm.baseRow,$E39&lt;&gt;"",ISNA(MATCH($E39,Tables!$B$225:$B$232,0))),
Error!$B$2,
IF(AND(_xlpm.baseRow,$F39&lt;&gt;"",ISNA(MATCH($F39,Tables!$B$234:$B$235,0))),
Error!$B$24,
IF(AND(_xlpm.baseRow,_xlpm.ECA_H&gt;0,_xlpm.Shore_H&gt;0),
Error!$B$16,
IF(AND(_xlpm.baseRow,$E39&lt;&gt;"",$D39=""),
Error!$B$3,
IF(AND(_xlpm.baseRow,OR($E39="Tier 3",$E39="Tier 4"),$C39&lt;&gt;"",$D39&gt;=24,COUNTIF(Tables2!$B$166:$B$674,$C39)&gt;0),
Error!$B$44,
IF(AND(_xlpm.baseRow,OR($E39="Tier 3",$E39="Tier 4"),$C39&lt;&gt;"",$D39&lt;&gt;"",COUNTIF(Tables2!$B$73:$B$152,$C39)&gt;0,
$D39&gt;=IFERROR(INDEX(Tables2!$C$73:$C$152,MATCH($C39,Tables2!$B$73:$B$152,0)),-1)),
Error!$B$44,
IF(AND(_xlpm.baseRow,OR($E39="Tier 2",$E39="Tier 2 Grove"),$C39&lt;&gt;"",$D39&gt;=12,COUNTIF(Tables2!$B$153:$B$162,$C39)&gt;0),
Error!$B$45,
IF(AND(_xlpm.baseRow,$E39="Tier 2 Grove",$D39&lt;12),
Error!$B$41,
IF(AND(_xlpm.baseRow,$E39="Tier 2",$D39&lt;5.88),
Error!$B$40,
IF(AND(_xlpm.baseRow,OR($E39="Tier 2",$E39="Tier 2 Grove"),$C39&lt;&gt;"",$D39&lt;12,$D39&gt;=6,COUNTIF(Tables2!$B$153:$B$162,$C39)&gt;0),
Error!$B$54,
IF(AND(_xlpm.baseRow,$E39="Tier 2",COUNTIF(Tables2!$B$166:$B$674,$C39)&gt;0,$D39&lt;24),
Error!$B$54,
IF(AND(_xlpm.baseRow,$E39="Tier 3",ISNA(MATCH($C39,Tables2!$B$153:$B$162,0)),OR($D39&lt;12,$D39&gt;=24)),
Error!$B$9,
IF(AND(_xlpm.baseRow,$E39="Tier 3",COUNTIF(Tables2!$B$153:$B$162,$C39)&gt;0,$D39&lt;12),
Error!$B$46,
IF(AND(_xlpm.baseRow,$E39="Tier 4",OR($D39&lt;6,$D39&gt;=12)),
Error!$B$10,
IF(AND(_xlpm.baseRow,$E39="&lt;6in DSH for Tree Points",OR($D39&gt;=6,$D39="")),
Error!$B$8,
IF(AND(_xlpm.baseRow,$E39="Street Tree for Green Factor",$F39&lt;&gt;"",$F39&lt;&gt;"Retain"),
Error!$B$14,
IF(AND($E39="&lt;6in DSH for Tree Points",$F39="Retain",$H39&lt;&gt;"",ISNA(MATCH($H39,Tables!$B$174:$B$174,0))),
Error!$B$15,
IF(AND($E39="Street Tree for Green Factor",$F39="Retain",$H39&lt;&gt;"",$H39&lt;&gt;"Zoning: Green Factor"),
Error!$B$15,
IF(AND($E39="ECA / Shoreline Tree",$F39="Remove",$H39&lt;&gt;"",ISNA(MATCH($H39,Tables!$B$189:$B$190,0))),
Error!$B$15,
IF(AND($E39="ECA / Shoreline Tree",$F39="Retain",$H39&lt;&gt;"",ISNA(MATCH($H39,Tables!$B$184:$B$186,0))),
Error!$B$15,
IF(AND($E39="Tier 4",$F39="Remove",$H39&lt;&gt;"",ISNA(MATCH($H39,Tables!$B$171,0))),
Error!$B$15,
IF(AND($E39="Tier 4",$F39="Retain",$H39&lt;&gt;"",ISNA(MATCH($H39,Tables!$B$166:$B$168,0))),
Error!$B$15,
IF(AND($E39="Tier 3",$F39="Retain",$H39&lt;&gt;"",ISNA(MATCH($H39,Tables!$B$158:$B$160,0))),
Error!$B$15,
IF(AND($E39="Tier 3",$F39="Remove",$H39&lt;&gt;"",ISNA(MATCH($H39,Tables!$B$163,0))),
Error!$B$15,
IF(AND(OR($E39="Tier 2",$E39="Tier 2 Grove"),$F39="Remove",$H39&lt;&gt;"",ISNA(MATCH($H39,Tables!$B$153:$B$155,0))),
Error!$B$15,
IF(AND(OR($E39="Tier 2",$E39="Tier 2 Grove"),$F39="Retain",$H39&lt;&gt;"",ISNA(MATCH($H39,Tables!$B$147:$B$150,0))),
Error!$B$15,
IF(AND($E39="Tier 1",$F39="Remove",$H39&lt;&gt;"",ISNA(MATCH($H39,Tables!$B$143:$B$144,0))),
Error!$B$15,
IF(AND($E39="Tier 1",$F39="Retain",$H39&lt;&gt;"",ISNA(MATCH($H39,Tables!$B$137:$B$140,0))),
Error!$B$15,
IF(AND($E39&lt;&gt;"Tier 2",$E39&lt;&gt;"Tier 2 Grove",$E39&lt;&gt;"Tier 3",$E39&lt;&gt;"Tier 4",$H39="Zoning: Green Factor",OR($D39="",$D39&lt;6)),
Error!$B$11,
IF(AND(_xlpm.baseRow,$D39&lt;6,$E39="&lt;6in DSH for Tree Points",_xlpm.TreePoints_H=0),
Error!$B$21,
IF(AND(_xlpm.baseRow,$E39&lt;&gt;"",$D39&lt;&gt;"",$F39=""),
Error!$B$4,
IF(AND(_xlpm.baseRow,$F39="Remove",OR($E39="Tier 1",$E39="Tier 2",$E39="Tier 2 Grove"),COUNTBLANK(_xlpm.HRange)&lt;3,_xlpm.uniqueH&gt;=2),
Error!$B$48,
IF(AND(_xlpm.baseRow,$F39="Retain",OR($E39="Tier 1",$E39="Tier 2",$E39="Tier 2 Grove"),COUNTIF(_xlpm.HRange,"Tree Code: Required to Retain Tier 1-2 Tree")=0),
Error!$B$47,
IF(AND(_xlpm.baseRow,$E39&lt;&gt;"",$D39&lt;&gt;"",$F39&lt;&gt;"",COUNTBLANK(_xlpm.HRange)=4),
Error!$B$5,
IF(AND($F39="Remove",$H39&lt;&gt;"",$I39=""),
Error!$B$18,
IF(AND($E39="Tier 4",$F39="Remove",$H39="Tree Protection Code: Tier 3 or Tier 4 Allowance",$H39&lt;&gt;"",ISNA(MATCH($I39,Tables!$B$200,0))),
Error!$B$17,
IF(AND($E39="Tier 3",$F39="Remove",$H39&lt;&gt;"",$H39="Tree Protection Code: Tier 3 or Tier 4 Allowance",OR($I39="",ISNA(MATCH($I39,Tables!$B$193:$B$197,0)))),
Error!$B$17,
IF(AND(OR($E39="Tier 2",$E39="Tier 2 Grove"),$F39="Remove",$H39="Tree Protection Code: Other removal allowance or exemption",$I39&lt;&gt;"",ISNA(MATCH($I39,Tables!$B$215:$B$218,0))),
Error!$B$17,
IF(AND(OR($E39="Tier 2",$E39="Tier 2 Grove"),$F39="Remove",$H39="Tree Protection Code: Development Capacity",$I39&lt;&gt;"",ISNA(MATCH($I39,Tables!$B$193:$B$197,0))),
Error!$B$17,
IF(AND(OR($E39="Tier 2",$E39="Tier 2 Grove"),$F39="Remove",$H39="Tree Protection Code: Necessary for Construction",$I39&lt;&gt;"",ISNA(MATCH($I39,Tables!$B$193:$B$197,0))),
Error!$B$17,
IF(AND($E39="Tier 1",$F39="Remove",$H39="Tree Protection Code: Special Exception",$I39&lt;&gt;"",ISNA(MATCH($I39,Tables!$B$215:$B$218,0))),
Error!$B$17,
IF(AND($E39="Tier 1",$F39="Remove",$H39="Tree Protection Code: Other removal allowance or exemption",$I39&lt;&gt;"",ISNA(MATCH($I39,Tables!$B$215:$B$218,0))),
Error!$B$17,
IF(AND($E39="ECA / Shoreline Tree",$F39="Remove",$H39&lt;&gt;"",OR($H39="Shoreline",$H39="Environmental Critical Area (ECA)"),ISNA(MATCH($I39,Tables!$B$209:$B$212,0))),
Error!$B$17,
IF(AND(_xlpm.baseRow,$F39="Retain",$E39="ECA / Shoreline Tree",_xlpm.ECA_Short=0),
Error!$B$61,
IF(AND($F39="Remove",ISNUMBER(MATCH($E39,{"Tier 1","Tier 2","Tier 3","Tier 4","Tier 2 Grove"},0)),ISNUMBER(MATCH($I39,{"On-site replacement","Off-site replacement"},0)),$J39="",$H39&lt;&gt;""),
Error!$B$19,
IF(AND(_xlpm.baseRow,$E39&lt;&gt;"",$D39&lt;&gt;"",$F39&lt;&gt;"",COUNTBLANK($B39:$C39)&gt;0,COUNTBLANK(_xlpm.HRange)&lt;&gt;4),
Error!$B$22,
IF(AND($H39="Zoning: Tree Points",$K39&lt;&gt;"",ISNA(MATCH($K39,Tables!$B$242:$B$253,0))),
Error!$B$58,
IF(AND($H39="Zoning: Tree Points",$K39="Small",$L39&lt;&gt;"",ISNA(MATCH($L39,Tables!$C$243:$C$244,0))),
Error!$B$59,
IF(AND($H39="Zoning: Tree Points",$K39="Small/Medium",$L39&lt;&gt;"",ISNA(MATCH($L39,Tables!$C$246:$C$247,0))),
Error!$B$59,
IF(AND($H39="Zoning: Tree Points",$K39="Medium/Large",$L39&lt;&gt;"",ISNA(MATCH($L39,Tables!$C$249:$C$250,0))),
Error!$B$59,
IF(AND($H39="Zoning: Tree Points",$K39="Large",$L39&lt;&gt;"",ISNA(MATCH($L39,Tables!$C$252:$C$253,0))),
Error!$B$59,
IF(AND($F39="Retain",$H39="Zoning: Tree Points",$C39&lt;&gt;"",$D39&lt;&gt;"",OR($K39="",$L39="",$M39="")),
Error!$B$20,
""
)))))))))))))))))))))))))))))))))))))))))))))))))))))))),
Error!$B$23))</f>
        <v/>
      </c>
      <c r="O39" s="343" t="str" cm="1">
        <f t="array" aca="1" ref="O39" ca="1">IFERROR(_xlfn.LET(
    _xlpm.txt, $C39,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0" spans="1:15" x14ac:dyDescent="0.3">
      <c r="A40" s="320"/>
      <c r="B40" s="616" t="str">
        <f t="shared" ref="B40:B42" si="10">IF($B39="", "", $B39)</f>
        <v/>
      </c>
      <c r="C40" s="617" t="str">
        <f>IF($C39="", "", $C39)</f>
        <v/>
      </c>
      <c r="D40" s="618" t="str">
        <f>IF($D39="", "", $D39)</f>
        <v/>
      </c>
      <c r="E40" s="616" t="str">
        <f>IF($E39="", "", $E39)</f>
        <v/>
      </c>
      <c r="F40" s="616" t="str">
        <f>IF($F39="", "", $F39)</f>
        <v/>
      </c>
      <c r="G40" s="619" t="str">
        <f>IF(Tree_Table1[[#This Row],[Tree Status  &amp;]]="Retain", Tables!$B$237, IF(Tree_Table1[[#This Row],[Tree Status  &amp;]]="Remove", Tables!$B$238, ""))</f>
        <v/>
      </c>
      <c r="H40" s="321"/>
      <c r="I40" s="322"/>
      <c r="J40" s="453"/>
      <c r="K40" s="323" t="str">
        <f>IFERROR(
    IF(
        AND($H40="Zoning: Tree Points", NOT(ISNUMBER(SEARCH("sp.", $C40)))),
        VLOOKUP($C40, 'Tree List'!$C$3:$F$601, 4, FALSE),
        ""
    ),
"")</f>
        <v/>
      </c>
      <c r="L40" s="324" t="str" cm="1">
        <f t="array" ref="L40">IFERROR(
IF(
    AND($H40="Zoning: Tree Points", NOT(ISNUMBER(SEARCH("sp.", $C40)))),
    _xlfn.IFS(
        (COUNTIFS('Tree List'!$C$3:$C$601,$C40,'Tree List'!$D$3:$D$601,"Coniferous")
        + COUNTIFS('Tree List'!$C$3:$C$601,$C40,'Tree List'!$D$3:$D$601,"Deciduous Conifer")) &gt; 0,
            _xlfn.IFS($K40="Small",0.5,$K40="Small/Medium",1,$K40="Medium/Large",1.4,$K40="Large",1.8),
        (COUNTIFS('Tree List'!$C$3:$C$601,$C40,'Tree List'!$D$3:$D$601,"Deciduous")
        + COUNTIFS('Tree List'!$C$3:$C$601,$C40,'Tree List'!$D$3:$D$601,"Broadleaf Evergreen")) &gt; 0,
            _xlfn.IFS($K40="Small",0.4,$K40="Small/Medium",0.8,$K40="Medium/Large",1.2,$K40="Large",1.6)
    ),
    ""
),
"")</f>
        <v/>
      </c>
      <c r="M40" s="475" t="str">
        <f t="shared" si="0"/>
        <v/>
      </c>
      <c r="N40" s="346" t="str" cm="1">
        <f t="array" aca="1" ref="N4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IF(AND(_xlpm.baseRow,ISNA(MATCH($C40,'Tree List'!$C$3:$C$601,0)),SUMPRODUCT(--ISNUMBER(SEARCH(Tables2!$C$677:$C$772,$O40)))&gt;0),
Error!$B$57,
IF(AND(_xlpm.hasDM,$F40="Remove",$H40&lt;&gt;"",OR($I40="On-site replacement",$I40="Off-site replacement",$I40="Payment In Lieu")),
Error!$B$56,
IF(AND(_xlpm.hasDM,$F40="Remove",$H40&lt;&gt;"",$I40="Relocation"),
Error!$B$66,
IF(AND(OR(_xlpm.hasCN,_xlpm.hasPH,_xlpm.hasGR),$H40&lt;&gt;"",COUNTIF(Tables!$B$132:$B$134,$H40)&gt;0,$I40="N/A (No replacement required)"),
Error!$B$62,
IF(AND(_xlpm.baseRow,$E40&lt;&gt;"",ISNA(MATCH($E40,Tables!$B$225:$B$232,0))),
Error!$B$2,
IF(AND(_xlpm.baseRow,$F40&lt;&gt;"",ISNA(MATCH($F40,Tables!$B$234:$B$235,0))),
Error!$B$24,
IF(AND(_xlpm.baseRow,_xlpm.ECA_H&gt;0,_xlpm.Shore_H&gt;0),
Error!$B$16,
IF(AND(_xlpm.baseRow,$E40&lt;&gt;"",$D40=""),
Error!$B$3,
IF(AND(_xlpm.baseRow,OR($E40="Tier 3",$E40="Tier 4"),$C40&lt;&gt;"",$D40&gt;=24,COUNTIF(Tables2!$B$166:$B$674,$C40)&gt;0),
Error!$B$44,
IF(AND(_xlpm.baseRow,OR($E40="Tier 3",$E40="Tier 4"),$C40&lt;&gt;"",$D40&lt;&gt;"",COUNTIF(Tables2!$B$73:$B$152,$C40)&gt;0,
$D40&gt;=IFERROR(INDEX(Tables2!$C$73:$C$152,MATCH($C40,Tables2!$B$73:$B$152,0)),-1)),
Error!$B$44,
IF(AND(_xlpm.baseRow,OR($E40="Tier 2",$E40="Tier 2 Grove"),$C40&lt;&gt;"",$D40&gt;=12,COUNTIF(Tables2!$B$153:$B$162,$C40)&gt;0),
Error!$B$45,
IF(AND(_xlpm.baseRow,$E40="Tier 2 Grove",$D40&lt;12),
Error!$B$41,
IF(AND(_xlpm.baseRow,$E40="Tier 2",$D40&lt;5.88),
Error!$B$40,
IF(AND(_xlpm.baseRow,OR($E40="Tier 2",$E40="Tier 2 Grove"),$C40&lt;&gt;"",$D40&lt;12,$D40&gt;=6,COUNTIF(Tables2!$B$153:$B$162,$C40)&gt;0),
Error!$B$54,
IF(AND(_xlpm.baseRow,$E40="Tier 2",COUNTIF(Tables2!$B$166:$B$674,$C40)&gt;0,$D40&lt;24),
Error!$B$54,
IF(AND(_xlpm.baseRow,$E40="Tier 3",ISNA(MATCH($C40,Tables2!$B$153:$B$162,0)),OR($D40&lt;12,$D40&gt;=24)),
Error!$B$9,
IF(AND(_xlpm.baseRow,$E40="Tier 3",COUNTIF(Tables2!$B$153:$B$162,$C40)&gt;0,$D40&lt;12),
Error!$B$46,
IF(AND(_xlpm.baseRow,$E40="Tier 4",OR($D40&lt;6,$D40&gt;=12)),
Error!$B$10,
IF(AND(_xlpm.baseRow,$E40="&lt;6in DSH for Tree Points",OR($D40&gt;=6,$D40="")),
Error!$B$8,
IF(AND(_xlpm.baseRow,$E40="Street Tree for Green Factor",$F40&lt;&gt;"",$F40&lt;&gt;"Retain"),
Error!$B$14,
IF(AND($E40="&lt;6in DSH for Tree Points",$F40="Retain",$H40&lt;&gt;"",ISNA(MATCH($H40,Tables!$B$174:$B$174,0))),
Error!$B$15,
IF(AND($E40="Street Tree for Green Factor",$F40="Retain",$H40&lt;&gt;"",$H40&lt;&gt;"Zoning: Green Factor"),
Error!$B$15,
IF(AND($E40="ECA / Shoreline Tree",$F40="Remove",$H40&lt;&gt;"",ISNA(MATCH($H40,Tables!$B$189:$B$190,0))),
Error!$B$15,
IF(AND($E40="ECA / Shoreline Tree",$F40="Retain",$H40&lt;&gt;"",ISNA(MATCH($H40,Tables!$B$184:$B$186,0))),
Error!$B$15,
IF(AND($E40="Tier 4",$F40="Remove",$H40&lt;&gt;"",ISNA(MATCH($H40,Tables!$B$171,0))),
Error!$B$15,
IF(AND($E40="Tier 4",$F40="Retain",$H40&lt;&gt;"",ISNA(MATCH($H40,Tables!$B$166:$B$168,0))),
Error!$B$15,
IF(AND($E40="Tier 3",$F40="Retain",$H40&lt;&gt;"",ISNA(MATCH($H40,Tables!$B$158:$B$160,0))),
Error!$B$15,
IF(AND($E40="Tier 3",$F40="Remove",$H40&lt;&gt;"",ISNA(MATCH($H40,Tables!$B$163,0))),
Error!$B$15,
IF(AND(OR($E40="Tier 2",$E40="Tier 2 Grove"),$F40="Remove",$H40&lt;&gt;"",ISNA(MATCH($H40,Tables!$B$153:$B$155,0))),
Error!$B$15,
IF(AND(OR($E40="Tier 2",$E40="Tier 2 Grove"),$F40="Retain",$H40&lt;&gt;"",ISNA(MATCH($H40,Tables!$B$147:$B$150,0))),
Error!$B$15,
IF(AND($E40="Tier 1",$F40="Remove",$H40&lt;&gt;"",ISNA(MATCH($H40,Tables!$B$143:$B$144,0))),
Error!$B$15,
IF(AND($E40="Tier 1",$F40="Retain",$H40&lt;&gt;"",ISNA(MATCH($H40,Tables!$B$137:$B$140,0))),
Error!$B$15,
IF(AND($E40&lt;&gt;"Tier 2",$E40&lt;&gt;"Tier 2 Grove",$E40&lt;&gt;"Tier 3",$E40&lt;&gt;"Tier 4",$H40="Zoning: Green Factor",OR($D40="",$D40&lt;6)),
Error!$B$11,
IF(AND(_xlpm.baseRow,$D40&lt;6,$E40="&lt;6in DSH for Tree Points",_xlpm.TreePoints_H=0),
Error!$B$21,
IF(AND(_xlpm.baseRow,$E40&lt;&gt;"",$D40&lt;&gt;"",$F40=""),
Error!$B$4,
IF(AND(_xlpm.baseRow,$F40="Remove",OR($E40="Tier 1",$E40="Tier 2",$E40="Tier 2 Grove"),COUNTBLANK(_xlpm.HRange)&lt;3,_xlpm.uniqueH&gt;=2),
Error!$B$48,
IF(AND(_xlpm.baseRow,$F40="Retain",OR($E40="Tier 1",$E40="Tier 2",$E40="Tier 2 Grove"),COUNTIF(_xlpm.HRange,"Tree Code: Required to Retain Tier 1-2 Tree")=0),
Error!$B$47,
IF(AND(_xlpm.baseRow,$E40&lt;&gt;"",$D40&lt;&gt;"",$F40&lt;&gt;"",COUNTBLANK(_xlpm.HRange)=4),
Error!$B$5,
IF(AND($F40="Remove",$H40&lt;&gt;"",$I40=""),
Error!$B$18,
IF(AND($E40="Tier 4",$F40="Remove",$H40="Tree Protection Code: Tier 3 or Tier 4 Allowance",$H40&lt;&gt;"",ISNA(MATCH($I40,Tables!$B$200,0))),
Error!$B$17,
IF(AND($E40="Tier 3",$F40="Remove",$H40&lt;&gt;"",$H40="Tree Protection Code: Tier 3 or Tier 4 Allowance",OR($I40="",ISNA(MATCH($I40,Tables!$B$193:$B$197,0)))),
Error!$B$17,
IF(AND(OR($E40="Tier 2",$E40="Tier 2 Grove"),$F40="Remove",$H40="Tree Protection Code: Other removal allowance or exemption",$I40&lt;&gt;"",ISNA(MATCH($I40,Tables!$B$215:$B$218,0))),
Error!$B$17,
IF(AND(OR($E40="Tier 2",$E40="Tier 2 Grove"),$F40="Remove",$H40="Tree Protection Code: Development Capacity",$I40&lt;&gt;"",ISNA(MATCH($I40,Tables!$B$193:$B$197,0))),
Error!$B$17,
IF(AND(OR($E40="Tier 2",$E40="Tier 2 Grove"),$F40="Remove",$H40="Tree Protection Code: Necessary for Construction",$I40&lt;&gt;"",ISNA(MATCH($I40,Tables!$B$193:$B$197,0))),
Error!$B$17,
IF(AND($E40="Tier 1",$F40="Remove",$H40="Tree Protection Code: Special Exception",$I40&lt;&gt;"",ISNA(MATCH($I40,Tables!$B$215:$B$218,0))),
Error!$B$17,
IF(AND($E40="Tier 1",$F40="Remove",$H40="Tree Protection Code: Other removal allowance or exemption",$I40&lt;&gt;"",ISNA(MATCH($I40,Tables!$B$215:$B$218,0))),
Error!$B$17,
IF(AND($E40="ECA / Shoreline Tree",$F40="Remove",$H40&lt;&gt;"",OR($H40="Shoreline",$H40="Environmental Critical Area (ECA)"),ISNA(MATCH($I40,Tables!$B$209:$B$212,0))),
Error!$B$17,
IF(AND(_xlpm.baseRow,$F40="Retain",$E40="ECA / Shoreline Tree",_xlpm.ECA_Short=0),
Error!$B$61,
IF(AND($F40="Remove",ISNUMBER(MATCH($E40,{"Tier 1","Tier 2","Tier 3","Tier 4","Tier 2 Grove"},0)),ISNUMBER(MATCH($I40,{"On-site replacement","Off-site replacement"},0)),$J40="",$H40&lt;&gt;""),
Error!$B$19,
IF(AND(_xlpm.baseRow,$E40&lt;&gt;"",$D40&lt;&gt;"",$F40&lt;&gt;"",COUNTBLANK($B40:$C40)&gt;0,COUNTBLANK(_xlpm.HRange)&lt;&gt;4),
Error!$B$22,
IF(AND($H40="Zoning: Tree Points",$K40&lt;&gt;"",ISNA(MATCH($K40,Tables!$B$242:$B$253,0))),
Error!$B$58,
IF(AND($H40="Zoning: Tree Points",$K40="Small",$L40&lt;&gt;"",ISNA(MATCH($L40,Tables!$C$243:$C$244,0))),
Error!$B$59,
IF(AND($H40="Zoning: Tree Points",$K40="Small/Medium",$L40&lt;&gt;"",ISNA(MATCH($L40,Tables!$C$246:$C$247,0))),
Error!$B$59,
IF(AND($H40="Zoning: Tree Points",$K40="Medium/Large",$L40&lt;&gt;"",ISNA(MATCH($L40,Tables!$C$249:$C$250,0))),
Error!$B$59,
IF(AND($H40="Zoning: Tree Points",$K40="Large",$L40&lt;&gt;"",ISNA(MATCH($L40,Tables!$C$252:$C$253,0))),
Error!$B$59,
IF(AND($F40="Retain",$H40="Zoning: Tree Points",$C40&lt;&gt;"",$D40&lt;&gt;"",OR($K40="",$L40="",$M40="")),
Error!$B$20,
""
)))))))))))))))))))))))))))))))))))))))))))))))))))))))),
Error!$B$23))</f>
        <v/>
      </c>
      <c r="O40" s="343" t="str" cm="1">
        <f t="array" aca="1" ref="O40" ca="1">IFERROR(_xlfn.LET(
    _xlpm.txt, $C40,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1" spans="1:15" x14ac:dyDescent="0.3">
      <c r="A41" s="320"/>
      <c r="B41" s="616" t="str">
        <f t="shared" si="10"/>
        <v/>
      </c>
      <c r="C41" s="617" t="str">
        <f>IF($C40="", "", $C40)</f>
        <v/>
      </c>
      <c r="D41" s="618" t="str">
        <f t="shared" ref="D41:D42" si="11">IF($D40="", "", $D40)</f>
        <v/>
      </c>
      <c r="E41" s="616" t="str">
        <f>IF($E40="", "", $E40)</f>
        <v/>
      </c>
      <c r="F41" s="616" t="str">
        <f>IF($F40="", "", $F40)</f>
        <v/>
      </c>
      <c r="G41" s="619" t="str">
        <f>IF(Tree_Table1[[#This Row],[Tree Status  &amp;]]="Retain", Tables!$B$237, IF(Tree_Table1[[#This Row],[Tree Status  &amp;]]="Remove", Tables!$B$238, ""))</f>
        <v/>
      </c>
      <c r="H41" s="321"/>
      <c r="I41" s="322"/>
      <c r="J41" s="453"/>
      <c r="K41" s="323" t="str">
        <f>IFERROR(
    IF(
        AND($H41="Zoning: Tree Points", NOT(ISNUMBER(SEARCH("sp.", $C41)))),
        VLOOKUP($C41, 'Tree List'!$C$3:$F$601, 4, FALSE),
        ""
    ),
"")</f>
        <v/>
      </c>
      <c r="L41" s="324" t="str" cm="1">
        <f t="array" ref="L41">IFERROR(
IF(
    AND($H41="Zoning: Tree Points", NOT(ISNUMBER(SEARCH("sp.", $C41)))),
    _xlfn.IFS(
        (COUNTIFS('Tree List'!$C$3:$C$601,$C41,'Tree List'!$D$3:$D$601,"Coniferous")
        + COUNTIFS('Tree List'!$C$3:$C$601,$C41,'Tree List'!$D$3:$D$601,"Deciduous Conifer")) &gt; 0,
            _xlfn.IFS($K41="Small",0.5,$K41="Small/Medium",1,$K41="Medium/Large",1.4,$K41="Large",1.8),
        (COUNTIFS('Tree List'!$C$3:$C$601,$C41,'Tree List'!$D$3:$D$601,"Deciduous")
        + COUNTIFS('Tree List'!$C$3:$C$601,$C41,'Tree List'!$D$3:$D$601,"Broadleaf Evergreen")) &gt; 0,
            _xlfn.IFS($K41="Small",0.4,$K41="Small/Medium",0.8,$K41="Medium/Large",1.2,$K41="Large",1.6)
    ),
    ""
),
"")</f>
        <v/>
      </c>
      <c r="M41" s="475" t="str">
        <f t="shared" si="0"/>
        <v/>
      </c>
      <c r="N41" s="346" t="str" cm="1">
        <f t="array" aca="1" ref="N4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IF(AND(_xlpm.baseRow,ISNA(MATCH($C41,'Tree List'!$C$3:$C$601,0)),SUMPRODUCT(--ISNUMBER(SEARCH(Tables2!$C$677:$C$772,$O41)))&gt;0),
Error!$B$57,
IF(AND(_xlpm.hasDM,$F41="Remove",$H41&lt;&gt;"",OR($I41="On-site replacement",$I41="Off-site replacement",$I41="Payment In Lieu")),
Error!$B$56,
IF(AND(_xlpm.hasDM,$F41="Remove",$H41&lt;&gt;"",$I41="Relocation"),
Error!$B$66,
IF(AND(OR(_xlpm.hasCN,_xlpm.hasPH,_xlpm.hasGR),$H41&lt;&gt;"",COUNTIF(Tables!$B$132:$B$134,$H41)&gt;0,$I41="N/A (No replacement required)"),
Error!$B$62,
IF(AND(_xlpm.baseRow,$E41&lt;&gt;"",ISNA(MATCH($E41,Tables!$B$225:$B$232,0))),
Error!$B$2,
IF(AND(_xlpm.baseRow,$F41&lt;&gt;"",ISNA(MATCH($F41,Tables!$B$234:$B$235,0))),
Error!$B$24,
IF(AND(_xlpm.baseRow,_xlpm.ECA_H&gt;0,_xlpm.Shore_H&gt;0),
Error!$B$16,
IF(AND(_xlpm.baseRow,$E41&lt;&gt;"",$D41=""),
Error!$B$3,
IF(AND(_xlpm.baseRow,OR($E41="Tier 3",$E41="Tier 4"),$C41&lt;&gt;"",$D41&gt;=24,COUNTIF(Tables2!$B$166:$B$674,$C41)&gt;0),
Error!$B$44,
IF(AND(_xlpm.baseRow,OR($E41="Tier 3",$E41="Tier 4"),$C41&lt;&gt;"",$D41&lt;&gt;"",COUNTIF(Tables2!$B$73:$B$152,$C41)&gt;0,
$D41&gt;=IFERROR(INDEX(Tables2!$C$73:$C$152,MATCH($C41,Tables2!$B$73:$B$152,0)),-1)),
Error!$B$44,
IF(AND(_xlpm.baseRow,OR($E41="Tier 2",$E41="Tier 2 Grove"),$C41&lt;&gt;"",$D41&gt;=12,COUNTIF(Tables2!$B$153:$B$162,$C41)&gt;0),
Error!$B$45,
IF(AND(_xlpm.baseRow,$E41="Tier 2 Grove",$D41&lt;12),
Error!$B$41,
IF(AND(_xlpm.baseRow,$E41="Tier 2",$D41&lt;5.88),
Error!$B$40,
IF(AND(_xlpm.baseRow,OR($E41="Tier 2",$E41="Tier 2 Grove"),$C41&lt;&gt;"",$D41&lt;12,$D41&gt;=6,COUNTIF(Tables2!$B$153:$B$162,$C41)&gt;0),
Error!$B$54,
IF(AND(_xlpm.baseRow,$E41="Tier 2",COUNTIF(Tables2!$B$166:$B$674,$C41)&gt;0,$D41&lt;24),
Error!$B$54,
IF(AND(_xlpm.baseRow,$E41="Tier 3",ISNA(MATCH($C41,Tables2!$B$153:$B$162,0)),OR($D41&lt;12,$D41&gt;=24)),
Error!$B$9,
IF(AND(_xlpm.baseRow,$E41="Tier 3",COUNTIF(Tables2!$B$153:$B$162,$C41)&gt;0,$D41&lt;12),
Error!$B$46,
IF(AND(_xlpm.baseRow,$E41="Tier 4",OR($D41&lt;6,$D41&gt;=12)),
Error!$B$10,
IF(AND(_xlpm.baseRow,$E41="&lt;6in DSH for Tree Points",OR($D41&gt;=6,$D41="")),
Error!$B$8,
IF(AND(_xlpm.baseRow,$E41="Street Tree for Green Factor",$F41&lt;&gt;"",$F41&lt;&gt;"Retain"),
Error!$B$14,
IF(AND($E41="&lt;6in DSH for Tree Points",$F41="Retain",$H41&lt;&gt;"",ISNA(MATCH($H41,Tables!$B$174:$B$174,0))),
Error!$B$15,
IF(AND($E41="Street Tree for Green Factor",$F41="Retain",$H41&lt;&gt;"",$H41&lt;&gt;"Zoning: Green Factor"),
Error!$B$15,
IF(AND($E41="ECA / Shoreline Tree",$F41="Remove",$H41&lt;&gt;"",ISNA(MATCH($H41,Tables!$B$189:$B$190,0))),
Error!$B$15,
IF(AND($E41="ECA / Shoreline Tree",$F41="Retain",$H41&lt;&gt;"",ISNA(MATCH($H41,Tables!$B$184:$B$186,0))),
Error!$B$15,
IF(AND($E41="Tier 4",$F41="Remove",$H41&lt;&gt;"",ISNA(MATCH($H41,Tables!$B$171,0))),
Error!$B$15,
IF(AND($E41="Tier 4",$F41="Retain",$H41&lt;&gt;"",ISNA(MATCH($H41,Tables!$B$166:$B$168,0))),
Error!$B$15,
IF(AND($E41="Tier 3",$F41="Retain",$H41&lt;&gt;"",ISNA(MATCH($H41,Tables!$B$158:$B$160,0))),
Error!$B$15,
IF(AND($E41="Tier 3",$F41="Remove",$H41&lt;&gt;"",ISNA(MATCH($H41,Tables!$B$163,0))),
Error!$B$15,
IF(AND(OR($E41="Tier 2",$E41="Tier 2 Grove"),$F41="Remove",$H41&lt;&gt;"",ISNA(MATCH($H41,Tables!$B$153:$B$155,0))),
Error!$B$15,
IF(AND(OR($E41="Tier 2",$E41="Tier 2 Grove"),$F41="Retain",$H41&lt;&gt;"",ISNA(MATCH($H41,Tables!$B$147:$B$150,0))),
Error!$B$15,
IF(AND($E41="Tier 1",$F41="Remove",$H41&lt;&gt;"",ISNA(MATCH($H41,Tables!$B$143:$B$144,0))),
Error!$B$15,
IF(AND($E41="Tier 1",$F41="Retain",$H41&lt;&gt;"",ISNA(MATCH($H41,Tables!$B$137:$B$140,0))),
Error!$B$15,
IF(AND($E41&lt;&gt;"Tier 2",$E41&lt;&gt;"Tier 2 Grove",$E41&lt;&gt;"Tier 3",$E41&lt;&gt;"Tier 4",$H41="Zoning: Green Factor",OR($D41="",$D41&lt;6)),
Error!$B$11,
IF(AND(_xlpm.baseRow,$D41&lt;6,$E41="&lt;6in DSH for Tree Points",_xlpm.TreePoints_H=0),
Error!$B$21,
IF(AND(_xlpm.baseRow,$E41&lt;&gt;"",$D41&lt;&gt;"",$F41=""),
Error!$B$4,
IF(AND(_xlpm.baseRow,$F41="Remove",OR($E41="Tier 1",$E41="Tier 2",$E41="Tier 2 Grove"),COUNTBLANK(_xlpm.HRange)&lt;3,_xlpm.uniqueH&gt;=2),
Error!$B$48,
IF(AND(_xlpm.baseRow,$F41="Retain",OR($E41="Tier 1",$E41="Tier 2",$E41="Tier 2 Grove"),COUNTIF(_xlpm.HRange,"Tree Code: Required to Retain Tier 1-2 Tree")=0),
Error!$B$47,
IF(AND(_xlpm.baseRow,$E41&lt;&gt;"",$D41&lt;&gt;"",$F41&lt;&gt;"",COUNTBLANK(_xlpm.HRange)=4),
Error!$B$5,
IF(AND($F41="Remove",$H41&lt;&gt;"",$I41=""),
Error!$B$18,
IF(AND($E41="Tier 4",$F41="Remove",$H41="Tree Protection Code: Tier 3 or Tier 4 Allowance",$H41&lt;&gt;"",ISNA(MATCH($I41,Tables!$B$200,0))),
Error!$B$17,
IF(AND($E41="Tier 3",$F41="Remove",$H41&lt;&gt;"",$H41="Tree Protection Code: Tier 3 or Tier 4 Allowance",OR($I41="",ISNA(MATCH($I41,Tables!$B$193:$B$197,0)))),
Error!$B$17,
IF(AND(OR($E41="Tier 2",$E41="Tier 2 Grove"),$F41="Remove",$H41="Tree Protection Code: Other removal allowance or exemption",$I41&lt;&gt;"",ISNA(MATCH($I41,Tables!$B$215:$B$218,0))),
Error!$B$17,
IF(AND(OR($E41="Tier 2",$E41="Tier 2 Grove"),$F41="Remove",$H41="Tree Protection Code: Development Capacity",$I41&lt;&gt;"",ISNA(MATCH($I41,Tables!$B$193:$B$197,0))),
Error!$B$17,
IF(AND(OR($E41="Tier 2",$E41="Tier 2 Grove"),$F41="Remove",$H41="Tree Protection Code: Necessary for Construction",$I41&lt;&gt;"",ISNA(MATCH($I41,Tables!$B$193:$B$197,0))),
Error!$B$17,
IF(AND($E41="Tier 1",$F41="Remove",$H41="Tree Protection Code: Special Exception",$I41&lt;&gt;"",ISNA(MATCH($I41,Tables!$B$215:$B$218,0))),
Error!$B$17,
IF(AND($E41="Tier 1",$F41="Remove",$H41="Tree Protection Code: Other removal allowance or exemption",$I41&lt;&gt;"",ISNA(MATCH($I41,Tables!$B$215:$B$218,0))),
Error!$B$17,
IF(AND($E41="ECA / Shoreline Tree",$F41="Remove",$H41&lt;&gt;"",OR($H41="Shoreline",$H41="Environmental Critical Area (ECA)"),ISNA(MATCH($I41,Tables!$B$209:$B$212,0))),
Error!$B$17,
IF(AND(_xlpm.baseRow,$F41="Retain",$E41="ECA / Shoreline Tree",_xlpm.ECA_Short=0),
Error!$B$61,
IF(AND($F41="Remove",ISNUMBER(MATCH($E41,{"Tier 1","Tier 2","Tier 3","Tier 4","Tier 2 Grove"},0)),ISNUMBER(MATCH($I41,{"On-site replacement","Off-site replacement"},0)),$J41="",$H41&lt;&gt;""),
Error!$B$19,
IF(AND(_xlpm.baseRow,$E41&lt;&gt;"",$D41&lt;&gt;"",$F41&lt;&gt;"",COUNTBLANK($B41:$C41)&gt;0,COUNTBLANK(_xlpm.HRange)&lt;&gt;4),
Error!$B$22,
IF(AND($H41="Zoning: Tree Points",$K41&lt;&gt;"",ISNA(MATCH($K41,Tables!$B$242:$B$253,0))),
Error!$B$58,
IF(AND($H41="Zoning: Tree Points",$K41="Small",$L41&lt;&gt;"",ISNA(MATCH($L41,Tables!$C$243:$C$244,0))),
Error!$B$59,
IF(AND($H41="Zoning: Tree Points",$K41="Small/Medium",$L41&lt;&gt;"",ISNA(MATCH($L41,Tables!$C$246:$C$247,0))),
Error!$B$59,
IF(AND($H41="Zoning: Tree Points",$K41="Medium/Large",$L41&lt;&gt;"",ISNA(MATCH($L41,Tables!$C$249:$C$250,0))),
Error!$B$59,
IF(AND($H41="Zoning: Tree Points",$K41="Large",$L41&lt;&gt;"",ISNA(MATCH($L41,Tables!$C$252:$C$253,0))),
Error!$B$59,
IF(AND($F41="Retain",$H41="Zoning: Tree Points",$C41&lt;&gt;"",$D41&lt;&gt;"",OR($K41="",$L41="",$M41="")),
Error!$B$20,
""
)))))))))))))))))))))))))))))))))))))))))))))))))))))))),
Error!$B$23))</f>
        <v/>
      </c>
      <c r="O41" s="343" t="str" cm="1">
        <f t="array" aca="1" ref="O41" ca="1">IFERROR(_xlfn.LET(
    _xlpm.txt, $C41,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2" spans="1:15" ht="15" thickBot="1" x14ac:dyDescent="0.35">
      <c r="A42" s="331"/>
      <c r="B42" s="616" t="str">
        <f t="shared" si="10"/>
        <v/>
      </c>
      <c r="C42" s="617" t="str">
        <f>IF($C41="", "", $C41)</f>
        <v/>
      </c>
      <c r="D42" s="618" t="str">
        <f t="shared" si="11"/>
        <v/>
      </c>
      <c r="E42" s="616" t="str">
        <f>IF($E41="", "", $E41)</f>
        <v/>
      </c>
      <c r="F42" s="616" t="str">
        <f>IF($F41="", "", $F41)</f>
        <v/>
      </c>
      <c r="G42" s="619" t="str">
        <f>IF(Tree_Table1[[#This Row],[Tree Status  &amp;]]="Retain", Tables!$B$237, IF(Tree_Table1[[#This Row],[Tree Status  &amp;]]="Remove", Tables!$B$238, ""))</f>
        <v/>
      </c>
      <c r="H42" s="329"/>
      <c r="I42" s="330"/>
      <c r="J42" s="455"/>
      <c r="K42" s="327" t="str">
        <f>IFERROR(
    IF(
        AND($H42="Zoning: Tree Points", NOT(ISNUMBER(SEARCH("sp.", $C42)))),
        VLOOKUP($C42, 'Tree List'!$C$3:$F$601, 4, FALSE),
        ""
    ),
"")</f>
        <v/>
      </c>
      <c r="L42" s="328" t="str" cm="1">
        <f t="array" ref="L42">IFERROR(
IF(
    AND($H42="Zoning: Tree Points", NOT(ISNUMBER(SEARCH("sp.", $C42)))),
    _xlfn.IFS(
        (COUNTIFS('Tree List'!$C$3:$C$601,$C42,'Tree List'!$D$3:$D$601,"Coniferous")
        + COUNTIFS('Tree List'!$C$3:$C$601,$C42,'Tree List'!$D$3:$D$601,"Deciduous Conifer")) &gt; 0,
            _xlfn.IFS($K42="Small",0.5,$K42="Small/Medium",1,$K42="Medium/Large",1.4,$K42="Large",1.8),
        (COUNTIFS('Tree List'!$C$3:$C$601,$C42,'Tree List'!$D$3:$D$601,"Deciduous")
        + COUNTIFS('Tree List'!$C$3:$C$601,$C42,'Tree List'!$D$3:$D$601,"Broadleaf Evergreen")) &gt; 0,
            _xlfn.IFS($K42="Small",0.4,$K42="Small/Medium",0.8,$K42="Medium/Large",1.2,$K42="Large",1.6)
    ),
    ""
),
"")</f>
        <v/>
      </c>
      <c r="M42" s="476" t="str">
        <f t="shared" si="0"/>
        <v/>
      </c>
      <c r="N42" s="347" t="str" cm="1">
        <f t="array" aca="1" ref="N4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IF(AND(_xlpm.baseRow,ISNA(MATCH($C42,'Tree List'!$C$3:$C$601,0)),SUMPRODUCT(--ISNUMBER(SEARCH(Tables2!$C$677:$C$772,$O42)))&gt;0),
Error!$B$57,
IF(AND(_xlpm.hasDM,$F42="Remove",$H42&lt;&gt;"",OR($I42="On-site replacement",$I42="Off-site replacement",$I42="Payment In Lieu")),
Error!$B$56,
IF(AND(_xlpm.hasDM,$F42="Remove",$H42&lt;&gt;"",$I42="Relocation"),
Error!$B$66,
IF(AND(OR(_xlpm.hasCN,_xlpm.hasPH,_xlpm.hasGR),$H42&lt;&gt;"",COUNTIF(Tables!$B$132:$B$134,$H42)&gt;0,$I42="N/A (No replacement required)"),
Error!$B$62,
IF(AND(_xlpm.baseRow,$E42&lt;&gt;"",ISNA(MATCH($E42,Tables!$B$225:$B$232,0))),
Error!$B$2,
IF(AND(_xlpm.baseRow,$F42&lt;&gt;"",ISNA(MATCH($F42,Tables!$B$234:$B$235,0))),
Error!$B$24,
IF(AND(_xlpm.baseRow,_xlpm.ECA_H&gt;0,_xlpm.Shore_H&gt;0),
Error!$B$16,
IF(AND(_xlpm.baseRow,$E42&lt;&gt;"",$D42=""),
Error!$B$3,
IF(AND(_xlpm.baseRow,OR($E42="Tier 3",$E42="Tier 4"),$C42&lt;&gt;"",$D42&gt;=24,COUNTIF(Tables2!$B$166:$B$674,$C42)&gt;0),
Error!$B$44,
IF(AND(_xlpm.baseRow,OR($E42="Tier 3",$E42="Tier 4"),$C42&lt;&gt;"",$D42&lt;&gt;"",COUNTIF(Tables2!$B$73:$B$152,$C42)&gt;0,
$D42&gt;=IFERROR(INDEX(Tables2!$C$73:$C$152,MATCH($C42,Tables2!$B$73:$B$152,0)),-1)),
Error!$B$44,
IF(AND(_xlpm.baseRow,OR($E42="Tier 2",$E42="Tier 2 Grove"),$C42&lt;&gt;"",$D42&gt;=12,COUNTIF(Tables2!$B$153:$B$162,$C42)&gt;0),
Error!$B$45,
IF(AND(_xlpm.baseRow,$E42="Tier 2 Grove",$D42&lt;12),
Error!$B$41,
IF(AND(_xlpm.baseRow,$E42="Tier 2",$D42&lt;5.88),
Error!$B$40,
IF(AND(_xlpm.baseRow,OR($E42="Tier 2",$E42="Tier 2 Grove"),$C42&lt;&gt;"",$D42&lt;12,$D42&gt;=6,COUNTIF(Tables2!$B$153:$B$162,$C42)&gt;0),
Error!$B$54,
IF(AND(_xlpm.baseRow,$E42="Tier 2",COUNTIF(Tables2!$B$166:$B$674,$C42)&gt;0,$D42&lt;24),
Error!$B$54,
IF(AND(_xlpm.baseRow,$E42="Tier 3",ISNA(MATCH($C42,Tables2!$B$153:$B$162,0)),OR($D42&lt;12,$D42&gt;=24)),
Error!$B$9,
IF(AND(_xlpm.baseRow,$E42="Tier 3",COUNTIF(Tables2!$B$153:$B$162,$C42)&gt;0,$D42&lt;12),
Error!$B$46,
IF(AND(_xlpm.baseRow,$E42="Tier 4",OR($D42&lt;6,$D42&gt;=12)),
Error!$B$10,
IF(AND(_xlpm.baseRow,$E42="&lt;6in DSH for Tree Points",OR($D42&gt;=6,$D42="")),
Error!$B$8,
IF(AND(_xlpm.baseRow,$E42="Street Tree for Green Factor",$F42&lt;&gt;"",$F42&lt;&gt;"Retain"),
Error!$B$14,
IF(AND($E42="&lt;6in DSH for Tree Points",$F42="Retain",$H42&lt;&gt;"",ISNA(MATCH($H42,Tables!$B$174:$B$174,0))),
Error!$B$15,
IF(AND($E42="Street Tree for Green Factor",$F42="Retain",$H42&lt;&gt;"",$H42&lt;&gt;"Zoning: Green Factor"),
Error!$B$15,
IF(AND($E42="ECA / Shoreline Tree",$F42="Remove",$H42&lt;&gt;"",ISNA(MATCH($H42,Tables!$B$189:$B$190,0))),
Error!$B$15,
IF(AND($E42="ECA / Shoreline Tree",$F42="Retain",$H42&lt;&gt;"",ISNA(MATCH($H42,Tables!$B$184:$B$186,0))),
Error!$B$15,
IF(AND($E42="Tier 4",$F42="Remove",$H42&lt;&gt;"",ISNA(MATCH($H42,Tables!$B$171,0))),
Error!$B$15,
IF(AND($E42="Tier 4",$F42="Retain",$H42&lt;&gt;"",ISNA(MATCH($H42,Tables!$B$166:$B$168,0))),
Error!$B$15,
IF(AND($E42="Tier 3",$F42="Retain",$H42&lt;&gt;"",ISNA(MATCH($H42,Tables!$B$158:$B$160,0))),
Error!$B$15,
IF(AND($E42="Tier 3",$F42="Remove",$H42&lt;&gt;"",ISNA(MATCH($H42,Tables!$B$163,0))),
Error!$B$15,
IF(AND(OR($E42="Tier 2",$E42="Tier 2 Grove"),$F42="Remove",$H42&lt;&gt;"",ISNA(MATCH($H42,Tables!$B$153:$B$155,0))),
Error!$B$15,
IF(AND(OR($E42="Tier 2",$E42="Tier 2 Grove"),$F42="Retain",$H42&lt;&gt;"",ISNA(MATCH($H42,Tables!$B$147:$B$150,0))),
Error!$B$15,
IF(AND($E42="Tier 1",$F42="Remove",$H42&lt;&gt;"",ISNA(MATCH($H42,Tables!$B$143:$B$144,0))),
Error!$B$15,
IF(AND($E42="Tier 1",$F42="Retain",$H42&lt;&gt;"",ISNA(MATCH($H42,Tables!$B$137:$B$140,0))),
Error!$B$15,
IF(AND($E42&lt;&gt;"Tier 2",$E42&lt;&gt;"Tier 2 Grove",$E42&lt;&gt;"Tier 3",$E42&lt;&gt;"Tier 4",$H42="Zoning: Green Factor",OR($D42="",$D42&lt;6)),
Error!$B$11,
IF(AND(_xlpm.baseRow,$D42&lt;6,$E42="&lt;6in DSH for Tree Points",_xlpm.TreePoints_H=0),
Error!$B$21,
IF(AND(_xlpm.baseRow,$E42&lt;&gt;"",$D42&lt;&gt;"",$F42=""),
Error!$B$4,
IF(AND(_xlpm.baseRow,$F42="Remove",OR($E42="Tier 1",$E42="Tier 2",$E42="Tier 2 Grove"),COUNTBLANK(_xlpm.HRange)&lt;3,_xlpm.uniqueH&gt;=2),
Error!$B$48,
IF(AND(_xlpm.baseRow,$F42="Retain",OR($E42="Tier 1",$E42="Tier 2",$E42="Tier 2 Grove"),COUNTIF(_xlpm.HRange,"Tree Code: Required to Retain Tier 1-2 Tree")=0),
Error!$B$47,
IF(AND(_xlpm.baseRow,$E42&lt;&gt;"",$D42&lt;&gt;"",$F42&lt;&gt;"",COUNTBLANK(_xlpm.HRange)=4),
Error!$B$5,
IF(AND($F42="Remove",$H42&lt;&gt;"",$I42=""),
Error!$B$18,
IF(AND($E42="Tier 4",$F42="Remove",$H42="Tree Protection Code: Tier 3 or Tier 4 Allowance",$H42&lt;&gt;"",ISNA(MATCH($I42,Tables!$B$200,0))),
Error!$B$17,
IF(AND($E42="Tier 3",$F42="Remove",$H42&lt;&gt;"",$H42="Tree Protection Code: Tier 3 or Tier 4 Allowance",OR($I42="",ISNA(MATCH($I42,Tables!$B$193:$B$197,0)))),
Error!$B$17,
IF(AND(OR($E42="Tier 2",$E42="Tier 2 Grove"),$F42="Remove",$H42="Tree Protection Code: Other removal allowance or exemption",$I42&lt;&gt;"",ISNA(MATCH($I42,Tables!$B$215:$B$218,0))),
Error!$B$17,
IF(AND(OR($E42="Tier 2",$E42="Tier 2 Grove"),$F42="Remove",$H42="Tree Protection Code: Development Capacity",$I42&lt;&gt;"",ISNA(MATCH($I42,Tables!$B$193:$B$197,0))),
Error!$B$17,
IF(AND(OR($E42="Tier 2",$E42="Tier 2 Grove"),$F42="Remove",$H42="Tree Protection Code: Necessary for Construction",$I42&lt;&gt;"",ISNA(MATCH($I42,Tables!$B$193:$B$197,0))),
Error!$B$17,
IF(AND($E42="Tier 1",$F42="Remove",$H42="Tree Protection Code: Special Exception",$I42&lt;&gt;"",ISNA(MATCH($I42,Tables!$B$215:$B$218,0))),
Error!$B$17,
IF(AND($E42="Tier 1",$F42="Remove",$H42="Tree Protection Code: Other removal allowance or exemption",$I42&lt;&gt;"",ISNA(MATCH($I42,Tables!$B$215:$B$218,0))),
Error!$B$17,
IF(AND($E42="ECA / Shoreline Tree",$F42="Remove",$H42&lt;&gt;"",OR($H42="Shoreline",$H42="Environmental Critical Area (ECA)"),ISNA(MATCH($I42,Tables!$B$209:$B$212,0))),
Error!$B$17,
IF(AND(_xlpm.baseRow,$F42="Retain",$E42="ECA / Shoreline Tree",_xlpm.ECA_Short=0),
Error!$B$61,
IF(AND($F42="Remove",ISNUMBER(MATCH($E42,{"Tier 1","Tier 2","Tier 3","Tier 4","Tier 2 Grove"},0)),ISNUMBER(MATCH($I42,{"On-site replacement","Off-site replacement"},0)),$J42="",$H42&lt;&gt;""),
Error!$B$19,
IF(AND(_xlpm.baseRow,$E42&lt;&gt;"",$D42&lt;&gt;"",$F42&lt;&gt;"",COUNTBLANK($B42:$C42)&gt;0,COUNTBLANK(_xlpm.HRange)&lt;&gt;4),
Error!$B$22,
IF(AND($H42="Zoning: Tree Points",$K42&lt;&gt;"",ISNA(MATCH($K42,Tables!$B$242:$B$253,0))),
Error!$B$58,
IF(AND($H42="Zoning: Tree Points",$K42="Small",$L42&lt;&gt;"",ISNA(MATCH($L42,Tables!$C$243:$C$244,0))),
Error!$B$59,
IF(AND($H42="Zoning: Tree Points",$K42="Small/Medium",$L42&lt;&gt;"",ISNA(MATCH($L42,Tables!$C$246:$C$247,0))),
Error!$B$59,
IF(AND($H42="Zoning: Tree Points",$K42="Medium/Large",$L42&lt;&gt;"",ISNA(MATCH($L42,Tables!$C$249:$C$250,0))),
Error!$B$59,
IF(AND($H42="Zoning: Tree Points",$K42="Large",$L42&lt;&gt;"",ISNA(MATCH($L42,Tables!$C$252:$C$253,0))),
Error!$B$59,
IF(AND($F42="Retain",$H42="Zoning: Tree Points",$C42&lt;&gt;"",$D42&lt;&gt;"",OR($K42="",$L42="",$M42="")),
Error!$B$20,
""
)))))))))))))))))))))))))))))))))))))))))))))))))))))))),
Error!$B$23))</f>
        <v/>
      </c>
      <c r="O42" s="343" t="str" cm="1">
        <f t="array" aca="1" ref="O42" ca="1">IFERROR(_xlfn.LET(
    _xlpm.txt, $C42,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3" spans="1:15" ht="15" thickBot="1" x14ac:dyDescent="0.35">
      <c r="A43" s="311">
        <v>9</v>
      </c>
      <c r="B43" s="312"/>
      <c r="C43" s="313"/>
      <c r="D43" s="478"/>
      <c r="E43" s="314"/>
      <c r="F43" s="314"/>
      <c r="G43" s="315" t="str">
        <f>IF(Tree_Table1[[#This Row],[Tree Status  &amp;]]="Retain", Tables!$B$237, IF(Tree_Table1[[#This Row],[Tree Status  &amp;]]="Remove", Tables!$B$238, ""))</f>
        <v/>
      </c>
      <c r="H43" s="316"/>
      <c r="I43" s="317"/>
      <c r="J43" s="452"/>
      <c r="K43" s="318" t="str">
        <f>IFERROR(
    IF(
        AND($H43="Zoning: Tree Points", NOT(ISNUMBER(SEARCH("sp.", $C43)))),
        VLOOKUP($C43, 'Tree List'!$C$3:$F$601, 4, FALSE),
        ""
    ),
"")</f>
        <v/>
      </c>
      <c r="L43" s="319" t="str" cm="1">
        <f t="array" ref="L43">IFERROR(
IF(
    AND($H43="Zoning: Tree Points", NOT(ISNUMBER(SEARCH("sp.", $C43)))),
    _xlfn.IFS(
        (COUNTIFS('Tree List'!$C$3:$C$601,$C43,'Tree List'!$D$3:$D$601,"Coniferous")
        + COUNTIFS('Tree List'!$C$3:$C$601,$C43,'Tree List'!$D$3:$D$601,"Deciduous Conifer")) &gt; 0,
            _xlfn.IFS($K43="Small",0.5,$K43="Small/Medium",1,$K43="Medium/Large",1.4,$K43="Large",1.8),
        (COUNTIFS('Tree List'!$C$3:$C$601,$C43,'Tree List'!$D$3:$D$601,"Deciduous")
        + COUNTIFS('Tree List'!$C$3:$C$601,$C43,'Tree List'!$D$3:$D$601,"Broadleaf Evergreen")) &gt; 0,
            _xlfn.IFS($K43="Small",0.4,$K43="Small/Medium",0.8,$K43="Medium/Large",1.2,$K43="Large",1.6)
    ),
    ""
),
"")</f>
        <v/>
      </c>
      <c r="M43" s="474" t="str">
        <f t="shared" si="0"/>
        <v/>
      </c>
      <c r="N43" s="620" t="str" cm="1">
        <f t="array" aca="1" ref="N4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IF(AND(_xlpm.baseRow,ISNA(MATCH($C43,'Tree List'!$C$3:$C$601,0)),SUMPRODUCT(--ISNUMBER(SEARCH(Tables2!$C$677:$C$772,$O43)))&gt;0),
Error!$B$57,
IF(AND(_xlpm.hasDM,$F43="Remove",$H43&lt;&gt;"",OR($I43="On-site replacement",$I43="Off-site replacement",$I43="Payment In Lieu")),
Error!$B$56,
IF(AND(_xlpm.hasDM,$F43="Remove",$H43&lt;&gt;"",$I43="Relocation"),
Error!$B$66,
IF(AND(OR(_xlpm.hasCN,_xlpm.hasPH,_xlpm.hasGR),$H43&lt;&gt;"",COUNTIF(Tables!$B$132:$B$134,$H43)&gt;0,$I43="N/A (No replacement required)"),
Error!$B$62,
IF(AND(_xlpm.baseRow,$E43&lt;&gt;"",ISNA(MATCH($E43,Tables!$B$225:$B$232,0))),
Error!$B$2,
IF(AND(_xlpm.baseRow,$F43&lt;&gt;"",ISNA(MATCH($F43,Tables!$B$234:$B$235,0))),
Error!$B$24,
IF(AND(_xlpm.baseRow,_xlpm.ECA_H&gt;0,_xlpm.Shore_H&gt;0),
Error!$B$16,
IF(AND(_xlpm.baseRow,$E43&lt;&gt;"",$D43=""),
Error!$B$3,
IF(AND(_xlpm.baseRow,OR($E43="Tier 3",$E43="Tier 4"),$C43&lt;&gt;"",$D43&gt;=24,COUNTIF(Tables2!$B$166:$B$674,$C43)&gt;0),
Error!$B$44,
IF(AND(_xlpm.baseRow,OR($E43="Tier 3",$E43="Tier 4"),$C43&lt;&gt;"",$D43&lt;&gt;"",COUNTIF(Tables2!$B$73:$B$152,$C43)&gt;0,
$D43&gt;=IFERROR(INDEX(Tables2!$C$73:$C$152,MATCH($C43,Tables2!$B$73:$B$152,0)),-1)),
Error!$B$44,
IF(AND(_xlpm.baseRow,OR($E43="Tier 2",$E43="Tier 2 Grove"),$C43&lt;&gt;"",$D43&gt;=12,COUNTIF(Tables2!$B$153:$B$162,$C43)&gt;0),
Error!$B$45,
IF(AND(_xlpm.baseRow,$E43="Tier 2 Grove",$D43&lt;12),
Error!$B$41,
IF(AND(_xlpm.baseRow,$E43="Tier 2",$D43&lt;5.88),
Error!$B$40,
IF(AND(_xlpm.baseRow,OR($E43="Tier 2",$E43="Tier 2 Grove"),$C43&lt;&gt;"",$D43&lt;12,$D43&gt;=6,COUNTIF(Tables2!$B$153:$B$162,$C43)&gt;0),
Error!$B$54,
IF(AND(_xlpm.baseRow,$E43="Tier 2",COUNTIF(Tables2!$B$166:$B$674,$C43)&gt;0,$D43&lt;24),
Error!$B$54,
IF(AND(_xlpm.baseRow,$E43="Tier 3",ISNA(MATCH($C43,Tables2!$B$153:$B$162,0)),OR($D43&lt;12,$D43&gt;=24)),
Error!$B$9,
IF(AND(_xlpm.baseRow,$E43="Tier 3",COUNTIF(Tables2!$B$153:$B$162,$C43)&gt;0,$D43&lt;12),
Error!$B$46,
IF(AND(_xlpm.baseRow,$E43="Tier 4",OR($D43&lt;6,$D43&gt;=12)),
Error!$B$10,
IF(AND(_xlpm.baseRow,$E43="&lt;6in DSH for Tree Points",OR($D43&gt;=6,$D43="")),
Error!$B$8,
IF(AND(_xlpm.baseRow,$E43="Street Tree for Green Factor",$F43&lt;&gt;"",$F43&lt;&gt;"Retain"),
Error!$B$14,
IF(AND($E43="&lt;6in DSH for Tree Points",$F43="Retain",$H43&lt;&gt;"",ISNA(MATCH($H43,Tables!$B$174:$B$174,0))),
Error!$B$15,
IF(AND($E43="Street Tree for Green Factor",$F43="Retain",$H43&lt;&gt;"",$H43&lt;&gt;"Zoning: Green Factor"),
Error!$B$15,
IF(AND($E43="ECA / Shoreline Tree",$F43="Remove",$H43&lt;&gt;"",ISNA(MATCH($H43,Tables!$B$189:$B$190,0))),
Error!$B$15,
IF(AND($E43="ECA / Shoreline Tree",$F43="Retain",$H43&lt;&gt;"",ISNA(MATCH($H43,Tables!$B$184:$B$186,0))),
Error!$B$15,
IF(AND($E43="Tier 4",$F43="Remove",$H43&lt;&gt;"",ISNA(MATCH($H43,Tables!$B$171,0))),
Error!$B$15,
IF(AND($E43="Tier 4",$F43="Retain",$H43&lt;&gt;"",ISNA(MATCH($H43,Tables!$B$166:$B$168,0))),
Error!$B$15,
IF(AND($E43="Tier 3",$F43="Retain",$H43&lt;&gt;"",ISNA(MATCH($H43,Tables!$B$158:$B$160,0))),
Error!$B$15,
IF(AND($E43="Tier 3",$F43="Remove",$H43&lt;&gt;"",ISNA(MATCH($H43,Tables!$B$163,0))),
Error!$B$15,
IF(AND(OR($E43="Tier 2",$E43="Tier 2 Grove"),$F43="Remove",$H43&lt;&gt;"",ISNA(MATCH($H43,Tables!$B$153:$B$155,0))),
Error!$B$15,
IF(AND(OR($E43="Tier 2",$E43="Tier 2 Grove"),$F43="Retain",$H43&lt;&gt;"",ISNA(MATCH($H43,Tables!$B$147:$B$150,0))),
Error!$B$15,
IF(AND($E43="Tier 1",$F43="Remove",$H43&lt;&gt;"",ISNA(MATCH($H43,Tables!$B$143:$B$144,0))),
Error!$B$15,
IF(AND($E43="Tier 1",$F43="Retain",$H43&lt;&gt;"",ISNA(MATCH($H43,Tables!$B$137:$B$140,0))),
Error!$B$15,
IF(AND($E43&lt;&gt;"Tier 2",$E43&lt;&gt;"Tier 2 Grove",$E43&lt;&gt;"Tier 3",$E43&lt;&gt;"Tier 4",$H43="Zoning: Green Factor",OR($D43="",$D43&lt;6)),
Error!$B$11,
IF(AND(_xlpm.baseRow,$D43&lt;6,$E43="&lt;6in DSH for Tree Points",_xlpm.TreePoints_H=0),
Error!$B$21,
IF(AND(_xlpm.baseRow,$E43&lt;&gt;"",$D43&lt;&gt;"",$F43=""),
Error!$B$4,
IF(AND(_xlpm.baseRow,$F43="Remove",OR($E43="Tier 1",$E43="Tier 2",$E43="Tier 2 Grove"),COUNTBLANK(_xlpm.HRange)&lt;3,_xlpm.uniqueH&gt;=2),
Error!$B$48,
IF(AND(_xlpm.baseRow,$F43="Retain",OR($E43="Tier 1",$E43="Tier 2",$E43="Tier 2 Grove"),COUNTIF(_xlpm.HRange,"Tree Code: Required to Retain Tier 1-2 Tree")=0),
Error!$B$47,
IF(AND(_xlpm.baseRow,$E43&lt;&gt;"",$D43&lt;&gt;"",$F43&lt;&gt;"",COUNTBLANK(_xlpm.HRange)=4),
Error!$B$5,
IF(AND($F43="Remove",$H43&lt;&gt;"",$I43=""),
Error!$B$18,
IF(AND($E43="Tier 4",$F43="Remove",$H43="Tree Protection Code: Tier 3 or Tier 4 Allowance",$H43&lt;&gt;"",ISNA(MATCH($I43,Tables!$B$200,0))),
Error!$B$17,
IF(AND($E43="Tier 3",$F43="Remove",$H43&lt;&gt;"",$H43="Tree Protection Code: Tier 3 or Tier 4 Allowance",OR($I43="",ISNA(MATCH($I43,Tables!$B$193:$B$197,0)))),
Error!$B$17,
IF(AND(OR($E43="Tier 2",$E43="Tier 2 Grove"),$F43="Remove",$H43="Tree Protection Code: Other removal allowance or exemption",$I43&lt;&gt;"",ISNA(MATCH($I43,Tables!$B$215:$B$218,0))),
Error!$B$17,
IF(AND(OR($E43="Tier 2",$E43="Tier 2 Grove"),$F43="Remove",$H43="Tree Protection Code: Development Capacity",$I43&lt;&gt;"",ISNA(MATCH($I43,Tables!$B$193:$B$197,0))),
Error!$B$17,
IF(AND(OR($E43="Tier 2",$E43="Tier 2 Grove"),$F43="Remove",$H43="Tree Protection Code: Necessary for Construction",$I43&lt;&gt;"",ISNA(MATCH($I43,Tables!$B$193:$B$197,0))),
Error!$B$17,
IF(AND($E43="Tier 1",$F43="Remove",$H43="Tree Protection Code: Special Exception",$I43&lt;&gt;"",ISNA(MATCH($I43,Tables!$B$215:$B$218,0))),
Error!$B$17,
IF(AND($E43="Tier 1",$F43="Remove",$H43="Tree Protection Code: Other removal allowance or exemption",$I43&lt;&gt;"",ISNA(MATCH($I43,Tables!$B$215:$B$218,0))),
Error!$B$17,
IF(AND($E43="ECA / Shoreline Tree",$F43="Remove",$H43&lt;&gt;"",OR($H43="Shoreline",$H43="Environmental Critical Area (ECA)"),ISNA(MATCH($I43,Tables!$B$209:$B$212,0))),
Error!$B$17,
IF(AND(_xlpm.baseRow,$F43="Retain",$E43="ECA / Shoreline Tree",_xlpm.ECA_Short=0),
Error!$B$61,
IF(AND($F43="Remove",ISNUMBER(MATCH($E43,{"Tier 1","Tier 2","Tier 3","Tier 4","Tier 2 Grove"},0)),ISNUMBER(MATCH($I43,{"On-site replacement","Off-site replacement"},0)),$J43="",$H43&lt;&gt;""),
Error!$B$19,
IF(AND(_xlpm.baseRow,$E43&lt;&gt;"",$D43&lt;&gt;"",$F43&lt;&gt;"",COUNTBLANK($B43:$C43)&gt;0,COUNTBLANK(_xlpm.HRange)&lt;&gt;4),
Error!$B$22,
IF(AND($H43="Zoning: Tree Points",$K43&lt;&gt;"",ISNA(MATCH($K43,Tables!$B$242:$B$253,0))),
Error!$B$58,
IF(AND($H43="Zoning: Tree Points",$K43="Small",$L43&lt;&gt;"",ISNA(MATCH($L43,Tables!$C$243:$C$244,0))),
Error!$B$59,
IF(AND($H43="Zoning: Tree Points",$K43="Small/Medium",$L43&lt;&gt;"",ISNA(MATCH($L43,Tables!$C$246:$C$247,0))),
Error!$B$59,
IF(AND($H43="Zoning: Tree Points",$K43="Medium/Large",$L43&lt;&gt;"",ISNA(MATCH($L43,Tables!$C$249:$C$250,0))),
Error!$B$59,
IF(AND($H43="Zoning: Tree Points",$K43="Large",$L43&lt;&gt;"",ISNA(MATCH($L43,Tables!$C$252:$C$253,0))),
Error!$B$59,
IF(AND($F43="Retain",$H43="Zoning: Tree Points",$C43&lt;&gt;"",$D43&lt;&gt;"",OR($K43="",$L43="",$M43="")),
Error!$B$20,
""
)))))))))))))))))))))))))))))))))))))))))))))))))))))))),
Error!$B$23))</f>
        <v/>
      </c>
      <c r="O43" s="343" t="str" cm="1">
        <f t="array" aca="1" ref="O43" ca="1">IFERROR(_xlfn.LET(
    _xlpm.txt, $C43,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4" spans="1:15" x14ac:dyDescent="0.3">
      <c r="A44" s="320"/>
      <c r="B44" s="616" t="str">
        <f t="shared" ref="B44:B46" si="12">IF($B43="", "", $B43)</f>
        <v/>
      </c>
      <c r="C44" s="617" t="str">
        <f>IF($C43="", "", $C43)</f>
        <v/>
      </c>
      <c r="D44" s="618" t="str">
        <f t="shared" ref="D44:D46" si="13">IF($D43="", "", $D43)</f>
        <v/>
      </c>
      <c r="E44" s="616" t="str">
        <f>IF($E43="", "", $E43)</f>
        <v/>
      </c>
      <c r="F44" s="616" t="str">
        <f>IF($F43="", "", $F43)</f>
        <v/>
      </c>
      <c r="G44" s="619" t="str">
        <f>IF(Tree_Table1[[#This Row],[Tree Status  &amp;]]="Retain", Tables!$B$237, IF(Tree_Table1[[#This Row],[Tree Status  &amp;]]="Remove", Tables!$B$238, ""))</f>
        <v/>
      </c>
      <c r="H44" s="321"/>
      <c r="I44" s="322"/>
      <c r="J44" s="453"/>
      <c r="K44" s="323" t="str">
        <f>IFERROR(
    IF(
        AND($H44="Zoning: Tree Points", NOT(ISNUMBER(SEARCH("sp.", $C44)))),
        VLOOKUP($C44, 'Tree List'!$C$3:$F$601, 4, FALSE),
        ""
    ),
"")</f>
        <v/>
      </c>
      <c r="L44" s="324" t="str" cm="1">
        <f t="array" ref="L44">IFERROR(
IF(
    AND($H44="Zoning: Tree Points", NOT(ISNUMBER(SEARCH("sp.", $C44)))),
    _xlfn.IFS(
        (COUNTIFS('Tree List'!$C$3:$C$601,$C44,'Tree List'!$D$3:$D$601,"Coniferous")
        + COUNTIFS('Tree List'!$C$3:$C$601,$C44,'Tree List'!$D$3:$D$601,"Deciduous Conifer")) &gt; 0,
            _xlfn.IFS($K44="Small",0.5,$K44="Small/Medium",1,$K44="Medium/Large",1.4,$K44="Large",1.8),
        (COUNTIFS('Tree List'!$C$3:$C$601,$C44,'Tree List'!$D$3:$D$601,"Deciduous")
        + COUNTIFS('Tree List'!$C$3:$C$601,$C44,'Tree List'!$D$3:$D$601,"Broadleaf Evergreen")) &gt; 0,
            _xlfn.IFS($K44="Small",0.4,$K44="Small/Medium",0.8,$K44="Medium/Large",1.2,$K44="Large",1.6)
    ),
    ""
),
"")</f>
        <v/>
      </c>
      <c r="M44" s="475" t="str">
        <f t="shared" si="0"/>
        <v/>
      </c>
      <c r="N44" s="346" t="str" cm="1">
        <f t="array" aca="1" ref="N4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IF(AND(_xlpm.baseRow,ISNA(MATCH($C44,'Tree List'!$C$3:$C$601,0)),SUMPRODUCT(--ISNUMBER(SEARCH(Tables2!$C$677:$C$772,$O44)))&gt;0),
Error!$B$57,
IF(AND(_xlpm.hasDM,$F44="Remove",$H44&lt;&gt;"",OR($I44="On-site replacement",$I44="Off-site replacement",$I44="Payment In Lieu")),
Error!$B$56,
IF(AND(_xlpm.hasDM,$F44="Remove",$H44&lt;&gt;"",$I44="Relocation"),
Error!$B$66,
IF(AND(OR(_xlpm.hasCN,_xlpm.hasPH,_xlpm.hasGR),$H44&lt;&gt;"",COUNTIF(Tables!$B$132:$B$134,$H44)&gt;0,$I44="N/A (No replacement required)"),
Error!$B$62,
IF(AND(_xlpm.baseRow,$E44&lt;&gt;"",ISNA(MATCH($E44,Tables!$B$225:$B$232,0))),
Error!$B$2,
IF(AND(_xlpm.baseRow,$F44&lt;&gt;"",ISNA(MATCH($F44,Tables!$B$234:$B$235,0))),
Error!$B$24,
IF(AND(_xlpm.baseRow,_xlpm.ECA_H&gt;0,_xlpm.Shore_H&gt;0),
Error!$B$16,
IF(AND(_xlpm.baseRow,$E44&lt;&gt;"",$D44=""),
Error!$B$3,
IF(AND(_xlpm.baseRow,OR($E44="Tier 3",$E44="Tier 4"),$C44&lt;&gt;"",$D44&gt;=24,COUNTIF(Tables2!$B$166:$B$674,$C44)&gt;0),
Error!$B$44,
IF(AND(_xlpm.baseRow,OR($E44="Tier 3",$E44="Tier 4"),$C44&lt;&gt;"",$D44&lt;&gt;"",COUNTIF(Tables2!$B$73:$B$152,$C44)&gt;0,
$D44&gt;=IFERROR(INDEX(Tables2!$C$73:$C$152,MATCH($C44,Tables2!$B$73:$B$152,0)),-1)),
Error!$B$44,
IF(AND(_xlpm.baseRow,OR($E44="Tier 2",$E44="Tier 2 Grove"),$C44&lt;&gt;"",$D44&gt;=12,COUNTIF(Tables2!$B$153:$B$162,$C44)&gt;0),
Error!$B$45,
IF(AND(_xlpm.baseRow,$E44="Tier 2 Grove",$D44&lt;12),
Error!$B$41,
IF(AND(_xlpm.baseRow,$E44="Tier 2",$D44&lt;5.88),
Error!$B$40,
IF(AND(_xlpm.baseRow,OR($E44="Tier 2",$E44="Tier 2 Grove"),$C44&lt;&gt;"",$D44&lt;12,$D44&gt;=6,COUNTIF(Tables2!$B$153:$B$162,$C44)&gt;0),
Error!$B$54,
IF(AND(_xlpm.baseRow,$E44="Tier 2",COUNTIF(Tables2!$B$166:$B$674,$C44)&gt;0,$D44&lt;24),
Error!$B$54,
IF(AND(_xlpm.baseRow,$E44="Tier 3",ISNA(MATCH($C44,Tables2!$B$153:$B$162,0)),OR($D44&lt;12,$D44&gt;=24)),
Error!$B$9,
IF(AND(_xlpm.baseRow,$E44="Tier 3",COUNTIF(Tables2!$B$153:$B$162,$C44)&gt;0,$D44&lt;12),
Error!$B$46,
IF(AND(_xlpm.baseRow,$E44="Tier 4",OR($D44&lt;6,$D44&gt;=12)),
Error!$B$10,
IF(AND(_xlpm.baseRow,$E44="&lt;6in DSH for Tree Points",OR($D44&gt;=6,$D44="")),
Error!$B$8,
IF(AND(_xlpm.baseRow,$E44="Street Tree for Green Factor",$F44&lt;&gt;"",$F44&lt;&gt;"Retain"),
Error!$B$14,
IF(AND($E44="&lt;6in DSH for Tree Points",$F44="Retain",$H44&lt;&gt;"",ISNA(MATCH($H44,Tables!$B$174:$B$174,0))),
Error!$B$15,
IF(AND($E44="Street Tree for Green Factor",$F44="Retain",$H44&lt;&gt;"",$H44&lt;&gt;"Zoning: Green Factor"),
Error!$B$15,
IF(AND($E44="ECA / Shoreline Tree",$F44="Remove",$H44&lt;&gt;"",ISNA(MATCH($H44,Tables!$B$189:$B$190,0))),
Error!$B$15,
IF(AND($E44="ECA / Shoreline Tree",$F44="Retain",$H44&lt;&gt;"",ISNA(MATCH($H44,Tables!$B$184:$B$186,0))),
Error!$B$15,
IF(AND($E44="Tier 4",$F44="Remove",$H44&lt;&gt;"",ISNA(MATCH($H44,Tables!$B$171,0))),
Error!$B$15,
IF(AND($E44="Tier 4",$F44="Retain",$H44&lt;&gt;"",ISNA(MATCH($H44,Tables!$B$166:$B$168,0))),
Error!$B$15,
IF(AND($E44="Tier 3",$F44="Retain",$H44&lt;&gt;"",ISNA(MATCH($H44,Tables!$B$158:$B$160,0))),
Error!$B$15,
IF(AND($E44="Tier 3",$F44="Remove",$H44&lt;&gt;"",ISNA(MATCH($H44,Tables!$B$163,0))),
Error!$B$15,
IF(AND(OR($E44="Tier 2",$E44="Tier 2 Grove"),$F44="Remove",$H44&lt;&gt;"",ISNA(MATCH($H44,Tables!$B$153:$B$155,0))),
Error!$B$15,
IF(AND(OR($E44="Tier 2",$E44="Tier 2 Grove"),$F44="Retain",$H44&lt;&gt;"",ISNA(MATCH($H44,Tables!$B$147:$B$150,0))),
Error!$B$15,
IF(AND($E44="Tier 1",$F44="Remove",$H44&lt;&gt;"",ISNA(MATCH($H44,Tables!$B$143:$B$144,0))),
Error!$B$15,
IF(AND($E44="Tier 1",$F44="Retain",$H44&lt;&gt;"",ISNA(MATCH($H44,Tables!$B$137:$B$140,0))),
Error!$B$15,
IF(AND($E44&lt;&gt;"Tier 2",$E44&lt;&gt;"Tier 2 Grove",$E44&lt;&gt;"Tier 3",$E44&lt;&gt;"Tier 4",$H44="Zoning: Green Factor",OR($D44="",$D44&lt;6)),
Error!$B$11,
IF(AND(_xlpm.baseRow,$D44&lt;6,$E44="&lt;6in DSH for Tree Points",_xlpm.TreePoints_H=0),
Error!$B$21,
IF(AND(_xlpm.baseRow,$E44&lt;&gt;"",$D44&lt;&gt;"",$F44=""),
Error!$B$4,
IF(AND(_xlpm.baseRow,$F44="Remove",OR($E44="Tier 1",$E44="Tier 2",$E44="Tier 2 Grove"),COUNTBLANK(_xlpm.HRange)&lt;3,_xlpm.uniqueH&gt;=2),
Error!$B$48,
IF(AND(_xlpm.baseRow,$F44="Retain",OR($E44="Tier 1",$E44="Tier 2",$E44="Tier 2 Grove"),COUNTIF(_xlpm.HRange,"Tree Code: Required to Retain Tier 1-2 Tree")=0),
Error!$B$47,
IF(AND(_xlpm.baseRow,$E44&lt;&gt;"",$D44&lt;&gt;"",$F44&lt;&gt;"",COUNTBLANK(_xlpm.HRange)=4),
Error!$B$5,
IF(AND($F44="Remove",$H44&lt;&gt;"",$I44=""),
Error!$B$18,
IF(AND($E44="Tier 4",$F44="Remove",$H44="Tree Protection Code: Tier 3 or Tier 4 Allowance",$H44&lt;&gt;"",ISNA(MATCH($I44,Tables!$B$200,0))),
Error!$B$17,
IF(AND($E44="Tier 3",$F44="Remove",$H44&lt;&gt;"",$H44="Tree Protection Code: Tier 3 or Tier 4 Allowance",OR($I44="",ISNA(MATCH($I44,Tables!$B$193:$B$197,0)))),
Error!$B$17,
IF(AND(OR($E44="Tier 2",$E44="Tier 2 Grove"),$F44="Remove",$H44="Tree Protection Code: Other removal allowance or exemption",$I44&lt;&gt;"",ISNA(MATCH($I44,Tables!$B$215:$B$218,0))),
Error!$B$17,
IF(AND(OR($E44="Tier 2",$E44="Tier 2 Grove"),$F44="Remove",$H44="Tree Protection Code: Development Capacity",$I44&lt;&gt;"",ISNA(MATCH($I44,Tables!$B$193:$B$197,0))),
Error!$B$17,
IF(AND(OR($E44="Tier 2",$E44="Tier 2 Grove"),$F44="Remove",$H44="Tree Protection Code: Necessary for Construction",$I44&lt;&gt;"",ISNA(MATCH($I44,Tables!$B$193:$B$197,0))),
Error!$B$17,
IF(AND($E44="Tier 1",$F44="Remove",$H44="Tree Protection Code: Special Exception",$I44&lt;&gt;"",ISNA(MATCH($I44,Tables!$B$215:$B$218,0))),
Error!$B$17,
IF(AND($E44="Tier 1",$F44="Remove",$H44="Tree Protection Code: Other removal allowance or exemption",$I44&lt;&gt;"",ISNA(MATCH($I44,Tables!$B$215:$B$218,0))),
Error!$B$17,
IF(AND($E44="ECA / Shoreline Tree",$F44="Remove",$H44&lt;&gt;"",OR($H44="Shoreline",$H44="Environmental Critical Area (ECA)"),ISNA(MATCH($I44,Tables!$B$209:$B$212,0))),
Error!$B$17,
IF(AND(_xlpm.baseRow,$F44="Retain",$E44="ECA / Shoreline Tree",_xlpm.ECA_Short=0),
Error!$B$61,
IF(AND($F44="Remove",ISNUMBER(MATCH($E44,{"Tier 1","Tier 2","Tier 3","Tier 4","Tier 2 Grove"},0)),ISNUMBER(MATCH($I44,{"On-site replacement","Off-site replacement"},0)),$J44="",$H44&lt;&gt;""),
Error!$B$19,
IF(AND(_xlpm.baseRow,$E44&lt;&gt;"",$D44&lt;&gt;"",$F44&lt;&gt;"",COUNTBLANK($B44:$C44)&gt;0,COUNTBLANK(_xlpm.HRange)&lt;&gt;4),
Error!$B$22,
IF(AND($H44="Zoning: Tree Points",$K44&lt;&gt;"",ISNA(MATCH($K44,Tables!$B$242:$B$253,0))),
Error!$B$58,
IF(AND($H44="Zoning: Tree Points",$K44="Small",$L44&lt;&gt;"",ISNA(MATCH($L44,Tables!$C$243:$C$244,0))),
Error!$B$59,
IF(AND($H44="Zoning: Tree Points",$K44="Small/Medium",$L44&lt;&gt;"",ISNA(MATCH($L44,Tables!$C$246:$C$247,0))),
Error!$B$59,
IF(AND($H44="Zoning: Tree Points",$K44="Medium/Large",$L44&lt;&gt;"",ISNA(MATCH($L44,Tables!$C$249:$C$250,0))),
Error!$B$59,
IF(AND($H44="Zoning: Tree Points",$K44="Large",$L44&lt;&gt;"",ISNA(MATCH($L44,Tables!$C$252:$C$253,0))),
Error!$B$59,
IF(AND($F44="Retain",$H44="Zoning: Tree Points",$C44&lt;&gt;"",$D44&lt;&gt;"",OR($K44="",$L44="",$M44="")),
Error!$B$20,
""
)))))))))))))))))))))))))))))))))))))))))))))))))))))))),
Error!$B$23))</f>
        <v/>
      </c>
      <c r="O44" s="343" t="str" cm="1">
        <f t="array" aca="1" ref="O44" ca="1">IFERROR(_xlfn.LET(
    _xlpm.txt, $C44,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5" spans="1:15" x14ac:dyDescent="0.3">
      <c r="A45" s="320"/>
      <c r="B45" s="616" t="str">
        <f t="shared" si="12"/>
        <v/>
      </c>
      <c r="C45" s="617" t="str">
        <f>IF($C44="", "", $C44)</f>
        <v/>
      </c>
      <c r="D45" s="618" t="str">
        <f t="shared" si="13"/>
        <v/>
      </c>
      <c r="E45" s="616" t="str">
        <f>IF($E44="", "", $E44)</f>
        <v/>
      </c>
      <c r="F45" s="616" t="str">
        <f>IF($F44="", "", $F44)</f>
        <v/>
      </c>
      <c r="G45" s="619" t="str">
        <f>IF(Tree_Table1[[#This Row],[Tree Status  &amp;]]="Retain", Tables!$B$237, IF(Tree_Table1[[#This Row],[Tree Status  &amp;]]="Remove", Tables!$B$238, ""))</f>
        <v/>
      </c>
      <c r="H45" s="321"/>
      <c r="I45" s="322"/>
      <c r="J45" s="453"/>
      <c r="K45" s="323" t="str">
        <f>IFERROR(
    IF(
        AND($H45="Zoning: Tree Points", NOT(ISNUMBER(SEARCH("sp.", $C45)))),
        VLOOKUP($C45, 'Tree List'!$C$3:$F$601, 4, FALSE),
        ""
    ),
"")</f>
        <v/>
      </c>
      <c r="L45" s="324" t="str" cm="1">
        <f t="array" ref="L45">IFERROR(
IF(
    AND($H45="Zoning: Tree Points", NOT(ISNUMBER(SEARCH("sp.", $C45)))),
    _xlfn.IFS(
        (COUNTIFS('Tree List'!$C$3:$C$601,$C45,'Tree List'!$D$3:$D$601,"Coniferous")
        + COUNTIFS('Tree List'!$C$3:$C$601,$C45,'Tree List'!$D$3:$D$601,"Deciduous Conifer")) &gt; 0,
            _xlfn.IFS($K45="Small",0.5,$K45="Small/Medium",1,$K45="Medium/Large",1.4,$K45="Large",1.8),
        (COUNTIFS('Tree List'!$C$3:$C$601,$C45,'Tree List'!$D$3:$D$601,"Deciduous")
        + COUNTIFS('Tree List'!$C$3:$C$601,$C45,'Tree List'!$D$3:$D$601,"Broadleaf Evergreen")) &gt; 0,
            _xlfn.IFS($K45="Small",0.4,$K45="Small/Medium",0.8,$K45="Medium/Large",1.2,$K45="Large",1.6)
    ),
    ""
),
"")</f>
        <v/>
      </c>
      <c r="M45" s="475" t="str">
        <f t="shared" si="0"/>
        <v/>
      </c>
      <c r="N45" s="346" t="str" cm="1">
        <f t="array" aca="1" ref="N4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IF(AND(_xlpm.baseRow,ISNA(MATCH($C45,'Tree List'!$C$3:$C$601,0)),SUMPRODUCT(--ISNUMBER(SEARCH(Tables2!$C$677:$C$772,$O45)))&gt;0),
Error!$B$57,
IF(AND(_xlpm.hasDM,$F45="Remove",$H45&lt;&gt;"",OR($I45="On-site replacement",$I45="Off-site replacement",$I45="Payment In Lieu")),
Error!$B$56,
IF(AND(_xlpm.hasDM,$F45="Remove",$H45&lt;&gt;"",$I45="Relocation"),
Error!$B$66,
IF(AND(OR(_xlpm.hasCN,_xlpm.hasPH,_xlpm.hasGR),$H45&lt;&gt;"",COUNTIF(Tables!$B$132:$B$134,$H45)&gt;0,$I45="N/A (No replacement required)"),
Error!$B$62,
IF(AND(_xlpm.baseRow,$E45&lt;&gt;"",ISNA(MATCH($E45,Tables!$B$225:$B$232,0))),
Error!$B$2,
IF(AND(_xlpm.baseRow,$F45&lt;&gt;"",ISNA(MATCH($F45,Tables!$B$234:$B$235,0))),
Error!$B$24,
IF(AND(_xlpm.baseRow,_xlpm.ECA_H&gt;0,_xlpm.Shore_H&gt;0),
Error!$B$16,
IF(AND(_xlpm.baseRow,$E45&lt;&gt;"",$D45=""),
Error!$B$3,
IF(AND(_xlpm.baseRow,OR($E45="Tier 3",$E45="Tier 4"),$C45&lt;&gt;"",$D45&gt;=24,COUNTIF(Tables2!$B$166:$B$674,$C45)&gt;0),
Error!$B$44,
IF(AND(_xlpm.baseRow,OR($E45="Tier 3",$E45="Tier 4"),$C45&lt;&gt;"",$D45&lt;&gt;"",COUNTIF(Tables2!$B$73:$B$152,$C45)&gt;0,
$D45&gt;=IFERROR(INDEX(Tables2!$C$73:$C$152,MATCH($C45,Tables2!$B$73:$B$152,0)),-1)),
Error!$B$44,
IF(AND(_xlpm.baseRow,OR($E45="Tier 2",$E45="Tier 2 Grove"),$C45&lt;&gt;"",$D45&gt;=12,COUNTIF(Tables2!$B$153:$B$162,$C45)&gt;0),
Error!$B$45,
IF(AND(_xlpm.baseRow,$E45="Tier 2 Grove",$D45&lt;12),
Error!$B$41,
IF(AND(_xlpm.baseRow,$E45="Tier 2",$D45&lt;5.88),
Error!$B$40,
IF(AND(_xlpm.baseRow,OR($E45="Tier 2",$E45="Tier 2 Grove"),$C45&lt;&gt;"",$D45&lt;12,$D45&gt;=6,COUNTIF(Tables2!$B$153:$B$162,$C45)&gt;0),
Error!$B$54,
IF(AND(_xlpm.baseRow,$E45="Tier 2",COUNTIF(Tables2!$B$166:$B$674,$C45)&gt;0,$D45&lt;24),
Error!$B$54,
IF(AND(_xlpm.baseRow,$E45="Tier 3",ISNA(MATCH($C45,Tables2!$B$153:$B$162,0)),OR($D45&lt;12,$D45&gt;=24)),
Error!$B$9,
IF(AND(_xlpm.baseRow,$E45="Tier 3",COUNTIF(Tables2!$B$153:$B$162,$C45)&gt;0,$D45&lt;12),
Error!$B$46,
IF(AND(_xlpm.baseRow,$E45="Tier 4",OR($D45&lt;6,$D45&gt;=12)),
Error!$B$10,
IF(AND(_xlpm.baseRow,$E45="&lt;6in DSH for Tree Points",OR($D45&gt;=6,$D45="")),
Error!$B$8,
IF(AND(_xlpm.baseRow,$E45="Street Tree for Green Factor",$F45&lt;&gt;"",$F45&lt;&gt;"Retain"),
Error!$B$14,
IF(AND($E45="&lt;6in DSH for Tree Points",$F45="Retain",$H45&lt;&gt;"",ISNA(MATCH($H45,Tables!$B$174:$B$174,0))),
Error!$B$15,
IF(AND($E45="Street Tree for Green Factor",$F45="Retain",$H45&lt;&gt;"",$H45&lt;&gt;"Zoning: Green Factor"),
Error!$B$15,
IF(AND($E45="ECA / Shoreline Tree",$F45="Remove",$H45&lt;&gt;"",ISNA(MATCH($H45,Tables!$B$189:$B$190,0))),
Error!$B$15,
IF(AND($E45="ECA / Shoreline Tree",$F45="Retain",$H45&lt;&gt;"",ISNA(MATCH($H45,Tables!$B$184:$B$186,0))),
Error!$B$15,
IF(AND($E45="Tier 4",$F45="Remove",$H45&lt;&gt;"",ISNA(MATCH($H45,Tables!$B$171,0))),
Error!$B$15,
IF(AND($E45="Tier 4",$F45="Retain",$H45&lt;&gt;"",ISNA(MATCH($H45,Tables!$B$166:$B$168,0))),
Error!$B$15,
IF(AND($E45="Tier 3",$F45="Retain",$H45&lt;&gt;"",ISNA(MATCH($H45,Tables!$B$158:$B$160,0))),
Error!$B$15,
IF(AND($E45="Tier 3",$F45="Remove",$H45&lt;&gt;"",ISNA(MATCH($H45,Tables!$B$163,0))),
Error!$B$15,
IF(AND(OR($E45="Tier 2",$E45="Tier 2 Grove"),$F45="Remove",$H45&lt;&gt;"",ISNA(MATCH($H45,Tables!$B$153:$B$155,0))),
Error!$B$15,
IF(AND(OR($E45="Tier 2",$E45="Tier 2 Grove"),$F45="Retain",$H45&lt;&gt;"",ISNA(MATCH($H45,Tables!$B$147:$B$150,0))),
Error!$B$15,
IF(AND($E45="Tier 1",$F45="Remove",$H45&lt;&gt;"",ISNA(MATCH($H45,Tables!$B$143:$B$144,0))),
Error!$B$15,
IF(AND($E45="Tier 1",$F45="Retain",$H45&lt;&gt;"",ISNA(MATCH($H45,Tables!$B$137:$B$140,0))),
Error!$B$15,
IF(AND($E45&lt;&gt;"Tier 2",$E45&lt;&gt;"Tier 2 Grove",$E45&lt;&gt;"Tier 3",$E45&lt;&gt;"Tier 4",$H45="Zoning: Green Factor",OR($D45="",$D45&lt;6)),
Error!$B$11,
IF(AND(_xlpm.baseRow,$D45&lt;6,$E45="&lt;6in DSH for Tree Points",_xlpm.TreePoints_H=0),
Error!$B$21,
IF(AND(_xlpm.baseRow,$E45&lt;&gt;"",$D45&lt;&gt;"",$F45=""),
Error!$B$4,
IF(AND(_xlpm.baseRow,$F45="Remove",OR($E45="Tier 1",$E45="Tier 2",$E45="Tier 2 Grove"),COUNTBLANK(_xlpm.HRange)&lt;3,_xlpm.uniqueH&gt;=2),
Error!$B$48,
IF(AND(_xlpm.baseRow,$F45="Retain",OR($E45="Tier 1",$E45="Tier 2",$E45="Tier 2 Grove"),COUNTIF(_xlpm.HRange,"Tree Code: Required to Retain Tier 1-2 Tree")=0),
Error!$B$47,
IF(AND(_xlpm.baseRow,$E45&lt;&gt;"",$D45&lt;&gt;"",$F45&lt;&gt;"",COUNTBLANK(_xlpm.HRange)=4),
Error!$B$5,
IF(AND($F45="Remove",$H45&lt;&gt;"",$I45=""),
Error!$B$18,
IF(AND($E45="Tier 4",$F45="Remove",$H45="Tree Protection Code: Tier 3 or Tier 4 Allowance",$H45&lt;&gt;"",ISNA(MATCH($I45,Tables!$B$200,0))),
Error!$B$17,
IF(AND($E45="Tier 3",$F45="Remove",$H45&lt;&gt;"",$H45="Tree Protection Code: Tier 3 or Tier 4 Allowance",OR($I45="",ISNA(MATCH($I45,Tables!$B$193:$B$197,0)))),
Error!$B$17,
IF(AND(OR($E45="Tier 2",$E45="Tier 2 Grove"),$F45="Remove",$H45="Tree Protection Code: Other removal allowance or exemption",$I45&lt;&gt;"",ISNA(MATCH($I45,Tables!$B$215:$B$218,0))),
Error!$B$17,
IF(AND(OR($E45="Tier 2",$E45="Tier 2 Grove"),$F45="Remove",$H45="Tree Protection Code: Development Capacity",$I45&lt;&gt;"",ISNA(MATCH($I45,Tables!$B$193:$B$197,0))),
Error!$B$17,
IF(AND(OR($E45="Tier 2",$E45="Tier 2 Grove"),$F45="Remove",$H45="Tree Protection Code: Necessary for Construction",$I45&lt;&gt;"",ISNA(MATCH($I45,Tables!$B$193:$B$197,0))),
Error!$B$17,
IF(AND($E45="Tier 1",$F45="Remove",$H45="Tree Protection Code: Special Exception",$I45&lt;&gt;"",ISNA(MATCH($I45,Tables!$B$215:$B$218,0))),
Error!$B$17,
IF(AND($E45="Tier 1",$F45="Remove",$H45="Tree Protection Code: Other removal allowance or exemption",$I45&lt;&gt;"",ISNA(MATCH($I45,Tables!$B$215:$B$218,0))),
Error!$B$17,
IF(AND($E45="ECA / Shoreline Tree",$F45="Remove",$H45&lt;&gt;"",OR($H45="Shoreline",$H45="Environmental Critical Area (ECA)"),ISNA(MATCH($I45,Tables!$B$209:$B$212,0))),
Error!$B$17,
IF(AND(_xlpm.baseRow,$F45="Retain",$E45="ECA / Shoreline Tree",_xlpm.ECA_Short=0),
Error!$B$61,
IF(AND($F45="Remove",ISNUMBER(MATCH($E45,{"Tier 1","Tier 2","Tier 3","Tier 4","Tier 2 Grove"},0)),ISNUMBER(MATCH($I45,{"On-site replacement","Off-site replacement"},0)),$J45="",$H45&lt;&gt;""),
Error!$B$19,
IF(AND(_xlpm.baseRow,$E45&lt;&gt;"",$D45&lt;&gt;"",$F45&lt;&gt;"",COUNTBLANK($B45:$C45)&gt;0,COUNTBLANK(_xlpm.HRange)&lt;&gt;4),
Error!$B$22,
IF(AND($H45="Zoning: Tree Points",$K45&lt;&gt;"",ISNA(MATCH($K45,Tables!$B$242:$B$253,0))),
Error!$B$58,
IF(AND($H45="Zoning: Tree Points",$K45="Small",$L45&lt;&gt;"",ISNA(MATCH($L45,Tables!$C$243:$C$244,0))),
Error!$B$59,
IF(AND($H45="Zoning: Tree Points",$K45="Small/Medium",$L45&lt;&gt;"",ISNA(MATCH($L45,Tables!$C$246:$C$247,0))),
Error!$B$59,
IF(AND($H45="Zoning: Tree Points",$K45="Medium/Large",$L45&lt;&gt;"",ISNA(MATCH($L45,Tables!$C$249:$C$250,0))),
Error!$B$59,
IF(AND($H45="Zoning: Tree Points",$K45="Large",$L45&lt;&gt;"",ISNA(MATCH($L45,Tables!$C$252:$C$253,0))),
Error!$B$59,
IF(AND($F45="Retain",$H45="Zoning: Tree Points",$C45&lt;&gt;"",$D45&lt;&gt;"",OR($K45="",$L45="",$M45="")),
Error!$B$20,
""
)))))))))))))))))))))))))))))))))))))))))))))))))))))))),
Error!$B$23))</f>
        <v/>
      </c>
      <c r="O45" s="343" t="str" cm="1">
        <f t="array" aca="1" ref="O45" ca="1">IFERROR(_xlfn.LET(
    _xlpm.txt, $C45,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6" spans="1:15" ht="15" thickBot="1" x14ac:dyDescent="0.35">
      <c r="A46" s="331"/>
      <c r="B46" s="616" t="str">
        <f t="shared" si="12"/>
        <v/>
      </c>
      <c r="C46" s="617" t="str">
        <f>IF($C45="", "", $C45)</f>
        <v/>
      </c>
      <c r="D46" s="618" t="str">
        <f t="shared" si="13"/>
        <v/>
      </c>
      <c r="E46" s="616" t="str">
        <f>IF($E45="", "", $E45)</f>
        <v/>
      </c>
      <c r="F46" s="616" t="str">
        <f>IF($F45="", "", $F45)</f>
        <v/>
      </c>
      <c r="G46" s="619" t="str">
        <f>IF(Tree_Table1[[#This Row],[Tree Status  &amp;]]="Retain", Tables!$B$237, IF(Tree_Table1[[#This Row],[Tree Status  &amp;]]="Remove", Tables!$B$238, ""))</f>
        <v/>
      </c>
      <c r="H46" s="329"/>
      <c r="I46" s="330"/>
      <c r="J46" s="455"/>
      <c r="K46" s="327" t="str">
        <f>IFERROR(
    IF(
        AND($H46="Zoning: Tree Points", NOT(ISNUMBER(SEARCH("sp.", $C46)))),
        VLOOKUP($C46, 'Tree List'!$C$3:$F$601, 4, FALSE),
        ""
    ),
"")</f>
        <v/>
      </c>
      <c r="L46" s="328" t="str" cm="1">
        <f t="array" ref="L46">IFERROR(
IF(
    AND($H46="Zoning: Tree Points", NOT(ISNUMBER(SEARCH("sp.", $C46)))),
    _xlfn.IFS(
        (COUNTIFS('Tree List'!$C$3:$C$601,$C46,'Tree List'!$D$3:$D$601,"Coniferous")
        + COUNTIFS('Tree List'!$C$3:$C$601,$C46,'Tree List'!$D$3:$D$601,"Deciduous Conifer")) &gt; 0,
            _xlfn.IFS($K46="Small",0.5,$K46="Small/Medium",1,$K46="Medium/Large",1.4,$K46="Large",1.8),
        (COUNTIFS('Tree List'!$C$3:$C$601,$C46,'Tree List'!$D$3:$D$601,"Deciduous")
        + COUNTIFS('Tree List'!$C$3:$C$601,$C46,'Tree List'!$D$3:$D$601,"Broadleaf Evergreen")) &gt; 0,
            _xlfn.IFS($K46="Small",0.4,$K46="Small/Medium",0.8,$K46="Medium/Large",1.2,$K46="Large",1.6)
    ),
    ""
),
"")</f>
        <v/>
      </c>
      <c r="M46" s="476" t="str">
        <f t="shared" si="0"/>
        <v/>
      </c>
      <c r="N46" s="347" t="str" cm="1">
        <f t="array" aca="1" ref="N4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IF(AND(_xlpm.baseRow,ISNA(MATCH($C46,'Tree List'!$C$3:$C$601,0)),SUMPRODUCT(--ISNUMBER(SEARCH(Tables2!$C$677:$C$772,$O46)))&gt;0),
Error!$B$57,
IF(AND(_xlpm.hasDM,$F46="Remove",$H46&lt;&gt;"",OR($I46="On-site replacement",$I46="Off-site replacement",$I46="Payment In Lieu")),
Error!$B$56,
IF(AND(_xlpm.hasDM,$F46="Remove",$H46&lt;&gt;"",$I46="Relocation"),
Error!$B$66,
IF(AND(OR(_xlpm.hasCN,_xlpm.hasPH,_xlpm.hasGR),$H46&lt;&gt;"",COUNTIF(Tables!$B$132:$B$134,$H46)&gt;0,$I46="N/A (No replacement required)"),
Error!$B$62,
IF(AND(_xlpm.baseRow,$E46&lt;&gt;"",ISNA(MATCH($E46,Tables!$B$225:$B$232,0))),
Error!$B$2,
IF(AND(_xlpm.baseRow,$F46&lt;&gt;"",ISNA(MATCH($F46,Tables!$B$234:$B$235,0))),
Error!$B$24,
IF(AND(_xlpm.baseRow,_xlpm.ECA_H&gt;0,_xlpm.Shore_H&gt;0),
Error!$B$16,
IF(AND(_xlpm.baseRow,$E46&lt;&gt;"",$D46=""),
Error!$B$3,
IF(AND(_xlpm.baseRow,OR($E46="Tier 3",$E46="Tier 4"),$C46&lt;&gt;"",$D46&gt;=24,COUNTIF(Tables2!$B$166:$B$674,$C46)&gt;0),
Error!$B$44,
IF(AND(_xlpm.baseRow,OR($E46="Tier 3",$E46="Tier 4"),$C46&lt;&gt;"",$D46&lt;&gt;"",COUNTIF(Tables2!$B$73:$B$152,$C46)&gt;0,
$D46&gt;=IFERROR(INDEX(Tables2!$C$73:$C$152,MATCH($C46,Tables2!$B$73:$B$152,0)),-1)),
Error!$B$44,
IF(AND(_xlpm.baseRow,OR($E46="Tier 2",$E46="Tier 2 Grove"),$C46&lt;&gt;"",$D46&gt;=12,COUNTIF(Tables2!$B$153:$B$162,$C46)&gt;0),
Error!$B$45,
IF(AND(_xlpm.baseRow,$E46="Tier 2 Grove",$D46&lt;12),
Error!$B$41,
IF(AND(_xlpm.baseRow,$E46="Tier 2",$D46&lt;5.88),
Error!$B$40,
IF(AND(_xlpm.baseRow,OR($E46="Tier 2",$E46="Tier 2 Grove"),$C46&lt;&gt;"",$D46&lt;12,$D46&gt;=6,COUNTIF(Tables2!$B$153:$B$162,$C46)&gt;0),
Error!$B$54,
IF(AND(_xlpm.baseRow,$E46="Tier 2",COUNTIF(Tables2!$B$166:$B$674,$C46)&gt;0,$D46&lt;24),
Error!$B$54,
IF(AND(_xlpm.baseRow,$E46="Tier 3",ISNA(MATCH($C46,Tables2!$B$153:$B$162,0)),OR($D46&lt;12,$D46&gt;=24)),
Error!$B$9,
IF(AND(_xlpm.baseRow,$E46="Tier 3",COUNTIF(Tables2!$B$153:$B$162,$C46)&gt;0,$D46&lt;12),
Error!$B$46,
IF(AND(_xlpm.baseRow,$E46="Tier 4",OR($D46&lt;6,$D46&gt;=12)),
Error!$B$10,
IF(AND(_xlpm.baseRow,$E46="&lt;6in DSH for Tree Points",OR($D46&gt;=6,$D46="")),
Error!$B$8,
IF(AND(_xlpm.baseRow,$E46="Street Tree for Green Factor",$F46&lt;&gt;"",$F46&lt;&gt;"Retain"),
Error!$B$14,
IF(AND($E46="&lt;6in DSH for Tree Points",$F46="Retain",$H46&lt;&gt;"",ISNA(MATCH($H46,Tables!$B$174:$B$174,0))),
Error!$B$15,
IF(AND($E46="Street Tree for Green Factor",$F46="Retain",$H46&lt;&gt;"",$H46&lt;&gt;"Zoning: Green Factor"),
Error!$B$15,
IF(AND($E46="ECA / Shoreline Tree",$F46="Remove",$H46&lt;&gt;"",ISNA(MATCH($H46,Tables!$B$189:$B$190,0))),
Error!$B$15,
IF(AND($E46="ECA / Shoreline Tree",$F46="Retain",$H46&lt;&gt;"",ISNA(MATCH($H46,Tables!$B$184:$B$186,0))),
Error!$B$15,
IF(AND($E46="Tier 4",$F46="Remove",$H46&lt;&gt;"",ISNA(MATCH($H46,Tables!$B$171,0))),
Error!$B$15,
IF(AND($E46="Tier 4",$F46="Retain",$H46&lt;&gt;"",ISNA(MATCH($H46,Tables!$B$166:$B$168,0))),
Error!$B$15,
IF(AND($E46="Tier 3",$F46="Retain",$H46&lt;&gt;"",ISNA(MATCH($H46,Tables!$B$158:$B$160,0))),
Error!$B$15,
IF(AND($E46="Tier 3",$F46="Remove",$H46&lt;&gt;"",ISNA(MATCH($H46,Tables!$B$163,0))),
Error!$B$15,
IF(AND(OR($E46="Tier 2",$E46="Tier 2 Grove"),$F46="Remove",$H46&lt;&gt;"",ISNA(MATCH($H46,Tables!$B$153:$B$155,0))),
Error!$B$15,
IF(AND(OR($E46="Tier 2",$E46="Tier 2 Grove"),$F46="Retain",$H46&lt;&gt;"",ISNA(MATCH($H46,Tables!$B$147:$B$150,0))),
Error!$B$15,
IF(AND($E46="Tier 1",$F46="Remove",$H46&lt;&gt;"",ISNA(MATCH($H46,Tables!$B$143:$B$144,0))),
Error!$B$15,
IF(AND($E46="Tier 1",$F46="Retain",$H46&lt;&gt;"",ISNA(MATCH($H46,Tables!$B$137:$B$140,0))),
Error!$B$15,
IF(AND($E46&lt;&gt;"Tier 2",$E46&lt;&gt;"Tier 2 Grove",$E46&lt;&gt;"Tier 3",$E46&lt;&gt;"Tier 4",$H46="Zoning: Green Factor",OR($D46="",$D46&lt;6)),
Error!$B$11,
IF(AND(_xlpm.baseRow,$D46&lt;6,$E46="&lt;6in DSH for Tree Points",_xlpm.TreePoints_H=0),
Error!$B$21,
IF(AND(_xlpm.baseRow,$E46&lt;&gt;"",$D46&lt;&gt;"",$F46=""),
Error!$B$4,
IF(AND(_xlpm.baseRow,$F46="Remove",OR($E46="Tier 1",$E46="Tier 2",$E46="Tier 2 Grove"),COUNTBLANK(_xlpm.HRange)&lt;3,_xlpm.uniqueH&gt;=2),
Error!$B$48,
IF(AND(_xlpm.baseRow,$F46="Retain",OR($E46="Tier 1",$E46="Tier 2",$E46="Tier 2 Grove"),COUNTIF(_xlpm.HRange,"Tree Code: Required to Retain Tier 1-2 Tree")=0),
Error!$B$47,
IF(AND(_xlpm.baseRow,$E46&lt;&gt;"",$D46&lt;&gt;"",$F46&lt;&gt;"",COUNTBLANK(_xlpm.HRange)=4),
Error!$B$5,
IF(AND($F46="Remove",$H46&lt;&gt;"",$I46=""),
Error!$B$18,
IF(AND($E46="Tier 4",$F46="Remove",$H46="Tree Protection Code: Tier 3 or Tier 4 Allowance",$H46&lt;&gt;"",ISNA(MATCH($I46,Tables!$B$200,0))),
Error!$B$17,
IF(AND($E46="Tier 3",$F46="Remove",$H46&lt;&gt;"",$H46="Tree Protection Code: Tier 3 or Tier 4 Allowance",OR($I46="",ISNA(MATCH($I46,Tables!$B$193:$B$197,0)))),
Error!$B$17,
IF(AND(OR($E46="Tier 2",$E46="Tier 2 Grove"),$F46="Remove",$H46="Tree Protection Code: Other removal allowance or exemption",$I46&lt;&gt;"",ISNA(MATCH($I46,Tables!$B$215:$B$218,0))),
Error!$B$17,
IF(AND(OR($E46="Tier 2",$E46="Tier 2 Grove"),$F46="Remove",$H46="Tree Protection Code: Development Capacity",$I46&lt;&gt;"",ISNA(MATCH($I46,Tables!$B$193:$B$197,0))),
Error!$B$17,
IF(AND(OR($E46="Tier 2",$E46="Tier 2 Grove"),$F46="Remove",$H46="Tree Protection Code: Necessary for Construction",$I46&lt;&gt;"",ISNA(MATCH($I46,Tables!$B$193:$B$197,0))),
Error!$B$17,
IF(AND($E46="Tier 1",$F46="Remove",$H46="Tree Protection Code: Special Exception",$I46&lt;&gt;"",ISNA(MATCH($I46,Tables!$B$215:$B$218,0))),
Error!$B$17,
IF(AND($E46="Tier 1",$F46="Remove",$H46="Tree Protection Code: Other removal allowance or exemption",$I46&lt;&gt;"",ISNA(MATCH($I46,Tables!$B$215:$B$218,0))),
Error!$B$17,
IF(AND($E46="ECA / Shoreline Tree",$F46="Remove",$H46&lt;&gt;"",OR($H46="Shoreline",$H46="Environmental Critical Area (ECA)"),ISNA(MATCH($I46,Tables!$B$209:$B$212,0))),
Error!$B$17,
IF(AND(_xlpm.baseRow,$F46="Retain",$E46="ECA / Shoreline Tree",_xlpm.ECA_Short=0),
Error!$B$61,
IF(AND($F46="Remove",ISNUMBER(MATCH($E46,{"Tier 1","Tier 2","Tier 3","Tier 4","Tier 2 Grove"},0)),ISNUMBER(MATCH($I46,{"On-site replacement","Off-site replacement"},0)),$J46="",$H46&lt;&gt;""),
Error!$B$19,
IF(AND(_xlpm.baseRow,$E46&lt;&gt;"",$D46&lt;&gt;"",$F46&lt;&gt;"",COUNTBLANK($B46:$C46)&gt;0,COUNTBLANK(_xlpm.HRange)&lt;&gt;4),
Error!$B$22,
IF(AND($H46="Zoning: Tree Points",$K46&lt;&gt;"",ISNA(MATCH($K46,Tables!$B$242:$B$253,0))),
Error!$B$58,
IF(AND($H46="Zoning: Tree Points",$K46="Small",$L46&lt;&gt;"",ISNA(MATCH($L46,Tables!$C$243:$C$244,0))),
Error!$B$59,
IF(AND($H46="Zoning: Tree Points",$K46="Small/Medium",$L46&lt;&gt;"",ISNA(MATCH($L46,Tables!$C$246:$C$247,0))),
Error!$B$59,
IF(AND($H46="Zoning: Tree Points",$K46="Medium/Large",$L46&lt;&gt;"",ISNA(MATCH($L46,Tables!$C$249:$C$250,0))),
Error!$B$59,
IF(AND($H46="Zoning: Tree Points",$K46="Large",$L46&lt;&gt;"",ISNA(MATCH($L46,Tables!$C$252:$C$253,0))),
Error!$B$59,
IF(AND($F46="Retain",$H46="Zoning: Tree Points",$C46&lt;&gt;"",$D46&lt;&gt;"",OR($K46="",$L46="",$M46="")),
Error!$B$20,
""
)))))))))))))))))))))))))))))))))))))))))))))))))))))))),
Error!$B$23))</f>
        <v/>
      </c>
      <c r="O46" s="343" t="str" cm="1">
        <f t="array" aca="1" ref="O46" ca="1">IFERROR(_xlfn.LET(
    _xlpm.txt, $C46,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7" spans="1:15" ht="15" thickBot="1" x14ac:dyDescent="0.35">
      <c r="A47" s="311">
        <v>10</v>
      </c>
      <c r="B47" s="312"/>
      <c r="C47" s="313"/>
      <c r="D47" s="478"/>
      <c r="E47" s="314"/>
      <c r="F47" s="314"/>
      <c r="G47" s="315" t="str">
        <f>IF(Tree_Table1[[#This Row],[Tree Status  &amp;]]="Retain", Tables!$B$237, IF(Tree_Table1[[#This Row],[Tree Status  &amp;]]="Remove", Tables!$B$238, ""))</f>
        <v/>
      </c>
      <c r="H47" s="316"/>
      <c r="I47" s="317"/>
      <c r="J47" s="452"/>
      <c r="K47" s="318" t="str">
        <f>IFERROR(
    IF(
        AND($H47="Zoning: Tree Points", NOT(ISNUMBER(SEARCH("sp.", $C47)))),
        VLOOKUP($C47, 'Tree List'!$C$3:$F$601, 4, FALSE),
        ""
    ),
"")</f>
        <v/>
      </c>
      <c r="L47" s="319" t="str" cm="1">
        <f t="array" ref="L47">IFERROR(
IF(
    AND($H47="Zoning: Tree Points", NOT(ISNUMBER(SEARCH("sp.", $C47)))),
    _xlfn.IFS(
        (COUNTIFS('Tree List'!$C$3:$C$601,$C47,'Tree List'!$D$3:$D$601,"Coniferous")
        + COUNTIFS('Tree List'!$C$3:$C$601,$C47,'Tree List'!$D$3:$D$601,"Deciduous Conifer")) &gt; 0,
            _xlfn.IFS($K47="Small",0.5,$K47="Small/Medium",1,$K47="Medium/Large",1.4,$K47="Large",1.8),
        (COUNTIFS('Tree List'!$C$3:$C$601,$C47,'Tree List'!$D$3:$D$601,"Deciduous")
        + COUNTIFS('Tree List'!$C$3:$C$601,$C47,'Tree List'!$D$3:$D$601,"Broadleaf Evergreen")) &gt; 0,
            _xlfn.IFS($K47="Small",0.4,$K47="Small/Medium",0.8,$K47="Medium/Large",1.2,$K47="Large",1.6)
    ),
    ""
),
"")</f>
        <v/>
      </c>
      <c r="M47" s="474" t="str">
        <f t="shared" si="0"/>
        <v/>
      </c>
      <c r="N47" s="620" t="str" cm="1">
        <f t="array" aca="1" ref="N4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IF(AND(_xlpm.baseRow,ISNA(MATCH($C47,'Tree List'!$C$3:$C$601,0)),SUMPRODUCT(--ISNUMBER(SEARCH(Tables2!$C$677:$C$772,$O47)))&gt;0),
Error!$B$57,
IF(AND(_xlpm.hasDM,$F47="Remove",$H47&lt;&gt;"",OR($I47="On-site replacement",$I47="Off-site replacement",$I47="Payment In Lieu")),
Error!$B$56,
IF(AND(_xlpm.hasDM,$F47="Remove",$H47&lt;&gt;"",$I47="Relocation"),
Error!$B$66,
IF(AND(OR(_xlpm.hasCN,_xlpm.hasPH,_xlpm.hasGR),$H47&lt;&gt;"",COUNTIF(Tables!$B$132:$B$134,$H47)&gt;0,$I47="N/A (No replacement required)"),
Error!$B$62,
IF(AND(_xlpm.baseRow,$E47&lt;&gt;"",ISNA(MATCH($E47,Tables!$B$225:$B$232,0))),
Error!$B$2,
IF(AND(_xlpm.baseRow,$F47&lt;&gt;"",ISNA(MATCH($F47,Tables!$B$234:$B$235,0))),
Error!$B$24,
IF(AND(_xlpm.baseRow,_xlpm.ECA_H&gt;0,_xlpm.Shore_H&gt;0),
Error!$B$16,
IF(AND(_xlpm.baseRow,$E47&lt;&gt;"",$D47=""),
Error!$B$3,
IF(AND(_xlpm.baseRow,OR($E47="Tier 3",$E47="Tier 4"),$C47&lt;&gt;"",$D47&gt;=24,COUNTIF(Tables2!$B$166:$B$674,$C47)&gt;0),
Error!$B$44,
IF(AND(_xlpm.baseRow,OR($E47="Tier 3",$E47="Tier 4"),$C47&lt;&gt;"",$D47&lt;&gt;"",COUNTIF(Tables2!$B$73:$B$152,$C47)&gt;0,
$D47&gt;=IFERROR(INDEX(Tables2!$C$73:$C$152,MATCH($C47,Tables2!$B$73:$B$152,0)),-1)),
Error!$B$44,
IF(AND(_xlpm.baseRow,OR($E47="Tier 2",$E47="Tier 2 Grove"),$C47&lt;&gt;"",$D47&gt;=12,COUNTIF(Tables2!$B$153:$B$162,$C47)&gt;0),
Error!$B$45,
IF(AND(_xlpm.baseRow,$E47="Tier 2 Grove",$D47&lt;12),
Error!$B$41,
IF(AND(_xlpm.baseRow,$E47="Tier 2",$D47&lt;5.88),
Error!$B$40,
IF(AND(_xlpm.baseRow,OR($E47="Tier 2",$E47="Tier 2 Grove"),$C47&lt;&gt;"",$D47&lt;12,$D47&gt;=6,COUNTIF(Tables2!$B$153:$B$162,$C47)&gt;0),
Error!$B$54,
IF(AND(_xlpm.baseRow,$E47="Tier 2",COUNTIF(Tables2!$B$166:$B$674,$C47)&gt;0,$D47&lt;24),
Error!$B$54,
IF(AND(_xlpm.baseRow,$E47="Tier 3",ISNA(MATCH($C47,Tables2!$B$153:$B$162,0)),OR($D47&lt;12,$D47&gt;=24)),
Error!$B$9,
IF(AND(_xlpm.baseRow,$E47="Tier 3",COUNTIF(Tables2!$B$153:$B$162,$C47)&gt;0,$D47&lt;12),
Error!$B$46,
IF(AND(_xlpm.baseRow,$E47="Tier 4",OR($D47&lt;6,$D47&gt;=12)),
Error!$B$10,
IF(AND(_xlpm.baseRow,$E47="&lt;6in DSH for Tree Points",OR($D47&gt;=6,$D47="")),
Error!$B$8,
IF(AND(_xlpm.baseRow,$E47="Street Tree for Green Factor",$F47&lt;&gt;"",$F47&lt;&gt;"Retain"),
Error!$B$14,
IF(AND($E47="&lt;6in DSH for Tree Points",$F47="Retain",$H47&lt;&gt;"",ISNA(MATCH($H47,Tables!$B$174:$B$174,0))),
Error!$B$15,
IF(AND($E47="Street Tree for Green Factor",$F47="Retain",$H47&lt;&gt;"",$H47&lt;&gt;"Zoning: Green Factor"),
Error!$B$15,
IF(AND($E47="ECA / Shoreline Tree",$F47="Remove",$H47&lt;&gt;"",ISNA(MATCH($H47,Tables!$B$189:$B$190,0))),
Error!$B$15,
IF(AND($E47="ECA / Shoreline Tree",$F47="Retain",$H47&lt;&gt;"",ISNA(MATCH($H47,Tables!$B$184:$B$186,0))),
Error!$B$15,
IF(AND($E47="Tier 4",$F47="Remove",$H47&lt;&gt;"",ISNA(MATCH($H47,Tables!$B$171,0))),
Error!$B$15,
IF(AND($E47="Tier 4",$F47="Retain",$H47&lt;&gt;"",ISNA(MATCH($H47,Tables!$B$166:$B$168,0))),
Error!$B$15,
IF(AND($E47="Tier 3",$F47="Retain",$H47&lt;&gt;"",ISNA(MATCH($H47,Tables!$B$158:$B$160,0))),
Error!$B$15,
IF(AND($E47="Tier 3",$F47="Remove",$H47&lt;&gt;"",ISNA(MATCH($H47,Tables!$B$163,0))),
Error!$B$15,
IF(AND(OR($E47="Tier 2",$E47="Tier 2 Grove"),$F47="Remove",$H47&lt;&gt;"",ISNA(MATCH($H47,Tables!$B$153:$B$155,0))),
Error!$B$15,
IF(AND(OR($E47="Tier 2",$E47="Tier 2 Grove"),$F47="Retain",$H47&lt;&gt;"",ISNA(MATCH($H47,Tables!$B$147:$B$150,0))),
Error!$B$15,
IF(AND($E47="Tier 1",$F47="Remove",$H47&lt;&gt;"",ISNA(MATCH($H47,Tables!$B$143:$B$144,0))),
Error!$B$15,
IF(AND($E47="Tier 1",$F47="Retain",$H47&lt;&gt;"",ISNA(MATCH($H47,Tables!$B$137:$B$140,0))),
Error!$B$15,
IF(AND($E47&lt;&gt;"Tier 2",$E47&lt;&gt;"Tier 2 Grove",$E47&lt;&gt;"Tier 3",$E47&lt;&gt;"Tier 4",$H47="Zoning: Green Factor",OR($D47="",$D47&lt;6)),
Error!$B$11,
IF(AND(_xlpm.baseRow,$D47&lt;6,$E47="&lt;6in DSH for Tree Points",_xlpm.TreePoints_H=0),
Error!$B$21,
IF(AND(_xlpm.baseRow,$E47&lt;&gt;"",$D47&lt;&gt;"",$F47=""),
Error!$B$4,
IF(AND(_xlpm.baseRow,$F47="Remove",OR($E47="Tier 1",$E47="Tier 2",$E47="Tier 2 Grove"),COUNTBLANK(_xlpm.HRange)&lt;3,_xlpm.uniqueH&gt;=2),
Error!$B$48,
IF(AND(_xlpm.baseRow,$F47="Retain",OR($E47="Tier 1",$E47="Tier 2",$E47="Tier 2 Grove"),COUNTIF(_xlpm.HRange,"Tree Code: Required to Retain Tier 1-2 Tree")=0),
Error!$B$47,
IF(AND(_xlpm.baseRow,$E47&lt;&gt;"",$D47&lt;&gt;"",$F47&lt;&gt;"",COUNTBLANK(_xlpm.HRange)=4),
Error!$B$5,
IF(AND($F47="Remove",$H47&lt;&gt;"",$I47=""),
Error!$B$18,
IF(AND($E47="Tier 4",$F47="Remove",$H47="Tree Protection Code: Tier 3 or Tier 4 Allowance",$H47&lt;&gt;"",ISNA(MATCH($I47,Tables!$B$200,0))),
Error!$B$17,
IF(AND($E47="Tier 3",$F47="Remove",$H47&lt;&gt;"",$H47="Tree Protection Code: Tier 3 or Tier 4 Allowance",OR($I47="",ISNA(MATCH($I47,Tables!$B$193:$B$197,0)))),
Error!$B$17,
IF(AND(OR($E47="Tier 2",$E47="Tier 2 Grove"),$F47="Remove",$H47="Tree Protection Code: Other removal allowance or exemption",$I47&lt;&gt;"",ISNA(MATCH($I47,Tables!$B$215:$B$218,0))),
Error!$B$17,
IF(AND(OR($E47="Tier 2",$E47="Tier 2 Grove"),$F47="Remove",$H47="Tree Protection Code: Development Capacity",$I47&lt;&gt;"",ISNA(MATCH($I47,Tables!$B$193:$B$197,0))),
Error!$B$17,
IF(AND(OR($E47="Tier 2",$E47="Tier 2 Grove"),$F47="Remove",$H47="Tree Protection Code: Necessary for Construction",$I47&lt;&gt;"",ISNA(MATCH($I47,Tables!$B$193:$B$197,0))),
Error!$B$17,
IF(AND($E47="Tier 1",$F47="Remove",$H47="Tree Protection Code: Special Exception",$I47&lt;&gt;"",ISNA(MATCH($I47,Tables!$B$215:$B$218,0))),
Error!$B$17,
IF(AND($E47="Tier 1",$F47="Remove",$H47="Tree Protection Code: Other removal allowance or exemption",$I47&lt;&gt;"",ISNA(MATCH($I47,Tables!$B$215:$B$218,0))),
Error!$B$17,
IF(AND($E47="ECA / Shoreline Tree",$F47="Remove",$H47&lt;&gt;"",OR($H47="Shoreline",$H47="Environmental Critical Area (ECA)"),ISNA(MATCH($I47,Tables!$B$209:$B$212,0))),
Error!$B$17,
IF(AND(_xlpm.baseRow,$F47="Retain",$E47="ECA / Shoreline Tree",_xlpm.ECA_Short=0),
Error!$B$61,
IF(AND($F47="Remove",ISNUMBER(MATCH($E47,{"Tier 1","Tier 2","Tier 3","Tier 4","Tier 2 Grove"},0)),ISNUMBER(MATCH($I47,{"On-site replacement","Off-site replacement"},0)),$J47="",$H47&lt;&gt;""),
Error!$B$19,
IF(AND(_xlpm.baseRow,$E47&lt;&gt;"",$D47&lt;&gt;"",$F47&lt;&gt;"",COUNTBLANK($B47:$C47)&gt;0,COUNTBLANK(_xlpm.HRange)&lt;&gt;4),
Error!$B$22,
IF(AND($H47="Zoning: Tree Points",$K47&lt;&gt;"",ISNA(MATCH($K47,Tables!$B$242:$B$253,0))),
Error!$B$58,
IF(AND($H47="Zoning: Tree Points",$K47="Small",$L47&lt;&gt;"",ISNA(MATCH($L47,Tables!$C$243:$C$244,0))),
Error!$B$59,
IF(AND($H47="Zoning: Tree Points",$K47="Small/Medium",$L47&lt;&gt;"",ISNA(MATCH($L47,Tables!$C$246:$C$247,0))),
Error!$B$59,
IF(AND($H47="Zoning: Tree Points",$K47="Medium/Large",$L47&lt;&gt;"",ISNA(MATCH($L47,Tables!$C$249:$C$250,0))),
Error!$B$59,
IF(AND($H47="Zoning: Tree Points",$K47="Large",$L47&lt;&gt;"",ISNA(MATCH($L47,Tables!$C$252:$C$253,0))),
Error!$B$59,
IF(AND($F47="Retain",$H47="Zoning: Tree Points",$C47&lt;&gt;"",$D47&lt;&gt;"",OR($K47="",$L47="",$M47="")),
Error!$B$20,
""
)))))))))))))))))))))))))))))))))))))))))))))))))))))))),
Error!$B$23))</f>
        <v/>
      </c>
      <c r="O47" s="343" t="str" cm="1">
        <f t="array" aca="1" ref="O47" ca="1">IFERROR(_xlfn.LET(
    _xlpm.txt, $C47,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8" spans="1:15" x14ac:dyDescent="0.3">
      <c r="A48" s="320"/>
      <c r="B48" s="616" t="str">
        <f t="shared" ref="B48:B50" si="14">IF($B47="", "", $B47)</f>
        <v/>
      </c>
      <c r="C48" s="617" t="str">
        <f>IF($C47="", "", $C47)</f>
        <v/>
      </c>
      <c r="D48" s="618" t="str">
        <f t="shared" ref="D48:D50" si="15">IF($D47="", "", $D47)</f>
        <v/>
      </c>
      <c r="E48" s="616" t="str">
        <f>IF($E47="", "", $E47)</f>
        <v/>
      </c>
      <c r="F48" s="616" t="str">
        <f>IF($F47="", "", $F47)</f>
        <v/>
      </c>
      <c r="G48" s="619" t="str">
        <f>IF(Tree_Table1[[#This Row],[Tree Status  &amp;]]="Retain", Tables!$B$237, IF(Tree_Table1[[#This Row],[Tree Status  &amp;]]="Remove", Tables!$B$238, ""))</f>
        <v/>
      </c>
      <c r="H48" s="321"/>
      <c r="I48" s="322"/>
      <c r="J48" s="453"/>
      <c r="K48" s="323" t="str">
        <f>IFERROR(
    IF(
        AND($H48="Zoning: Tree Points", NOT(ISNUMBER(SEARCH("sp.", $C48)))),
        VLOOKUP($C48, 'Tree List'!$C$3:$F$601, 4, FALSE),
        ""
    ),
"")</f>
        <v/>
      </c>
      <c r="L48" s="324" t="str" cm="1">
        <f t="array" ref="L48">IFERROR(
IF(
    AND($H48="Zoning: Tree Points", NOT(ISNUMBER(SEARCH("sp.", $C48)))),
    _xlfn.IFS(
        (COUNTIFS('Tree List'!$C$3:$C$601,$C48,'Tree List'!$D$3:$D$601,"Coniferous")
        + COUNTIFS('Tree List'!$C$3:$C$601,$C48,'Tree List'!$D$3:$D$601,"Deciduous Conifer")) &gt; 0,
            _xlfn.IFS($K48="Small",0.5,$K48="Small/Medium",1,$K48="Medium/Large",1.4,$K48="Large",1.8),
        (COUNTIFS('Tree List'!$C$3:$C$601,$C48,'Tree List'!$D$3:$D$601,"Deciduous")
        + COUNTIFS('Tree List'!$C$3:$C$601,$C48,'Tree List'!$D$3:$D$601,"Broadleaf Evergreen")) &gt; 0,
            _xlfn.IFS($K48="Small",0.4,$K48="Small/Medium",0.8,$K48="Medium/Large",1.2,$K48="Large",1.6)
    ),
    ""
),
"")</f>
        <v/>
      </c>
      <c r="M48" s="475" t="str">
        <f t="shared" si="0"/>
        <v/>
      </c>
      <c r="N48" s="346" t="str" cm="1">
        <f t="array" aca="1" ref="N4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IF(AND(_xlpm.baseRow,ISNA(MATCH($C48,'Tree List'!$C$3:$C$601,0)),SUMPRODUCT(--ISNUMBER(SEARCH(Tables2!$C$677:$C$772,$O48)))&gt;0),
Error!$B$57,
IF(AND(_xlpm.hasDM,$F48="Remove",$H48&lt;&gt;"",OR($I48="On-site replacement",$I48="Off-site replacement",$I48="Payment In Lieu")),
Error!$B$56,
IF(AND(_xlpm.hasDM,$F48="Remove",$H48&lt;&gt;"",$I48="Relocation"),
Error!$B$66,
IF(AND(OR(_xlpm.hasCN,_xlpm.hasPH,_xlpm.hasGR),$H48&lt;&gt;"",COUNTIF(Tables!$B$132:$B$134,$H48)&gt;0,$I48="N/A (No replacement required)"),
Error!$B$62,
IF(AND(_xlpm.baseRow,$E48&lt;&gt;"",ISNA(MATCH($E48,Tables!$B$225:$B$232,0))),
Error!$B$2,
IF(AND(_xlpm.baseRow,$F48&lt;&gt;"",ISNA(MATCH($F48,Tables!$B$234:$B$235,0))),
Error!$B$24,
IF(AND(_xlpm.baseRow,_xlpm.ECA_H&gt;0,_xlpm.Shore_H&gt;0),
Error!$B$16,
IF(AND(_xlpm.baseRow,$E48&lt;&gt;"",$D48=""),
Error!$B$3,
IF(AND(_xlpm.baseRow,OR($E48="Tier 3",$E48="Tier 4"),$C48&lt;&gt;"",$D48&gt;=24,COUNTIF(Tables2!$B$166:$B$674,$C48)&gt;0),
Error!$B$44,
IF(AND(_xlpm.baseRow,OR($E48="Tier 3",$E48="Tier 4"),$C48&lt;&gt;"",$D48&lt;&gt;"",COUNTIF(Tables2!$B$73:$B$152,$C48)&gt;0,
$D48&gt;=IFERROR(INDEX(Tables2!$C$73:$C$152,MATCH($C48,Tables2!$B$73:$B$152,0)),-1)),
Error!$B$44,
IF(AND(_xlpm.baseRow,OR($E48="Tier 2",$E48="Tier 2 Grove"),$C48&lt;&gt;"",$D48&gt;=12,COUNTIF(Tables2!$B$153:$B$162,$C48)&gt;0),
Error!$B$45,
IF(AND(_xlpm.baseRow,$E48="Tier 2 Grove",$D48&lt;12),
Error!$B$41,
IF(AND(_xlpm.baseRow,$E48="Tier 2",$D48&lt;5.88),
Error!$B$40,
IF(AND(_xlpm.baseRow,OR($E48="Tier 2",$E48="Tier 2 Grove"),$C48&lt;&gt;"",$D48&lt;12,$D48&gt;=6,COUNTIF(Tables2!$B$153:$B$162,$C48)&gt;0),
Error!$B$54,
IF(AND(_xlpm.baseRow,$E48="Tier 2",COUNTIF(Tables2!$B$166:$B$674,$C48)&gt;0,$D48&lt;24),
Error!$B$54,
IF(AND(_xlpm.baseRow,$E48="Tier 3",ISNA(MATCH($C48,Tables2!$B$153:$B$162,0)),OR($D48&lt;12,$D48&gt;=24)),
Error!$B$9,
IF(AND(_xlpm.baseRow,$E48="Tier 3",COUNTIF(Tables2!$B$153:$B$162,$C48)&gt;0,$D48&lt;12),
Error!$B$46,
IF(AND(_xlpm.baseRow,$E48="Tier 4",OR($D48&lt;6,$D48&gt;=12)),
Error!$B$10,
IF(AND(_xlpm.baseRow,$E48="&lt;6in DSH for Tree Points",OR($D48&gt;=6,$D48="")),
Error!$B$8,
IF(AND(_xlpm.baseRow,$E48="Street Tree for Green Factor",$F48&lt;&gt;"",$F48&lt;&gt;"Retain"),
Error!$B$14,
IF(AND($E48="&lt;6in DSH for Tree Points",$F48="Retain",$H48&lt;&gt;"",ISNA(MATCH($H48,Tables!$B$174:$B$174,0))),
Error!$B$15,
IF(AND($E48="Street Tree for Green Factor",$F48="Retain",$H48&lt;&gt;"",$H48&lt;&gt;"Zoning: Green Factor"),
Error!$B$15,
IF(AND($E48="ECA / Shoreline Tree",$F48="Remove",$H48&lt;&gt;"",ISNA(MATCH($H48,Tables!$B$189:$B$190,0))),
Error!$B$15,
IF(AND($E48="ECA / Shoreline Tree",$F48="Retain",$H48&lt;&gt;"",ISNA(MATCH($H48,Tables!$B$184:$B$186,0))),
Error!$B$15,
IF(AND($E48="Tier 4",$F48="Remove",$H48&lt;&gt;"",ISNA(MATCH($H48,Tables!$B$171,0))),
Error!$B$15,
IF(AND($E48="Tier 4",$F48="Retain",$H48&lt;&gt;"",ISNA(MATCH($H48,Tables!$B$166:$B$168,0))),
Error!$B$15,
IF(AND($E48="Tier 3",$F48="Retain",$H48&lt;&gt;"",ISNA(MATCH($H48,Tables!$B$158:$B$160,0))),
Error!$B$15,
IF(AND($E48="Tier 3",$F48="Remove",$H48&lt;&gt;"",ISNA(MATCH($H48,Tables!$B$163,0))),
Error!$B$15,
IF(AND(OR($E48="Tier 2",$E48="Tier 2 Grove"),$F48="Remove",$H48&lt;&gt;"",ISNA(MATCH($H48,Tables!$B$153:$B$155,0))),
Error!$B$15,
IF(AND(OR($E48="Tier 2",$E48="Tier 2 Grove"),$F48="Retain",$H48&lt;&gt;"",ISNA(MATCH($H48,Tables!$B$147:$B$150,0))),
Error!$B$15,
IF(AND($E48="Tier 1",$F48="Remove",$H48&lt;&gt;"",ISNA(MATCH($H48,Tables!$B$143:$B$144,0))),
Error!$B$15,
IF(AND($E48="Tier 1",$F48="Retain",$H48&lt;&gt;"",ISNA(MATCH($H48,Tables!$B$137:$B$140,0))),
Error!$B$15,
IF(AND($E48&lt;&gt;"Tier 2",$E48&lt;&gt;"Tier 2 Grove",$E48&lt;&gt;"Tier 3",$E48&lt;&gt;"Tier 4",$H48="Zoning: Green Factor",OR($D48="",$D48&lt;6)),
Error!$B$11,
IF(AND(_xlpm.baseRow,$D48&lt;6,$E48="&lt;6in DSH for Tree Points",_xlpm.TreePoints_H=0),
Error!$B$21,
IF(AND(_xlpm.baseRow,$E48&lt;&gt;"",$D48&lt;&gt;"",$F48=""),
Error!$B$4,
IF(AND(_xlpm.baseRow,$F48="Remove",OR($E48="Tier 1",$E48="Tier 2",$E48="Tier 2 Grove"),COUNTBLANK(_xlpm.HRange)&lt;3,_xlpm.uniqueH&gt;=2),
Error!$B$48,
IF(AND(_xlpm.baseRow,$F48="Retain",OR($E48="Tier 1",$E48="Tier 2",$E48="Tier 2 Grove"),COUNTIF(_xlpm.HRange,"Tree Code: Required to Retain Tier 1-2 Tree")=0),
Error!$B$47,
IF(AND(_xlpm.baseRow,$E48&lt;&gt;"",$D48&lt;&gt;"",$F48&lt;&gt;"",COUNTBLANK(_xlpm.HRange)=4),
Error!$B$5,
IF(AND($F48="Remove",$H48&lt;&gt;"",$I48=""),
Error!$B$18,
IF(AND($E48="Tier 4",$F48="Remove",$H48="Tree Protection Code: Tier 3 or Tier 4 Allowance",$H48&lt;&gt;"",ISNA(MATCH($I48,Tables!$B$200,0))),
Error!$B$17,
IF(AND($E48="Tier 3",$F48="Remove",$H48&lt;&gt;"",$H48="Tree Protection Code: Tier 3 or Tier 4 Allowance",OR($I48="",ISNA(MATCH($I48,Tables!$B$193:$B$197,0)))),
Error!$B$17,
IF(AND(OR($E48="Tier 2",$E48="Tier 2 Grove"),$F48="Remove",$H48="Tree Protection Code: Other removal allowance or exemption",$I48&lt;&gt;"",ISNA(MATCH($I48,Tables!$B$215:$B$218,0))),
Error!$B$17,
IF(AND(OR($E48="Tier 2",$E48="Tier 2 Grove"),$F48="Remove",$H48="Tree Protection Code: Development Capacity",$I48&lt;&gt;"",ISNA(MATCH($I48,Tables!$B$193:$B$197,0))),
Error!$B$17,
IF(AND(OR($E48="Tier 2",$E48="Tier 2 Grove"),$F48="Remove",$H48="Tree Protection Code: Necessary for Construction",$I48&lt;&gt;"",ISNA(MATCH($I48,Tables!$B$193:$B$197,0))),
Error!$B$17,
IF(AND($E48="Tier 1",$F48="Remove",$H48="Tree Protection Code: Special Exception",$I48&lt;&gt;"",ISNA(MATCH($I48,Tables!$B$215:$B$218,0))),
Error!$B$17,
IF(AND($E48="Tier 1",$F48="Remove",$H48="Tree Protection Code: Other removal allowance or exemption",$I48&lt;&gt;"",ISNA(MATCH($I48,Tables!$B$215:$B$218,0))),
Error!$B$17,
IF(AND($E48="ECA / Shoreline Tree",$F48="Remove",$H48&lt;&gt;"",OR($H48="Shoreline",$H48="Environmental Critical Area (ECA)"),ISNA(MATCH($I48,Tables!$B$209:$B$212,0))),
Error!$B$17,
IF(AND(_xlpm.baseRow,$F48="Retain",$E48="ECA / Shoreline Tree",_xlpm.ECA_Short=0),
Error!$B$61,
IF(AND($F48="Remove",ISNUMBER(MATCH($E48,{"Tier 1","Tier 2","Tier 3","Tier 4","Tier 2 Grove"},0)),ISNUMBER(MATCH($I48,{"On-site replacement","Off-site replacement"},0)),$J48="",$H48&lt;&gt;""),
Error!$B$19,
IF(AND(_xlpm.baseRow,$E48&lt;&gt;"",$D48&lt;&gt;"",$F48&lt;&gt;"",COUNTBLANK($B48:$C48)&gt;0,COUNTBLANK(_xlpm.HRange)&lt;&gt;4),
Error!$B$22,
IF(AND($H48="Zoning: Tree Points",$K48&lt;&gt;"",ISNA(MATCH($K48,Tables!$B$242:$B$253,0))),
Error!$B$58,
IF(AND($H48="Zoning: Tree Points",$K48="Small",$L48&lt;&gt;"",ISNA(MATCH($L48,Tables!$C$243:$C$244,0))),
Error!$B$59,
IF(AND($H48="Zoning: Tree Points",$K48="Small/Medium",$L48&lt;&gt;"",ISNA(MATCH($L48,Tables!$C$246:$C$247,0))),
Error!$B$59,
IF(AND($H48="Zoning: Tree Points",$K48="Medium/Large",$L48&lt;&gt;"",ISNA(MATCH($L48,Tables!$C$249:$C$250,0))),
Error!$B$59,
IF(AND($H48="Zoning: Tree Points",$K48="Large",$L48&lt;&gt;"",ISNA(MATCH($L48,Tables!$C$252:$C$253,0))),
Error!$B$59,
IF(AND($F48="Retain",$H48="Zoning: Tree Points",$C48&lt;&gt;"",$D48&lt;&gt;"",OR($K48="",$L48="",$M48="")),
Error!$B$20,
""
)))))))))))))))))))))))))))))))))))))))))))))))))))))))),
Error!$B$23))</f>
        <v/>
      </c>
      <c r="O48" s="343" t="str" cm="1">
        <f t="array" aca="1" ref="O48" ca="1">IFERROR(_xlfn.LET(
    _xlpm.txt, $C48,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9" spans="1:15" x14ac:dyDescent="0.3">
      <c r="A49" s="320"/>
      <c r="B49" s="616" t="str">
        <f t="shared" si="14"/>
        <v/>
      </c>
      <c r="C49" s="617" t="str">
        <f>IF($C48="", "", $C48)</f>
        <v/>
      </c>
      <c r="D49" s="618" t="str">
        <f t="shared" si="15"/>
        <v/>
      </c>
      <c r="E49" s="616" t="str">
        <f>IF($E48="", "", $E48)</f>
        <v/>
      </c>
      <c r="F49" s="616" t="str">
        <f>IF($F48="", "", $F48)</f>
        <v/>
      </c>
      <c r="G49" s="619" t="str">
        <f>IF(Tree_Table1[[#This Row],[Tree Status  &amp;]]="Retain", Tables!$B$237, IF(Tree_Table1[[#This Row],[Tree Status  &amp;]]="Remove", Tables!$B$238, ""))</f>
        <v/>
      </c>
      <c r="H49" s="321"/>
      <c r="I49" s="322"/>
      <c r="J49" s="453"/>
      <c r="K49" s="323" t="str">
        <f>IFERROR(
    IF(
        AND($H49="Zoning: Tree Points", NOT(ISNUMBER(SEARCH("sp.", $C49)))),
        VLOOKUP($C49, 'Tree List'!$C$3:$F$601, 4, FALSE),
        ""
    ),
"")</f>
        <v/>
      </c>
      <c r="L49" s="324" t="str" cm="1">
        <f t="array" ref="L49">IFERROR(
IF(
    AND($H49="Zoning: Tree Points", NOT(ISNUMBER(SEARCH("sp.", $C49)))),
    _xlfn.IFS(
        (COUNTIFS('Tree List'!$C$3:$C$601,$C49,'Tree List'!$D$3:$D$601,"Coniferous")
        + COUNTIFS('Tree List'!$C$3:$C$601,$C49,'Tree List'!$D$3:$D$601,"Deciduous Conifer")) &gt; 0,
            _xlfn.IFS($K49="Small",0.5,$K49="Small/Medium",1,$K49="Medium/Large",1.4,$K49="Large",1.8),
        (COUNTIFS('Tree List'!$C$3:$C$601,$C49,'Tree List'!$D$3:$D$601,"Deciduous")
        + COUNTIFS('Tree List'!$C$3:$C$601,$C49,'Tree List'!$D$3:$D$601,"Broadleaf Evergreen")) &gt; 0,
            _xlfn.IFS($K49="Small",0.4,$K49="Small/Medium",0.8,$K49="Medium/Large",1.2,$K49="Large",1.6)
    ),
    ""
),
"")</f>
        <v/>
      </c>
      <c r="M49" s="475" t="str">
        <f t="shared" si="0"/>
        <v/>
      </c>
      <c r="N49" s="346" t="str" cm="1">
        <f t="array" aca="1" ref="N4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IF(AND(_xlpm.baseRow,ISNA(MATCH($C49,'Tree List'!$C$3:$C$601,0)),SUMPRODUCT(--ISNUMBER(SEARCH(Tables2!$C$677:$C$772,$O49)))&gt;0),
Error!$B$57,
IF(AND(_xlpm.hasDM,$F49="Remove",$H49&lt;&gt;"",OR($I49="On-site replacement",$I49="Off-site replacement",$I49="Payment In Lieu")),
Error!$B$56,
IF(AND(_xlpm.hasDM,$F49="Remove",$H49&lt;&gt;"",$I49="Relocation"),
Error!$B$66,
IF(AND(OR(_xlpm.hasCN,_xlpm.hasPH,_xlpm.hasGR),$H49&lt;&gt;"",COUNTIF(Tables!$B$132:$B$134,$H49)&gt;0,$I49="N/A (No replacement required)"),
Error!$B$62,
IF(AND(_xlpm.baseRow,$E49&lt;&gt;"",ISNA(MATCH($E49,Tables!$B$225:$B$232,0))),
Error!$B$2,
IF(AND(_xlpm.baseRow,$F49&lt;&gt;"",ISNA(MATCH($F49,Tables!$B$234:$B$235,0))),
Error!$B$24,
IF(AND(_xlpm.baseRow,_xlpm.ECA_H&gt;0,_xlpm.Shore_H&gt;0),
Error!$B$16,
IF(AND(_xlpm.baseRow,$E49&lt;&gt;"",$D49=""),
Error!$B$3,
IF(AND(_xlpm.baseRow,OR($E49="Tier 3",$E49="Tier 4"),$C49&lt;&gt;"",$D49&gt;=24,COUNTIF(Tables2!$B$166:$B$674,$C49)&gt;0),
Error!$B$44,
IF(AND(_xlpm.baseRow,OR($E49="Tier 3",$E49="Tier 4"),$C49&lt;&gt;"",$D49&lt;&gt;"",COUNTIF(Tables2!$B$73:$B$152,$C49)&gt;0,
$D49&gt;=IFERROR(INDEX(Tables2!$C$73:$C$152,MATCH($C49,Tables2!$B$73:$B$152,0)),-1)),
Error!$B$44,
IF(AND(_xlpm.baseRow,OR($E49="Tier 2",$E49="Tier 2 Grove"),$C49&lt;&gt;"",$D49&gt;=12,COUNTIF(Tables2!$B$153:$B$162,$C49)&gt;0),
Error!$B$45,
IF(AND(_xlpm.baseRow,$E49="Tier 2 Grove",$D49&lt;12),
Error!$B$41,
IF(AND(_xlpm.baseRow,$E49="Tier 2",$D49&lt;5.88),
Error!$B$40,
IF(AND(_xlpm.baseRow,OR($E49="Tier 2",$E49="Tier 2 Grove"),$C49&lt;&gt;"",$D49&lt;12,$D49&gt;=6,COUNTIF(Tables2!$B$153:$B$162,$C49)&gt;0),
Error!$B$54,
IF(AND(_xlpm.baseRow,$E49="Tier 2",COUNTIF(Tables2!$B$166:$B$674,$C49)&gt;0,$D49&lt;24),
Error!$B$54,
IF(AND(_xlpm.baseRow,$E49="Tier 3",ISNA(MATCH($C49,Tables2!$B$153:$B$162,0)),OR($D49&lt;12,$D49&gt;=24)),
Error!$B$9,
IF(AND(_xlpm.baseRow,$E49="Tier 3",COUNTIF(Tables2!$B$153:$B$162,$C49)&gt;0,$D49&lt;12),
Error!$B$46,
IF(AND(_xlpm.baseRow,$E49="Tier 4",OR($D49&lt;6,$D49&gt;=12)),
Error!$B$10,
IF(AND(_xlpm.baseRow,$E49="&lt;6in DSH for Tree Points",OR($D49&gt;=6,$D49="")),
Error!$B$8,
IF(AND(_xlpm.baseRow,$E49="Street Tree for Green Factor",$F49&lt;&gt;"",$F49&lt;&gt;"Retain"),
Error!$B$14,
IF(AND($E49="&lt;6in DSH for Tree Points",$F49="Retain",$H49&lt;&gt;"",ISNA(MATCH($H49,Tables!$B$174:$B$174,0))),
Error!$B$15,
IF(AND($E49="Street Tree for Green Factor",$F49="Retain",$H49&lt;&gt;"",$H49&lt;&gt;"Zoning: Green Factor"),
Error!$B$15,
IF(AND($E49="ECA / Shoreline Tree",$F49="Remove",$H49&lt;&gt;"",ISNA(MATCH($H49,Tables!$B$189:$B$190,0))),
Error!$B$15,
IF(AND($E49="ECA / Shoreline Tree",$F49="Retain",$H49&lt;&gt;"",ISNA(MATCH($H49,Tables!$B$184:$B$186,0))),
Error!$B$15,
IF(AND($E49="Tier 4",$F49="Remove",$H49&lt;&gt;"",ISNA(MATCH($H49,Tables!$B$171,0))),
Error!$B$15,
IF(AND($E49="Tier 4",$F49="Retain",$H49&lt;&gt;"",ISNA(MATCH($H49,Tables!$B$166:$B$168,0))),
Error!$B$15,
IF(AND($E49="Tier 3",$F49="Retain",$H49&lt;&gt;"",ISNA(MATCH($H49,Tables!$B$158:$B$160,0))),
Error!$B$15,
IF(AND($E49="Tier 3",$F49="Remove",$H49&lt;&gt;"",ISNA(MATCH($H49,Tables!$B$163,0))),
Error!$B$15,
IF(AND(OR($E49="Tier 2",$E49="Tier 2 Grove"),$F49="Remove",$H49&lt;&gt;"",ISNA(MATCH($H49,Tables!$B$153:$B$155,0))),
Error!$B$15,
IF(AND(OR($E49="Tier 2",$E49="Tier 2 Grove"),$F49="Retain",$H49&lt;&gt;"",ISNA(MATCH($H49,Tables!$B$147:$B$150,0))),
Error!$B$15,
IF(AND($E49="Tier 1",$F49="Remove",$H49&lt;&gt;"",ISNA(MATCH($H49,Tables!$B$143:$B$144,0))),
Error!$B$15,
IF(AND($E49="Tier 1",$F49="Retain",$H49&lt;&gt;"",ISNA(MATCH($H49,Tables!$B$137:$B$140,0))),
Error!$B$15,
IF(AND($E49&lt;&gt;"Tier 2",$E49&lt;&gt;"Tier 2 Grove",$E49&lt;&gt;"Tier 3",$E49&lt;&gt;"Tier 4",$H49="Zoning: Green Factor",OR($D49="",$D49&lt;6)),
Error!$B$11,
IF(AND(_xlpm.baseRow,$D49&lt;6,$E49="&lt;6in DSH for Tree Points",_xlpm.TreePoints_H=0),
Error!$B$21,
IF(AND(_xlpm.baseRow,$E49&lt;&gt;"",$D49&lt;&gt;"",$F49=""),
Error!$B$4,
IF(AND(_xlpm.baseRow,$F49="Remove",OR($E49="Tier 1",$E49="Tier 2",$E49="Tier 2 Grove"),COUNTBLANK(_xlpm.HRange)&lt;3,_xlpm.uniqueH&gt;=2),
Error!$B$48,
IF(AND(_xlpm.baseRow,$F49="Retain",OR($E49="Tier 1",$E49="Tier 2",$E49="Tier 2 Grove"),COUNTIF(_xlpm.HRange,"Tree Code: Required to Retain Tier 1-2 Tree")=0),
Error!$B$47,
IF(AND(_xlpm.baseRow,$E49&lt;&gt;"",$D49&lt;&gt;"",$F49&lt;&gt;"",COUNTBLANK(_xlpm.HRange)=4),
Error!$B$5,
IF(AND($F49="Remove",$H49&lt;&gt;"",$I49=""),
Error!$B$18,
IF(AND($E49="Tier 4",$F49="Remove",$H49="Tree Protection Code: Tier 3 or Tier 4 Allowance",$H49&lt;&gt;"",ISNA(MATCH($I49,Tables!$B$200,0))),
Error!$B$17,
IF(AND($E49="Tier 3",$F49="Remove",$H49&lt;&gt;"",$H49="Tree Protection Code: Tier 3 or Tier 4 Allowance",OR($I49="",ISNA(MATCH($I49,Tables!$B$193:$B$197,0)))),
Error!$B$17,
IF(AND(OR($E49="Tier 2",$E49="Tier 2 Grove"),$F49="Remove",$H49="Tree Protection Code: Other removal allowance or exemption",$I49&lt;&gt;"",ISNA(MATCH($I49,Tables!$B$215:$B$218,0))),
Error!$B$17,
IF(AND(OR($E49="Tier 2",$E49="Tier 2 Grove"),$F49="Remove",$H49="Tree Protection Code: Development Capacity",$I49&lt;&gt;"",ISNA(MATCH($I49,Tables!$B$193:$B$197,0))),
Error!$B$17,
IF(AND(OR($E49="Tier 2",$E49="Tier 2 Grove"),$F49="Remove",$H49="Tree Protection Code: Necessary for Construction",$I49&lt;&gt;"",ISNA(MATCH($I49,Tables!$B$193:$B$197,0))),
Error!$B$17,
IF(AND($E49="Tier 1",$F49="Remove",$H49="Tree Protection Code: Special Exception",$I49&lt;&gt;"",ISNA(MATCH($I49,Tables!$B$215:$B$218,0))),
Error!$B$17,
IF(AND($E49="Tier 1",$F49="Remove",$H49="Tree Protection Code: Other removal allowance or exemption",$I49&lt;&gt;"",ISNA(MATCH($I49,Tables!$B$215:$B$218,0))),
Error!$B$17,
IF(AND($E49="ECA / Shoreline Tree",$F49="Remove",$H49&lt;&gt;"",OR($H49="Shoreline",$H49="Environmental Critical Area (ECA)"),ISNA(MATCH($I49,Tables!$B$209:$B$212,0))),
Error!$B$17,
IF(AND(_xlpm.baseRow,$F49="Retain",$E49="ECA / Shoreline Tree",_xlpm.ECA_Short=0),
Error!$B$61,
IF(AND($F49="Remove",ISNUMBER(MATCH($E49,{"Tier 1","Tier 2","Tier 3","Tier 4","Tier 2 Grove"},0)),ISNUMBER(MATCH($I49,{"On-site replacement","Off-site replacement"},0)),$J49="",$H49&lt;&gt;""),
Error!$B$19,
IF(AND(_xlpm.baseRow,$E49&lt;&gt;"",$D49&lt;&gt;"",$F49&lt;&gt;"",COUNTBLANK($B49:$C49)&gt;0,COUNTBLANK(_xlpm.HRange)&lt;&gt;4),
Error!$B$22,
IF(AND($H49="Zoning: Tree Points",$K49&lt;&gt;"",ISNA(MATCH($K49,Tables!$B$242:$B$253,0))),
Error!$B$58,
IF(AND($H49="Zoning: Tree Points",$K49="Small",$L49&lt;&gt;"",ISNA(MATCH($L49,Tables!$C$243:$C$244,0))),
Error!$B$59,
IF(AND($H49="Zoning: Tree Points",$K49="Small/Medium",$L49&lt;&gt;"",ISNA(MATCH($L49,Tables!$C$246:$C$247,0))),
Error!$B$59,
IF(AND($H49="Zoning: Tree Points",$K49="Medium/Large",$L49&lt;&gt;"",ISNA(MATCH($L49,Tables!$C$249:$C$250,0))),
Error!$B$59,
IF(AND($H49="Zoning: Tree Points",$K49="Large",$L49&lt;&gt;"",ISNA(MATCH($L49,Tables!$C$252:$C$253,0))),
Error!$B$59,
IF(AND($F49="Retain",$H49="Zoning: Tree Points",$C49&lt;&gt;"",$D49&lt;&gt;"",OR($K49="",$L49="",$M49="")),
Error!$B$20,
""
)))))))))))))))))))))))))))))))))))))))))))))))))))))))),
Error!$B$23))</f>
        <v/>
      </c>
      <c r="O49" s="343" t="str" cm="1">
        <f t="array" aca="1" ref="O49" ca="1">IFERROR(_xlfn.LET(
    _xlpm.txt, $C49,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0" spans="1:15" ht="15" thickBot="1" x14ac:dyDescent="0.35">
      <c r="A50" s="331"/>
      <c r="B50" s="616" t="str">
        <f t="shared" si="14"/>
        <v/>
      </c>
      <c r="C50" s="617" t="str">
        <f>IF($C49="", "", $C49)</f>
        <v/>
      </c>
      <c r="D50" s="618" t="str">
        <f t="shared" si="15"/>
        <v/>
      </c>
      <c r="E50" s="616" t="str">
        <f>IF($E49="", "", $E49)</f>
        <v/>
      </c>
      <c r="F50" s="616" t="str">
        <f>IF($F49="", "", $F49)</f>
        <v/>
      </c>
      <c r="G50" s="619" t="str">
        <f>IF(Tree_Table1[[#This Row],[Tree Status  &amp;]]="Retain", Tables!$B$237, IF(Tree_Table1[[#This Row],[Tree Status  &amp;]]="Remove", Tables!$B$238, ""))</f>
        <v/>
      </c>
      <c r="H50" s="329"/>
      <c r="I50" s="330"/>
      <c r="J50" s="455"/>
      <c r="K50" s="327" t="str">
        <f>IFERROR(
    IF(
        AND($H50="Zoning: Tree Points", NOT(ISNUMBER(SEARCH("sp.", $C50)))),
        VLOOKUP($C50, 'Tree List'!$C$3:$F$601, 4, FALSE),
        ""
    ),
"")</f>
        <v/>
      </c>
      <c r="L50" s="328" t="str" cm="1">
        <f t="array" ref="L50">IFERROR(
IF(
    AND($H50="Zoning: Tree Points", NOT(ISNUMBER(SEARCH("sp.", $C50)))),
    _xlfn.IFS(
        (COUNTIFS('Tree List'!$C$3:$C$601,$C50,'Tree List'!$D$3:$D$601,"Coniferous")
        + COUNTIFS('Tree List'!$C$3:$C$601,$C50,'Tree List'!$D$3:$D$601,"Deciduous Conifer")) &gt; 0,
            _xlfn.IFS($K50="Small",0.5,$K50="Small/Medium",1,$K50="Medium/Large",1.4,$K50="Large",1.8),
        (COUNTIFS('Tree List'!$C$3:$C$601,$C50,'Tree List'!$D$3:$D$601,"Deciduous")
        + COUNTIFS('Tree List'!$C$3:$C$601,$C50,'Tree List'!$D$3:$D$601,"Broadleaf Evergreen")) &gt; 0,
            _xlfn.IFS($K50="Small",0.4,$K50="Small/Medium",0.8,$K50="Medium/Large",1.2,$K50="Large",1.6)
    ),
    ""
),
"")</f>
        <v/>
      </c>
      <c r="M50" s="476" t="str">
        <f t="shared" si="0"/>
        <v/>
      </c>
      <c r="N50" s="347" t="str" cm="1">
        <f t="array" aca="1" ref="N5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IF(AND(_xlpm.baseRow,ISNA(MATCH($C50,'Tree List'!$C$3:$C$601,0)),SUMPRODUCT(--ISNUMBER(SEARCH(Tables2!$C$677:$C$772,$O50)))&gt;0),
Error!$B$57,
IF(AND(_xlpm.hasDM,$F50="Remove",$H50&lt;&gt;"",OR($I50="On-site replacement",$I50="Off-site replacement",$I50="Payment In Lieu")),
Error!$B$56,
IF(AND(_xlpm.hasDM,$F50="Remove",$H50&lt;&gt;"",$I50="Relocation"),
Error!$B$66,
IF(AND(OR(_xlpm.hasCN,_xlpm.hasPH,_xlpm.hasGR),$H50&lt;&gt;"",COUNTIF(Tables!$B$132:$B$134,$H50)&gt;0,$I50="N/A (No replacement required)"),
Error!$B$62,
IF(AND(_xlpm.baseRow,$E50&lt;&gt;"",ISNA(MATCH($E50,Tables!$B$225:$B$232,0))),
Error!$B$2,
IF(AND(_xlpm.baseRow,$F50&lt;&gt;"",ISNA(MATCH($F50,Tables!$B$234:$B$235,0))),
Error!$B$24,
IF(AND(_xlpm.baseRow,_xlpm.ECA_H&gt;0,_xlpm.Shore_H&gt;0),
Error!$B$16,
IF(AND(_xlpm.baseRow,$E50&lt;&gt;"",$D50=""),
Error!$B$3,
IF(AND(_xlpm.baseRow,OR($E50="Tier 3",$E50="Tier 4"),$C50&lt;&gt;"",$D50&gt;=24,COUNTIF(Tables2!$B$166:$B$674,$C50)&gt;0),
Error!$B$44,
IF(AND(_xlpm.baseRow,OR($E50="Tier 3",$E50="Tier 4"),$C50&lt;&gt;"",$D50&lt;&gt;"",COUNTIF(Tables2!$B$73:$B$152,$C50)&gt;0,
$D50&gt;=IFERROR(INDEX(Tables2!$C$73:$C$152,MATCH($C50,Tables2!$B$73:$B$152,0)),-1)),
Error!$B$44,
IF(AND(_xlpm.baseRow,OR($E50="Tier 2",$E50="Tier 2 Grove"),$C50&lt;&gt;"",$D50&gt;=12,COUNTIF(Tables2!$B$153:$B$162,$C50)&gt;0),
Error!$B$45,
IF(AND(_xlpm.baseRow,$E50="Tier 2 Grove",$D50&lt;12),
Error!$B$41,
IF(AND(_xlpm.baseRow,$E50="Tier 2",$D50&lt;5.88),
Error!$B$40,
IF(AND(_xlpm.baseRow,OR($E50="Tier 2",$E50="Tier 2 Grove"),$C50&lt;&gt;"",$D50&lt;12,$D50&gt;=6,COUNTIF(Tables2!$B$153:$B$162,$C50)&gt;0),
Error!$B$54,
IF(AND(_xlpm.baseRow,$E50="Tier 2",COUNTIF(Tables2!$B$166:$B$674,$C50)&gt;0,$D50&lt;24),
Error!$B$54,
IF(AND(_xlpm.baseRow,$E50="Tier 3",ISNA(MATCH($C50,Tables2!$B$153:$B$162,0)),OR($D50&lt;12,$D50&gt;=24)),
Error!$B$9,
IF(AND(_xlpm.baseRow,$E50="Tier 3",COUNTIF(Tables2!$B$153:$B$162,$C50)&gt;0,$D50&lt;12),
Error!$B$46,
IF(AND(_xlpm.baseRow,$E50="Tier 4",OR($D50&lt;6,$D50&gt;=12)),
Error!$B$10,
IF(AND(_xlpm.baseRow,$E50="&lt;6in DSH for Tree Points",OR($D50&gt;=6,$D50="")),
Error!$B$8,
IF(AND(_xlpm.baseRow,$E50="Street Tree for Green Factor",$F50&lt;&gt;"",$F50&lt;&gt;"Retain"),
Error!$B$14,
IF(AND($E50="&lt;6in DSH for Tree Points",$F50="Retain",$H50&lt;&gt;"",ISNA(MATCH($H50,Tables!$B$174:$B$174,0))),
Error!$B$15,
IF(AND($E50="Street Tree for Green Factor",$F50="Retain",$H50&lt;&gt;"",$H50&lt;&gt;"Zoning: Green Factor"),
Error!$B$15,
IF(AND($E50="ECA / Shoreline Tree",$F50="Remove",$H50&lt;&gt;"",ISNA(MATCH($H50,Tables!$B$189:$B$190,0))),
Error!$B$15,
IF(AND($E50="ECA / Shoreline Tree",$F50="Retain",$H50&lt;&gt;"",ISNA(MATCH($H50,Tables!$B$184:$B$186,0))),
Error!$B$15,
IF(AND($E50="Tier 4",$F50="Remove",$H50&lt;&gt;"",ISNA(MATCH($H50,Tables!$B$171,0))),
Error!$B$15,
IF(AND($E50="Tier 4",$F50="Retain",$H50&lt;&gt;"",ISNA(MATCH($H50,Tables!$B$166:$B$168,0))),
Error!$B$15,
IF(AND($E50="Tier 3",$F50="Retain",$H50&lt;&gt;"",ISNA(MATCH($H50,Tables!$B$158:$B$160,0))),
Error!$B$15,
IF(AND($E50="Tier 3",$F50="Remove",$H50&lt;&gt;"",ISNA(MATCH($H50,Tables!$B$163,0))),
Error!$B$15,
IF(AND(OR($E50="Tier 2",$E50="Tier 2 Grove"),$F50="Remove",$H50&lt;&gt;"",ISNA(MATCH($H50,Tables!$B$153:$B$155,0))),
Error!$B$15,
IF(AND(OR($E50="Tier 2",$E50="Tier 2 Grove"),$F50="Retain",$H50&lt;&gt;"",ISNA(MATCH($H50,Tables!$B$147:$B$150,0))),
Error!$B$15,
IF(AND($E50="Tier 1",$F50="Remove",$H50&lt;&gt;"",ISNA(MATCH($H50,Tables!$B$143:$B$144,0))),
Error!$B$15,
IF(AND($E50="Tier 1",$F50="Retain",$H50&lt;&gt;"",ISNA(MATCH($H50,Tables!$B$137:$B$140,0))),
Error!$B$15,
IF(AND($E50&lt;&gt;"Tier 2",$E50&lt;&gt;"Tier 2 Grove",$E50&lt;&gt;"Tier 3",$E50&lt;&gt;"Tier 4",$H50="Zoning: Green Factor",OR($D50="",$D50&lt;6)),
Error!$B$11,
IF(AND(_xlpm.baseRow,$D50&lt;6,$E50="&lt;6in DSH for Tree Points",_xlpm.TreePoints_H=0),
Error!$B$21,
IF(AND(_xlpm.baseRow,$E50&lt;&gt;"",$D50&lt;&gt;"",$F50=""),
Error!$B$4,
IF(AND(_xlpm.baseRow,$F50="Remove",OR($E50="Tier 1",$E50="Tier 2",$E50="Tier 2 Grove"),COUNTBLANK(_xlpm.HRange)&lt;3,_xlpm.uniqueH&gt;=2),
Error!$B$48,
IF(AND(_xlpm.baseRow,$F50="Retain",OR($E50="Tier 1",$E50="Tier 2",$E50="Tier 2 Grove"),COUNTIF(_xlpm.HRange,"Tree Code: Required to Retain Tier 1-2 Tree")=0),
Error!$B$47,
IF(AND(_xlpm.baseRow,$E50&lt;&gt;"",$D50&lt;&gt;"",$F50&lt;&gt;"",COUNTBLANK(_xlpm.HRange)=4),
Error!$B$5,
IF(AND($F50="Remove",$H50&lt;&gt;"",$I50=""),
Error!$B$18,
IF(AND($E50="Tier 4",$F50="Remove",$H50="Tree Protection Code: Tier 3 or Tier 4 Allowance",$H50&lt;&gt;"",ISNA(MATCH($I50,Tables!$B$200,0))),
Error!$B$17,
IF(AND($E50="Tier 3",$F50="Remove",$H50&lt;&gt;"",$H50="Tree Protection Code: Tier 3 or Tier 4 Allowance",OR($I50="",ISNA(MATCH($I50,Tables!$B$193:$B$197,0)))),
Error!$B$17,
IF(AND(OR($E50="Tier 2",$E50="Tier 2 Grove"),$F50="Remove",$H50="Tree Protection Code: Other removal allowance or exemption",$I50&lt;&gt;"",ISNA(MATCH($I50,Tables!$B$215:$B$218,0))),
Error!$B$17,
IF(AND(OR($E50="Tier 2",$E50="Tier 2 Grove"),$F50="Remove",$H50="Tree Protection Code: Development Capacity",$I50&lt;&gt;"",ISNA(MATCH($I50,Tables!$B$193:$B$197,0))),
Error!$B$17,
IF(AND(OR($E50="Tier 2",$E50="Tier 2 Grove"),$F50="Remove",$H50="Tree Protection Code: Necessary for Construction",$I50&lt;&gt;"",ISNA(MATCH($I50,Tables!$B$193:$B$197,0))),
Error!$B$17,
IF(AND($E50="Tier 1",$F50="Remove",$H50="Tree Protection Code: Special Exception",$I50&lt;&gt;"",ISNA(MATCH($I50,Tables!$B$215:$B$218,0))),
Error!$B$17,
IF(AND($E50="Tier 1",$F50="Remove",$H50="Tree Protection Code: Other removal allowance or exemption",$I50&lt;&gt;"",ISNA(MATCH($I50,Tables!$B$215:$B$218,0))),
Error!$B$17,
IF(AND($E50="ECA / Shoreline Tree",$F50="Remove",$H50&lt;&gt;"",OR($H50="Shoreline",$H50="Environmental Critical Area (ECA)"),ISNA(MATCH($I50,Tables!$B$209:$B$212,0))),
Error!$B$17,
IF(AND(_xlpm.baseRow,$F50="Retain",$E50="ECA / Shoreline Tree",_xlpm.ECA_Short=0),
Error!$B$61,
IF(AND($F50="Remove",ISNUMBER(MATCH($E50,{"Tier 1","Tier 2","Tier 3","Tier 4","Tier 2 Grove"},0)),ISNUMBER(MATCH($I50,{"On-site replacement","Off-site replacement"},0)),$J50="",$H50&lt;&gt;""),
Error!$B$19,
IF(AND(_xlpm.baseRow,$E50&lt;&gt;"",$D50&lt;&gt;"",$F50&lt;&gt;"",COUNTBLANK($B50:$C50)&gt;0,COUNTBLANK(_xlpm.HRange)&lt;&gt;4),
Error!$B$22,
IF(AND($H50="Zoning: Tree Points",$K50&lt;&gt;"",ISNA(MATCH($K50,Tables!$B$242:$B$253,0))),
Error!$B$58,
IF(AND($H50="Zoning: Tree Points",$K50="Small",$L50&lt;&gt;"",ISNA(MATCH($L50,Tables!$C$243:$C$244,0))),
Error!$B$59,
IF(AND($H50="Zoning: Tree Points",$K50="Small/Medium",$L50&lt;&gt;"",ISNA(MATCH($L50,Tables!$C$246:$C$247,0))),
Error!$B$59,
IF(AND($H50="Zoning: Tree Points",$K50="Medium/Large",$L50&lt;&gt;"",ISNA(MATCH($L50,Tables!$C$249:$C$250,0))),
Error!$B$59,
IF(AND($H50="Zoning: Tree Points",$K50="Large",$L50&lt;&gt;"",ISNA(MATCH($L50,Tables!$C$252:$C$253,0))),
Error!$B$59,
IF(AND($F50="Retain",$H50="Zoning: Tree Points",$C50&lt;&gt;"",$D50&lt;&gt;"",OR($K50="",$L50="",$M50="")),
Error!$B$20,
""
)))))))))))))))))))))))))))))))))))))))))))))))))))))))),
Error!$B$23))</f>
        <v/>
      </c>
      <c r="O50" s="343" t="str" cm="1">
        <f t="array" aca="1" ref="O50" ca="1">IFERROR(_xlfn.LET(
    _xlpm.txt, $C50,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1" spans="1:15" ht="15" thickBot="1" x14ac:dyDescent="0.35">
      <c r="A51" s="311">
        <v>11</v>
      </c>
      <c r="B51" s="312"/>
      <c r="C51" s="313"/>
      <c r="D51" s="478"/>
      <c r="E51" s="314"/>
      <c r="F51" s="314"/>
      <c r="G51" s="315" t="str">
        <f>IF(Tree_Table1[[#This Row],[Tree Status  &amp;]]="Retain", Tables!$B$237, IF(Tree_Table1[[#This Row],[Tree Status  &amp;]]="Remove", Tables!$B$238, ""))</f>
        <v/>
      </c>
      <c r="H51" s="316"/>
      <c r="I51" s="317"/>
      <c r="J51" s="452"/>
      <c r="K51" s="318" t="str">
        <f>IFERROR(
    IF(
        AND($H51="Zoning: Tree Points", NOT(ISNUMBER(SEARCH("sp.", $C51)))),
        VLOOKUP($C51, 'Tree List'!$C$3:$F$601, 4, FALSE),
        ""
    ),
"")</f>
        <v/>
      </c>
      <c r="L51" s="319" t="str" cm="1">
        <f t="array" ref="L51">IFERROR(
IF(
    AND($H51="Zoning: Tree Points", NOT(ISNUMBER(SEARCH("sp.", $C51)))),
    _xlfn.IFS(
        (COUNTIFS('Tree List'!$C$3:$C$601,$C51,'Tree List'!$D$3:$D$601,"Coniferous")
        + COUNTIFS('Tree List'!$C$3:$C$601,$C51,'Tree List'!$D$3:$D$601,"Deciduous Conifer")) &gt; 0,
            _xlfn.IFS($K51="Small",0.5,$K51="Small/Medium",1,$K51="Medium/Large",1.4,$K51="Large",1.8),
        (COUNTIFS('Tree List'!$C$3:$C$601,$C51,'Tree List'!$D$3:$D$601,"Deciduous")
        + COUNTIFS('Tree List'!$C$3:$C$601,$C51,'Tree List'!$D$3:$D$601,"Broadleaf Evergreen")) &gt; 0,
            _xlfn.IFS($K51="Small",0.4,$K51="Small/Medium",0.8,$K51="Medium/Large",1.2,$K51="Large",1.6)
    ),
    ""
),
"")</f>
        <v/>
      </c>
      <c r="M51" s="474" t="str">
        <f t="shared" si="0"/>
        <v/>
      </c>
      <c r="N51" s="620" t="str" cm="1">
        <f t="array" aca="1" ref="N5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IF(AND(_xlpm.baseRow,ISNA(MATCH($C51,'Tree List'!$C$3:$C$601,0)),SUMPRODUCT(--ISNUMBER(SEARCH(Tables2!$C$677:$C$772,$O51)))&gt;0),
Error!$B$57,
IF(AND(_xlpm.hasDM,$F51="Remove",$H51&lt;&gt;"",OR($I51="On-site replacement",$I51="Off-site replacement",$I51="Payment In Lieu")),
Error!$B$56,
IF(AND(_xlpm.hasDM,$F51="Remove",$H51&lt;&gt;"",$I51="Relocation"),
Error!$B$66,
IF(AND(OR(_xlpm.hasCN,_xlpm.hasPH,_xlpm.hasGR),$H51&lt;&gt;"",COUNTIF(Tables!$B$132:$B$134,$H51)&gt;0,$I51="N/A (No replacement required)"),
Error!$B$62,
IF(AND(_xlpm.baseRow,$E51&lt;&gt;"",ISNA(MATCH($E51,Tables!$B$225:$B$232,0))),
Error!$B$2,
IF(AND(_xlpm.baseRow,$F51&lt;&gt;"",ISNA(MATCH($F51,Tables!$B$234:$B$235,0))),
Error!$B$24,
IF(AND(_xlpm.baseRow,_xlpm.ECA_H&gt;0,_xlpm.Shore_H&gt;0),
Error!$B$16,
IF(AND(_xlpm.baseRow,$E51&lt;&gt;"",$D51=""),
Error!$B$3,
IF(AND(_xlpm.baseRow,OR($E51="Tier 3",$E51="Tier 4"),$C51&lt;&gt;"",$D51&gt;=24,COUNTIF(Tables2!$B$166:$B$674,$C51)&gt;0),
Error!$B$44,
IF(AND(_xlpm.baseRow,OR($E51="Tier 3",$E51="Tier 4"),$C51&lt;&gt;"",$D51&lt;&gt;"",COUNTIF(Tables2!$B$73:$B$152,$C51)&gt;0,
$D51&gt;=IFERROR(INDEX(Tables2!$C$73:$C$152,MATCH($C51,Tables2!$B$73:$B$152,0)),-1)),
Error!$B$44,
IF(AND(_xlpm.baseRow,OR($E51="Tier 2",$E51="Tier 2 Grove"),$C51&lt;&gt;"",$D51&gt;=12,COUNTIF(Tables2!$B$153:$B$162,$C51)&gt;0),
Error!$B$45,
IF(AND(_xlpm.baseRow,$E51="Tier 2 Grove",$D51&lt;12),
Error!$B$41,
IF(AND(_xlpm.baseRow,$E51="Tier 2",$D51&lt;5.88),
Error!$B$40,
IF(AND(_xlpm.baseRow,OR($E51="Tier 2",$E51="Tier 2 Grove"),$C51&lt;&gt;"",$D51&lt;12,$D51&gt;=6,COUNTIF(Tables2!$B$153:$B$162,$C51)&gt;0),
Error!$B$54,
IF(AND(_xlpm.baseRow,$E51="Tier 2",COUNTIF(Tables2!$B$166:$B$674,$C51)&gt;0,$D51&lt;24),
Error!$B$54,
IF(AND(_xlpm.baseRow,$E51="Tier 3",ISNA(MATCH($C51,Tables2!$B$153:$B$162,0)),OR($D51&lt;12,$D51&gt;=24)),
Error!$B$9,
IF(AND(_xlpm.baseRow,$E51="Tier 3",COUNTIF(Tables2!$B$153:$B$162,$C51)&gt;0,$D51&lt;12),
Error!$B$46,
IF(AND(_xlpm.baseRow,$E51="Tier 4",OR($D51&lt;6,$D51&gt;=12)),
Error!$B$10,
IF(AND(_xlpm.baseRow,$E51="&lt;6in DSH for Tree Points",OR($D51&gt;=6,$D51="")),
Error!$B$8,
IF(AND(_xlpm.baseRow,$E51="Street Tree for Green Factor",$F51&lt;&gt;"",$F51&lt;&gt;"Retain"),
Error!$B$14,
IF(AND($E51="&lt;6in DSH for Tree Points",$F51="Retain",$H51&lt;&gt;"",ISNA(MATCH($H51,Tables!$B$174:$B$174,0))),
Error!$B$15,
IF(AND($E51="Street Tree for Green Factor",$F51="Retain",$H51&lt;&gt;"",$H51&lt;&gt;"Zoning: Green Factor"),
Error!$B$15,
IF(AND($E51="ECA / Shoreline Tree",$F51="Remove",$H51&lt;&gt;"",ISNA(MATCH($H51,Tables!$B$189:$B$190,0))),
Error!$B$15,
IF(AND($E51="ECA / Shoreline Tree",$F51="Retain",$H51&lt;&gt;"",ISNA(MATCH($H51,Tables!$B$184:$B$186,0))),
Error!$B$15,
IF(AND($E51="Tier 4",$F51="Remove",$H51&lt;&gt;"",ISNA(MATCH($H51,Tables!$B$171,0))),
Error!$B$15,
IF(AND($E51="Tier 4",$F51="Retain",$H51&lt;&gt;"",ISNA(MATCH($H51,Tables!$B$166:$B$168,0))),
Error!$B$15,
IF(AND($E51="Tier 3",$F51="Retain",$H51&lt;&gt;"",ISNA(MATCH($H51,Tables!$B$158:$B$160,0))),
Error!$B$15,
IF(AND($E51="Tier 3",$F51="Remove",$H51&lt;&gt;"",ISNA(MATCH($H51,Tables!$B$163,0))),
Error!$B$15,
IF(AND(OR($E51="Tier 2",$E51="Tier 2 Grove"),$F51="Remove",$H51&lt;&gt;"",ISNA(MATCH($H51,Tables!$B$153:$B$155,0))),
Error!$B$15,
IF(AND(OR($E51="Tier 2",$E51="Tier 2 Grove"),$F51="Retain",$H51&lt;&gt;"",ISNA(MATCH($H51,Tables!$B$147:$B$150,0))),
Error!$B$15,
IF(AND($E51="Tier 1",$F51="Remove",$H51&lt;&gt;"",ISNA(MATCH($H51,Tables!$B$143:$B$144,0))),
Error!$B$15,
IF(AND($E51="Tier 1",$F51="Retain",$H51&lt;&gt;"",ISNA(MATCH($H51,Tables!$B$137:$B$140,0))),
Error!$B$15,
IF(AND($E51&lt;&gt;"Tier 2",$E51&lt;&gt;"Tier 2 Grove",$E51&lt;&gt;"Tier 3",$E51&lt;&gt;"Tier 4",$H51="Zoning: Green Factor",OR($D51="",$D51&lt;6)),
Error!$B$11,
IF(AND(_xlpm.baseRow,$D51&lt;6,$E51="&lt;6in DSH for Tree Points",_xlpm.TreePoints_H=0),
Error!$B$21,
IF(AND(_xlpm.baseRow,$E51&lt;&gt;"",$D51&lt;&gt;"",$F51=""),
Error!$B$4,
IF(AND(_xlpm.baseRow,$F51="Remove",OR($E51="Tier 1",$E51="Tier 2",$E51="Tier 2 Grove"),COUNTBLANK(_xlpm.HRange)&lt;3,_xlpm.uniqueH&gt;=2),
Error!$B$48,
IF(AND(_xlpm.baseRow,$F51="Retain",OR($E51="Tier 1",$E51="Tier 2",$E51="Tier 2 Grove"),COUNTIF(_xlpm.HRange,"Tree Code: Required to Retain Tier 1-2 Tree")=0),
Error!$B$47,
IF(AND(_xlpm.baseRow,$E51&lt;&gt;"",$D51&lt;&gt;"",$F51&lt;&gt;"",COUNTBLANK(_xlpm.HRange)=4),
Error!$B$5,
IF(AND($F51="Remove",$H51&lt;&gt;"",$I51=""),
Error!$B$18,
IF(AND($E51="Tier 4",$F51="Remove",$H51="Tree Protection Code: Tier 3 or Tier 4 Allowance",$H51&lt;&gt;"",ISNA(MATCH($I51,Tables!$B$200,0))),
Error!$B$17,
IF(AND($E51="Tier 3",$F51="Remove",$H51&lt;&gt;"",$H51="Tree Protection Code: Tier 3 or Tier 4 Allowance",OR($I51="",ISNA(MATCH($I51,Tables!$B$193:$B$197,0)))),
Error!$B$17,
IF(AND(OR($E51="Tier 2",$E51="Tier 2 Grove"),$F51="Remove",$H51="Tree Protection Code: Other removal allowance or exemption",$I51&lt;&gt;"",ISNA(MATCH($I51,Tables!$B$215:$B$218,0))),
Error!$B$17,
IF(AND(OR($E51="Tier 2",$E51="Tier 2 Grove"),$F51="Remove",$H51="Tree Protection Code: Development Capacity",$I51&lt;&gt;"",ISNA(MATCH($I51,Tables!$B$193:$B$197,0))),
Error!$B$17,
IF(AND(OR($E51="Tier 2",$E51="Tier 2 Grove"),$F51="Remove",$H51="Tree Protection Code: Necessary for Construction",$I51&lt;&gt;"",ISNA(MATCH($I51,Tables!$B$193:$B$197,0))),
Error!$B$17,
IF(AND($E51="Tier 1",$F51="Remove",$H51="Tree Protection Code: Special Exception",$I51&lt;&gt;"",ISNA(MATCH($I51,Tables!$B$215:$B$218,0))),
Error!$B$17,
IF(AND($E51="Tier 1",$F51="Remove",$H51="Tree Protection Code: Other removal allowance or exemption",$I51&lt;&gt;"",ISNA(MATCH($I51,Tables!$B$215:$B$218,0))),
Error!$B$17,
IF(AND($E51="ECA / Shoreline Tree",$F51="Remove",$H51&lt;&gt;"",OR($H51="Shoreline",$H51="Environmental Critical Area (ECA)"),ISNA(MATCH($I51,Tables!$B$209:$B$212,0))),
Error!$B$17,
IF(AND(_xlpm.baseRow,$F51="Retain",$E51="ECA / Shoreline Tree",_xlpm.ECA_Short=0),
Error!$B$61,
IF(AND($F51="Remove",ISNUMBER(MATCH($E51,{"Tier 1","Tier 2","Tier 3","Tier 4","Tier 2 Grove"},0)),ISNUMBER(MATCH($I51,{"On-site replacement","Off-site replacement"},0)),$J51="",$H51&lt;&gt;""),
Error!$B$19,
IF(AND(_xlpm.baseRow,$E51&lt;&gt;"",$D51&lt;&gt;"",$F51&lt;&gt;"",COUNTBLANK($B51:$C51)&gt;0,COUNTBLANK(_xlpm.HRange)&lt;&gt;4),
Error!$B$22,
IF(AND($H51="Zoning: Tree Points",$K51&lt;&gt;"",ISNA(MATCH($K51,Tables!$B$242:$B$253,0))),
Error!$B$58,
IF(AND($H51="Zoning: Tree Points",$K51="Small",$L51&lt;&gt;"",ISNA(MATCH($L51,Tables!$C$243:$C$244,0))),
Error!$B$59,
IF(AND($H51="Zoning: Tree Points",$K51="Small/Medium",$L51&lt;&gt;"",ISNA(MATCH($L51,Tables!$C$246:$C$247,0))),
Error!$B$59,
IF(AND($H51="Zoning: Tree Points",$K51="Medium/Large",$L51&lt;&gt;"",ISNA(MATCH($L51,Tables!$C$249:$C$250,0))),
Error!$B$59,
IF(AND($H51="Zoning: Tree Points",$K51="Large",$L51&lt;&gt;"",ISNA(MATCH($L51,Tables!$C$252:$C$253,0))),
Error!$B$59,
IF(AND($F51="Retain",$H51="Zoning: Tree Points",$C51&lt;&gt;"",$D51&lt;&gt;"",OR($K51="",$L51="",$M51="")),
Error!$B$20,
""
)))))))))))))))))))))))))))))))))))))))))))))))))))))))),
Error!$B$23))</f>
        <v/>
      </c>
      <c r="O51" s="343" t="str" cm="1">
        <f t="array" aca="1" ref="O51" ca="1">IFERROR(_xlfn.LET(
    _xlpm.txt, $C51,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2" spans="1:15" x14ac:dyDescent="0.3">
      <c r="A52" s="320"/>
      <c r="B52" s="616" t="str">
        <f t="shared" ref="B52:B54" si="16">IF($B51="", "", $B51)</f>
        <v/>
      </c>
      <c r="C52" s="617" t="str">
        <f>IF($C51="", "", $C51)</f>
        <v/>
      </c>
      <c r="D52" s="618" t="str">
        <f t="shared" ref="D52:D54" si="17">IF($D51="", "", $D51)</f>
        <v/>
      </c>
      <c r="E52" s="616" t="str">
        <f>IF($E51="", "", $E51)</f>
        <v/>
      </c>
      <c r="F52" s="616" t="str">
        <f>IF($F51="", "", $F51)</f>
        <v/>
      </c>
      <c r="G52" s="619" t="str">
        <f>IF(Tree_Table1[[#This Row],[Tree Status  &amp;]]="Retain", Tables!$B$237, IF(Tree_Table1[[#This Row],[Tree Status  &amp;]]="Remove", Tables!$B$238, ""))</f>
        <v/>
      </c>
      <c r="H52" s="321"/>
      <c r="I52" s="322"/>
      <c r="J52" s="453"/>
      <c r="K52" s="323" t="str">
        <f>IFERROR(
    IF(
        AND($H52="Zoning: Tree Points", NOT(ISNUMBER(SEARCH("sp.", $C52)))),
        VLOOKUP($C52, 'Tree List'!$C$3:$F$601, 4, FALSE),
        ""
    ),
"")</f>
        <v/>
      </c>
      <c r="L52" s="324" t="str" cm="1">
        <f t="array" ref="L52">IFERROR(
IF(
    AND($H52="Zoning: Tree Points", NOT(ISNUMBER(SEARCH("sp.", $C52)))),
    _xlfn.IFS(
        (COUNTIFS('Tree List'!$C$3:$C$601,$C52,'Tree List'!$D$3:$D$601,"Coniferous")
        + COUNTIFS('Tree List'!$C$3:$C$601,$C52,'Tree List'!$D$3:$D$601,"Deciduous Conifer")) &gt; 0,
            _xlfn.IFS($K52="Small",0.5,$K52="Small/Medium",1,$K52="Medium/Large",1.4,$K52="Large",1.8),
        (COUNTIFS('Tree List'!$C$3:$C$601,$C52,'Tree List'!$D$3:$D$601,"Deciduous")
        + COUNTIFS('Tree List'!$C$3:$C$601,$C52,'Tree List'!$D$3:$D$601,"Broadleaf Evergreen")) &gt; 0,
            _xlfn.IFS($K52="Small",0.4,$K52="Small/Medium",0.8,$K52="Medium/Large",1.2,$K52="Large",1.6)
    ),
    ""
),
"")</f>
        <v/>
      </c>
      <c r="M52" s="475" t="str">
        <f t="shared" si="0"/>
        <v/>
      </c>
      <c r="N52" s="346" t="str" cm="1">
        <f t="array" aca="1" ref="N5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IF(AND(_xlpm.baseRow,ISNA(MATCH($C52,'Tree List'!$C$3:$C$601,0)),SUMPRODUCT(--ISNUMBER(SEARCH(Tables2!$C$677:$C$772,$O52)))&gt;0),
Error!$B$57,
IF(AND(_xlpm.hasDM,$F52="Remove",$H52&lt;&gt;"",OR($I52="On-site replacement",$I52="Off-site replacement",$I52="Payment In Lieu")),
Error!$B$56,
IF(AND(_xlpm.hasDM,$F52="Remove",$H52&lt;&gt;"",$I52="Relocation"),
Error!$B$66,
IF(AND(OR(_xlpm.hasCN,_xlpm.hasPH,_xlpm.hasGR),$H52&lt;&gt;"",COUNTIF(Tables!$B$132:$B$134,$H52)&gt;0,$I52="N/A (No replacement required)"),
Error!$B$62,
IF(AND(_xlpm.baseRow,$E52&lt;&gt;"",ISNA(MATCH($E52,Tables!$B$225:$B$232,0))),
Error!$B$2,
IF(AND(_xlpm.baseRow,$F52&lt;&gt;"",ISNA(MATCH($F52,Tables!$B$234:$B$235,0))),
Error!$B$24,
IF(AND(_xlpm.baseRow,_xlpm.ECA_H&gt;0,_xlpm.Shore_H&gt;0),
Error!$B$16,
IF(AND(_xlpm.baseRow,$E52&lt;&gt;"",$D52=""),
Error!$B$3,
IF(AND(_xlpm.baseRow,OR($E52="Tier 3",$E52="Tier 4"),$C52&lt;&gt;"",$D52&gt;=24,COUNTIF(Tables2!$B$166:$B$674,$C52)&gt;0),
Error!$B$44,
IF(AND(_xlpm.baseRow,OR($E52="Tier 3",$E52="Tier 4"),$C52&lt;&gt;"",$D52&lt;&gt;"",COUNTIF(Tables2!$B$73:$B$152,$C52)&gt;0,
$D52&gt;=IFERROR(INDEX(Tables2!$C$73:$C$152,MATCH($C52,Tables2!$B$73:$B$152,0)),-1)),
Error!$B$44,
IF(AND(_xlpm.baseRow,OR($E52="Tier 2",$E52="Tier 2 Grove"),$C52&lt;&gt;"",$D52&gt;=12,COUNTIF(Tables2!$B$153:$B$162,$C52)&gt;0),
Error!$B$45,
IF(AND(_xlpm.baseRow,$E52="Tier 2 Grove",$D52&lt;12),
Error!$B$41,
IF(AND(_xlpm.baseRow,$E52="Tier 2",$D52&lt;5.88),
Error!$B$40,
IF(AND(_xlpm.baseRow,OR($E52="Tier 2",$E52="Tier 2 Grove"),$C52&lt;&gt;"",$D52&lt;12,$D52&gt;=6,COUNTIF(Tables2!$B$153:$B$162,$C52)&gt;0),
Error!$B$54,
IF(AND(_xlpm.baseRow,$E52="Tier 2",COUNTIF(Tables2!$B$166:$B$674,$C52)&gt;0,$D52&lt;24),
Error!$B$54,
IF(AND(_xlpm.baseRow,$E52="Tier 3",ISNA(MATCH($C52,Tables2!$B$153:$B$162,0)),OR($D52&lt;12,$D52&gt;=24)),
Error!$B$9,
IF(AND(_xlpm.baseRow,$E52="Tier 3",COUNTIF(Tables2!$B$153:$B$162,$C52)&gt;0,$D52&lt;12),
Error!$B$46,
IF(AND(_xlpm.baseRow,$E52="Tier 4",OR($D52&lt;6,$D52&gt;=12)),
Error!$B$10,
IF(AND(_xlpm.baseRow,$E52="&lt;6in DSH for Tree Points",OR($D52&gt;=6,$D52="")),
Error!$B$8,
IF(AND(_xlpm.baseRow,$E52="Street Tree for Green Factor",$F52&lt;&gt;"",$F52&lt;&gt;"Retain"),
Error!$B$14,
IF(AND($E52="&lt;6in DSH for Tree Points",$F52="Retain",$H52&lt;&gt;"",ISNA(MATCH($H52,Tables!$B$174:$B$174,0))),
Error!$B$15,
IF(AND($E52="Street Tree for Green Factor",$F52="Retain",$H52&lt;&gt;"",$H52&lt;&gt;"Zoning: Green Factor"),
Error!$B$15,
IF(AND($E52="ECA / Shoreline Tree",$F52="Remove",$H52&lt;&gt;"",ISNA(MATCH($H52,Tables!$B$189:$B$190,0))),
Error!$B$15,
IF(AND($E52="ECA / Shoreline Tree",$F52="Retain",$H52&lt;&gt;"",ISNA(MATCH($H52,Tables!$B$184:$B$186,0))),
Error!$B$15,
IF(AND($E52="Tier 4",$F52="Remove",$H52&lt;&gt;"",ISNA(MATCH($H52,Tables!$B$171,0))),
Error!$B$15,
IF(AND($E52="Tier 4",$F52="Retain",$H52&lt;&gt;"",ISNA(MATCH($H52,Tables!$B$166:$B$168,0))),
Error!$B$15,
IF(AND($E52="Tier 3",$F52="Retain",$H52&lt;&gt;"",ISNA(MATCH($H52,Tables!$B$158:$B$160,0))),
Error!$B$15,
IF(AND($E52="Tier 3",$F52="Remove",$H52&lt;&gt;"",ISNA(MATCH($H52,Tables!$B$163,0))),
Error!$B$15,
IF(AND(OR($E52="Tier 2",$E52="Tier 2 Grove"),$F52="Remove",$H52&lt;&gt;"",ISNA(MATCH($H52,Tables!$B$153:$B$155,0))),
Error!$B$15,
IF(AND(OR($E52="Tier 2",$E52="Tier 2 Grove"),$F52="Retain",$H52&lt;&gt;"",ISNA(MATCH($H52,Tables!$B$147:$B$150,0))),
Error!$B$15,
IF(AND($E52="Tier 1",$F52="Remove",$H52&lt;&gt;"",ISNA(MATCH($H52,Tables!$B$143:$B$144,0))),
Error!$B$15,
IF(AND($E52="Tier 1",$F52="Retain",$H52&lt;&gt;"",ISNA(MATCH($H52,Tables!$B$137:$B$140,0))),
Error!$B$15,
IF(AND($E52&lt;&gt;"Tier 2",$E52&lt;&gt;"Tier 2 Grove",$E52&lt;&gt;"Tier 3",$E52&lt;&gt;"Tier 4",$H52="Zoning: Green Factor",OR($D52="",$D52&lt;6)),
Error!$B$11,
IF(AND(_xlpm.baseRow,$D52&lt;6,$E52="&lt;6in DSH for Tree Points",_xlpm.TreePoints_H=0),
Error!$B$21,
IF(AND(_xlpm.baseRow,$E52&lt;&gt;"",$D52&lt;&gt;"",$F52=""),
Error!$B$4,
IF(AND(_xlpm.baseRow,$F52="Remove",OR($E52="Tier 1",$E52="Tier 2",$E52="Tier 2 Grove"),COUNTBLANK(_xlpm.HRange)&lt;3,_xlpm.uniqueH&gt;=2),
Error!$B$48,
IF(AND(_xlpm.baseRow,$F52="Retain",OR($E52="Tier 1",$E52="Tier 2",$E52="Tier 2 Grove"),COUNTIF(_xlpm.HRange,"Tree Code: Required to Retain Tier 1-2 Tree")=0),
Error!$B$47,
IF(AND(_xlpm.baseRow,$E52&lt;&gt;"",$D52&lt;&gt;"",$F52&lt;&gt;"",COUNTBLANK(_xlpm.HRange)=4),
Error!$B$5,
IF(AND($F52="Remove",$H52&lt;&gt;"",$I52=""),
Error!$B$18,
IF(AND($E52="Tier 4",$F52="Remove",$H52="Tree Protection Code: Tier 3 or Tier 4 Allowance",$H52&lt;&gt;"",ISNA(MATCH($I52,Tables!$B$200,0))),
Error!$B$17,
IF(AND($E52="Tier 3",$F52="Remove",$H52&lt;&gt;"",$H52="Tree Protection Code: Tier 3 or Tier 4 Allowance",OR($I52="",ISNA(MATCH($I52,Tables!$B$193:$B$197,0)))),
Error!$B$17,
IF(AND(OR($E52="Tier 2",$E52="Tier 2 Grove"),$F52="Remove",$H52="Tree Protection Code: Other removal allowance or exemption",$I52&lt;&gt;"",ISNA(MATCH($I52,Tables!$B$215:$B$218,0))),
Error!$B$17,
IF(AND(OR($E52="Tier 2",$E52="Tier 2 Grove"),$F52="Remove",$H52="Tree Protection Code: Development Capacity",$I52&lt;&gt;"",ISNA(MATCH($I52,Tables!$B$193:$B$197,0))),
Error!$B$17,
IF(AND(OR($E52="Tier 2",$E52="Tier 2 Grove"),$F52="Remove",$H52="Tree Protection Code: Necessary for Construction",$I52&lt;&gt;"",ISNA(MATCH($I52,Tables!$B$193:$B$197,0))),
Error!$B$17,
IF(AND($E52="Tier 1",$F52="Remove",$H52="Tree Protection Code: Special Exception",$I52&lt;&gt;"",ISNA(MATCH($I52,Tables!$B$215:$B$218,0))),
Error!$B$17,
IF(AND($E52="Tier 1",$F52="Remove",$H52="Tree Protection Code: Other removal allowance or exemption",$I52&lt;&gt;"",ISNA(MATCH($I52,Tables!$B$215:$B$218,0))),
Error!$B$17,
IF(AND($E52="ECA / Shoreline Tree",$F52="Remove",$H52&lt;&gt;"",OR($H52="Shoreline",$H52="Environmental Critical Area (ECA)"),ISNA(MATCH($I52,Tables!$B$209:$B$212,0))),
Error!$B$17,
IF(AND(_xlpm.baseRow,$F52="Retain",$E52="ECA / Shoreline Tree",_xlpm.ECA_Short=0),
Error!$B$61,
IF(AND($F52="Remove",ISNUMBER(MATCH($E52,{"Tier 1","Tier 2","Tier 3","Tier 4","Tier 2 Grove"},0)),ISNUMBER(MATCH($I52,{"On-site replacement","Off-site replacement"},0)),$J52="",$H52&lt;&gt;""),
Error!$B$19,
IF(AND(_xlpm.baseRow,$E52&lt;&gt;"",$D52&lt;&gt;"",$F52&lt;&gt;"",COUNTBLANK($B52:$C52)&gt;0,COUNTBLANK(_xlpm.HRange)&lt;&gt;4),
Error!$B$22,
IF(AND($H52="Zoning: Tree Points",$K52&lt;&gt;"",ISNA(MATCH($K52,Tables!$B$242:$B$253,0))),
Error!$B$58,
IF(AND($H52="Zoning: Tree Points",$K52="Small",$L52&lt;&gt;"",ISNA(MATCH($L52,Tables!$C$243:$C$244,0))),
Error!$B$59,
IF(AND($H52="Zoning: Tree Points",$K52="Small/Medium",$L52&lt;&gt;"",ISNA(MATCH($L52,Tables!$C$246:$C$247,0))),
Error!$B$59,
IF(AND($H52="Zoning: Tree Points",$K52="Medium/Large",$L52&lt;&gt;"",ISNA(MATCH($L52,Tables!$C$249:$C$250,0))),
Error!$B$59,
IF(AND($H52="Zoning: Tree Points",$K52="Large",$L52&lt;&gt;"",ISNA(MATCH($L52,Tables!$C$252:$C$253,0))),
Error!$B$59,
IF(AND($F52="Retain",$H52="Zoning: Tree Points",$C52&lt;&gt;"",$D52&lt;&gt;"",OR($K52="",$L52="",$M52="")),
Error!$B$20,
""
)))))))))))))))))))))))))))))))))))))))))))))))))))))))),
Error!$B$23))</f>
        <v/>
      </c>
      <c r="O52" s="343" t="str" cm="1">
        <f t="array" aca="1" ref="O52" ca="1">IFERROR(_xlfn.LET(
    _xlpm.txt, $C52,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3" spans="1:15" x14ac:dyDescent="0.3">
      <c r="A53" s="320"/>
      <c r="B53" s="616" t="str">
        <f t="shared" si="16"/>
        <v/>
      </c>
      <c r="C53" s="617" t="str">
        <f>IF($C52="", "", $C52)</f>
        <v/>
      </c>
      <c r="D53" s="618" t="str">
        <f t="shared" si="17"/>
        <v/>
      </c>
      <c r="E53" s="616" t="str">
        <f>IF($E52="", "", $E52)</f>
        <v/>
      </c>
      <c r="F53" s="616" t="str">
        <f>IF($F52="", "", $F52)</f>
        <v/>
      </c>
      <c r="G53" s="619" t="str">
        <f>IF(Tree_Table1[[#This Row],[Tree Status  &amp;]]="Retain", Tables!$B$237, IF(Tree_Table1[[#This Row],[Tree Status  &amp;]]="Remove", Tables!$B$238, ""))</f>
        <v/>
      </c>
      <c r="H53" s="321"/>
      <c r="I53" s="322"/>
      <c r="J53" s="453"/>
      <c r="K53" s="323" t="str">
        <f>IFERROR(
    IF(
        AND($H53="Zoning: Tree Points", NOT(ISNUMBER(SEARCH("sp.", $C53)))),
        VLOOKUP($C53, 'Tree List'!$C$3:$F$601, 4, FALSE),
        ""
    ),
"")</f>
        <v/>
      </c>
      <c r="L53" s="324" t="str" cm="1">
        <f t="array" ref="L53">IFERROR(
IF(
    AND($H53="Zoning: Tree Points", NOT(ISNUMBER(SEARCH("sp.", $C53)))),
    _xlfn.IFS(
        (COUNTIFS('Tree List'!$C$3:$C$601,$C53,'Tree List'!$D$3:$D$601,"Coniferous")
        + COUNTIFS('Tree List'!$C$3:$C$601,$C53,'Tree List'!$D$3:$D$601,"Deciduous Conifer")) &gt; 0,
            _xlfn.IFS($K53="Small",0.5,$K53="Small/Medium",1,$K53="Medium/Large",1.4,$K53="Large",1.8),
        (COUNTIFS('Tree List'!$C$3:$C$601,$C53,'Tree List'!$D$3:$D$601,"Deciduous")
        + COUNTIFS('Tree List'!$C$3:$C$601,$C53,'Tree List'!$D$3:$D$601,"Broadleaf Evergreen")) &gt; 0,
            _xlfn.IFS($K53="Small",0.4,$K53="Small/Medium",0.8,$K53="Medium/Large",1.2,$K53="Large",1.6)
    ),
    ""
),
"")</f>
        <v/>
      </c>
      <c r="M53" s="475" t="str">
        <f t="shared" si="0"/>
        <v/>
      </c>
      <c r="N53" s="346" t="str" cm="1">
        <f t="array" aca="1" ref="N5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IF(AND(_xlpm.baseRow,ISNA(MATCH($C53,'Tree List'!$C$3:$C$601,0)),SUMPRODUCT(--ISNUMBER(SEARCH(Tables2!$C$677:$C$772,$O53)))&gt;0),
Error!$B$57,
IF(AND(_xlpm.hasDM,$F53="Remove",$H53&lt;&gt;"",OR($I53="On-site replacement",$I53="Off-site replacement",$I53="Payment In Lieu")),
Error!$B$56,
IF(AND(_xlpm.hasDM,$F53="Remove",$H53&lt;&gt;"",$I53="Relocation"),
Error!$B$66,
IF(AND(OR(_xlpm.hasCN,_xlpm.hasPH,_xlpm.hasGR),$H53&lt;&gt;"",COUNTIF(Tables!$B$132:$B$134,$H53)&gt;0,$I53="N/A (No replacement required)"),
Error!$B$62,
IF(AND(_xlpm.baseRow,$E53&lt;&gt;"",ISNA(MATCH($E53,Tables!$B$225:$B$232,0))),
Error!$B$2,
IF(AND(_xlpm.baseRow,$F53&lt;&gt;"",ISNA(MATCH($F53,Tables!$B$234:$B$235,0))),
Error!$B$24,
IF(AND(_xlpm.baseRow,_xlpm.ECA_H&gt;0,_xlpm.Shore_H&gt;0),
Error!$B$16,
IF(AND(_xlpm.baseRow,$E53&lt;&gt;"",$D53=""),
Error!$B$3,
IF(AND(_xlpm.baseRow,OR($E53="Tier 3",$E53="Tier 4"),$C53&lt;&gt;"",$D53&gt;=24,COUNTIF(Tables2!$B$166:$B$674,$C53)&gt;0),
Error!$B$44,
IF(AND(_xlpm.baseRow,OR($E53="Tier 3",$E53="Tier 4"),$C53&lt;&gt;"",$D53&lt;&gt;"",COUNTIF(Tables2!$B$73:$B$152,$C53)&gt;0,
$D53&gt;=IFERROR(INDEX(Tables2!$C$73:$C$152,MATCH($C53,Tables2!$B$73:$B$152,0)),-1)),
Error!$B$44,
IF(AND(_xlpm.baseRow,OR($E53="Tier 2",$E53="Tier 2 Grove"),$C53&lt;&gt;"",$D53&gt;=12,COUNTIF(Tables2!$B$153:$B$162,$C53)&gt;0),
Error!$B$45,
IF(AND(_xlpm.baseRow,$E53="Tier 2 Grove",$D53&lt;12),
Error!$B$41,
IF(AND(_xlpm.baseRow,$E53="Tier 2",$D53&lt;5.88),
Error!$B$40,
IF(AND(_xlpm.baseRow,OR($E53="Tier 2",$E53="Tier 2 Grove"),$C53&lt;&gt;"",$D53&lt;12,$D53&gt;=6,COUNTIF(Tables2!$B$153:$B$162,$C53)&gt;0),
Error!$B$54,
IF(AND(_xlpm.baseRow,$E53="Tier 2",COUNTIF(Tables2!$B$166:$B$674,$C53)&gt;0,$D53&lt;24),
Error!$B$54,
IF(AND(_xlpm.baseRow,$E53="Tier 3",ISNA(MATCH($C53,Tables2!$B$153:$B$162,0)),OR($D53&lt;12,$D53&gt;=24)),
Error!$B$9,
IF(AND(_xlpm.baseRow,$E53="Tier 3",COUNTIF(Tables2!$B$153:$B$162,$C53)&gt;0,$D53&lt;12),
Error!$B$46,
IF(AND(_xlpm.baseRow,$E53="Tier 4",OR($D53&lt;6,$D53&gt;=12)),
Error!$B$10,
IF(AND(_xlpm.baseRow,$E53="&lt;6in DSH for Tree Points",OR($D53&gt;=6,$D53="")),
Error!$B$8,
IF(AND(_xlpm.baseRow,$E53="Street Tree for Green Factor",$F53&lt;&gt;"",$F53&lt;&gt;"Retain"),
Error!$B$14,
IF(AND($E53="&lt;6in DSH for Tree Points",$F53="Retain",$H53&lt;&gt;"",ISNA(MATCH($H53,Tables!$B$174:$B$174,0))),
Error!$B$15,
IF(AND($E53="Street Tree for Green Factor",$F53="Retain",$H53&lt;&gt;"",$H53&lt;&gt;"Zoning: Green Factor"),
Error!$B$15,
IF(AND($E53="ECA / Shoreline Tree",$F53="Remove",$H53&lt;&gt;"",ISNA(MATCH($H53,Tables!$B$189:$B$190,0))),
Error!$B$15,
IF(AND($E53="ECA / Shoreline Tree",$F53="Retain",$H53&lt;&gt;"",ISNA(MATCH($H53,Tables!$B$184:$B$186,0))),
Error!$B$15,
IF(AND($E53="Tier 4",$F53="Remove",$H53&lt;&gt;"",ISNA(MATCH($H53,Tables!$B$171,0))),
Error!$B$15,
IF(AND($E53="Tier 4",$F53="Retain",$H53&lt;&gt;"",ISNA(MATCH($H53,Tables!$B$166:$B$168,0))),
Error!$B$15,
IF(AND($E53="Tier 3",$F53="Retain",$H53&lt;&gt;"",ISNA(MATCH($H53,Tables!$B$158:$B$160,0))),
Error!$B$15,
IF(AND($E53="Tier 3",$F53="Remove",$H53&lt;&gt;"",ISNA(MATCH($H53,Tables!$B$163,0))),
Error!$B$15,
IF(AND(OR($E53="Tier 2",$E53="Tier 2 Grove"),$F53="Remove",$H53&lt;&gt;"",ISNA(MATCH($H53,Tables!$B$153:$B$155,0))),
Error!$B$15,
IF(AND(OR($E53="Tier 2",$E53="Tier 2 Grove"),$F53="Retain",$H53&lt;&gt;"",ISNA(MATCH($H53,Tables!$B$147:$B$150,0))),
Error!$B$15,
IF(AND($E53="Tier 1",$F53="Remove",$H53&lt;&gt;"",ISNA(MATCH($H53,Tables!$B$143:$B$144,0))),
Error!$B$15,
IF(AND($E53="Tier 1",$F53="Retain",$H53&lt;&gt;"",ISNA(MATCH($H53,Tables!$B$137:$B$140,0))),
Error!$B$15,
IF(AND($E53&lt;&gt;"Tier 2",$E53&lt;&gt;"Tier 2 Grove",$E53&lt;&gt;"Tier 3",$E53&lt;&gt;"Tier 4",$H53="Zoning: Green Factor",OR($D53="",$D53&lt;6)),
Error!$B$11,
IF(AND(_xlpm.baseRow,$D53&lt;6,$E53="&lt;6in DSH for Tree Points",_xlpm.TreePoints_H=0),
Error!$B$21,
IF(AND(_xlpm.baseRow,$E53&lt;&gt;"",$D53&lt;&gt;"",$F53=""),
Error!$B$4,
IF(AND(_xlpm.baseRow,$F53="Remove",OR($E53="Tier 1",$E53="Tier 2",$E53="Tier 2 Grove"),COUNTBLANK(_xlpm.HRange)&lt;3,_xlpm.uniqueH&gt;=2),
Error!$B$48,
IF(AND(_xlpm.baseRow,$F53="Retain",OR($E53="Tier 1",$E53="Tier 2",$E53="Tier 2 Grove"),COUNTIF(_xlpm.HRange,"Tree Code: Required to Retain Tier 1-2 Tree")=0),
Error!$B$47,
IF(AND(_xlpm.baseRow,$E53&lt;&gt;"",$D53&lt;&gt;"",$F53&lt;&gt;"",COUNTBLANK(_xlpm.HRange)=4),
Error!$B$5,
IF(AND($F53="Remove",$H53&lt;&gt;"",$I53=""),
Error!$B$18,
IF(AND($E53="Tier 4",$F53="Remove",$H53="Tree Protection Code: Tier 3 or Tier 4 Allowance",$H53&lt;&gt;"",ISNA(MATCH($I53,Tables!$B$200,0))),
Error!$B$17,
IF(AND($E53="Tier 3",$F53="Remove",$H53&lt;&gt;"",$H53="Tree Protection Code: Tier 3 or Tier 4 Allowance",OR($I53="",ISNA(MATCH($I53,Tables!$B$193:$B$197,0)))),
Error!$B$17,
IF(AND(OR($E53="Tier 2",$E53="Tier 2 Grove"),$F53="Remove",$H53="Tree Protection Code: Other removal allowance or exemption",$I53&lt;&gt;"",ISNA(MATCH($I53,Tables!$B$215:$B$218,0))),
Error!$B$17,
IF(AND(OR($E53="Tier 2",$E53="Tier 2 Grove"),$F53="Remove",$H53="Tree Protection Code: Development Capacity",$I53&lt;&gt;"",ISNA(MATCH($I53,Tables!$B$193:$B$197,0))),
Error!$B$17,
IF(AND(OR($E53="Tier 2",$E53="Tier 2 Grove"),$F53="Remove",$H53="Tree Protection Code: Necessary for Construction",$I53&lt;&gt;"",ISNA(MATCH($I53,Tables!$B$193:$B$197,0))),
Error!$B$17,
IF(AND($E53="Tier 1",$F53="Remove",$H53="Tree Protection Code: Special Exception",$I53&lt;&gt;"",ISNA(MATCH($I53,Tables!$B$215:$B$218,0))),
Error!$B$17,
IF(AND($E53="Tier 1",$F53="Remove",$H53="Tree Protection Code: Other removal allowance or exemption",$I53&lt;&gt;"",ISNA(MATCH($I53,Tables!$B$215:$B$218,0))),
Error!$B$17,
IF(AND($E53="ECA / Shoreline Tree",$F53="Remove",$H53&lt;&gt;"",OR($H53="Shoreline",$H53="Environmental Critical Area (ECA)"),ISNA(MATCH($I53,Tables!$B$209:$B$212,0))),
Error!$B$17,
IF(AND(_xlpm.baseRow,$F53="Retain",$E53="ECA / Shoreline Tree",_xlpm.ECA_Short=0),
Error!$B$61,
IF(AND($F53="Remove",ISNUMBER(MATCH($E53,{"Tier 1","Tier 2","Tier 3","Tier 4","Tier 2 Grove"},0)),ISNUMBER(MATCH($I53,{"On-site replacement","Off-site replacement"},0)),$J53="",$H53&lt;&gt;""),
Error!$B$19,
IF(AND(_xlpm.baseRow,$E53&lt;&gt;"",$D53&lt;&gt;"",$F53&lt;&gt;"",COUNTBLANK($B53:$C53)&gt;0,COUNTBLANK(_xlpm.HRange)&lt;&gt;4),
Error!$B$22,
IF(AND($H53="Zoning: Tree Points",$K53&lt;&gt;"",ISNA(MATCH($K53,Tables!$B$242:$B$253,0))),
Error!$B$58,
IF(AND($H53="Zoning: Tree Points",$K53="Small",$L53&lt;&gt;"",ISNA(MATCH($L53,Tables!$C$243:$C$244,0))),
Error!$B$59,
IF(AND($H53="Zoning: Tree Points",$K53="Small/Medium",$L53&lt;&gt;"",ISNA(MATCH($L53,Tables!$C$246:$C$247,0))),
Error!$B$59,
IF(AND($H53="Zoning: Tree Points",$K53="Medium/Large",$L53&lt;&gt;"",ISNA(MATCH($L53,Tables!$C$249:$C$250,0))),
Error!$B$59,
IF(AND($H53="Zoning: Tree Points",$K53="Large",$L53&lt;&gt;"",ISNA(MATCH($L53,Tables!$C$252:$C$253,0))),
Error!$B$59,
IF(AND($F53="Retain",$H53="Zoning: Tree Points",$C53&lt;&gt;"",$D53&lt;&gt;"",OR($K53="",$L53="",$M53="")),
Error!$B$20,
""
)))))))))))))))))))))))))))))))))))))))))))))))))))))))),
Error!$B$23))</f>
        <v/>
      </c>
      <c r="O53" s="343" t="str" cm="1">
        <f t="array" aca="1" ref="O53" ca="1">IFERROR(_xlfn.LET(
    _xlpm.txt, $C53,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4" spans="1:15" ht="15" thickBot="1" x14ac:dyDescent="0.35">
      <c r="A54" s="331"/>
      <c r="B54" s="616" t="str">
        <f t="shared" si="16"/>
        <v/>
      </c>
      <c r="C54" s="617" t="str">
        <f>IF($C53="", "", $C53)</f>
        <v/>
      </c>
      <c r="D54" s="618" t="str">
        <f t="shared" si="17"/>
        <v/>
      </c>
      <c r="E54" s="616" t="str">
        <f>IF($E53="", "", $E53)</f>
        <v/>
      </c>
      <c r="F54" s="616" t="str">
        <f>IF($F53="", "", $F53)</f>
        <v/>
      </c>
      <c r="G54" s="619" t="str">
        <f>IF(Tree_Table1[[#This Row],[Tree Status  &amp;]]="Retain", Tables!$B$237, IF(Tree_Table1[[#This Row],[Tree Status  &amp;]]="Remove", Tables!$B$238, ""))</f>
        <v/>
      </c>
      <c r="H54" s="329"/>
      <c r="I54" s="330"/>
      <c r="J54" s="455"/>
      <c r="K54" s="327" t="str">
        <f>IFERROR(
    IF(
        AND($H54="Zoning: Tree Points", NOT(ISNUMBER(SEARCH("sp.", $C54)))),
        VLOOKUP($C54, 'Tree List'!$C$3:$F$601, 4, FALSE),
        ""
    ),
"")</f>
        <v/>
      </c>
      <c r="L54" s="328" t="str" cm="1">
        <f t="array" ref="L54">IFERROR(
IF(
    AND($H54="Zoning: Tree Points", NOT(ISNUMBER(SEARCH("sp.", $C54)))),
    _xlfn.IFS(
        (COUNTIFS('Tree List'!$C$3:$C$601,$C54,'Tree List'!$D$3:$D$601,"Coniferous")
        + COUNTIFS('Tree List'!$C$3:$C$601,$C54,'Tree List'!$D$3:$D$601,"Deciduous Conifer")) &gt; 0,
            _xlfn.IFS($K54="Small",0.5,$K54="Small/Medium",1,$K54="Medium/Large",1.4,$K54="Large",1.8),
        (COUNTIFS('Tree List'!$C$3:$C$601,$C54,'Tree List'!$D$3:$D$601,"Deciduous")
        + COUNTIFS('Tree List'!$C$3:$C$601,$C54,'Tree List'!$D$3:$D$601,"Broadleaf Evergreen")) &gt; 0,
            _xlfn.IFS($K54="Small",0.4,$K54="Small/Medium",0.8,$K54="Medium/Large",1.2,$K54="Large",1.6)
    ),
    ""
),
"")</f>
        <v/>
      </c>
      <c r="M54" s="476" t="str">
        <f t="shared" si="0"/>
        <v/>
      </c>
      <c r="N54" s="347" t="str" cm="1">
        <f t="array" aca="1" ref="N5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IF(AND(_xlpm.baseRow,ISNA(MATCH($C54,'Tree List'!$C$3:$C$601,0)),SUMPRODUCT(--ISNUMBER(SEARCH(Tables2!$C$677:$C$772,$O54)))&gt;0),
Error!$B$57,
IF(AND(_xlpm.hasDM,$F54="Remove",$H54&lt;&gt;"",OR($I54="On-site replacement",$I54="Off-site replacement",$I54="Payment In Lieu")),
Error!$B$56,
IF(AND(_xlpm.hasDM,$F54="Remove",$H54&lt;&gt;"",$I54="Relocation"),
Error!$B$66,
IF(AND(OR(_xlpm.hasCN,_xlpm.hasPH,_xlpm.hasGR),$H54&lt;&gt;"",COUNTIF(Tables!$B$132:$B$134,$H54)&gt;0,$I54="N/A (No replacement required)"),
Error!$B$62,
IF(AND(_xlpm.baseRow,$E54&lt;&gt;"",ISNA(MATCH($E54,Tables!$B$225:$B$232,0))),
Error!$B$2,
IF(AND(_xlpm.baseRow,$F54&lt;&gt;"",ISNA(MATCH($F54,Tables!$B$234:$B$235,0))),
Error!$B$24,
IF(AND(_xlpm.baseRow,_xlpm.ECA_H&gt;0,_xlpm.Shore_H&gt;0),
Error!$B$16,
IF(AND(_xlpm.baseRow,$E54&lt;&gt;"",$D54=""),
Error!$B$3,
IF(AND(_xlpm.baseRow,OR($E54="Tier 3",$E54="Tier 4"),$C54&lt;&gt;"",$D54&gt;=24,COUNTIF(Tables2!$B$166:$B$674,$C54)&gt;0),
Error!$B$44,
IF(AND(_xlpm.baseRow,OR($E54="Tier 3",$E54="Tier 4"),$C54&lt;&gt;"",$D54&lt;&gt;"",COUNTIF(Tables2!$B$73:$B$152,$C54)&gt;0,
$D54&gt;=IFERROR(INDEX(Tables2!$C$73:$C$152,MATCH($C54,Tables2!$B$73:$B$152,0)),-1)),
Error!$B$44,
IF(AND(_xlpm.baseRow,OR($E54="Tier 2",$E54="Tier 2 Grove"),$C54&lt;&gt;"",$D54&gt;=12,COUNTIF(Tables2!$B$153:$B$162,$C54)&gt;0),
Error!$B$45,
IF(AND(_xlpm.baseRow,$E54="Tier 2 Grove",$D54&lt;12),
Error!$B$41,
IF(AND(_xlpm.baseRow,$E54="Tier 2",$D54&lt;5.88),
Error!$B$40,
IF(AND(_xlpm.baseRow,OR($E54="Tier 2",$E54="Tier 2 Grove"),$C54&lt;&gt;"",$D54&lt;12,$D54&gt;=6,COUNTIF(Tables2!$B$153:$B$162,$C54)&gt;0),
Error!$B$54,
IF(AND(_xlpm.baseRow,$E54="Tier 2",COUNTIF(Tables2!$B$166:$B$674,$C54)&gt;0,$D54&lt;24),
Error!$B$54,
IF(AND(_xlpm.baseRow,$E54="Tier 3",ISNA(MATCH($C54,Tables2!$B$153:$B$162,0)),OR($D54&lt;12,$D54&gt;=24)),
Error!$B$9,
IF(AND(_xlpm.baseRow,$E54="Tier 3",COUNTIF(Tables2!$B$153:$B$162,$C54)&gt;0,$D54&lt;12),
Error!$B$46,
IF(AND(_xlpm.baseRow,$E54="Tier 4",OR($D54&lt;6,$D54&gt;=12)),
Error!$B$10,
IF(AND(_xlpm.baseRow,$E54="&lt;6in DSH for Tree Points",OR($D54&gt;=6,$D54="")),
Error!$B$8,
IF(AND(_xlpm.baseRow,$E54="Street Tree for Green Factor",$F54&lt;&gt;"",$F54&lt;&gt;"Retain"),
Error!$B$14,
IF(AND($E54="&lt;6in DSH for Tree Points",$F54="Retain",$H54&lt;&gt;"",ISNA(MATCH($H54,Tables!$B$174:$B$174,0))),
Error!$B$15,
IF(AND($E54="Street Tree for Green Factor",$F54="Retain",$H54&lt;&gt;"",$H54&lt;&gt;"Zoning: Green Factor"),
Error!$B$15,
IF(AND($E54="ECA / Shoreline Tree",$F54="Remove",$H54&lt;&gt;"",ISNA(MATCH($H54,Tables!$B$189:$B$190,0))),
Error!$B$15,
IF(AND($E54="ECA / Shoreline Tree",$F54="Retain",$H54&lt;&gt;"",ISNA(MATCH($H54,Tables!$B$184:$B$186,0))),
Error!$B$15,
IF(AND($E54="Tier 4",$F54="Remove",$H54&lt;&gt;"",ISNA(MATCH($H54,Tables!$B$171,0))),
Error!$B$15,
IF(AND($E54="Tier 4",$F54="Retain",$H54&lt;&gt;"",ISNA(MATCH($H54,Tables!$B$166:$B$168,0))),
Error!$B$15,
IF(AND($E54="Tier 3",$F54="Retain",$H54&lt;&gt;"",ISNA(MATCH($H54,Tables!$B$158:$B$160,0))),
Error!$B$15,
IF(AND($E54="Tier 3",$F54="Remove",$H54&lt;&gt;"",ISNA(MATCH($H54,Tables!$B$163,0))),
Error!$B$15,
IF(AND(OR($E54="Tier 2",$E54="Tier 2 Grove"),$F54="Remove",$H54&lt;&gt;"",ISNA(MATCH($H54,Tables!$B$153:$B$155,0))),
Error!$B$15,
IF(AND(OR($E54="Tier 2",$E54="Tier 2 Grove"),$F54="Retain",$H54&lt;&gt;"",ISNA(MATCH($H54,Tables!$B$147:$B$150,0))),
Error!$B$15,
IF(AND($E54="Tier 1",$F54="Remove",$H54&lt;&gt;"",ISNA(MATCH($H54,Tables!$B$143:$B$144,0))),
Error!$B$15,
IF(AND($E54="Tier 1",$F54="Retain",$H54&lt;&gt;"",ISNA(MATCH($H54,Tables!$B$137:$B$140,0))),
Error!$B$15,
IF(AND($E54&lt;&gt;"Tier 2",$E54&lt;&gt;"Tier 2 Grove",$E54&lt;&gt;"Tier 3",$E54&lt;&gt;"Tier 4",$H54="Zoning: Green Factor",OR($D54="",$D54&lt;6)),
Error!$B$11,
IF(AND(_xlpm.baseRow,$D54&lt;6,$E54="&lt;6in DSH for Tree Points",_xlpm.TreePoints_H=0),
Error!$B$21,
IF(AND(_xlpm.baseRow,$E54&lt;&gt;"",$D54&lt;&gt;"",$F54=""),
Error!$B$4,
IF(AND(_xlpm.baseRow,$F54="Remove",OR($E54="Tier 1",$E54="Tier 2",$E54="Tier 2 Grove"),COUNTBLANK(_xlpm.HRange)&lt;3,_xlpm.uniqueH&gt;=2),
Error!$B$48,
IF(AND(_xlpm.baseRow,$F54="Retain",OR($E54="Tier 1",$E54="Tier 2",$E54="Tier 2 Grove"),COUNTIF(_xlpm.HRange,"Tree Code: Required to Retain Tier 1-2 Tree")=0),
Error!$B$47,
IF(AND(_xlpm.baseRow,$E54&lt;&gt;"",$D54&lt;&gt;"",$F54&lt;&gt;"",COUNTBLANK(_xlpm.HRange)=4),
Error!$B$5,
IF(AND($F54="Remove",$H54&lt;&gt;"",$I54=""),
Error!$B$18,
IF(AND($E54="Tier 4",$F54="Remove",$H54="Tree Protection Code: Tier 3 or Tier 4 Allowance",$H54&lt;&gt;"",ISNA(MATCH($I54,Tables!$B$200,0))),
Error!$B$17,
IF(AND($E54="Tier 3",$F54="Remove",$H54&lt;&gt;"",$H54="Tree Protection Code: Tier 3 or Tier 4 Allowance",OR($I54="",ISNA(MATCH($I54,Tables!$B$193:$B$197,0)))),
Error!$B$17,
IF(AND(OR($E54="Tier 2",$E54="Tier 2 Grove"),$F54="Remove",$H54="Tree Protection Code: Other removal allowance or exemption",$I54&lt;&gt;"",ISNA(MATCH($I54,Tables!$B$215:$B$218,0))),
Error!$B$17,
IF(AND(OR($E54="Tier 2",$E54="Tier 2 Grove"),$F54="Remove",$H54="Tree Protection Code: Development Capacity",$I54&lt;&gt;"",ISNA(MATCH($I54,Tables!$B$193:$B$197,0))),
Error!$B$17,
IF(AND(OR($E54="Tier 2",$E54="Tier 2 Grove"),$F54="Remove",$H54="Tree Protection Code: Necessary for Construction",$I54&lt;&gt;"",ISNA(MATCH($I54,Tables!$B$193:$B$197,0))),
Error!$B$17,
IF(AND($E54="Tier 1",$F54="Remove",$H54="Tree Protection Code: Special Exception",$I54&lt;&gt;"",ISNA(MATCH($I54,Tables!$B$215:$B$218,0))),
Error!$B$17,
IF(AND($E54="Tier 1",$F54="Remove",$H54="Tree Protection Code: Other removal allowance or exemption",$I54&lt;&gt;"",ISNA(MATCH($I54,Tables!$B$215:$B$218,0))),
Error!$B$17,
IF(AND($E54="ECA / Shoreline Tree",$F54="Remove",$H54&lt;&gt;"",OR($H54="Shoreline",$H54="Environmental Critical Area (ECA)"),ISNA(MATCH($I54,Tables!$B$209:$B$212,0))),
Error!$B$17,
IF(AND(_xlpm.baseRow,$F54="Retain",$E54="ECA / Shoreline Tree",_xlpm.ECA_Short=0),
Error!$B$61,
IF(AND($F54="Remove",ISNUMBER(MATCH($E54,{"Tier 1","Tier 2","Tier 3","Tier 4","Tier 2 Grove"},0)),ISNUMBER(MATCH($I54,{"On-site replacement","Off-site replacement"},0)),$J54="",$H54&lt;&gt;""),
Error!$B$19,
IF(AND(_xlpm.baseRow,$E54&lt;&gt;"",$D54&lt;&gt;"",$F54&lt;&gt;"",COUNTBLANK($B54:$C54)&gt;0,COUNTBLANK(_xlpm.HRange)&lt;&gt;4),
Error!$B$22,
IF(AND($H54="Zoning: Tree Points",$K54&lt;&gt;"",ISNA(MATCH($K54,Tables!$B$242:$B$253,0))),
Error!$B$58,
IF(AND($H54="Zoning: Tree Points",$K54="Small",$L54&lt;&gt;"",ISNA(MATCH($L54,Tables!$C$243:$C$244,0))),
Error!$B$59,
IF(AND($H54="Zoning: Tree Points",$K54="Small/Medium",$L54&lt;&gt;"",ISNA(MATCH($L54,Tables!$C$246:$C$247,0))),
Error!$B$59,
IF(AND($H54="Zoning: Tree Points",$K54="Medium/Large",$L54&lt;&gt;"",ISNA(MATCH($L54,Tables!$C$249:$C$250,0))),
Error!$B$59,
IF(AND($H54="Zoning: Tree Points",$K54="Large",$L54&lt;&gt;"",ISNA(MATCH($L54,Tables!$C$252:$C$253,0))),
Error!$B$59,
IF(AND($F54="Retain",$H54="Zoning: Tree Points",$C54&lt;&gt;"",$D54&lt;&gt;"",OR($K54="",$L54="",$M54="")),
Error!$B$20,
""
)))))))))))))))))))))))))))))))))))))))))))))))))))))))),
Error!$B$23))</f>
        <v/>
      </c>
      <c r="O54" s="343" t="str" cm="1">
        <f t="array" aca="1" ref="O54" ca="1">IFERROR(_xlfn.LET(
    _xlpm.txt, $C54,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5" spans="1:15" ht="15" thickBot="1" x14ac:dyDescent="0.35">
      <c r="A55" s="311">
        <v>12</v>
      </c>
      <c r="B55" s="312"/>
      <c r="C55" s="313"/>
      <c r="D55" s="478"/>
      <c r="E55" s="314"/>
      <c r="F55" s="314"/>
      <c r="G55" s="315" t="str">
        <f>IF(Tree_Table1[[#This Row],[Tree Status  &amp;]]="Retain", Tables!$B$237, IF(Tree_Table1[[#This Row],[Tree Status  &amp;]]="Remove", Tables!$B$238, ""))</f>
        <v/>
      </c>
      <c r="H55" s="316"/>
      <c r="I55" s="317"/>
      <c r="J55" s="452"/>
      <c r="K55" s="318" t="str">
        <f>IFERROR(
    IF(
        AND($H55="Zoning: Tree Points", NOT(ISNUMBER(SEARCH("sp.", $C55)))),
        VLOOKUP($C55, 'Tree List'!$C$3:$F$601, 4, FALSE),
        ""
    ),
"")</f>
        <v/>
      </c>
      <c r="L55" s="319" t="str" cm="1">
        <f t="array" ref="L55">IFERROR(
IF(
    AND($H55="Zoning: Tree Points", NOT(ISNUMBER(SEARCH("sp.", $C55)))),
    _xlfn.IFS(
        (COUNTIFS('Tree List'!$C$3:$C$601,$C55,'Tree List'!$D$3:$D$601,"Coniferous")
        + COUNTIFS('Tree List'!$C$3:$C$601,$C55,'Tree List'!$D$3:$D$601,"Deciduous Conifer")) &gt; 0,
            _xlfn.IFS($K55="Small",0.5,$K55="Small/Medium",1,$K55="Medium/Large",1.4,$K55="Large",1.8),
        (COUNTIFS('Tree List'!$C$3:$C$601,$C55,'Tree List'!$D$3:$D$601,"Deciduous")
        + COUNTIFS('Tree List'!$C$3:$C$601,$C55,'Tree List'!$D$3:$D$601,"Broadleaf Evergreen")) &gt; 0,
            _xlfn.IFS($K55="Small",0.4,$K55="Small/Medium",0.8,$K55="Medium/Large",1.2,$K55="Large",1.6)
    ),
    ""
),
"")</f>
        <v/>
      </c>
      <c r="M55" s="474" t="str">
        <f t="shared" si="0"/>
        <v/>
      </c>
      <c r="N55" s="620" t="str" cm="1">
        <f t="array" aca="1" ref="N5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IF(AND(_xlpm.baseRow,ISNA(MATCH($C55,'Tree List'!$C$3:$C$601,0)),SUMPRODUCT(--ISNUMBER(SEARCH(Tables2!$C$677:$C$772,$O55)))&gt;0),
Error!$B$57,
IF(AND(_xlpm.hasDM,$F55="Remove",$H55&lt;&gt;"",OR($I55="On-site replacement",$I55="Off-site replacement",$I55="Payment In Lieu")),
Error!$B$56,
IF(AND(_xlpm.hasDM,$F55="Remove",$H55&lt;&gt;"",$I55="Relocation"),
Error!$B$66,
IF(AND(OR(_xlpm.hasCN,_xlpm.hasPH,_xlpm.hasGR),$H55&lt;&gt;"",COUNTIF(Tables!$B$132:$B$134,$H55)&gt;0,$I55="N/A (No replacement required)"),
Error!$B$62,
IF(AND(_xlpm.baseRow,$E55&lt;&gt;"",ISNA(MATCH($E55,Tables!$B$225:$B$232,0))),
Error!$B$2,
IF(AND(_xlpm.baseRow,$F55&lt;&gt;"",ISNA(MATCH($F55,Tables!$B$234:$B$235,0))),
Error!$B$24,
IF(AND(_xlpm.baseRow,_xlpm.ECA_H&gt;0,_xlpm.Shore_H&gt;0),
Error!$B$16,
IF(AND(_xlpm.baseRow,$E55&lt;&gt;"",$D55=""),
Error!$B$3,
IF(AND(_xlpm.baseRow,OR($E55="Tier 3",$E55="Tier 4"),$C55&lt;&gt;"",$D55&gt;=24,COUNTIF(Tables2!$B$166:$B$674,$C55)&gt;0),
Error!$B$44,
IF(AND(_xlpm.baseRow,OR($E55="Tier 3",$E55="Tier 4"),$C55&lt;&gt;"",$D55&lt;&gt;"",COUNTIF(Tables2!$B$73:$B$152,$C55)&gt;0,
$D55&gt;=IFERROR(INDEX(Tables2!$C$73:$C$152,MATCH($C55,Tables2!$B$73:$B$152,0)),-1)),
Error!$B$44,
IF(AND(_xlpm.baseRow,OR($E55="Tier 2",$E55="Tier 2 Grove"),$C55&lt;&gt;"",$D55&gt;=12,COUNTIF(Tables2!$B$153:$B$162,$C55)&gt;0),
Error!$B$45,
IF(AND(_xlpm.baseRow,$E55="Tier 2 Grove",$D55&lt;12),
Error!$B$41,
IF(AND(_xlpm.baseRow,$E55="Tier 2",$D55&lt;5.88),
Error!$B$40,
IF(AND(_xlpm.baseRow,OR($E55="Tier 2",$E55="Tier 2 Grove"),$C55&lt;&gt;"",$D55&lt;12,$D55&gt;=6,COUNTIF(Tables2!$B$153:$B$162,$C55)&gt;0),
Error!$B$54,
IF(AND(_xlpm.baseRow,$E55="Tier 2",COUNTIF(Tables2!$B$166:$B$674,$C55)&gt;0,$D55&lt;24),
Error!$B$54,
IF(AND(_xlpm.baseRow,$E55="Tier 3",ISNA(MATCH($C55,Tables2!$B$153:$B$162,0)),OR($D55&lt;12,$D55&gt;=24)),
Error!$B$9,
IF(AND(_xlpm.baseRow,$E55="Tier 3",COUNTIF(Tables2!$B$153:$B$162,$C55)&gt;0,$D55&lt;12),
Error!$B$46,
IF(AND(_xlpm.baseRow,$E55="Tier 4",OR($D55&lt;6,$D55&gt;=12)),
Error!$B$10,
IF(AND(_xlpm.baseRow,$E55="&lt;6in DSH for Tree Points",OR($D55&gt;=6,$D55="")),
Error!$B$8,
IF(AND(_xlpm.baseRow,$E55="Street Tree for Green Factor",$F55&lt;&gt;"",$F55&lt;&gt;"Retain"),
Error!$B$14,
IF(AND($E55="&lt;6in DSH for Tree Points",$F55="Retain",$H55&lt;&gt;"",ISNA(MATCH($H55,Tables!$B$174:$B$174,0))),
Error!$B$15,
IF(AND($E55="Street Tree for Green Factor",$F55="Retain",$H55&lt;&gt;"",$H55&lt;&gt;"Zoning: Green Factor"),
Error!$B$15,
IF(AND($E55="ECA / Shoreline Tree",$F55="Remove",$H55&lt;&gt;"",ISNA(MATCH($H55,Tables!$B$189:$B$190,0))),
Error!$B$15,
IF(AND($E55="ECA / Shoreline Tree",$F55="Retain",$H55&lt;&gt;"",ISNA(MATCH($H55,Tables!$B$184:$B$186,0))),
Error!$B$15,
IF(AND($E55="Tier 4",$F55="Remove",$H55&lt;&gt;"",ISNA(MATCH($H55,Tables!$B$171,0))),
Error!$B$15,
IF(AND($E55="Tier 4",$F55="Retain",$H55&lt;&gt;"",ISNA(MATCH($H55,Tables!$B$166:$B$168,0))),
Error!$B$15,
IF(AND($E55="Tier 3",$F55="Retain",$H55&lt;&gt;"",ISNA(MATCH($H55,Tables!$B$158:$B$160,0))),
Error!$B$15,
IF(AND($E55="Tier 3",$F55="Remove",$H55&lt;&gt;"",ISNA(MATCH($H55,Tables!$B$163,0))),
Error!$B$15,
IF(AND(OR($E55="Tier 2",$E55="Tier 2 Grove"),$F55="Remove",$H55&lt;&gt;"",ISNA(MATCH($H55,Tables!$B$153:$B$155,0))),
Error!$B$15,
IF(AND(OR($E55="Tier 2",$E55="Tier 2 Grove"),$F55="Retain",$H55&lt;&gt;"",ISNA(MATCH($H55,Tables!$B$147:$B$150,0))),
Error!$B$15,
IF(AND($E55="Tier 1",$F55="Remove",$H55&lt;&gt;"",ISNA(MATCH($H55,Tables!$B$143:$B$144,0))),
Error!$B$15,
IF(AND($E55="Tier 1",$F55="Retain",$H55&lt;&gt;"",ISNA(MATCH($H55,Tables!$B$137:$B$140,0))),
Error!$B$15,
IF(AND($E55&lt;&gt;"Tier 2",$E55&lt;&gt;"Tier 2 Grove",$E55&lt;&gt;"Tier 3",$E55&lt;&gt;"Tier 4",$H55="Zoning: Green Factor",OR($D55="",$D55&lt;6)),
Error!$B$11,
IF(AND(_xlpm.baseRow,$D55&lt;6,$E55="&lt;6in DSH for Tree Points",_xlpm.TreePoints_H=0),
Error!$B$21,
IF(AND(_xlpm.baseRow,$E55&lt;&gt;"",$D55&lt;&gt;"",$F55=""),
Error!$B$4,
IF(AND(_xlpm.baseRow,$F55="Remove",OR($E55="Tier 1",$E55="Tier 2",$E55="Tier 2 Grove"),COUNTBLANK(_xlpm.HRange)&lt;3,_xlpm.uniqueH&gt;=2),
Error!$B$48,
IF(AND(_xlpm.baseRow,$F55="Retain",OR($E55="Tier 1",$E55="Tier 2",$E55="Tier 2 Grove"),COUNTIF(_xlpm.HRange,"Tree Code: Required to Retain Tier 1-2 Tree")=0),
Error!$B$47,
IF(AND(_xlpm.baseRow,$E55&lt;&gt;"",$D55&lt;&gt;"",$F55&lt;&gt;"",COUNTBLANK(_xlpm.HRange)=4),
Error!$B$5,
IF(AND($F55="Remove",$H55&lt;&gt;"",$I55=""),
Error!$B$18,
IF(AND($E55="Tier 4",$F55="Remove",$H55="Tree Protection Code: Tier 3 or Tier 4 Allowance",$H55&lt;&gt;"",ISNA(MATCH($I55,Tables!$B$200,0))),
Error!$B$17,
IF(AND($E55="Tier 3",$F55="Remove",$H55&lt;&gt;"",$H55="Tree Protection Code: Tier 3 or Tier 4 Allowance",OR($I55="",ISNA(MATCH($I55,Tables!$B$193:$B$197,0)))),
Error!$B$17,
IF(AND(OR($E55="Tier 2",$E55="Tier 2 Grove"),$F55="Remove",$H55="Tree Protection Code: Other removal allowance or exemption",$I55&lt;&gt;"",ISNA(MATCH($I55,Tables!$B$215:$B$218,0))),
Error!$B$17,
IF(AND(OR($E55="Tier 2",$E55="Tier 2 Grove"),$F55="Remove",$H55="Tree Protection Code: Development Capacity",$I55&lt;&gt;"",ISNA(MATCH($I55,Tables!$B$193:$B$197,0))),
Error!$B$17,
IF(AND(OR($E55="Tier 2",$E55="Tier 2 Grove"),$F55="Remove",$H55="Tree Protection Code: Necessary for Construction",$I55&lt;&gt;"",ISNA(MATCH($I55,Tables!$B$193:$B$197,0))),
Error!$B$17,
IF(AND($E55="Tier 1",$F55="Remove",$H55="Tree Protection Code: Special Exception",$I55&lt;&gt;"",ISNA(MATCH($I55,Tables!$B$215:$B$218,0))),
Error!$B$17,
IF(AND($E55="Tier 1",$F55="Remove",$H55="Tree Protection Code: Other removal allowance or exemption",$I55&lt;&gt;"",ISNA(MATCH($I55,Tables!$B$215:$B$218,0))),
Error!$B$17,
IF(AND($E55="ECA / Shoreline Tree",$F55="Remove",$H55&lt;&gt;"",OR($H55="Shoreline",$H55="Environmental Critical Area (ECA)"),ISNA(MATCH($I55,Tables!$B$209:$B$212,0))),
Error!$B$17,
IF(AND(_xlpm.baseRow,$F55="Retain",$E55="ECA / Shoreline Tree",_xlpm.ECA_Short=0),
Error!$B$61,
IF(AND($F55="Remove",ISNUMBER(MATCH($E55,{"Tier 1","Tier 2","Tier 3","Tier 4","Tier 2 Grove"},0)),ISNUMBER(MATCH($I55,{"On-site replacement","Off-site replacement"},0)),$J55="",$H55&lt;&gt;""),
Error!$B$19,
IF(AND(_xlpm.baseRow,$E55&lt;&gt;"",$D55&lt;&gt;"",$F55&lt;&gt;"",COUNTBLANK($B55:$C55)&gt;0,COUNTBLANK(_xlpm.HRange)&lt;&gt;4),
Error!$B$22,
IF(AND($H55="Zoning: Tree Points",$K55&lt;&gt;"",ISNA(MATCH($K55,Tables!$B$242:$B$253,0))),
Error!$B$58,
IF(AND($H55="Zoning: Tree Points",$K55="Small",$L55&lt;&gt;"",ISNA(MATCH($L55,Tables!$C$243:$C$244,0))),
Error!$B$59,
IF(AND($H55="Zoning: Tree Points",$K55="Small/Medium",$L55&lt;&gt;"",ISNA(MATCH($L55,Tables!$C$246:$C$247,0))),
Error!$B$59,
IF(AND($H55="Zoning: Tree Points",$K55="Medium/Large",$L55&lt;&gt;"",ISNA(MATCH($L55,Tables!$C$249:$C$250,0))),
Error!$B$59,
IF(AND($H55="Zoning: Tree Points",$K55="Large",$L55&lt;&gt;"",ISNA(MATCH($L55,Tables!$C$252:$C$253,0))),
Error!$B$59,
IF(AND($F55="Retain",$H55="Zoning: Tree Points",$C55&lt;&gt;"",$D55&lt;&gt;"",OR($K55="",$L55="",$M55="")),
Error!$B$20,
""
)))))))))))))))))))))))))))))))))))))))))))))))))))))))),
Error!$B$23))</f>
        <v/>
      </c>
      <c r="O55" s="343" t="str" cm="1">
        <f t="array" aca="1" ref="O55" ca="1">IFERROR(_xlfn.LET(
    _xlpm.txt, $C55,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6" spans="1:15" x14ac:dyDescent="0.3">
      <c r="A56" s="332"/>
      <c r="B56" s="616" t="str">
        <f t="shared" ref="B56:B58" si="18">IF($B55="", "", $B55)</f>
        <v/>
      </c>
      <c r="C56" s="617" t="str">
        <f>IF($C55="", "", $C55)</f>
        <v/>
      </c>
      <c r="D56" s="618" t="str">
        <f t="shared" ref="D56:D58" si="19">IF($D55="", "", $D55)</f>
        <v/>
      </c>
      <c r="E56" s="616" t="str">
        <f>IF($E55="", "", $E55)</f>
        <v/>
      </c>
      <c r="F56" s="616" t="str">
        <f>IF($F55="", "", $F55)</f>
        <v/>
      </c>
      <c r="G56" s="619" t="str">
        <f>IF(Tree_Table1[[#This Row],[Tree Status  &amp;]]="Retain", Tables!$B$237, IF(Tree_Table1[[#This Row],[Tree Status  &amp;]]="Remove", Tables!$B$238, ""))</f>
        <v/>
      </c>
      <c r="H56" s="321"/>
      <c r="I56" s="322"/>
      <c r="J56" s="453"/>
      <c r="K56" s="323" t="str">
        <f>IFERROR(
    IF(
        AND($H56="Zoning: Tree Points", NOT(ISNUMBER(SEARCH("sp.", $C56)))),
        VLOOKUP($C56, 'Tree List'!$C$3:$F$601, 4, FALSE),
        ""
    ),
"")</f>
        <v/>
      </c>
      <c r="L56" s="324" t="str" cm="1">
        <f t="array" ref="L56">IFERROR(
IF(
    AND($H56="Zoning: Tree Points", NOT(ISNUMBER(SEARCH("sp.", $C56)))),
    _xlfn.IFS(
        (COUNTIFS('Tree List'!$C$3:$C$601,$C56,'Tree List'!$D$3:$D$601,"Coniferous")
        + COUNTIFS('Tree List'!$C$3:$C$601,$C56,'Tree List'!$D$3:$D$601,"Deciduous Conifer")) &gt; 0,
            _xlfn.IFS($K56="Small",0.5,$K56="Small/Medium",1,$K56="Medium/Large",1.4,$K56="Large",1.8),
        (COUNTIFS('Tree List'!$C$3:$C$601,$C56,'Tree List'!$D$3:$D$601,"Deciduous")
        + COUNTIFS('Tree List'!$C$3:$C$601,$C56,'Tree List'!$D$3:$D$601,"Broadleaf Evergreen")) &gt; 0,
            _xlfn.IFS($K56="Small",0.4,$K56="Small/Medium",0.8,$K56="Medium/Large",1.2,$K56="Large",1.6)
    ),
    ""
),
"")</f>
        <v/>
      </c>
      <c r="M56" s="475" t="str">
        <f t="shared" si="0"/>
        <v/>
      </c>
      <c r="N56" s="346" t="str" cm="1">
        <f t="array" aca="1" ref="N5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IF(AND(_xlpm.baseRow,ISNA(MATCH($C56,'Tree List'!$C$3:$C$601,0)),SUMPRODUCT(--ISNUMBER(SEARCH(Tables2!$C$677:$C$772,$O56)))&gt;0),
Error!$B$57,
IF(AND(_xlpm.hasDM,$F56="Remove",$H56&lt;&gt;"",OR($I56="On-site replacement",$I56="Off-site replacement",$I56="Payment In Lieu")),
Error!$B$56,
IF(AND(_xlpm.hasDM,$F56="Remove",$H56&lt;&gt;"",$I56="Relocation"),
Error!$B$66,
IF(AND(OR(_xlpm.hasCN,_xlpm.hasPH,_xlpm.hasGR),$H56&lt;&gt;"",COUNTIF(Tables!$B$132:$B$134,$H56)&gt;0,$I56="N/A (No replacement required)"),
Error!$B$62,
IF(AND(_xlpm.baseRow,$E56&lt;&gt;"",ISNA(MATCH($E56,Tables!$B$225:$B$232,0))),
Error!$B$2,
IF(AND(_xlpm.baseRow,$F56&lt;&gt;"",ISNA(MATCH($F56,Tables!$B$234:$B$235,0))),
Error!$B$24,
IF(AND(_xlpm.baseRow,_xlpm.ECA_H&gt;0,_xlpm.Shore_H&gt;0),
Error!$B$16,
IF(AND(_xlpm.baseRow,$E56&lt;&gt;"",$D56=""),
Error!$B$3,
IF(AND(_xlpm.baseRow,OR($E56="Tier 3",$E56="Tier 4"),$C56&lt;&gt;"",$D56&gt;=24,COUNTIF(Tables2!$B$166:$B$674,$C56)&gt;0),
Error!$B$44,
IF(AND(_xlpm.baseRow,OR($E56="Tier 3",$E56="Tier 4"),$C56&lt;&gt;"",$D56&lt;&gt;"",COUNTIF(Tables2!$B$73:$B$152,$C56)&gt;0,
$D56&gt;=IFERROR(INDEX(Tables2!$C$73:$C$152,MATCH($C56,Tables2!$B$73:$B$152,0)),-1)),
Error!$B$44,
IF(AND(_xlpm.baseRow,OR($E56="Tier 2",$E56="Tier 2 Grove"),$C56&lt;&gt;"",$D56&gt;=12,COUNTIF(Tables2!$B$153:$B$162,$C56)&gt;0),
Error!$B$45,
IF(AND(_xlpm.baseRow,$E56="Tier 2 Grove",$D56&lt;12),
Error!$B$41,
IF(AND(_xlpm.baseRow,$E56="Tier 2",$D56&lt;5.88),
Error!$B$40,
IF(AND(_xlpm.baseRow,OR($E56="Tier 2",$E56="Tier 2 Grove"),$C56&lt;&gt;"",$D56&lt;12,$D56&gt;=6,COUNTIF(Tables2!$B$153:$B$162,$C56)&gt;0),
Error!$B$54,
IF(AND(_xlpm.baseRow,$E56="Tier 2",COUNTIF(Tables2!$B$166:$B$674,$C56)&gt;0,$D56&lt;24),
Error!$B$54,
IF(AND(_xlpm.baseRow,$E56="Tier 3",ISNA(MATCH($C56,Tables2!$B$153:$B$162,0)),OR($D56&lt;12,$D56&gt;=24)),
Error!$B$9,
IF(AND(_xlpm.baseRow,$E56="Tier 3",COUNTIF(Tables2!$B$153:$B$162,$C56)&gt;0,$D56&lt;12),
Error!$B$46,
IF(AND(_xlpm.baseRow,$E56="Tier 4",OR($D56&lt;6,$D56&gt;=12)),
Error!$B$10,
IF(AND(_xlpm.baseRow,$E56="&lt;6in DSH for Tree Points",OR($D56&gt;=6,$D56="")),
Error!$B$8,
IF(AND(_xlpm.baseRow,$E56="Street Tree for Green Factor",$F56&lt;&gt;"",$F56&lt;&gt;"Retain"),
Error!$B$14,
IF(AND($E56="&lt;6in DSH for Tree Points",$F56="Retain",$H56&lt;&gt;"",ISNA(MATCH($H56,Tables!$B$174:$B$174,0))),
Error!$B$15,
IF(AND($E56="Street Tree for Green Factor",$F56="Retain",$H56&lt;&gt;"",$H56&lt;&gt;"Zoning: Green Factor"),
Error!$B$15,
IF(AND($E56="ECA / Shoreline Tree",$F56="Remove",$H56&lt;&gt;"",ISNA(MATCH($H56,Tables!$B$189:$B$190,0))),
Error!$B$15,
IF(AND($E56="ECA / Shoreline Tree",$F56="Retain",$H56&lt;&gt;"",ISNA(MATCH($H56,Tables!$B$184:$B$186,0))),
Error!$B$15,
IF(AND($E56="Tier 4",$F56="Remove",$H56&lt;&gt;"",ISNA(MATCH($H56,Tables!$B$171,0))),
Error!$B$15,
IF(AND($E56="Tier 4",$F56="Retain",$H56&lt;&gt;"",ISNA(MATCH($H56,Tables!$B$166:$B$168,0))),
Error!$B$15,
IF(AND($E56="Tier 3",$F56="Retain",$H56&lt;&gt;"",ISNA(MATCH($H56,Tables!$B$158:$B$160,0))),
Error!$B$15,
IF(AND($E56="Tier 3",$F56="Remove",$H56&lt;&gt;"",ISNA(MATCH($H56,Tables!$B$163,0))),
Error!$B$15,
IF(AND(OR($E56="Tier 2",$E56="Tier 2 Grove"),$F56="Remove",$H56&lt;&gt;"",ISNA(MATCH($H56,Tables!$B$153:$B$155,0))),
Error!$B$15,
IF(AND(OR($E56="Tier 2",$E56="Tier 2 Grove"),$F56="Retain",$H56&lt;&gt;"",ISNA(MATCH($H56,Tables!$B$147:$B$150,0))),
Error!$B$15,
IF(AND($E56="Tier 1",$F56="Remove",$H56&lt;&gt;"",ISNA(MATCH($H56,Tables!$B$143:$B$144,0))),
Error!$B$15,
IF(AND($E56="Tier 1",$F56="Retain",$H56&lt;&gt;"",ISNA(MATCH($H56,Tables!$B$137:$B$140,0))),
Error!$B$15,
IF(AND($E56&lt;&gt;"Tier 2",$E56&lt;&gt;"Tier 2 Grove",$E56&lt;&gt;"Tier 3",$E56&lt;&gt;"Tier 4",$H56="Zoning: Green Factor",OR($D56="",$D56&lt;6)),
Error!$B$11,
IF(AND(_xlpm.baseRow,$D56&lt;6,$E56="&lt;6in DSH for Tree Points",_xlpm.TreePoints_H=0),
Error!$B$21,
IF(AND(_xlpm.baseRow,$E56&lt;&gt;"",$D56&lt;&gt;"",$F56=""),
Error!$B$4,
IF(AND(_xlpm.baseRow,$F56="Remove",OR($E56="Tier 1",$E56="Tier 2",$E56="Tier 2 Grove"),COUNTBLANK(_xlpm.HRange)&lt;3,_xlpm.uniqueH&gt;=2),
Error!$B$48,
IF(AND(_xlpm.baseRow,$F56="Retain",OR($E56="Tier 1",$E56="Tier 2",$E56="Tier 2 Grove"),COUNTIF(_xlpm.HRange,"Tree Code: Required to Retain Tier 1-2 Tree")=0),
Error!$B$47,
IF(AND(_xlpm.baseRow,$E56&lt;&gt;"",$D56&lt;&gt;"",$F56&lt;&gt;"",COUNTBLANK(_xlpm.HRange)=4),
Error!$B$5,
IF(AND($F56="Remove",$H56&lt;&gt;"",$I56=""),
Error!$B$18,
IF(AND($E56="Tier 4",$F56="Remove",$H56="Tree Protection Code: Tier 3 or Tier 4 Allowance",$H56&lt;&gt;"",ISNA(MATCH($I56,Tables!$B$200,0))),
Error!$B$17,
IF(AND($E56="Tier 3",$F56="Remove",$H56&lt;&gt;"",$H56="Tree Protection Code: Tier 3 or Tier 4 Allowance",OR($I56="",ISNA(MATCH($I56,Tables!$B$193:$B$197,0)))),
Error!$B$17,
IF(AND(OR($E56="Tier 2",$E56="Tier 2 Grove"),$F56="Remove",$H56="Tree Protection Code: Other removal allowance or exemption",$I56&lt;&gt;"",ISNA(MATCH($I56,Tables!$B$215:$B$218,0))),
Error!$B$17,
IF(AND(OR($E56="Tier 2",$E56="Tier 2 Grove"),$F56="Remove",$H56="Tree Protection Code: Development Capacity",$I56&lt;&gt;"",ISNA(MATCH($I56,Tables!$B$193:$B$197,0))),
Error!$B$17,
IF(AND(OR($E56="Tier 2",$E56="Tier 2 Grove"),$F56="Remove",$H56="Tree Protection Code: Necessary for Construction",$I56&lt;&gt;"",ISNA(MATCH($I56,Tables!$B$193:$B$197,0))),
Error!$B$17,
IF(AND($E56="Tier 1",$F56="Remove",$H56="Tree Protection Code: Special Exception",$I56&lt;&gt;"",ISNA(MATCH($I56,Tables!$B$215:$B$218,0))),
Error!$B$17,
IF(AND($E56="Tier 1",$F56="Remove",$H56="Tree Protection Code: Other removal allowance or exemption",$I56&lt;&gt;"",ISNA(MATCH($I56,Tables!$B$215:$B$218,0))),
Error!$B$17,
IF(AND($E56="ECA / Shoreline Tree",$F56="Remove",$H56&lt;&gt;"",OR($H56="Shoreline",$H56="Environmental Critical Area (ECA)"),ISNA(MATCH($I56,Tables!$B$209:$B$212,0))),
Error!$B$17,
IF(AND(_xlpm.baseRow,$F56="Retain",$E56="ECA / Shoreline Tree",_xlpm.ECA_Short=0),
Error!$B$61,
IF(AND($F56="Remove",ISNUMBER(MATCH($E56,{"Tier 1","Tier 2","Tier 3","Tier 4","Tier 2 Grove"},0)),ISNUMBER(MATCH($I56,{"On-site replacement","Off-site replacement"},0)),$J56="",$H56&lt;&gt;""),
Error!$B$19,
IF(AND(_xlpm.baseRow,$E56&lt;&gt;"",$D56&lt;&gt;"",$F56&lt;&gt;"",COUNTBLANK($B56:$C56)&gt;0,COUNTBLANK(_xlpm.HRange)&lt;&gt;4),
Error!$B$22,
IF(AND($H56="Zoning: Tree Points",$K56&lt;&gt;"",ISNA(MATCH($K56,Tables!$B$242:$B$253,0))),
Error!$B$58,
IF(AND($H56="Zoning: Tree Points",$K56="Small",$L56&lt;&gt;"",ISNA(MATCH($L56,Tables!$C$243:$C$244,0))),
Error!$B$59,
IF(AND($H56="Zoning: Tree Points",$K56="Small/Medium",$L56&lt;&gt;"",ISNA(MATCH($L56,Tables!$C$246:$C$247,0))),
Error!$B$59,
IF(AND($H56="Zoning: Tree Points",$K56="Medium/Large",$L56&lt;&gt;"",ISNA(MATCH($L56,Tables!$C$249:$C$250,0))),
Error!$B$59,
IF(AND($H56="Zoning: Tree Points",$K56="Large",$L56&lt;&gt;"",ISNA(MATCH($L56,Tables!$C$252:$C$253,0))),
Error!$B$59,
IF(AND($F56="Retain",$H56="Zoning: Tree Points",$C56&lt;&gt;"",$D56&lt;&gt;"",OR($K56="",$L56="",$M56="")),
Error!$B$20,
""
)))))))))))))))))))))))))))))))))))))))))))))))))))))))),
Error!$B$23))</f>
        <v/>
      </c>
      <c r="O56" s="343" t="str" cm="1">
        <f t="array" aca="1" ref="O56" ca="1">IFERROR(_xlfn.LET(
    _xlpm.txt, $C56,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7" spans="1:15" x14ac:dyDescent="0.3">
      <c r="A57" s="332"/>
      <c r="B57" s="616" t="str">
        <f t="shared" si="18"/>
        <v/>
      </c>
      <c r="C57" s="617" t="str">
        <f>IF($C56="", "", $C56)</f>
        <v/>
      </c>
      <c r="D57" s="618" t="str">
        <f t="shared" si="19"/>
        <v/>
      </c>
      <c r="E57" s="616" t="str">
        <f>IF($E56="", "", $E56)</f>
        <v/>
      </c>
      <c r="F57" s="616" t="str">
        <f>IF($F56="", "", $F56)</f>
        <v/>
      </c>
      <c r="G57" s="619" t="str">
        <f>IF(Tree_Table1[[#This Row],[Tree Status  &amp;]]="Retain", Tables!$B$237, IF(Tree_Table1[[#This Row],[Tree Status  &amp;]]="Remove", Tables!$B$238, ""))</f>
        <v/>
      </c>
      <c r="H57" s="321"/>
      <c r="I57" s="322"/>
      <c r="J57" s="453"/>
      <c r="K57" s="323" t="str">
        <f>IFERROR(
    IF(
        AND($H57="Zoning: Tree Points", NOT(ISNUMBER(SEARCH("sp.", $C57)))),
        VLOOKUP($C57, 'Tree List'!$C$3:$F$601, 4, FALSE),
        ""
    ),
"")</f>
        <v/>
      </c>
      <c r="L57" s="324" t="str" cm="1">
        <f t="array" ref="L57">IFERROR(
IF(
    AND($H57="Zoning: Tree Points", NOT(ISNUMBER(SEARCH("sp.", $C57)))),
    _xlfn.IFS(
        (COUNTIFS('Tree List'!$C$3:$C$601,$C57,'Tree List'!$D$3:$D$601,"Coniferous")
        + COUNTIFS('Tree List'!$C$3:$C$601,$C57,'Tree List'!$D$3:$D$601,"Deciduous Conifer")) &gt; 0,
            _xlfn.IFS($K57="Small",0.5,$K57="Small/Medium",1,$K57="Medium/Large",1.4,$K57="Large",1.8),
        (COUNTIFS('Tree List'!$C$3:$C$601,$C57,'Tree List'!$D$3:$D$601,"Deciduous")
        + COUNTIFS('Tree List'!$C$3:$C$601,$C57,'Tree List'!$D$3:$D$601,"Broadleaf Evergreen")) &gt; 0,
            _xlfn.IFS($K57="Small",0.4,$K57="Small/Medium",0.8,$K57="Medium/Large",1.2,$K57="Large",1.6)
    ),
    ""
),
"")</f>
        <v/>
      </c>
      <c r="M57" s="475" t="str">
        <f t="shared" si="0"/>
        <v/>
      </c>
      <c r="N57" s="346" t="str" cm="1">
        <f t="array" aca="1" ref="N5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IF(AND(_xlpm.baseRow,ISNA(MATCH($C57,'Tree List'!$C$3:$C$601,0)),SUMPRODUCT(--ISNUMBER(SEARCH(Tables2!$C$677:$C$772,$O57)))&gt;0),
Error!$B$57,
IF(AND(_xlpm.hasDM,$F57="Remove",$H57&lt;&gt;"",OR($I57="On-site replacement",$I57="Off-site replacement",$I57="Payment In Lieu")),
Error!$B$56,
IF(AND(_xlpm.hasDM,$F57="Remove",$H57&lt;&gt;"",$I57="Relocation"),
Error!$B$66,
IF(AND(OR(_xlpm.hasCN,_xlpm.hasPH,_xlpm.hasGR),$H57&lt;&gt;"",COUNTIF(Tables!$B$132:$B$134,$H57)&gt;0,$I57="N/A (No replacement required)"),
Error!$B$62,
IF(AND(_xlpm.baseRow,$E57&lt;&gt;"",ISNA(MATCH($E57,Tables!$B$225:$B$232,0))),
Error!$B$2,
IF(AND(_xlpm.baseRow,$F57&lt;&gt;"",ISNA(MATCH($F57,Tables!$B$234:$B$235,0))),
Error!$B$24,
IF(AND(_xlpm.baseRow,_xlpm.ECA_H&gt;0,_xlpm.Shore_H&gt;0),
Error!$B$16,
IF(AND(_xlpm.baseRow,$E57&lt;&gt;"",$D57=""),
Error!$B$3,
IF(AND(_xlpm.baseRow,OR($E57="Tier 3",$E57="Tier 4"),$C57&lt;&gt;"",$D57&gt;=24,COUNTIF(Tables2!$B$166:$B$674,$C57)&gt;0),
Error!$B$44,
IF(AND(_xlpm.baseRow,OR($E57="Tier 3",$E57="Tier 4"),$C57&lt;&gt;"",$D57&lt;&gt;"",COUNTIF(Tables2!$B$73:$B$152,$C57)&gt;0,
$D57&gt;=IFERROR(INDEX(Tables2!$C$73:$C$152,MATCH($C57,Tables2!$B$73:$B$152,0)),-1)),
Error!$B$44,
IF(AND(_xlpm.baseRow,OR($E57="Tier 2",$E57="Tier 2 Grove"),$C57&lt;&gt;"",$D57&gt;=12,COUNTIF(Tables2!$B$153:$B$162,$C57)&gt;0),
Error!$B$45,
IF(AND(_xlpm.baseRow,$E57="Tier 2 Grove",$D57&lt;12),
Error!$B$41,
IF(AND(_xlpm.baseRow,$E57="Tier 2",$D57&lt;5.88),
Error!$B$40,
IF(AND(_xlpm.baseRow,OR($E57="Tier 2",$E57="Tier 2 Grove"),$C57&lt;&gt;"",$D57&lt;12,$D57&gt;=6,COUNTIF(Tables2!$B$153:$B$162,$C57)&gt;0),
Error!$B$54,
IF(AND(_xlpm.baseRow,$E57="Tier 2",COUNTIF(Tables2!$B$166:$B$674,$C57)&gt;0,$D57&lt;24),
Error!$B$54,
IF(AND(_xlpm.baseRow,$E57="Tier 3",ISNA(MATCH($C57,Tables2!$B$153:$B$162,0)),OR($D57&lt;12,$D57&gt;=24)),
Error!$B$9,
IF(AND(_xlpm.baseRow,$E57="Tier 3",COUNTIF(Tables2!$B$153:$B$162,$C57)&gt;0,$D57&lt;12),
Error!$B$46,
IF(AND(_xlpm.baseRow,$E57="Tier 4",OR($D57&lt;6,$D57&gt;=12)),
Error!$B$10,
IF(AND(_xlpm.baseRow,$E57="&lt;6in DSH for Tree Points",OR($D57&gt;=6,$D57="")),
Error!$B$8,
IF(AND(_xlpm.baseRow,$E57="Street Tree for Green Factor",$F57&lt;&gt;"",$F57&lt;&gt;"Retain"),
Error!$B$14,
IF(AND($E57="&lt;6in DSH for Tree Points",$F57="Retain",$H57&lt;&gt;"",ISNA(MATCH($H57,Tables!$B$174:$B$174,0))),
Error!$B$15,
IF(AND($E57="Street Tree for Green Factor",$F57="Retain",$H57&lt;&gt;"",$H57&lt;&gt;"Zoning: Green Factor"),
Error!$B$15,
IF(AND($E57="ECA / Shoreline Tree",$F57="Remove",$H57&lt;&gt;"",ISNA(MATCH($H57,Tables!$B$189:$B$190,0))),
Error!$B$15,
IF(AND($E57="ECA / Shoreline Tree",$F57="Retain",$H57&lt;&gt;"",ISNA(MATCH($H57,Tables!$B$184:$B$186,0))),
Error!$B$15,
IF(AND($E57="Tier 4",$F57="Remove",$H57&lt;&gt;"",ISNA(MATCH($H57,Tables!$B$171,0))),
Error!$B$15,
IF(AND($E57="Tier 4",$F57="Retain",$H57&lt;&gt;"",ISNA(MATCH($H57,Tables!$B$166:$B$168,0))),
Error!$B$15,
IF(AND($E57="Tier 3",$F57="Retain",$H57&lt;&gt;"",ISNA(MATCH($H57,Tables!$B$158:$B$160,0))),
Error!$B$15,
IF(AND($E57="Tier 3",$F57="Remove",$H57&lt;&gt;"",ISNA(MATCH($H57,Tables!$B$163,0))),
Error!$B$15,
IF(AND(OR($E57="Tier 2",$E57="Tier 2 Grove"),$F57="Remove",$H57&lt;&gt;"",ISNA(MATCH($H57,Tables!$B$153:$B$155,0))),
Error!$B$15,
IF(AND(OR($E57="Tier 2",$E57="Tier 2 Grove"),$F57="Retain",$H57&lt;&gt;"",ISNA(MATCH($H57,Tables!$B$147:$B$150,0))),
Error!$B$15,
IF(AND($E57="Tier 1",$F57="Remove",$H57&lt;&gt;"",ISNA(MATCH($H57,Tables!$B$143:$B$144,0))),
Error!$B$15,
IF(AND($E57="Tier 1",$F57="Retain",$H57&lt;&gt;"",ISNA(MATCH($H57,Tables!$B$137:$B$140,0))),
Error!$B$15,
IF(AND($E57&lt;&gt;"Tier 2",$E57&lt;&gt;"Tier 2 Grove",$E57&lt;&gt;"Tier 3",$E57&lt;&gt;"Tier 4",$H57="Zoning: Green Factor",OR($D57="",$D57&lt;6)),
Error!$B$11,
IF(AND(_xlpm.baseRow,$D57&lt;6,$E57="&lt;6in DSH for Tree Points",_xlpm.TreePoints_H=0),
Error!$B$21,
IF(AND(_xlpm.baseRow,$E57&lt;&gt;"",$D57&lt;&gt;"",$F57=""),
Error!$B$4,
IF(AND(_xlpm.baseRow,$F57="Remove",OR($E57="Tier 1",$E57="Tier 2",$E57="Tier 2 Grove"),COUNTBLANK(_xlpm.HRange)&lt;3,_xlpm.uniqueH&gt;=2),
Error!$B$48,
IF(AND(_xlpm.baseRow,$F57="Retain",OR($E57="Tier 1",$E57="Tier 2",$E57="Tier 2 Grove"),COUNTIF(_xlpm.HRange,"Tree Code: Required to Retain Tier 1-2 Tree")=0),
Error!$B$47,
IF(AND(_xlpm.baseRow,$E57&lt;&gt;"",$D57&lt;&gt;"",$F57&lt;&gt;"",COUNTBLANK(_xlpm.HRange)=4),
Error!$B$5,
IF(AND($F57="Remove",$H57&lt;&gt;"",$I57=""),
Error!$B$18,
IF(AND($E57="Tier 4",$F57="Remove",$H57="Tree Protection Code: Tier 3 or Tier 4 Allowance",$H57&lt;&gt;"",ISNA(MATCH($I57,Tables!$B$200,0))),
Error!$B$17,
IF(AND($E57="Tier 3",$F57="Remove",$H57&lt;&gt;"",$H57="Tree Protection Code: Tier 3 or Tier 4 Allowance",OR($I57="",ISNA(MATCH($I57,Tables!$B$193:$B$197,0)))),
Error!$B$17,
IF(AND(OR($E57="Tier 2",$E57="Tier 2 Grove"),$F57="Remove",$H57="Tree Protection Code: Other removal allowance or exemption",$I57&lt;&gt;"",ISNA(MATCH($I57,Tables!$B$215:$B$218,0))),
Error!$B$17,
IF(AND(OR($E57="Tier 2",$E57="Tier 2 Grove"),$F57="Remove",$H57="Tree Protection Code: Development Capacity",$I57&lt;&gt;"",ISNA(MATCH($I57,Tables!$B$193:$B$197,0))),
Error!$B$17,
IF(AND(OR($E57="Tier 2",$E57="Tier 2 Grove"),$F57="Remove",$H57="Tree Protection Code: Necessary for Construction",$I57&lt;&gt;"",ISNA(MATCH($I57,Tables!$B$193:$B$197,0))),
Error!$B$17,
IF(AND($E57="Tier 1",$F57="Remove",$H57="Tree Protection Code: Special Exception",$I57&lt;&gt;"",ISNA(MATCH($I57,Tables!$B$215:$B$218,0))),
Error!$B$17,
IF(AND($E57="Tier 1",$F57="Remove",$H57="Tree Protection Code: Other removal allowance or exemption",$I57&lt;&gt;"",ISNA(MATCH($I57,Tables!$B$215:$B$218,0))),
Error!$B$17,
IF(AND($E57="ECA / Shoreline Tree",$F57="Remove",$H57&lt;&gt;"",OR($H57="Shoreline",$H57="Environmental Critical Area (ECA)"),ISNA(MATCH($I57,Tables!$B$209:$B$212,0))),
Error!$B$17,
IF(AND(_xlpm.baseRow,$F57="Retain",$E57="ECA / Shoreline Tree",_xlpm.ECA_Short=0),
Error!$B$61,
IF(AND($F57="Remove",ISNUMBER(MATCH($E57,{"Tier 1","Tier 2","Tier 3","Tier 4","Tier 2 Grove"},0)),ISNUMBER(MATCH($I57,{"On-site replacement","Off-site replacement"},0)),$J57="",$H57&lt;&gt;""),
Error!$B$19,
IF(AND(_xlpm.baseRow,$E57&lt;&gt;"",$D57&lt;&gt;"",$F57&lt;&gt;"",COUNTBLANK($B57:$C57)&gt;0,COUNTBLANK(_xlpm.HRange)&lt;&gt;4),
Error!$B$22,
IF(AND($H57="Zoning: Tree Points",$K57&lt;&gt;"",ISNA(MATCH($K57,Tables!$B$242:$B$253,0))),
Error!$B$58,
IF(AND($H57="Zoning: Tree Points",$K57="Small",$L57&lt;&gt;"",ISNA(MATCH($L57,Tables!$C$243:$C$244,0))),
Error!$B$59,
IF(AND($H57="Zoning: Tree Points",$K57="Small/Medium",$L57&lt;&gt;"",ISNA(MATCH($L57,Tables!$C$246:$C$247,0))),
Error!$B$59,
IF(AND($H57="Zoning: Tree Points",$K57="Medium/Large",$L57&lt;&gt;"",ISNA(MATCH($L57,Tables!$C$249:$C$250,0))),
Error!$B$59,
IF(AND($H57="Zoning: Tree Points",$K57="Large",$L57&lt;&gt;"",ISNA(MATCH($L57,Tables!$C$252:$C$253,0))),
Error!$B$59,
IF(AND($F57="Retain",$H57="Zoning: Tree Points",$C57&lt;&gt;"",$D57&lt;&gt;"",OR($K57="",$L57="",$M57="")),
Error!$B$20,
""
)))))))))))))))))))))))))))))))))))))))))))))))))))))))),
Error!$B$23))</f>
        <v/>
      </c>
      <c r="O57" s="343" t="str" cm="1">
        <f t="array" aca="1" ref="O57" ca="1">IFERROR(_xlfn.LET(
    _xlpm.txt, $C57,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8" spans="1:15" ht="15" thickBot="1" x14ac:dyDescent="0.35">
      <c r="A58" s="333"/>
      <c r="B58" s="616" t="str">
        <f t="shared" si="18"/>
        <v/>
      </c>
      <c r="C58" s="617" t="str">
        <f>IF($C57="", "", $C57)</f>
        <v/>
      </c>
      <c r="D58" s="618" t="str">
        <f t="shared" si="19"/>
        <v/>
      </c>
      <c r="E58" s="616" t="str">
        <f>IF($E57="", "", $E57)</f>
        <v/>
      </c>
      <c r="F58" s="616" t="str">
        <f>IF($F57="", "", $F57)</f>
        <v/>
      </c>
      <c r="G58" s="619" t="str">
        <f>IF(Tree_Table1[[#This Row],[Tree Status  &amp;]]="Retain", Tables!$B$237, IF(Tree_Table1[[#This Row],[Tree Status  &amp;]]="Remove", Tables!$B$238, ""))</f>
        <v/>
      </c>
      <c r="H58" s="329"/>
      <c r="I58" s="330"/>
      <c r="J58" s="455"/>
      <c r="K58" s="327" t="str">
        <f>IFERROR(
    IF(
        AND($H58="Zoning: Tree Points", NOT(ISNUMBER(SEARCH("sp.", $C58)))),
        VLOOKUP($C58, 'Tree List'!$C$3:$F$601, 4, FALSE),
        ""
    ),
"")</f>
        <v/>
      </c>
      <c r="L58" s="328" t="str" cm="1">
        <f t="array" ref="L58">IFERROR(
IF(
    AND($H58="Zoning: Tree Points", NOT(ISNUMBER(SEARCH("sp.", $C58)))),
    _xlfn.IFS(
        (COUNTIFS('Tree List'!$C$3:$C$601,$C58,'Tree List'!$D$3:$D$601,"Coniferous")
        + COUNTIFS('Tree List'!$C$3:$C$601,$C58,'Tree List'!$D$3:$D$601,"Deciduous Conifer")) &gt; 0,
            _xlfn.IFS($K58="Small",0.5,$K58="Small/Medium",1,$K58="Medium/Large",1.4,$K58="Large",1.8),
        (COUNTIFS('Tree List'!$C$3:$C$601,$C58,'Tree List'!$D$3:$D$601,"Deciduous")
        + COUNTIFS('Tree List'!$C$3:$C$601,$C58,'Tree List'!$D$3:$D$601,"Broadleaf Evergreen")) &gt; 0,
            _xlfn.IFS($K58="Small",0.4,$K58="Small/Medium",0.8,$K58="Medium/Large",1.2,$K58="Large",1.6)
    ),
    ""
),
"")</f>
        <v/>
      </c>
      <c r="M58" s="476" t="str">
        <f t="shared" si="0"/>
        <v/>
      </c>
      <c r="N58" s="347" t="str" cm="1">
        <f t="array" aca="1" ref="N5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IF(AND(_xlpm.baseRow,ISNA(MATCH($C58,'Tree List'!$C$3:$C$601,0)),SUMPRODUCT(--ISNUMBER(SEARCH(Tables2!$C$677:$C$772,$O58)))&gt;0),
Error!$B$57,
IF(AND(_xlpm.hasDM,$F58="Remove",$H58&lt;&gt;"",OR($I58="On-site replacement",$I58="Off-site replacement",$I58="Payment In Lieu")),
Error!$B$56,
IF(AND(_xlpm.hasDM,$F58="Remove",$H58&lt;&gt;"",$I58="Relocation"),
Error!$B$66,
IF(AND(OR(_xlpm.hasCN,_xlpm.hasPH,_xlpm.hasGR),$H58&lt;&gt;"",COUNTIF(Tables!$B$132:$B$134,$H58)&gt;0,$I58="N/A (No replacement required)"),
Error!$B$62,
IF(AND(_xlpm.baseRow,$E58&lt;&gt;"",ISNA(MATCH($E58,Tables!$B$225:$B$232,0))),
Error!$B$2,
IF(AND(_xlpm.baseRow,$F58&lt;&gt;"",ISNA(MATCH($F58,Tables!$B$234:$B$235,0))),
Error!$B$24,
IF(AND(_xlpm.baseRow,_xlpm.ECA_H&gt;0,_xlpm.Shore_H&gt;0),
Error!$B$16,
IF(AND(_xlpm.baseRow,$E58&lt;&gt;"",$D58=""),
Error!$B$3,
IF(AND(_xlpm.baseRow,OR($E58="Tier 3",$E58="Tier 4"),$C58&lt;&gt;"",$D58&gt;=24,COUNTIF(Tables2!$B$166:$B$674,$C58)&gt;0),
Error!$B$44,
IF(AND(_xlpm.baseRow,OR($E58="Tier 3",$E58="Tier 4"),$C58&lt;&gt;"",$D58&lt;&gt;"",COUNTIF(Tables2!$B$73:$B$152,$C58)&gt;0,
$D58&gt;=IFERROR(INDEX(Tables2!$C$73:$C$152,MATCH($C58,Tables2!$B$73:$B$152,0)),-1)),
Error!$B$44,
IF(AND(_xlpm.baseRow,OR($E58="Tier 2",$E58="Tier 2 Grove"),$C58&lt;&gt;"",$D58&gt;=12,COUNTIF(Tables2!$B$153:$B$162,$C58)&gt;0),
Error!$B$45,
IF(AND(_xlpm.baseRow,$E58="Tier 2 Grove",$D58&lt;12),
Error!$B$41,
IF(AND(_xlpm.baseRow,$E58="Tier 2",$D58&lt;5.88),
Error!$B$40,
IF(AND(_xlpm.baseRow,OR($E58="Tier 2",$E58="Tier 2 Grove"),$C58&lt;&gt;"",$D58&lt;12,$D58&gt;=6,COUNTIF(Tables2!$B$153:$B$162,$C58)&gt;0),
Error!$B$54,
IF(AND(_xlpm.baseRow,$E58="Tier 2",COUNTIF(Tables2!$B$166:$B$674,$C58)&gt;0,$D58&lt;24),
Error!$B$54,
IF(AND(_xlpm.baseRow,$E58="Tier 3",ISNA(MATCH($C58,Tables2!$B$153:$B$162,0)),OR($D58&lt;12,$D58&gt;=24)),
Error!$B$9,
IF(AND(_xlpm.baseRow,$E58="Tier 3",COUNTIF(Tables2!$B$153:$B$162,$C58)&gt;0,$D58&lt;12),
Error!$B$46,
IF(AND(_xlpm.baseRow,$E58="Tier 4",OR($D58&lt;6,$D58&gt;=12)),
Error!$B$10,
IF(AND(_xlpm.baseRow,$E58="&lt;6in DSH for Tree Points",OR($D58&gt;=6,$D58="")),
Error!$B$8,
IF(AND(_xlpm.baseRow,$E58="Street Tree for Green Factor",$F58&lt;&gt;"",$F58&lt;&gt;"Retain"),
Error!$B$14,
IF(AND($E58="&lt;6in DSH for Tree Points",$F58="Retain",$H58&lt;&gt;"",ISNA(MATCH($H58,Tables!$B$174:$B$174,0))),
Error!$B$15,
IF(AND($E58="Street Tree for Green Factor",$F58="Retain",$H58&lt;&gt;"",$H58&lt;&gt;"Zoning: Green Factor"),
Error!$B$15,
IF(AND($E58="ECA / Shoreline Tree",$F58="Remove",$H58&lt;&gt;"",ISNA(MATCH($H58,Tables!$B$189:$B$190,0))),
Error!$B$15,
IF(AND($E58="ECA / Shoreline Tree",$F58="Retain",$H58&lt;&gt;"",ISNA(MATCH($H58,Tables!$B$184:$B$186,0))),
Error!$B$15,
IF(AND($E58="Tier 4",$F58="Remove",$H58&lt;&gt;"",ISNA(MATCH($H58,Tables!$B$171,0))),
Error!$B$15,
IF(AND($E58="Tier 4",$F58="Retain",$H58&lt;&gt;"",ISNA(MATCH($H58,Tables!$B$166:$B$168,0))),
Error!$B$15,
IF(AND($E58="Tier 3",$F58="Retain",$H58&lt;&gt;"",ISNA(MATCH($H58,Tables!$B$158:$B$160,0))),
Error!$B$15,
IF(AND($E58="Tier 3",$F58="Remove",$H58&lt;&gt;"",ISNA(MATCH($H58,Tables!$B$163,0))),
Error!$B$15,
IF(AND(OR($E58="Tier 2",$E58="Tier 2 Grove"),$F58="Remove",$H58&lt;&gt;"",ISNA(MATCH($H58,Tables!$B$153:$B$155,0))),
Error!$B$15,
IF(AND(OR($E58="Tier 2",$E58="Tier 2 Grove"),$F58="Retain",$H58&lt;&gt;"",ISNA(MATCH($H58,Tables!$B$147:$B$150,0))),
Error!$B$15,
IF(AND($E58="Tier 1",$F58="Remove",$H58&lt;&gt;"",ISNA(MATCH($H58,Tables!$B$143:$B$144,0))),
Error!$B$15,
IF(AND($E58="Tier 1",$F58="Retain",$H58&lt;&gt;"",ISNA(MATCH($H58,Tables!$B$137:$B$140,0))),
Error!$B$15,
IF(AND($E58&lt;&gt;"Tier 2",$E58&lt;&gt;"Tier 2 Grove",$E58&lt;&gt;"Tier 3",$E58&lt;&gt;"Tier 4",$H58="Zoning: Green Factor",OR($D58="",$D58&lt;6)),
Error!$B$11,
IF(AND(_xlpm.baseRow,$D58&lt;6,$E58="&lt;6in DSH for Tree Points",_xlpm.TreePoints_H=0),
Error!$B$21,
IF(AND(_xlpm.baseRow,$E58&lt;&gt;"",$D58&lt;&gt;"",$F58=""),
Error!$B$4,
IF(AND(_xlpm.baseRow,$F58="Remove",OR($E58="Tier 1",$E58="Tier 2",$E58="Tier 2 Grove"),COUNTBLANK(_xlpm.HRange)&lt;3,_xlpm.uniqueH&gt;=2),
Error!$B$48,
IF(AND(_xlpm.baseRow,$F58="Retain",OR($E58="Tier 1",$E58="Tier 2",$E58="Tier 2 Grove"),COUNTIF(_xlpm.HRange,"Tree Code: Required to Retain Tier 1-2 Tree")=0),
Error!$B$47,
IF(AND(_xlpm.baseRow,$E58&lt;&gt;"",$D58&lt;&gt;"",$F58&lt;&gt;"",COUNTBLANK(_xlpm.HRange)=4),
Error!$B$5,
IF(AND($F58="Remove",$H58&lt;&gt;"",$I58=""),
Error!$B$18,
IF(AND($E58="Tier 4",$F58="Remove",$H58="Tree Protection Code: Tier 3 or Tier 4 Allowance",$H58&lt;&gt;"",ISNA(MATCH($I58,Tables!$B$200,0))),
Error!$B$17,
IF(AND($E58="Tier 3",$F58="Remove",$H58&lt;&gt;"",$H58="Tree Protection Code: Tier 3 or Tier 4 Allowance",OR($I58="",ISNA(MATCH($I58,Tables!$B$193:$B$197,0)))),
Error!$B$17,
IF(AND(OR($E58="Tier 2",$E58="Tier 2 Grove"),$F58="Remove",$H58="Tree Protection Code: Other removal allowance or exemption",$I58&lt;&gt;"",ISNA(MATCH($I58,Tables!$B$215:$B$218,0))),
Error!$B$17,
IF(AND(OR($E58="Tier 2",$E58="Tier 2 Grove"),$F58="Remove",$H58="Tree Protection Code: Development Capacity",$I58&lt;&gt;"",ISNA(MATCH($I58,Tables!$B$193:$B$197,0))),
Error!$B$17,
IF(AND(OR($E58="Tier 2",$E58="Tier 2 Grove"),$F58="Remove",$H58="Tree Protection Code: Necessary for Construction",$I58&lt;&gt;"",ISNA(MATCH($I58,Tables!$B$193:$B$197,0))),
Error!$B$17,
IF(AND($E58="Tier 1",$F58="Remove",$H58="Tree Protection Code: Special Exception",$I58&lt;&gt;"",ISNA(MATCH($I58,Tables!$B$215:$B$218,0))),
Error!$B$17,
IF(AND($E58="Tier 1",$F58="Remove",$H58="Tree Protection Code: Other removal allowance or exemption",$I58&lt;&gt;"",ISNA(MATCH($I58,Tables!$B$215:$B$218,0))),
Error!$B$17,
IF(AND($E58="ECA / Shoreline Tree",$F58="Remove",$H58&lt;&gt;"",OR($H58="Shoreline",$H58="Environmental Critical Area (ECA)"),ISNA(MATCH($I58,Tables!$B$209:$B$212,0))),
Error!$B$17,
IF(AND(_xlpm.baseRow,$F58="Retain",$E58="ECA / Shoreline Tree",_xlpm.ECA_Short=0),
Error!$B$61,
IF(AND($F58="Remove",ISNUMBER(MATCH($E58,{"Tier 1","Tier 2","Tier 3","Tier 4","Tier 2 Grove"},0)),ISNUMBER(MATCH($I58,{"On-site replacement","Off-site replacement"},0)),$J58="",$H58&lt;&gt;""),
Error!$B$19,
IF(AND(_xlpm.baseRow,$E58&lt;&gt;"",$D58&lt;&gt;"",$F58&lt;&gt;"",COUNTBLANK($B58:$C58)&gt;0,COUNTBLANK(_xlpm.HRange)&lt;&gt;4),
Error!$B$22,
IF(AND($H58="Zoning: Tree Points",$K58&lt;&gt;"",ISNA(MATCH($K58,Tables!$B$242:$B$253,0))),
Error!$B$58,
IF(AND($H58="Zoning: Tree Points",$K58="Small",$L58&lt;&gt;"",ISNA(MATCH($L58,Tables!$C$243:$C$244,0))),
Error!$B$59,
IF(AND($H58="Zoning: Tree Points",$K58="Small/Medium",$L58&lt;&gt;"",ISNA(MATCH($L58,Tables!$C$246:$C$247,0))),
Error!$B$59,
IF(AND($H58="Zoning: Tree Points",$K58="Medium/Large",$L58&lt;&gt;"",ISNA(MATCH($L58,Tables!$C$249:$C$250,0))),
Error!$B$59,
IF(AND($H58="Zoning: Tree Points",$K58="Large",$L58&lt;&gt;"",ISNA(MATCH($L58,Tables!$C$252:$C$253,0))),
Error!$B$59,
IF(AND($F58="Retain",$H58="Zoning: Tree Points",$C58&lt;&gt;"",$D58&lt;&gt;"",OR($K58="",$L58="",$M58="")),
Error!$B$20,
""
)))))))))))))))))))))))))))))))))))))))))))))))))))))))),
Error!$B$23))</f>
        <v/>
      </c>
      <c r="O58" s="343" t="str" cm="1">
        <f t="array" aca="1" ref="O58" ca="1">IFERROR(_xlfn.LET(
    _xlpm.txt, $C58,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9" spans="1:15" ht="15" thickBot="1" x14ac:dyDescent="0.35">
      <c r="A59" s="311">
        <v>13</v>
      </c>
      <c r="B59" s="312"/>
      <c r="C59" s="313"/>
      <c r="D59" s="478"/>
      <c r="E59" s="314"/>
      <c r="F59" s="314"/>
      <c r="G59" s="315" t="str">
        <f>IF(Tree_Table1[[#This Row],[Tree Status  &amp;]]="Retain", Tables!$B$237, IF(Tree_Table1[[#This Row],[Tree Status  &amp;]]="Remove", Tables!$B$238, ""))</f>
        <v/>
      </c>
      <c r="H59" s="316"/>
      <c r="I59" s="317"/>
      <c r="J59" s="452"/>
      <c r="K59" s="318" t="str">
        <f>IFERROR(
    IF(
        AND($H59="Zoning: Tree Points", NOT(ISNUMBER(SEARCH("sp.", $C59)))),
        VLOOKUP($C59, 'Tree List'!$C$3:$F$601, 4, FALSE),
        ""
    ),
"")</f>
        <v/>
      </c>
      <c r="L59" s="319" t="str" cm="1">
        <f t="array" ref="L59">IFERROR(
IF(
    AND($H59="Zoning: Tree Points", NOT(ISNUMBER(SEARCH("sp.", $C59)))),
    _xlfn.IFS(
        (COUNTIFS('Tree List'!$C$3:$C$601,$C59,'Tree List'!$D$3:$D$601,"Coniferous")
        + COUNTIFS('Tree List'!$C$3:$C$601,$C59,'Tree List'!$D$3:$D$601,"Deciduous Conifer")) &gt; 0,
            _xlfn.IFS($K59="Small",0.5,$K59="Small/Medium",1,$K59="Medium/Large",1.4,$K59="Large",1.8),
        (COUNTIFS('Tree List'!$C$3:$C$601,$C59,'Tree List'!$D$3:$D$601,"Deciduous")
        + COUNTIFS('Tree List'!$C$3:$C$601,$C59,'Tree List'!$D$3:$D$601,"Broadleaf Evergreen")) &gt; 0,
            _xlfn.IFS($K59="Small",0.4,$K59="Small/Medium",0.8,$K59="Medium/Large",1.2,$K59="Large",1.6)
    ),
    ""
),
"")</f>
        <v/>
      </c>
      <c r="M59" s="474" t="str">
        <f t="shared" si="0"/>
        <v/>
      </c>
      <c r="N59" s="620" t="str" cm="1">
        <f t="array" aca="1" ref="N5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IF(AND(_xlpm.baseRow,ISNA(MATCH($C59,'Tree List'!$C$3:$C$601,0)),SUMPRODUCT(--ISNUMBER(SEARCH(Tables2!$C$677:$C$772,$O59)))&gt;0),
Error!$B$57,
IF(AND(_xlpm.hasDM,$F59="Remove",$H59&lt;&gt;"",OR($I59="On-site replacement",$I59="Off-site replacement",$I59="Payment In Lieu")),
Error!$B$56,
IF(AND(_xlpm.hasDM,$F59="Remove",$H59&lt;&gt;"",$I59="Relocation"),
Error!$B$66,
IF(AND(OR(_xlpm.hasCN,_xlpm.hasPH,_xlpm.hasGR),$H59&lt;&gt;"",COUNTIF(Tables!$B$132:$B$134,$H59)&gt;0,$I59="N/A (No replacement required)"),
Error!$B$62,
IF(AND(_xlpm.baseRow,$E59&lt;&gt;"",ISNA(MATCH($E59,Tables!$B$225:$B$232,0))),
Error!$B$2,
IF(AND(_xlpm.baseRow,$F59&lt;&gt;"",ISNA(MATCH($F59,Tables!$B$234:$B$235,0))),
Error!$B$24,
IF(AND(_xlpm.baseRow,_xlpm.ECA_H&gt;0,_xlpm.Shore_H&gt;0),
Error!$B$16,
IF(AND(_xlpm.baseRow,$E59&lt;&gt;"",$D59=""),
Error!$B$3,
IF(AND(_xlpm.baseRow,OR($E59="Tier 3",$E59="Tier 4"),$C59&lt;&gt;"",$D59&gt;=24,COUNTIF(Tables2!$B$166:$B$674,$C59)&gt;0),
Error!$B$44,
IF(AND(_xlpm.baseRow,OR($E59="Tier 3",$E59="Tier 4"),$C59&lt;&gt;"",$D59&lt;&gt;"",COUNTIF(Tables2!$B$73:$B$152,$C59)&gt;0,
$D59&gt;=IFERROR(INDEX(Tables2!$C$73:$C$152,MATCH($C59,Tables2!$B$73:$B$152,0)),-1)),
Error!$B$44,
IF(AND(_xlpm.baseRow,OR($E59="Tier 2",$E59="Tier 2 Grove"),$C59&lt;&gt;"",$D59&gt;=12,COUNTIF(Tables2!$B$153:$B$162,$C59)&gt;0),
Error!$B$45,
IF(AND(_xlpm.baseRow,$E59="Tier 2 Grove",$D59&lt;12),
Error!$B$41,
IF(AND(_xlpm.baseRow,$E59="Tier 2",$D59&lt;5.88),
Error!$B$40,
IF(AND(_xlpm.baseRow,OR($E59="Tier 2",$E59="Tier 2 Grove"),$C59&lt;&gt;"",$D59&lt;12,$D59&gt;=6,COUNTIF(Tables2!$B$153:$B$162,$C59)&gt;0),
Error!$B$54,
IF(AND(_xlpm.baseRow,$E59="Tier 2",COUNTIF(Tables2!$B$166:$B$674,$C59)&gt;0,$D59&lt;24),
Error!$B$54,
IF(AND(_xlpm.baseRow,$E59="Tier 3",ISNA(MATCH($C59,Tables2!$B$153:$B$162,0)),OR($D59&lt;12,$D59&gt;=24)),
Error!$B$9,
IF(AND(_xlpm.baseRow,$E59="Tier 3",COUNTIF(Tables2!$B$153:$B$162,$C59)&gt;0,$D59&lt;12),
Error!$B$46,
IF(AND(_xlpm.baseRow,$E59="Tier 4",OR($D59&lt;6,$D59&gt;=12)),
Error!$B$10,
IF(AND(_xlpm.baseRow,$E59="&lt;6in DSH for Tree Points",OR($D59&gt;=6,$D59="")),
Error!$B$8,
IF(AND(_xlpm.baseRow,$E59="Street Tree for Green Factor",$F59&lt;&gt;"",$F59&lt;&gt;"Retain"),
Error!$B$14,
IF(AND($E59="&lt;6in DSH for Tree Points",$F59="Retain",$H59&lt;&gt;"",ISNA(MATCH($H59,Tables!$B$174:$B$174,0))),
Error!$B$15,
IF(AND($E59="Street Tree for Green Factor",$F59="Retain",$H59&lt;&gt;"",$H59&lt;&gt;"Zoning: Green Factor"),
Error!$B$15,
IF(AND($E59="ECA / Shoreline Tree",$F59="Remove",$H59&lt;&gt;"",ISNA(MATCH($H59,Tables!$B$189:$B$190,0))),
Error!$B$15,
IF(AND($E59="ECA / Shoreline Tree",$F59="Retain",$H59&lt;&gt;"",ISNA(MATCH($H59,Tables!$B$184:$B$186,0))),
Error!$B$15,
IF(AND($E59="Tier 4",$F59="Remove",$H59&lt;&gt;"",ISNA(MATCH($H59,Tables!$B$171,0))),
Error!$B$15,
IF(AND($E59="Tier 4",$F59="Retain",$H59&lt;&gt;"",ISNA(MATCH($H59,Tables!$B$166:$B$168,0))),
Error!$B$15,
IF(AND($E59="Tier 3",$F59="Retain",$H59&lt;&gt;"",ISNA(MATCH($H59,Tables!$B$158:$B$160,0))),
Error!$B$15,
IF(AND($E59="Tier 3",$F59="Remove",$H59&lt;&gt;"",ISNA(MATCH($H59,Tables!$B$163,0))),
Error!$B$15,
IF(AND(OR($E59="Tier 2",$E59="Tier 2 Grove"),$F59="Remove",$H59&lt;&gt;"",ISNA(MATCH($H59,Tables!$B$153:$B$155,0))),
Error!$B$15,
IF(AND(OR($E59="Tier 2",$E59="Tier 2 Grove"),$F59="Retain",$H59&lt;&gt;"",ISNA(MATCH($H59,Tables!$B$147:$B$150,0))),
Error!$B$15,
IF(AND($E59="Tier 1",$F59="Remove",$H59&lt;&gt;"",ISNA(MATCH($H59,Tables!$B$143:$B$144,0))),
Error!$B$15,
IF(AND($E59="Tier 1",$F59="Retain",$H59&lt;&gt;"",ISNA(MATCH($H59,Tables!$B$137:$B$140,0))),
Error!$B$15,
IF(AND($E59&lt;&gt;"Tier 2",$E59&lt;&gt;"Tier 2 Grove",$E59&lt;&gt;"Tier 3",$E59&lt;&gt;"Tier 4",$H59="Zoning: Green Factor",OR($D59="",$D59&lt;6)),
Error!$B$11,
IF(AND(_xlpm.baseRow,$D59&lt;6,$E59="&lt;6in DSH for Tree Points",_xlpm.TreePoints_H=0),
Error!$B$21,
IF(AND(_xlpm.baseRow,$E59&lt;&gt;"",$D59&lt;&gt;"",$F59=""),
Error!$B$4,
IF(AND(_xlpm.baseRow,$F59="Remove",OR($E59="Tier 1",$E59="Tier 2",$E59="Tier 2 Grove"),COUNTBLANK(_xlpm.HRange)&lt;3,_xlpm.uniqueH&gt;=2),
Error!$B$48,
IF(AND(_xlpm.baseRow,$F59="Retain",OR($E59="Tier 1",$E59="Tier 2",$E59="Tier 2 Grove"),COUNTIF(_xlpm.HRange,"Tree Code: Required to Retain Tier 1-2 Tree")=0),
Error!$B$47,
IF(AND(_xlpm.baseRow,$E59&lt;&gt;"",$D59&lt;&gt;"",$F59&lt;&gt;"",COUNTBLANK(_xlpm.HRange)=4),
Error!$B$5,
IF(AND($F59="Remove",$H59&lt;&gt;"",$I59=""),
Error!$B$18,
IF(AND($E59="Tier 4",$F59="Remove",$H59="Tree Protection Code: Tier 3 or Tier 4 Allowance",$H59&lt;&gt;"",ISNA(MATCH($I59,Tables!$B$200,0))),
Error!$B$17,
IF(AND($E59="Tier 3",$F59="Remove",$H59&lt;&gt;"",$H59="Tree Protection Code: Tier 3 or Tier 4 Allowance",OR($I59="",ISNA(MATCH($I59,Tables!$B$193:$B$197,0)))),
Error!$B$17,
IF(AND(OR($E59="Tier 2",$E59="Tier 2 Grove"),$F59="Remove",$H59="Tree Protection Code: Other removal allowance or exemption",$I59&lt;&gt;"",ISNA(MATCH($I59,Tables!$B$215:$B$218,0))),
Error!$B$17,
IF(AND(OR($E59="Tier 2",$E59="Tier 2 Grove"),$F59="Remove",$H59="Tree Protection Code: Development Capacity",$I59&lt;&gt;"",ISNA(MATCH($I59,Tables!$B$193:$B$197,0))),
Error!$B$17,
IF(AND(OR($E59="Tier 2",$E59="Tier 2 Grove"),$F59="Remove",$H59="Tree Protection Code: Necessary for Construction",$I59&lt;&gt;"",ISNA(MATCH($I59,Tables!$B$193:$B$197,0))),
Error!$B$17,
IF(AND($E59="Tier 1",$F59="Remove",$H59="Tree Protection Code: Special Exception",$I59&lt;&gt;"",ISNA(MATCH($I59,Tables!$B$215:$B$218,0))),
Error!$B$17,
IF(AND($E59="Tier 1",$F59="Remove",$H59="Tree Protection Code: Other removal allowance or exemption",$I59&lt;&gt;"",ISNA(MATCH($I59,Tables!$B$215:$B$218,0))),
Error!$B$17,
IF(AND($E59="ECA / Shoreline Tree",$F59="Remove",$H59&lt;&gt;"",OR($H59="Shoreline",$H59="Environmental Critical Area (ECA)"),ISNA(MATCH($I59,Tables!$B$209:$B$212,0))),
Error!$B$17,
IF(AND(_xlpm.baseRow,$F59="Retain",$E59="ECA / Shoreline Tree",_xlpm.ECA_Short=0),
Error!$B$61,
IF(AND($F59="Remove",ISNUMBER(MATCH($E59,{"Tier 1","Tier 2","Tier 3","Tier 4","Tier 2 Grove"},0)),ISNUMBER(MATCH($I59,{"On-site replacement","Off-site replacement"},0)),$J59="",$H59&lt;&gt;""),
Error!$B$19,
IF(AND(_xlpm.baseRow,$E59&lt;&gt;"",$D59&lt;&gt;"",$F59&lt;&gt;"",COUNTBLANK($B59:$C59)&gt;0,COUNTBLANK(_xlpm.HRange)&lt;&gt;4),
Error!$B$22,
IF(AND($H59="Zoning: Tree Points",$K59&lt;&gt;"",ISNA(MATCH($K59,Tables!$B$242:$B$253,0))),
Error!$B$58,
IF(AND($H59="Zoning: Tree Points",$K59="Small",$L59&lt;&gt;"",ISNA(MATCH($L59,Tables!$C$243:$C$244,0))),
Error!$B$59,
IF(AND($H59="Zoning: Tree Points",$K59="Small/Medium",$L59&lt;&gt;"",ISNA(MATCH($L59,Tables!$C$246:$C$247,0))),
Error!$B$59,
IF(AND($H59="Zoning: Tree Points",$K59="Medium/Large",$L59&lt;&gt;"",ISNA(MATCH($L59,Tables!$C$249:$C$250,0))),
Error!$B$59,
IF(AND($H59="Zoning: Tree Points",$K59="Large",$L59&lt;&gt;"",ISNA(MATCH($L59,Tables!$C$252:$C$253,0))),
Error!$B$59,
IF(AND($F59="Retain",$H59="Zoning: Tree Points",$C59&lt;&gt;"",$D59&lt;&gt;"",OR($K59="",$L59="",$M59="")),
Error!$B$20,
""
)))))))))))))))))))))))))))))))))))))))))))))))))))))))),
Error!$B$23))</f>
        <v/>
      </c>
      <c r="O59" s="343" t="str" cm="1">
        <f t="array" aca="1" ref="O59" ca="1">IFERROR(_xlfn.LET(
    _xlpm.txt, $C59,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0" spans="1:15" x14ac:dyDescent="0.3">
      <c r="A60" s="320"/>
      <c r="B60" s="616" t="str">
        <f t="shared" ref="B60:B62" si="20">IF($B59="", "", $B59)</f>
        <v/>
      </c>
      <c r="C60" s="617" t="str">
        <f>IF($C59="", "", $C59)</f>
        <v/>
      </c>
      <c r="D60" s="618" t="str">
        <f t="shared" ref="D60:D62" si="21">IF($D59="", "", $D59)</f>
        <v/>
      </c>
      <c r="E60" s="616" t="str">
        <f t="shared" ref="E60:E62" si="22">IF($E59="", "", $E59)</f>
        <v/>
      </c>
      <c r="F60" s="616" t="str">
        <f t="shared" ref="F60:F62" si="23">IF($F59="", "", $F59)</f>
        <v/>
      </c>
      <c r="G60" s="619" t="str">
        <f>IF(Tree_Table1[[#This Row],[Tree Status  &amp;]]="Retain", Tables!$B$237, IF(Tree_Table1[[#This Row],[Tree Status  &amp;]]="Remove", Tables!$B$238, ""))</f>
        <v/>
      </c>
      <c r="H60" s="321"/>
      <c r="I60" s="322"/>
      <c r="J60" s="453"/>
      <c r="K60" s="323" t="str">
        <f>IFERROR(
    IF(
        AND($H60="Zoning: Tree Points", NOT(ISNUMBER(SEARCH("sp.", $C60)))),
        VLOOKUP($C60, 'Tree List'!$C$3:$F$601, 4, FALSE),
        ""
    ),
"")</f>
        <v/>
      </c>
      <c r="L60" s="324" t="str" cm="1">
        <f t="array" ref="L60">IFERROR(
IF(
    AND($H60="Zoning: Tree Points", NOT(ISNUMBER(SEARCH("sp.", $C60)))),
    _xlfn.IFS(
        (COUNTIFS('Tree List'!$C$3:$C$601,$C60,'Tree List'!$D$3:$D$601,"Coniferous")
        + COUNTIFS('Tree List'!$C$3:$C$601,$C60,'Tree List'!$D$3:$D$601,"Deciduous Conifer")) &gt; 0,
            _xlfn.IFS($K60="Small",0.5,$K60="Small/Medium",1,$K60="Medium/Large",1.4,$K60="Large",1.8),
        (COUNTIFS('Tree List'!$C$3:$C$601,$C60,'Tree List'!$D$3:$D$601,"Deciduous")
        + COUNTIFS('Tree List'!$C$3:$C$601,$C60,'Tree List'!$D$3:$D$601,"Broadleaf Evergreen")) &gt; 0,
            _xlfn.IFS($K60="Small",0.4,$K60="Small/Medium",0.8,$K60="Medium/Large",1.2,$K60="Large",1.6)
    ),
    ""
),
"")</f>
        <v/>
      </c>
      <c r="M60" s="475" t="str">
        <f t="shared" si="0"/>
        <v/>
      </c>
      <c r="N60" s="346" t="str" cm="1">
        <f t="array" aca="1" ref="N6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IF(AND(_xlpm.baseRow,ISNA(MATCH($C60,'Tree List'!$C$3:$C$601,0)),SUMPRODUCT(--ISNUMBER(SEARCH(Tables2!$C$677:$C$772,$O60)))&gt;0),
Error!$B$57,
IF(AND(_xlpm.hasDM,$F60="Remove",$H60&lt;&gt;"",OR($I60="On-site replacement",$I60="Off-site replacement",$I60="Payment In Lieu")),
Error!$B$56,
IF(AND(_xlpm.hasDM,$F60="Remove",$H60&lt;&gt;"",$I60="Relocation"),
Error!$B$66,
IF(AND(OR(_xlpm.hasCN,_xlpm.hasPH,_xlpm.hasGR),$H60&lt;&gt;"",COUNTIF(Tables!$B$132:$B$134,$H60)&gt;0,$I60="N/A (No replacement required)"),
Error!$B$62,
IF(AND(_xlpm.baseRow,$E60&lt;&gt;"",ISNA(MATCH($E60,Tables!$B$225:$B$232,0))),
Error!$B$2,
IF(AND(_xlpm.baseRow,$F60&lt;&gt;"",ISNA(MATCH($F60,Tables!$B$234:$B$235,0))),
Error!$B$24,
IF(AND(_xlpm.baseRow,_xlpm.ECA_H&gt;0,_xlpm.Shore_H&gt;0),
Error!$B$16,
IF(AND(_xlpm.baseRow,$E60&lt;&gt;"",$D60=""),
Error!$B$3,
IF(AND(_xlpm.baseRow,OR($E60="Tier 3",$E60="Tier 4"),$C60&lt;&gt;"",$D60&gt;=24,COUNTIF(Tables2!$B$166:$B$674,$C60)&gt;0),
Error!$B$44,
IF(AND(_xlpm.baseRow,OR($E60="Tier 3",$E60="Tier 4"),$C60&lt;&gt;"",$D60&lt;&gt;"",COUNTIF(Tables2!$B$73:$B$152,$C60)&gt;0,
$D60&gt;=IFERROR(INDEX(Tables2!$C$73:$C$152,MATCH($C60,Tables2!$B$73:$B$152,0)),-1)),
Error!$B$44,
IF(AND(_xlpm.baseRow,OR($E60="Tier 2",$E60="Tier 2 Grove"),$C60&lt;&gt;"",$D60&gt;=12,COUNTIF(Tables2!$B$153:$B$162,$C60)&gt;0),
Error!$B$45,
IF(AND(_xlpm.baseRow,$E60="Tier 2 Grove",$D60&lt;12),
Error!$B$41,
IF(AND(_xlpm.baseRow,$E60="Tier 2",$D60&lt;5.88),
Error!$B$40,
IF(AND(_xlpm.baseRow,OR($E60="Tier 2",$E60="Tier 2 Grove"),$C60&lt;&gt;"",$D60&lt;12,$D60&gt;=6,COUNTIF(Tables2!$B$153:$B$162,$C60)&gt;0),
Error!$B$54,
IF(AND(_xlpm.baseRow,$E60="Tier 2",COUNTIF(Tables2!$B$166:$B$674,$C60)&gt;0,$D60&lt;24),
Error!$B$54,
IF(AND(_xlpm.baseRow,$E60="Tier 3",ISNA(MATCH($C60,Tables2!$B$153:$B$162,0)),OR($D60&lt;12,$D60&gt;=24)),
Error!$B$9,
IF(AND(_xlpm.baseRow,$E60="Tier 3",COUNTIF(Tables2!$B$153:$B$162,$C60)&gt;0,$D60&lt;12),
Error!$B$46,
IF(AND(_xlpm.baseRow,$E60="Tier 4",OR($D60&lt;6,$D60&gt;=12)),
Error!$B$10,
IF(AND(_xlpm.baseRow,$E60="&lt;6in DSH for Tree Points",OR($D60&gt;=6,$D60="")),
Error!$B$8,
IF(AND(_xlpm.baseRow,$E60="Street Tree for Green Factor",$F60&lt;&gt;"",$F60&lt;&gt;"Retain"),
Error!$B$14,
IF(AND($E60="&lt;6in DSH for Tree Points",$F60="Retain",$H60&lt;&gt;"",ISNA(MATCH($H60,Tables!$B$174:$B$174,0))),
Error!$B$15,
IF(AND($E60="Street Tree for Green Factor",$F60="Retain",$H60&lt;&gt;"",$H60&lt;&gt;"Zoning: Green Factor"),
Error!$B$15,
IF(AND($E60="ECA / Shoreline Tree",$F60="Remove",$H60&lt;&gt;"",ISNA(MATCH($H60,Tables!$B$189:$B$190,0))),
Error!$B$15,
IF(AND($E60="ECA / Shoreline Tree",$F60="Retain",$H60&lt;&gt;"",ISNA(MATCH($H60,Tables!$B$184:$B$186,0))),
Error!$B$15,
IF(AND($E60="Tier 4",$F60="Remove",$H60&lt;&gt;"",ISNA(MATCH($H60,Tables!$B$171,0))),
Error!$B$15,
IF(AND($E60="Tier 4",$F60="Retain",$H60&lt;&gt;"",ISNA(MATCH($H60,Tables!$B$166:$B$168,0))),
Error!$B$15,
IF(AND($E60="Tier 3",$F60="Retain",$H60&lt;&gt;"",ISNA(MATCH($H60,Tables!$B$158:$B$160,0))),
Error!$B$15,
IF(AND($E60="Tier 3",$F60="Remove",$H60&lt;&gt;"",ISNA(MATCH($H60,Tables!$B$163,0))),
Error!$B$15,
IF(AND(OR($E60="Tier 2",$E60="Tier 2 Grove"),$F60="Remove",$H60&lt;&gt;"",ISNA(MATCH($H60,Tables!$B$153:$B$155,0))),
Error!$B$15,
IF(AND(OR($E60="Tier 2",$E60="Tier 2 Grove"),$F60="Retain",$H60&lt;&gt;"",ISNA(MATCH($H60,Tables!$B$147:$B$150,0))),
Error!$B$15,
IF(AND($E60="Tier 1",$F60="Remove",$H60&lt;&gt;"",ISNA(MATCH($H60,Tables!$B$143:$B$144,0))),
Error!$B$15,
IF(AND($E60="Tier 1",$F60="Retain",$H60&lt;&gt;"",ISNA(MATCH($H60,Tables!$B$137:$B$140,0))),
Error!$B$15,
IF(AND($E60&lt;&gt;"Tier 2",$E60&lt;&gt;"Tier 2 Grove",$E60&lt;&gt;"Tier 3",$E60&lt;&gt;"Tier 4",$H60="Zoning: Green Factor",OR($D60="",$D60&lt;6)),
Error!$B$11,
IF(AND(_xlpm.baseRow,$D60&lt;6,$E60="&lt;6in DSH for Tree Points",_xlpm.TreePoints_H=0),
Error!$B$21,
IF(AND(_xlpm.baseRow,$E60&lt;&gt;"",$D60&lt;&gt;"",$F60=""),
Error!$B$4,
IF(AND(_xlpm.baseRow,$F60="Remove",OR($E60="Tier 1",$E60="Tier 2",$E60="Tier 2 Grove"),COUNTBLANK(_xlpm.HRange)&lt;3,_xlpm.uniqueH&gt;=2),
Error!$B$48,
IF(AND(_xlpm.baseRow,$F60="Retain",OR($E60="Tier 1",$E60="Tier 2",$E60="Tier 2 Grove"),COUNTIF(_xlpm.HRange,"Tree Code: Required to Retain Tier 1-2 Tree")=0),
Error!$B$47,
IF(AND(_xlpm.baseRow,$E60&lt;&gt;"",$D60&lt;&gt;"",$F60&lt;&gt;"",COUNTBLANK(_xlpm.HRange)=4),
Error!$B$5,
IF(AND($F60="Remove",$H60&lt;&gt;"",$I60=""),
Error!$B$18,
IF(AND($E60="Tier 4",$F60="Remove",$H60="Tree Protection Code: Tier 3 or Tier 4 Allowance",$H60&lt;&gt;"",ISNA(MATCH($I60,Tables!$B$200,0))),
Error!$B$17,
IF(AND($E60="Tier 3",$F60="Remove",$H60&lt;&gt;"",$H60="Tree Protection Code: Tier 3 or Tier 4 Allowance",OR($I60="",ISNA(MATCH($I60,Tables!$B$193:$B$197,0)))),
Error!$B$17,
IF(AND(OR($E60="Tier 2",$E60="Tier 2 Grove"),$F60="Remove",$H60="Tree Protection Code: Other removal allowance or exemption",$I60&lt;&gt;"",ISNA(MATCH($I60,Tables!$B$215:$B$218,0))),
Error!$B$17,
IF(AND(OR($E60="Tier 2",$E60="Tier 2 Grove"),$F60="Remove",$H60="Tree Protection Code: Development Capacity",$I60&lt;&gt;"",ISNA(MATCH($I60,Tables!$B$193:$B$197,0))),
Error!$B$17,
IF(AND(OR($E60="Tier 2",$E60="Tier 2 Grove"),$F60="Remove",$H60="Tree Protection Code: Necessary for Construction",$I60&lt;&gt;"",ISNA(MATCH($I60,Tables!$B$193:$B$197,0))),
Error!$B$17,
IF(AND($E60="Tier 1",$F60="Remove",$H60="Tree Protection Code: Special Exception",$I60&lt;&gt;"",ISNA(MATCH($I60,Tables!$B$215:$B$218,0))),
Error!$B$17,
IF(AND($E60="Tier 1",$F60="Remove",$H60="Tree Protection Code: Other removal allowance or exemption",$I60&lt;&gt;"",ISNA(MATCH($I60,Tables!$B$215:$B$218,0))),
Error!$B$17,
IF(AND($E60="ECA / Shoreline Tree",$F60="Remove",$H60&lt;&gt;"",OR($H60="Shoreline",$H60="Environmental Critical Area (ECA)"),ISNA(MATCH($I60,Tables!$B$209:$B$212,0))),
Error!$B$17,
IF(AND(_xlpm.baseRow,$F60="Retain",$E60="ECA / Shoreline Tree",_xlpm.ECA_Short=0),
Error!$B$61,
IF(AND($F60="Remove",ISNUMBER(MATCH($E60,{"Tier 1","Tier 2","Tier 3","Tier 4","Tier 2 Grove"},0)),ISNUMBER(MATCH($I60,{"On-site replacement","Off-site replacement"},0)),$J60="",$H60&lt;&gt;""),
Error!$B$19,
IF(AND(_xlpm.baseRow,$E60&lt;&gt;"",$D60&lt;&gt;"",$F60&lt;&gt;"",COUNTBLANK($B60:$C60)&gt;0,COUNTBLANK(_xlpm.HRange)&lt;&gt;4),
Error!$B$22,
IF(AND($H60="Zoning: Tree Points",$K60&lt;&gt;"",ISNA(MATCH($K60,Tables!$B$242:$B$253,0))),
Error!$B$58,
IF(AND($H60="Zoning: Tree Points",$K60="Small",$L60&lt;&gt;"",ISNA(MATCH($L60,Tables!$C$243:$C$244,0))),
Error!$B$59,
IF(AND($H60="Zoning: Tree Points",$K60="Small/Medium",$L60&lt;&gt;"",ISNA(MATCH($L60,Tables!$C$246:$C$247,0))),
Error!$B$59,
IF(AND($H60="Zoning: Tree Points",$K60="Medium/Large",$L60&lt;&gt;"",ISNA(MATCH($L60,Tables!$C$249:$C$250,0))),
Error!$B$59,
IF(AND($H60="Zoning: Tree Points",$K60="Large",$L60&lt;&gt;"",ISNA(MATCH($L60,Tables!$C$252:$C$253,0))),
Error!$B$59,
IF(AND($F60="Retain",$H60="Zoning: Tree Points",$C60&lt;&gt;"",$D60&lt;&gt;"",OR($K60="",$L60="",$M60="")),
Error!$B$20,
""
)))))))))))))))))))))))))))))))))))))))))))))))))))))))),
Error!$B$23))</f>
        <v/>
      </c>
      <c r="O60" s="343" t="str" cm="1">
        <f t="array" aca="1" ref="O60" ca="1">IFERROR(_xlfn.LET(
    _xlpm.txt, $C60,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1" spans="1:15" x14ac:dyDescent="0.3">
      <c r="A61" s="320"/>
      <c r="B61" s="616" t="str">
        <f t="shared" si="20"/>
        <v/>
      </c>
      <c r="C61" s="617" t="str">
        <f>IF($C60="", "", $C60)</f>
        <v/>
      </c>
      <c r="D61" s="618" t="str">
        <f t="shared" si="21"/>
        <v/>
      </c>
      <c r="E61" s="616" t="str">
        <f t="shared" si="22"/>
        <v/>
      </c>
      <c r="F61" s="616" t="str">
        <f t="shared" si="23"/>
        <v/>
      </c>
      <c r="G61" s="619" t="str">
        <f>IF(Tree_Table1[[#This Row],[Tree Status  &amp;]]="Retain", Tables!$B$237, IF(Tree_Table1[[#This Row],[Tree Status  &amp;]]="Remove", Tables!$B$238, ""))</f>
        <v/>
      </c>
      <c r="H61" s="321"/>
      <c r="I61" s="322"/>
      <c r="J61" s="453"/>
      <c r="K61" s="323" t="str">
        <f>IFERROR(
    IF(
        AND($H61="Zoning: Tree Points", NOT(ISNUMBER(SEARCH("sp.", $C61)))),
        VLOOKUP($C61, 'Tree List'!$C$3:$F$601, 4, FALSE),
        ""
    ),
"")</f>
        <v/>
      </c>
      <c r="L61" s="324" t="str" cm="1">
        <f t="array" ref="L61">IFERROR(
IF(
    AND($H61="Zoning: Tree Points", NOT(ISNUMBER(SEARCH("sp.", $C61)))),
    _xlfn.IFS(
        (COUNTIFS('Tree List'!$C$3:$C$601,$C61,'Tree List'!$D$3:$D$601,"Coniferous")
        + COUNTIFS('Tree List'!$C$3:$C$601,$C61,'Tree List'!$D$3:$D$601,"Deciduous Conifer")) &gt; 0,
            _xlfn.IFS($K61="Small",0.5,$K61="Small/Medium",1,$K61="Medium/Large",1.4,$K61="Large",1.8),
        (COUNTIFS('Tree List'!$C$3:$C$601,$C61,'Tree List'!$D$3:$D$601,"Deciduous")
        + COUNTIFS('Tree List'!$C$3:$C$601,$C61,'Tree List'!$D$3:$D$601,"Broadleaf Evergreen")) &gt; 0,
            _xlfn.IFS($K61="Small",0.4,$K61="Small/Medium",0.8,$K61="Medium/Large",1.2,$K61="Large",1.6)
    ),
    ""
),
"")</f>
        <v/>
      </c>
      <c r="M61" s="475" t="str">
        <f t="shared" si="0"/>
        <v/>
      </c>
      <c r="N61" s="346" t="str" cm="1">
        <f t="array" aca="1" ref="N6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IF(AND(_xlpm.baseRow,ISNA(MATCH($C61,'Tree List'!$C$3:$C$601,0)),SUMPRODUCT(--ISNUMBER(SEARCH(Tables2!$C$677:$C$772,$O61)))&gt;0),
Error!$B$57,
IF(AND(_xlpm.hasDM,$F61="Remove",$H61&lt;&gt;"",OR($I61="On-site replacement",$I61="Off-site replacement",$I61="Payment In Lieu")),
Error!$B$56,
IF(AND(_xlpm.hasDM,$F61="Remove",$H61&lt;&gt;"",$I61="Relocation"),
Error!$B$66,
IF(AND(OR(_xlpm.hasCN,_xlpm.hasPH,_xlpm.hasGR),$H61&lt;&gt;"",COUNTIF(Tables!$B$132:$B$134,$H61)&gt;0,$I61="N/A (No replacement required)"),
Error!$B$62,
IF(AND(_xlpm.baseRow,$E61&lt;&gt;"",ISNA(MATCH($E61,Tables!$B$225:$B$232,0))),
Error!$B$2,
IF(AND(_xlpm.baseRow,$F61&lt;&gt;"",ISNA(MATCH($F61,Tables!$B$234:$B$235,0))),
Error!$B$24,
IF(AND(_xlpm.baseRow,_xlpm.ECA_H&gt;0,_xlpm.Shore_H&gt;0),
Error!$B$16,
IF(AND(_xlpm.baseRow,$E61&lt;&gt;"",$D61=""),
Error!$B$3,
IF(AND(_xlpm.baseRow,OR($E61="Tier 3",$E61="Tier 4"),$C61&lt;&gt;"",$D61&gt;=24,COUNTIF(Tables2!$B$166:$B$674,$C61)&gt;0),
Error!$B$44,
IF(AND(_xlpm.baseRow,OR($E61="Tier 3",$E61="Tier 4"),$C61&lt;&gt;"",$D61&lt;&gt;"",COUNTIF(Tables2!$B$73:$B$152,$C61)&gt;0,
$D61&gt;=IFERROR(INDEX(Tables2!$C$73:$C$152,MATCH($C61,Tables2!$B$73:$B$152,0)),-1)),
Error!$B$44,
IF(AND(_xlpm.baseRow,OR($E61="Tier 2",$E61="Tier 2 Grove"),$C61&lt;&gt;"",$D61&gt;=12,COUNTIF(Tables2!$B$153:$B$162,$C61)&gt;0),
Error!$B$45,
IF(AND(_xlpm.baseRow,$E61="Tier 2 Grove",$D61&lt;12),
Error!$B$41,
IF(AND(_xlpm.baseRow,$E61="Tier 2",$D61&lt;5.88),
Error!$B$40,
IF(AND(_xlpm.baseRow,OR($E61="Tier 2",$E61="Tier 2 Grove"),$C61&lt;&gt;"",$D61&lt;12,$D61&gt;=6,COUNTIF(Tables2!$B$153:$B$162,$C61)&gt;0),
Error!$B$54,
IF(AND(_xlpm.baseRow,$E61="Tier 2",COUNTIF(Tables2!$B$166:$B$674,$C61)&gt;0,$D61&lt;24),
Error!$B$54,
IF(AND(_xlpm.baseRow,$E61="Tier 3",ISNA(MATCH($C61,Tables2!$B$153:$B$162,0)),OR($D61&lt;12,$D61&gt;=24)),
Error!$B$9,
IF(AND(_xlpm.baseRow,$E61="Tier 3",COUNTIF(Tables2!$B$153:$B$162,$C61)&gt;0,$D61&lt;12),
Error!$B$46,
IF(AND(_xlpm.baseRow,$E61="Tier 4",OR($D61&lt;6,$D61&gt;=12)),
Error!$B$10,
IF(AND(_xlpm.baseRow,$E61="&lt;6in DSH for Tree Points",OR($D61&gt;=6,$D61="")),
Error!$B$8,
IF(AND(_xlpm.baseRow,$E61="Street Tree for Green Factor",$F61&lt;&gt;"",$F61&lt;&gt;"Retain"),
Error!$B$14,
IF(AND($E61="&lt;6in DSH for Tree Points",$F61="Retain",$H61&lt;&gt;"",ISNA(MATCH($H61,Tables!$B$174:$B$174,0))),
Error!$B$15,
IF(AND($E61="Street Tree for Green Factor",$F61="Retain",$H61&lt;&gt;"",$H61&lt;&gt;"Zoning: Green Factor"),
Error!$B$15,
IF(AND($E61="ECA / Shoreline Tree",$F61="Remove",$H61&lt;&gt;"",ISNA(MATCH($H61,Tables!$B$189:$B$190,0))),
Error!$B$15,
IF(AND($E61="ECA / Shoreline Tree",$F61="Retain",$H61&lt;&gt;"",ISNA(MATCH($H61,Tables!$B$184:$B$186,0))),
Error!$B$15,
IF(AND($E61="Tier 4",$F61="Remove",$H61&lt;&gt;"",ISNA(MATCH($H61,Tables!$B$171,0))),
Error!$B$15,
IF(AND($E61="Tier 4",$F61="Retain",$H61&lt;&gt;"",ISNA(MATCH($H61,Tables!$B$166:$B$168,0))),
Error!$B$15,
IF(AND($E61="Tier 3",$F61="Retain",$H61&lt;&gt;"",ISNA(MATCH($H61,Tables!$B$158:$B$160,0))),
Error!$B$15,
IF(AND($E61="Tier 3",$F61="Remove",$H61&lt;&gt;"",ISNA(MATCH($H61,Tables!$B$163,0))),
Error!$B$15,
IF(AND(OR($E61="Tier 2",$E61="Tier 2 Grove"),$F61="Remove",$H61&lt;&gt;"",ISNA(MATCH($H61,Tables!$B$153:$B$155,0))),
Error!$B$15,
IF(AND(OR($E61="Tier 2",$E61="Tier 2 Grove"),$F61="Retain",$H61&lt;&gt;"",ISNA(MATCH($H61,Tables!$B$147:$B$150,0))),
Error!$B$15,
IF(AND($E61="Tier 1",$F61="Remove",$H61&lt;&gt;"",ISNA(MATCH($H61,Tables!$B$143:$B$144,0))),
Error!$B$15,
IF(AND($E61="Tier 1",$F61="Retain",$H61&lt;&gt;"",ISNA(MATCH($H61,Tables!$B$137:$B$140,0))),
Error!$B$15,
IF(AND($E61&lt;&gt;"Tier 2",$E61&lt;&gt;"Tier 2 Grove",$E61&lt;&gt;"Tier 3",$E61&lt;&gt;"Tier 4",$H61="Zoning: Green Factor",OR($D61="",$D61&lt;6)),
Error!$B$11,
IF(AND(_xlpm.baseRow,$D61&lt;6,$E61="&lt;6in DSH for Tree Points",_xlpm.TreePoints_H=0),
Error!$B$21,
IF(AND(_xlpm.baseRow,$E61&lt;&gt;"",$D61&lt;&gt;"",$F61=""),
Error!$B$4,
IF(AND(_xlpm.baseRow,$F61="Remove",OR($E61="Tier 1",$E61="Tier 2",$E61="Tier 2 Grove"),COUNTBLANK(_xlpm.HRange)&lt;3,_xlpm.uniqueH&gt;=2),
Error!$B$48,
IF(AND(_xlpm.baseRow,$F61="Retain",OR($E61="Tier 1",$E61="Tier 2",$E61="Tier 2 Grove"),COUNTIF(_xlpm.HRange,"Tree Code: Required to Retain Tier 1-2 Tree")=0),
Error!$B$47,
IF(AND(_xlpm.baseRow,$E61&lt;&gt;"",$D61&lt;&gt;"",$F61&lt;&gt;"",COUNTBLANK(_xlpm.HRange)=4),
Error!$B$5,
IF(AND($F61="Remove",$H61&lt;&gt;"",$I61=""),
Error!$B$18,
IF(AND($E61="Tier 4",$F61="Remove",$H61="Tree Protection Code: Tier 3 or Tier 4 Allowance",$H61&lt;&gt;"",ISNA(MATCH($I61,Tables!$B$200,0))),
Error!$B$17,
IF(AND($E61="Tier 3",$F61="Remove",$H61&lt;&gt;"",$H61="Tree Protection Code: Tier 3 or Tier 4 Allowance",OR($I61="",ISNA(MATCH($I61,Tables!$B$193:$B$197,0)))),
Error!$B$17,
IF(AND(OR($E61="Tier 2",$E61="Tier 2 Grove"),$F61="Remove",$H61="Tree Protection Code: Other removal allowance or exemption",$I61&lt;&gt;"",ISNA(MATCH($I61,Tables!$B$215:$B$218,0))),
Error!$B$17,
IF(AND(OR($E61="Tier 2",$E61="Tier 2 Grove"),$F61="Remove",$H61="Tree Protection Code: Development Capacity",$I61&lt;&gt;"",ISNA(MATCH($I61,Tables!$B$193:$B$197,0))),
Error!$B$17,
IF(AND(OR($E61="Tier 2",$E61="Tier 2 Grove"),$F61="Remove",$H61="Tree Protection Code: Necessary for Construction",$I61&lt;&gt;"",ISNA(MATCH($I61,Tables!$B$193:$B$197,0))),
Error!$B$17,
IF(AND($E61="Tier 1",$F61="Remove",$H61="Tree Protection Code: Special Exception",$I61&lt;&gt;"",ISNA(MATCH($I61,Tables!$B$215:$B$218,0))),
Error!$B$17,
IF(AND($E61="Tier 1",$F61="Remove",$H61="Tree Protection Code: Other removal allowance or exemption",$I61&lt;&gt;"",ISNA(MATCH($I61,Tables!$B$215:$B$218,0))),
Error!$B$17,
IF(AND($E61="ECA / Shoreline Tree",$F61="Remove",$H61&lt;&gt;"",OR($H61="Shoreline",$H61="Environmental Critical Area (ECA)"),ISNA(MATCH($I61,Tables!$B$209:$B$212,0))),
Error!$B$17,
IF(AND(_xlpm.baseRow,$F61="Retain",$E61="ECA / Shoreline Tree",_xlpm.ECA_Short=0),
Error!$B$61,
IF(AND($F61="Remove",ISNUMBER(MATCH($E61,{"Tier 1","Tier 2","Tier 3","Tier 4","Tier 2 Grove"},0)),ISNUMBER(MATCH($I61,{"On-site replacement","Off-site replacement"},0)),$J61="",$H61&lt;&gt;""),
Error!$B$19,
IF(AND(_xlpm.baseRow,$E61&lt;&gt;"",$D61&lt;&gt;"",$F61&lt;&gt;"",COUNTBLANK($B61:$C61)&gt;0,COUNTBLANK(_xlpm.HRange)&lt;&gt;4),
Error!$B$22,
IF(AND($H61="Zoning: Tree Points",$K61&lt;&gt;"",ISNA(MATCH($K61,Tables!$B$242:$B$253,0))),
Error!$B$58,
IF(AND($H61="Zoning: Tree Points",$K61="Small",$L61&lt;&gt;"",ISNA(MATCH($L61,Tables!$C$243:$C$244,0))),
Error!$B$59,
IF(AND($H61="Zoning: Tree Points",$K61="Small/Medium",$L61&lt;&gt;"",ISNA(MATCH($L61,Tables!$C$246:$C$247,0))),
Error!$B$59,
IF(AND($H61="Zoning: Tree Points",$K61="Medium/Large",$L61&lt;&gt;"",ISNA(MATCH($L61,Tables!$C$249:$C$250,0))),
Error!$B$59,
IF(AND($H61="Zoning: Tree Points",$K61="Large",$L61&lt;&gt;"",ISNA(MATCH($L61,Tables!$C$252:$C$253,0))),
Error!$B$59,
IF(AND($F61="Retain",$H61="Zoning: Tree Points",$C61&lt;&gt;"",$D61&lt;&gt;"",OR($K61="",$L61="",$M61="")),
Error!$B$20,
""
)))))))))))))))))))))))))))))))))))))))))))))))))))))))),
Error!$B$23))</f>
        <v/>
      </c>
      <c r="O61" s="343" t="str" cm="1">
        <f t="array" aca="1" ref="O61" ca="1">IFERROR(_xlfn.LET(
    _xlpm.txt, $C61,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2" spans="1:15" ht="15" thickBot="1" x14ac:dyDescent="0.35">
      <c r="A62" s="320"/>
      <c r="B62" s="616" t="str">
        <f t="shared" si="20"/>
        <v/>
      </c>
      <c r="C62" s="617" t="str">
        <f>IF($C61="", "", $C61)</f>
        <v/>
      </c>
      <c r="D62" s="618" t="str">
        <f t="shared" si="21"/>
        <v/>
      </c>
      <c r="E62" s="616" t="str">
        <f t="shared" si="22"/>
        <v/>
      </c>
      <c r="F62" s="616" t="str">
        <f t="shared" si="23"/>
        <v/>
      </c>
      <c r="G62" s="619" t="str">
        <f>IF(Tree_Table1[[#This Row],[Tree Status  &amp;]]="Retain", Tables!$B$237, IF(Tree_Table1[[#This Row],[Tree Status  &amp;]]="Remove", Tables!$B$238, ""))</f>
        <v/>
      </c>
      <c r="H62" s="329"/>
      <c r="I62" s="330"/>
      <c r="J62" s="455"/>
      <c r="K62" s="327" t="str">
        <f>IFERROR(
    IF(
        AND($H62="Zoning: Tree Points", NOT(ISNUMBER(SEARCH("sp.", $C62)))),
        VLOOKUP($C62, 'Tree List'!$C$3:$F$601, 4, FALSE),
        ""
    ),
"")</f>
        <v/>
      </c>
      <c r="L62" s="328" t="str" cm="1">
        <f t="array" ref="L62">IFERROR(
IF(
    AND($H62="Zoning: Tree Points", NOT(ISNUMBER(SEARCH("sp.", $C62)))),
    _xlfn.IFS(
        (COUNTIFS('Tree List'!$C$3:$C$601,$C62,'Tree List'!$D$3:$D$601,"Coniferous")
        + COUNTIFS('Tree List'!$C$3:$C$601,$C62,'Tree List'!$D$3:$D$601,"Deciduous Conifer")) &gt; 0,
            _xlfn.IFS($K62="Small",0.5,$K62="Small/Medium",1,$K62="Medium/Large",1.4,$K62="Large",1.8),
        (COUNTIFS('Tree List'!$C$3:$C$601,$C62,'Tree List'!$D$3:$D$601,"Deciduous")
        + COUNTIFS('Tree List'!$C$3:$C$601,$C62,'Tree List'!$D$3:$D$601,"Broadleaf Evergreen")) &gt; 0,
            _xlfn.IFS($K62="Small",0.4,$K62="Small/Medium",0.8,$K62="Medium/Large",1.2,$K62="Large",1.6)
    ),
    ""
),
"")</f>
        <v/>
      </c>
      <c r="M62" s="476" t="str">
        <f t="shared" si="0"/>
        <v/>
      </c>
      <c r="N62" s="347" t="str" cm="1">
        <f t="array" aca="1" ref="N6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IF(AND(_xlpm.baseRow,ISNA(MATCH($C62,'Tree List'!$C$3:$C$601,0)),SUMPRODUCT(--ISNUMBER(SEARCH(Tables2!$C$677:$C$772,$O62)))&gt;0),
Error!$B$57,
IF(AND(_xlpm.hasDM,$F62="Remove",$H62&lt;&gt;"",OR($I62="On-site replacement",$I62="Off-site replacement",$I62="Payment In Lieu")),
Error!$B$56,
IF(AND(_xlpm.hasDM,$F62="Remove",$H62&lt;&gt;"",$I62="Relocation"),
Error!$B$66,
IF(AND(OR(_xlpm.hasCN,_xlpm.hasPH,_xlpm.hasGR),$H62&lt;&gt;"",COUNTIF(Tables!$B$132:$B$134,$H62)&gt;0,$I62="N/A (No replacement required)"),
Error!$B$62,
IF(AND(_xlpm.baseRow,$E62&lt;&gt;"",ISNA(MATCH($E62,Tables!$B$225:$B$232,0))),
Error!$B$2,
IF(AND(_xlpm.baseRow,$F62&lt;&gt;"",ISNA(MATCH($F62,Tables!$B$234:$B$235,0))),
Error!$B$24,
IF(AND(_xlpm.baseRow,_xlpm.ECA_H&gt;0,_xlpm.Shore_H&gt;0),
Error!$B$16,
IF(AND(_xlpm.baseRow,$E62&lt;&gt;"",$D62=""),
Error!$B$3,
IF(AND(_xlpm.baseRow,OR($E62="Tier 3",$E62="Tier 4"),$C62&lt;&gt;"",$D62&gt;=24,COUNTIF(Tables2!$B$166:$B$674,$C62)&gt;0),
Error!$B$44,
IF(AND(_xlpm.baseRow,OR($E62="Tier 3",$E62="Tier 4"),$C62&lt;&gt;"",$D62&lt;&gt;"",COUNTIF(Tables2!$B$73:$B$152,$C62)&gt;0,
$D62&gt;=IFERROR(INDEX(Tables2!$C$73:$C$152,MATCH($C62,Tables2!$B$73:$B$152,0)),-1)),
Error!$B$44,
IF(AND(_xlpm.baseRow,OR($E62="Tier 2",$E62="Tier 2 Grove"),$C62&lt;&gt;"",$D62&gt;=12,COUNTIF(Tables2!$B$153:$B$162,$C62)&gt;0),
Error!$B$45,
IF(AND(_xlpm.baseRow,$E62="Tier 2 Grove",$D62&lt;12),
Error!$B$41,
IF(AND(_xlpm.baseRow,$E62="Tier 2",$D62&lt;5.88),
Error!$B$40,
IF(AND(_xlpm.baseRow,OR($E62="Tier 2",$E62="Tier 2 Grove"),$C62&lt;&gt;"",$D62&lt;12,$D62&gt;=6,COUNTIF(Tables2!$B$153:$B$162,$C62)&gt;0),
Error!$B$54,
IF(AND(_xlpm.baseRow,$E62="Tier 2",COUNTIF(Tables2!$B$166:$B$674,$C62)&gt;0,$D62&lt;24),
Error!$B$54,
IF(AND(_xlpm.baseRow,$E62="Tier 3",ISNA(MATCH($C62,Tables2!$B$153:$B$162,0)),OR($D62&lt;12,$D62&gt;=24)),
Error!$B$9,
IF(AND(_xlpm.baseRow,$E62="Tier 3",COUNTIF(Tables2!$B$153:$B$162,$C62)&gt;0,$D62&lt;12),
Error!$B$46,
IF(AND(_xlpm.baseRow,$E62="Tier 4",OR($D62&lt;6,$D62&gt;=12)),
Error!$B$10,
IF(AND(_xlpm.baseRow,$E62="&lt;6in DSH for Tree Points",OR($D62&gt;=6,$D62="")),
Error!$B$8,
IF(AND(_xlpm.baseRow,$E62="Street Tree for Green Factor",$F62&lt;&gt;"",$F62&lt;&gt;"Retain"),
Error!$B$14,
IF(AND($E62="&lt;6in DSH for Tree Points",$F62="Retain",$H62&lt;&gt;"",ISNA(MATCH($H62,Tables!$B$174:$B$174,0))),
Error!$B$15,
IF(AND($E62="Street Tree for Green Factor",$F62="Retain",$H62&lt;&gt;"",$H62&lt;&gt;"Zoning: Green Factor"),
Error!$B$15,
IF(AND($E62="ECA / Shoreline Tree",$F62="Remove",$H62&lt;&gt;"",ISNA(MATCH($H62,Tables!$B$189:$B$190,0))),
Error!$B$15,
IF(AND($E62="ECA / Shoreline Tree",$F62="Retain",$H62&lt;&gt;"",ISNA(MATCH($H62,Tables!$B$184:$B$186,0))),
Error!$B$15,
IF(AND($E62="Tier 4",$F62="Remove",$H62&lt;&gt;"",ISNA(MATCH($H62,Tables!$B$171,0))),
Error!$B$15,
IF(AND($E62="Tier 4",$F62="Retain",$H62&lt;&gt;"",ISNA(MATCH($H62,Tables!$B$166:$B$168,0))),
Error!$B$15,
IF(AND($E62="Tier 3",$F62="Retain",$H62&lt;&gt;"",ISNA(MATCH($H62,Tables!$B$158:$B$160,0))),
Error!$B$15,
IF(AND($E62="Tier 3",$F62="Remove",$H62&lt;&gt;"",ISNA(MATCH($H62,Tables!$B$163,0))),
Error!$B$15,
IF(AND(OR($E62="Tier 2",$E62="Tier 2 Grove"),$F62="Remove",$H62&lt;&gt;"",ISNA(MATCH($H62,Tables!$B$153:$B$155,0))),
Error!$B$15,
IF(AND(OR($E62="Tier 2",$E62="Tier 2 Grove"),$F62="Retain",$H62&lt;&gt;"",ISNA(MATCH($H62,Tables!$B$147:$B$150,0))),
Error!$B$15,
IF(AND($E62="Tier 1",$F62="Remove",$H62&lt;&gt;"",ISNA(MATCH($H62,Tables!$B$143:$B$144,0))),
Error!$B$15,
IF(AND($E62="Tier 1",$F62="Retain",$H62&lt;&gt;"",ISNA(MATCH($H62,Tables!$B$137:$B$140,0))),
Error!$B$15,
IF(AND($E62&lt;&gt;"Tier 2",$E62&lt;&gt;"Tier 2 Grove",$E62&lt;&gt;"Tier 3",$E62&lt;&gt;"Tier 4",$H62="Zoning: Green Factor",OR($D62="",$D62&lt;6)),
Error!$B$11,
IF(AND(_xlpm.baseRow,$D62&lt;6,$E62="&lt;6in DSH for Tree Points",_xlpm.TreePoints_H=0),
Error!$B$21,
IF(AND(_xlpm.baseRow,$E62&lt;&gt;"",$D62&lt;&gt;"",$F62=""),
Error!$B$4,
IF(AND(_xlpm.baseRow,$F62="Remove",OR($E62="Tier 1",$E62="Tier 2",$E62="Tier 2 Grove"),COUNTBLANK(_xlpm.HRange)&lt;3,_xlpm.uniqueH&gt;=2),
Error!$B$48,
IF(AND(_xlpm.baseRow,$F62="Retain",OR($E62="Tier 1",$E62="Tier 2",$E62="Tier 2 Grove"),COUNTIF(_xlpm.HRange,"Tree Code: Required to Retain Tier 1-2 Tree")=0),
Error!$B$47,
IF(AND(_xlpm.baseRow,$E62&lt;&gt;"",$D62&lt;&gt;"",$F62&lt;&gt;"",COUNTBLANK(_xlpm.HRange)=4),
Error!$B$5,
IF(AND($F62="Remove",$H62&lt;&gt;"",$I62=""),
Error!$B$18,
IF(AND($E62="Tier 4",$F62="Remove",$H62="Tree Protection Code: Tier 3 or Tier 4 Allowance",$H62&lt;&gt;"",ISNA(MATCH($I62,Tables!$B$200,0))),
Error!$B$17,
IF(AND($E62="Tier 3",$F62="Remove",$H62&lt;&gt;"",$H62="Tree Protection Code: Tier 3 or Tier 4 Allowance",OR($I62="",ISNA(MATCH($I62,Tables!$B$193:$B$197,0)))),
Error!$B$17,
IF(AND(OR($E62="Tier 2",$E62="Tier 2 Grove"),$F62="Remove",$H62="Tree Protection Code: Other removal allowance or exemption",$I62&lt;&gt;"",ISNA(MATCH($I62,Tables!$B$215:$B$218,0))),
Error!$B$17,
IF(AND(OR($E62="Tier 2",$E62="Tier 2 Grove"),$F62="Remove",$H62="Tree Protection Code: Development Capacity",$I62&lt;&gt;"",ISNA(MATCH($I62,Tables!$B$193:$B$197,0))),
Error!$B$17,
IF(AND(OR($E62="Tier 2",$E62="Tier 2 Grove"),$F62="Remove",$H62="Tree Protection Code: Necessary for Construction",$I62&lt;&gt;"",ISNA(MATCH($I62,Tables!$B$193:$B$197,0))),
Error!$B$17,
IF(AND($E62="Tier 1",$F62="Remove",$H62="Tree Protection Code: Special Exception",$I62&lt;&gt;"",ISNA(MATCH($I62,Tables!$B$215:$B$218,0))),
Error!$B$17,
IF(AND($E62="Tier 1",$F62="Remove",$H62="Tree Protection Code: Other removal allowance or exemption",$I62&lt;&gt;"",ISNA(MATCH($I62,Tables!$B$215:$B$218,0))),
Error!$B$17,
IF(AND($E62="ECA / Shoreline Tree",$F62="Remove",$H62&lt;&gt;"",OR($H62="Shoreline",$H62="Environmental Critical Area (ECA)"),ISNA(MATCH($I62,Tables!$B$209:$B$212,0))),
Error!$B$17,
IF(AND(_xlpm.baseRow,$F62="Retain",$E62="ECA / Shoreline Tree",_xlpm.ECA_Short=0),
Error!$B$61,
IF(AND($F62="Remove",ISNUMBER(MATCH($E62,{"Tier 1","Tier 2","Tier 3","Tier 4","Tier 2 Grove"},0)),ISNUMBER(MATCH($I62,{"On-site replacement","Off-site replacement"},0)),$J62="",$H62&lt;&gt;""),
Error!$B$19,
IF(AND(_xlpm.baseRow,$E62&lt;&gt;"",$D62&lt;&gt;"",$F62&lt;&gt;"",COUNTBLANK($B62:$C62)&gt;0,COUNTBLANK(_xlpm.HRange)&lt;&gt;4),
Error!$B$22,
IF(AND($H62="Zoning: Tree Points",$K62&lt;&gt;"",ISNA(MATCH($K62,Tables!$B$242:$B$253,0))),
Error!$B$58,
IF(AND($H62="Zoning: Tree Points",$K62="Small",$L62&lt;&gt;"",ISNA(MATCH($L62,Tables!$C$243:$C$244,0))),
Error!$B$59,
IF(AND($H62="Zoning: Tree Points",$K62="Small/Medium",$L62&lt;&gt;"",ISNA(MATCH($L62,Tables!$C$246:$C$247,0))),
Error!$B$59,
IF(AND($H62="Zoning: Tree Points",$K62="Medium/Large",$L62&lt;&gt;"",ISNA(MATCH($L62,Tables!$C$249:$C$250,0))),
Error!$B$59,
IF(AND($H62="Zoning: Tree Points",$K62="Large",$L62&lt;&gt;"",ISNA(MATCH($L62,Tables!$C$252:$C$253,0))),
Error!$B$59,
IF(AND($F62="Retain",$H62="Zoning: Tree Points",$C62&lt;&gt;"",$D62&lt;&gt;"",OR($K62="",$L62="",$M62="")),
Error!$B$20,
""
)))))))))))))))))))))))))))))))))))))))))))))))))))))))),
Error!$B$23))</f>
        <v/>
      </c>
      <c r="O62" s="343" t="str" cm="1">
        <f t="array" aca="1" ref="O62" ca="1">IFERROR(_xlfn.LET(
    _xlpm.txt, $C62,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3" spans="1:15" ht="15" thickBot="1" x14ac:dyDescent="0.35">
      <c r="A63" s="311">
        <v>14</v>
      </c>
      <c r="B63" s="312"/>
      <c r="C63" s="313"/>
      <c r="D63" s="478"/>
      <c r="E63" s="314"/>
      <c r="F63" s="314"/>
      <c r="G63" s="315" t="str">
        <f>IF(Tree_Table1[[#This Row],[Tree Status  &amp;]]="Retain", Tables!$B$237, IF(Tree_Table1[[#This Row],[Tree Status  &amp;]]="Remove", Tables!$B$238, ""))</f>
        <v/>
      </c>
      <c r="H63" s="316"/>
      <c r="I63" s="317"/>
      <c r="J63" s="452"/>
      <c r="K63" s="318" t="str">
        <f>IFERROR(
    IF(
        AND($H63="Zoning: Tree Points", NOT(ISNUMBER(SEARCH("sp.", $C63)))),
        VLOOKUP($C63, 'Tree List'!$C$3:$F$601, 4, FALSE),
        ""
    ),
"")</f>
        <v/>
      </c>
      <c r="L63" s="319" t="str" cm="1">
        <f t="array" ref="L63">IFERROR(
IF(
    AND($H63="Zoning: Tree Points", NOT(ISNUMBER(SEARCH("sp.", $C63)))),
    _xlfn.IFS(
        (COUNTIFS('Tree List'!$C$3:$C$601,$C63,'Tree List'!$D$3:$D$601,"Coniferous")
        + COUNTIFS('Tree List'!$C$3:$C$601,$C63,'Tree List'!$D$3:$D$601,"Deciduous Conifer")) &gt; 0,
            _xlfn.IFS($K63="Small",0.5,$K63="Small/Medium",1,$K63="Medium/Large",1.4,$K63="Large",1.8),
        (COUNTIFS('Tree List'!$C$3:$C$601,$C63,'Tree List'!$D$3:$D$601,"Deciduous")
        + COUNTIFS('Tree List'!$C$3:$C$601,$C63,'Tree List'!$D$3:$D$601,"Broadleaf Evergreen")) &gt; 0,
            _xlfn.IFS($K63="Small",0.4,$K63="Small/Medium",0.8,$K63="Medium/Large",1.2,$K63="Large",1.6)
    ),
    ""
),
"")</f>
        <v/>
      </c>
      <c r="M63" s="474" t="str">
        <f t="shared" si="0"/>
        <v/>
      </c>
      <c r="N63" s="620" t="str" cm="1">
        <f t="array" aca="1" ref="N6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IF(AND(_xlpm.baseRow,ISNA(MATCH($C63,'Tree List'!$C$3:$C$601,0)),SUMPRODUCT(--ISNUMBER(SEARCH(Tables2!$C$677:$C$772,$O63)))&gt;0),
Error!$B$57,
IF(AND(_xlpm.hasDM,$F63="Remove",$H63&lt;&gt;"",OR($I63="On-site replacement",$I63="Off-site replacement",$I63="Payment In Lieu")),
Error!$B$56,
IF(AND(_xlpm.hasDM,$F63="Remove",$H63&lt;&gt;"",$I63="Relocation"),
Error!$B$66,
IF(AND(OR(_xlpm.hasCN,_xlpm.hasPH,_xlpm.hasGR),$H63&lt;&gt;"",COUNTIF(Tables!$B$132:$B$134,$H63)&gt;0,$I63="N/A (No replacement required)"),
Error!$B$62,
IF(AND(_xlpm.baseRow,$E63&lt;&gt;"",ISNA(MATCH($E63,Tables!$B$225:$B$232,0))),
Error!$B$2,
IF(AND(_xlpm.baseRow,$F63&lt;&gt;"",ISNA(MATCH($F63,Tables!$B$234:$B$235,0))),
Error!$B$24,
IF(AND(_xlpm.baseRow,_xlpm.ECA_H&gt;0,_xlpm.Shore_H&gt;0),
Error!$B$16,
IF(AND(_xlpm.baseRow,$E63&lt;&gt;"",$D63=""),
Error!$B$3,
IF(AND(_xlpm.baseRow,OR($E63="Tier 3",$E63="Tier 4"),$C63&lt;&gt;"",$D63&gt;=24,COUNTIF(Tables2!$B$166:$B$674,$C63)&gt;0),
Error!$B$44,
IF(AND(_xlpm.baseRow,OR($E63="Tier 3",$E63="Tier 4"),$C63&lt;&gt;"",$D63&lt;&gt;"",COUNTIF(Tables2!$B$73:$B$152,$C63)&gt;0,
$D63&gt;=IFERROR(INDEX(Tables2!$C$73:$C$152,MATCH($C63,Tables2!$B$73:$B$152,0)),-1)),
Error!$B$44,
IF(AND(_xlpm.baseRow,OR($E63="Tier 2",$E63="Tier 2 Grove"),$C63&lt;&gt;"",$D63&gt;=12,COUNTIF(Tables2!$B$153:$B$162,$C63)&gt;0),
Error!$B$45,
IF(AND(_xlpm.baseRow,$E63="Tier 2 Grove",$D63&lt;12),
Error!$B$41,
IF(AND(_xlpm.baseRow,$E63="Tier 2",$D63&lt;5.88),
Error!$B$40,
IF(AND(_xlpm.baseRow,OR($E63="Tier 2",$E63="Tier 2 Grove"),$C63&lt;&gt;"",$D63&lt;12,$D63&gt;=6,COUNTIF(Tables2!$B$153:$B$162,$C63)&gt;0),
Error!$B$54,
IF(AND(_xlpm.baseRow,$E63="Tier 2",COUNTIF(Tables2!$B$166:$B$674,$C63)&gt;0,$D63&lt;24),
Error!$B$54,
IF(AND(_xlpm.baseRow,$E63="Tier 3",ISNA(MATCH($C63,Tables2!$B$153:$B$162,0)),OR($D63&lt;12,$D63&gt;=24)),
Error!$B$9,
IF(AND(_xlpm.baseRow,$E63="Tier 3",COUNTIF(Tables2!$B$153:$B$162,$C63)&gt;0,$D63&lt;12),
Error!$B$46,
IF(AND(_xlpm.baseRow,$E63="Tier 4",OR($D63&lt;6,$D63&gt;=12)),
Error!$B$10,
IF(AND(_xlpm.baseRow,$E63="&lt;6in DSH for Tree Points",OR($D63&gt;=6,$D63="")),
Error!$B$8,
IF(AND(_xlpm.baseRow,$E63="Street Tree for Green Factor",$F63&lt;&gt;"",$F63&lt;&gt;"Retain"),
Error!$B$14,
IF(AND($E63="&lt;6in DSH for Tree Points",$F63="Retain",$H63&lt;&gt;"",ISNA(MATCH($H63,Tables!$B$174:$B$174,0))),
Error!$B$15,
IF(AND($E63="Street Tree for Green Factor",$F63="Retain",$H63&lt;&gt;"",$H63&lt;&gt;"Zoning: Green Factor"),
Error!$B$15,
IF(AND($E63="ECA / Shoreline Tree",$F63="Remove",$H63&lt;&gt;"",ISNA(MATCH($H63,Tables!$B$189:$B$190,0))),
Error!$B$15,
IF(AND($E63="ECA / Shoreline Tree",$F63="Retain",$H63&lt;&gt;"",ISNA(MATCH($H63,Tables!$B$184:$B$186,0))),
Error!$B$15,
IF(AND($E63="Tier 4",$F63="Remove",$H63&lt;&gt;"",ISNA(MATCH($H63,Tables!$B$171,0))),
Error!$B$15,
IF(AND($E63="Tier 4",$F63="Retain",$H63&lt;&gt;"",ISNA(MATCH($H63,Tables!$B$166:$B$168,0))),
Error!$B$15,
IF(AND($E63="Tier 3",$F63="Retain",$H63&lt;&gt;"",ISNA(MATCH($H63,Tables!$B$158:$B$160,0))),
Error!$B$15,
IF(AND($E63="Tier 3",$F63="Remove",$H63&lt;&gt;"",ISNA(MATCH($H63,Tables!$B$163,0))),
Error!$B$15,
IF(AND(OR($E63="Tier 2",$E63="Tier 2 Grove"),$F63="Remove",$H63&lt;&gt;"",ISNA(MATCH($H63,Tables!$B$153:$B$155,0))),
Error!$B$15,
IF(AND(OR($E63="Tier 2",$E63="Tier 2 Grove"),$F63="Retain",$H63&lt;&gt;"",ISNA(MATCH($H63,Tables!$B$147:$B$150,0))),
Error!$B$15,
IF(AND($E63="Tier 1",$F63="Remove",$H63&lt;&gt;"",ISNA(MATCH($H63,Tables!$B$143:$B$144,0))),
Error!$B$15,
IF(AND($E63="Tier 1",$F63="Retain",$H63&lt;&gt;"",ISNA(MATCH($H63,Tables!$B$137:$B$140,0))),
Error!$B$15,
IF(AND($E63&lt;&gt;"Tier 2",$E63&lt;&gt;"Tier 2 Grove",$E63&lt;&gt;"Tier 3",$E63&lt;&gt;"Tier 4",$H63="Zoning: Green Factor",OR($D63="",$D63&lt;6)),
Error!$B$11,
IF(AND(_xlpm.baseRow,$D63&lt;6,$E63="&lt;6in DSH for Tree Points",_xlpm.TreePoints_H=0),
Error!$B$21,
IF(AND(_xlpm.baseRow,$E63&lt;&gt;"",$D63&lt;&gt;"",$F63=""),
Error!$B$4,
IF(AND(_xlpm.baseRow,$F63="Remove",OR($E63="Tier 1",$E63="Tier 2",$E63="Tier 2 Grove"),COUNTBLANK(_xlpm.HRange)&lt;3,_xlpm.uniqueH&gt;=2),
Error!$B$48,
IF(AND(_xlpm.baseRow,$F63="Retain",OR($E63="Tier 1",$E63="Tier 2",$E63="Tier 2 Grove"),COUNTIF(_xlpm.HRange,"Tree Code: Required to Retain Tier 1-2 Tree")=0),
Error!$B$47,
IF(AND(_xlpm.baseRow,$E63&lt;&gt;"",$D63&lt;&gt;"",$F63&lt;&gt;"",COUNTBLANK(_xlpm.HRange)=4),
Error!$B$5,
IF(AND($F63="Remove",$H63&lt;&gt;"",$I63=""),
Error!$B$18,
IF(AND($E63="Tier 4",$F63="Remove",$H63="Tree Protection Code: Tier 3 or Tier 4 Allowance",$H63&lt;&gt;"",ISNA(MATCH($I63,Tables!$B$200,0))),
Error!$B$17,
IF(AND($E63="Tier 3",$F63="Remove",$H63&lt;&gt;"",$H63="Tree Protection Code: Tier 3 or Tier 4 Allowance",OR($I63="",ISNA(MATCH($I63,Tables!$B$193:$B$197,0)))),
Error!$B$17,
IF(AND(OR($E63="Tier 2",$E63="Tier 2 Grove"),$F63="Remove",$H63="Tree Protection Code: Other removal allowance or exemption",$I63&lt;&gt;"",ISNA(MATCH($I63,Tables!$B$215:$B$218,0))),
Error!$B$17,
IF(AND(OR($E63="Tier 2",$E63="Tier 2 Grove"),$F63="Remove",$H63="Tree Protection Code: Development Capacity",$I63&lt;&gt;"",ISNA(MATCH($I63,Tables!$B$193:$B$197,0))),
Error!$B$17,
IF(AND(OR($E63="Tier 2",$E63="Tier 2 Grove"),$F63="Remove",$H63="Tree Protection Code: Necessary for Construction",$I63&lt;&gt;"",ISNA(MATCH($I63,Tables!$B$193:$B$197,0))),
Error!$B$17,
IF(AND($E63="Tier 1",$F63="Remove",$H63="Tree Protection Code: Special Exception",$I63&lt;&gt;"",ISNA(MATCH($I63,Tables!$B$215:$B$218,0))),
Error!$B$17,
IF(AND($E63="Tier 1",$F63="Remove",$H63="Tree Protection Code: Other removal allowance or exemption",$I63&lt;&gt;"",ISNA(MATCH($I63,Tables!$B$215:$B$218,0))),
Error!$B$17,
IF(AND($E63="ECA / Shoreline Tree",$F63="Remove",$H63&lt;&gt;"",OR($H63="Shoreline",$H63="Environmental Critical Area (ECA)"),ISNA(MATCH($I63,Tables!$B$209:$B$212,0))),
Error!$B$17,
IF(AND(_xlpm.baseRow,$F63="Retain",$E63="ECA / Shoreline Tree",_xlpm.ECA_Short=0),
Error!$B$61,
IF(AND($F63="Remove",ISNUMBER(MATCH($E63,{"Tier 1","Tier 2","Tier 3","Tier 4","Tier 2 Grove"},0)),ISNUMBER(MATCH($I63,{"On-site replacement","Off-site replacement"},0)),$J63="",$H63&lt;&gt;""),
Error!$B$19,
IF(AND(_xlpm.baseRow,$E63&lt;&gt;"",$D63&lt;&gt;"",$F63&lt;&gt;"",COUNTBLANK($B63:$C63)&gt;0,COUNTBLANK(_xlpm.HRange)&lt;&gt;4),
Error!$B$22,
IF(AND($H63="Zoning: Tree Points",$K63&lt;&gt;"",ISNA(MATCH($K63,Tables!$B$242:$B$253,0))),
Error!$B$58,
IF(AND($H63="Zoning: Tree Points",$K63="Small",$L63&lt;&gt;"",ISNA(MATCH($L63,Tables!$C$243:$C$244,0))),
Error!$B$59,
IF(AND($H63="Zoning: Tree Points",$K63="Small/Medium",$L63&lt;&gt;"",ISNA(MATCH($L63,Tables!$C$246:$C$247,0))),
Error!$B$59,
IF(AND($H63="Zoning: Tree Points",$K63="Medium/Large",$L63&lt;&gt;"",ISNA(MATCH($L63,Tables!$C$249:$C$250,0))),
Error!$B$59,
IF(AND($H63="Zoning: Tree Points",$K63="Large",$L63&lt;&gt;"",ISNA(MATCH($L63,Tables!$C$252:$C$253,0))),
Error!$B$59,
IF(AND($F63="Retain",$H63="Zoning: Tree Points",$C63&lt;&gt;"",$D63&lt;&gt;"",OR($K63="",$L63="",$M63="")),
Error!$B$20,
""
)))))))))))))))))))))))))))))))))))))))))))))))))))))))),
Error!$B$23))</f>
        <v/>
      </c>
      <c r="O63" s="343" t="str" cm="1">
        <f t="array" aca="1" ref="O63" ca="1">IFERROR(_xlfn.LET(
    _xlpm.txt, $C63,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4" spans="1:15" x14ac:dyDescent="0.3">
      <c r="A64" s="320"/>
      <c r="B64" s="616" t="str">
        <f t="shared" ref="B64:B66" si="24">IF($B63="", "", $B63)</f>
        <v/>
      </c>
      <c r="C64" s="617" t="str">
        <f>IF($C63="", "", $C63)</f>
        <v/>
      </c>
      <c r="D64" s="618" t="str">
        <f t="shared" ref="D64:D66" si="25">IF($D63="", "", $D63)</f>
        <v/>
      </c>
      <c r="E64" s="616" t="str">
        <f t="shared" ref="E64:E66" si="26">IF($E63="", "", $E63)</f>
        <v/>
      </c>
      <c r="F64" s="616" t="str">
        <f t="shared" ref="F64:F66" si="27">IF($F63="", "", $F63)</f>
        <v/>
      </c>
      <c r="G64" s="619" t="str">
        <f>IF(Tree_Table1[[#This Row],[Tree Status  &amp;]]="Retain", Tables!$B$237, IF(Tree_Table1[[#This Row],[Tree Status  &amp;]]="Remove", Tables!$B$238, ""))</f>
        <v/>
      </c>
      <c r="H64" s="321"/>
      <c r="I64" s="322"/>
      <c r="J64" s="453"/>
      <c r="K64" s="323" t="str">
        <f>IFERROR(
    IF(
        AND($H64="Zoning: Tree Points", NOT(ISNUMBER(SEARCH("sp.", $C64)))),
        VLOOKUP($C64, 'Tree List'!$C$3:$F$601, 4, FALSE),
        ""
    ),
"")</f>
        <v/>
      </c>
      <c r="L64" s="324" t="str" cm="1">
        <f t="array" ref="L64">IFERROR(
IF(
    AND($H64="Zoning: Tree Points", NOT(ISNUMBER(SEARCH("sp.", $C64)))),
    _xlfn.IFS(
        (COUNTIFS('Tree List'!$C$3:$C$601,$C64,'Tree List'!$D$3:$D$601,"Coniferous")
        + COUNTIFS('Tree List'!$C$3:$C$601,$C64,'Tree List'!$D$3:$D$601,"Deciduous Conifer")) &gt; 0,
            _xlfn.IFS($K64="Small",0.5,$K64="Small/Medium",1,$K64="Medium/Large",1.4,$K64="Large",1.8),
        (COUNTIFS('Tree List'!$C$3:$C$601,$C64,'Tree List'!$D$3:$D$601,"Deciduous")
        + COUNTIFS('Tree List'!$C$3:$C$601,$C64,'Tree List'!$D$3:$D$601,"Broadleaf Evergreen")) &gt; 0,
            _xlfn.IFS($K64="Small",0.4,$K64="Small/Medium",0.8,$K64="Medium/Large",1.2,$K64="Large",1.6)
    ),
    ""
),
"")</f>
        <v/>
      </c>
      <c r="M64" s="475" t="str">
        <f t="shared" si="0"/>
        <v/>
      </c>
      <c r="N64" s="346" t="str" cm="1">
        <f t="array" aca="1" ref="N6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IF(AND(_xlpm.baseRow,ISNA(MATCH($C64,'Tree List'!$C$3:$C$601,0)),SUMPRODUCT(--ISNUMBER(SEARCH(Tables2!$C$677:$C$772,$O64)))&gt;0),
Error!$B$57,
IF(AND(_xlpm.hasDM,$F64="Remove",$H64&lt;&gt;"",OR($I64="On-site replacement",$I64="Off-site replacement",$I64="Payment In Lieu")),
Error!$B$56,
IF(AND(_xlpm.hasDM,$F64="Remove",$H64&lt;&gt;"",$I64="Relocation"),
Error!$B$66,
IF(AND(OR(_xlpm.hasCN,_xlpm.hasPH,_xlpm.hasGR),$H64&lt;&gt;"",COUNTIF(Tables!$B$132:$B$134,$H64)&gt;0,$I64="N/A (No replacement required)"),
Error!$B$62,
IF(AND(_xlpm.baseRow,$E64&lt;&gt;"",ISNA(MATCH($E64,Tables!$B$225:$B$232,0))),
Error!$B$2,
IF(AND(_xlpm.baseRow,$F64&lt;&gt;"",ISNA(MATCH($F64,Tables!$B$234:$B$235,0))),
Error!$B$24,
IF(AND(_xlpm.baseRow,_xlpm.ECA_H&gt;0,_xlpm.Shore_H&gt;0),
Error!$B$16,
IF(AND(_xlpm.baseRow,$E64&lt;&gt;"",$D64=""),
Error!$B$3,
IF(AND(_xlpm.baseRow,OR($E64="Tier 3",$E64="Tier 4"),$C64&lt;&gt;"",$D64&gt;=24,COUNTIF(Tables2!$B$166:$B$674,$C64)&gt;0),
Error!$B$44,
IF(AND(_xlpm.baseRow,OR($E64="Tier 3",$E64="Tier 4"),$C64&lt;&gt;"",$D64&lt;&gt;"",COUNTIF(Tables2!$B$73:$B$152,$C64)&gt;0,
$D64&gt;=IFERROR(INDEX(Tables2!$C$73:$C$152,MATCH($C64,Tables2!$B$73:$B$152,0)),-1)),
Error!$B$44,
IF(AND(_xlpm.baseRow,OR($E64="Tier 2",$E64="Tier 2 Grove"),$C64&lt;&gt;"",$D64&gt;=12,COUNTIF(Tables2!$B$153:$B$162,$C64)&gt;0),
Error!$B$45,
IF(AND(_xlpm.baseRow,$E64="Tier 2 Grove",$D64&lt;12),
Error!$B$41,
IF(AND(_xlpm.baseRow,$E64="Tier 2",$D64&lt;5.88),
Error!$B$40,
IF(AND(_xlpm.baseRow,OR($E64="Tier 2",$E64="Tier 2 Grove"),$C64&lt;&gt;"",$D64&lt;12,$D64&gt;=6,COUNTIF(Tables2!$B$153:$B$162,$C64)&gt;0),
Error!$B$54,
IF(AND(_xlpm.baseRow,$E64="Tier 2",COUNTIF(Tables2!$B$166:$B$674,$C64)&gt;0,$D64&lt;24),
Error!$B$54,
IF(AND(_xlpm.baseRow,$E64="Tier 3",ISNA(MATCH($C64,Tables2!$B$153:$B$162,0)),OR($D64&lt;12,$D64&gt;=24)),
Error!$B$9,
IF(AND(_xlpm.baseRow,$E64="Tier 3",COUNTIF(Tables2!$B$153:$B$162,$C64)&gt;0,$D64&lt;12),
Error!$B$46,
IF(AND(_xlpm.baseRow,$E64="Tier 4",OR($D64&lt;6,$D64&gt;=12)),
Error!$B$10,
IF(AND(_xlpm.baseRow,$E64="&lt;6in DSH for Tree Points",OR($D64&gt;=6,$D64="")),
Error!$B$8,
IF(AND(_xlpm.baseRow,$E64="Street Tree for Green Factor",$F64&lt;&gt;"",$F64&lt;&gt;"Retain"),
Error!$B$14,
IF(AND($E64="&lt;6in DSH for Tree Points",$F64="Retain",$H64&lt;&gt;"",ISNA(MATCH($H64,Tables!$B$174:$B$174,0))),
Error!$B$15,
IF(AND($E64="Street Tree for Green Factor",$F64="Retain",$H64&lt;&gt;"",$H64&lt;&gt;"Zoning: Green Factor"),
Error!$B$15,
IF(AND($E64="ECA / Shoreline Tree",$F64="Remove",$H64&lt;&gt;"",ISNA(MATCH($H64,Tables!$B$189:$B$190,0))),
Error!$B$15,
IF(AND($E64="ECA / Shoreline Tree",$F64="Retain",$H64&lt;&gt;"",ISNA(MATCH($H64,Tables!$B$184:$B$186,0))),
Error!$B$15,
IF(AND($E64="Tier 4",$F64="Remove",$H64&lt;&gt;"",ISNA(MATCH($H64,Tables!$B$171,0))),
Error!$B$15,
IF(AND($E64="Tier 4",$F64="Retain",$H64&lt;&gt;"",ISNA(MATCH($H64,Tables!$B$166:$B$168,0))),
Error!$B$15,
IF(AND($E64="Tier 3",$F64="Retain",$H64&lt;&gt;"",ISNA(MATCH($H64,Tables!$B$158:$B$160,0))),
Error!$B$15,
IF(AND($E64="Tier 3",$F64="Remove",$H64&lt;&gt;"",ISNA(MATCH($H64,Tables!$B$163,0))),
Error!$B$15,
IF(AND(OR($E64="Tier 2",$E64="Tier 2 Grove"),$F64="Remove",$H64&lt;&gt;"",ISNA(MATCH($H64,Tables!$B$153:$B$155,0))),
Error!$B$15,
IF(AND(OR($E64="Tier 2",$E64="Tier 2 Grove"),$F64="Retain",$H64&lt;&gt;"",ISNA(MATCH($H64,Tables!$B$147:$B$150,0))),
Error!$B$15,
IF(AND($E64="Tier 1",$F64="Remove",$H64&lt;&gt;"",ISNA(MATCH($H64,Tables!$B$143:$B$144,0))),
Error!$B$15,
IF(AND($E64="Tier 1",$F64="Retain",$H64&lt;&gt;"",ISNA(MATCH($H64,Tables!$B$137:$B$140,0))),
Error!$B$15,
IF(AND($E64&lt;&gt;"Tier 2",$E64&lt;&gt;"Tier 2 Grove",$E64&lt;&gt;"Tier 3",$E64&lt;&gt;"Tier 4",$H64="Zoning: Green Factor",OR($D64="",$D64&lt;6)),
Error!$B$11,
IF(AND(_xlpm.baseRow,$D64&lt;6,$E64="&lt;6in DSH for Tree Points",_xlpm.TreePoints_H=0),
Error!$B$21,
IF(AND(_xlpm.baseRow,$E64&lt;&gt;"",$D64&lt;&gt;"",$F64=""),
Error!$B$4,
IF(AND(_xlpm.baseRow,$F64="Remove",OR($E64="Tier 1",$E64="Tier 2",$E64="Tier 2 Grove"),COUNTBLANK(_xlpm.HRange)&lt;3,_xlpm.uniqueH&gt;=2),
Error!$B$48,
IF(AND(_xlpm.baseRow,$F64="Retain",OR($E64="Tier 1",$E64="Tier 2",$E64="Tier 2 Grove"),COUNTIF(_xlpm.HRange,"Tree Code: Required to Retain Tier 1-2 Tree")=0),
Error!$B$47,
IF(AND(_xlpm.baseRow,$E64&lt;&gt;"",$D64&lt;&gt;"",$F64&lt;&gt;"",COUNTBLANK(_xlpm.HRange)=4),
Error!$B$5,
IF(AND($F64="Remove",$H64&lt;&gt;"",$I64=""),
Error!$B$18,
IF(AND($E64="Tier 4",$F64="Remove",$H64="Tree Protection Code: Tier 3 or Tier 4 Allowance",$H64&lt;&gt;"",ISNA(MATCH($I64,Tables!$B$200,0))),
Error!$B$17,
IF(AND($E64="Tier 3",$F64="Remove",$H64&lt;&gt;"",$H64="Tree Protection Code: Tier 3 or Tier 4 Allowance",OR($I64="",ISNA(MATCH($I64,Tables!$B$193:$B$197,0)))),
Error!$B$17,
IF(AND(OR($E64="Tier 2",$E64="Tier 2 Grove"),$F64="Remove",$H64="Tree Protection Code: Other removal allowance or exemption",$I64&lt;&gt;"",ISNA(MATCH($I64,Tables!$B$215:$B$218,0))),
Error!$B$17,
IF(AND(OR($E64="Tier 2",$E64="Tier 2 Grove"),$F64="Remove",$H64="Tree Protection Code: Development Capacity",$I64&lt;&gt;"",ISNA(MATCH($I64,Tables!$B$193:$B$197,0))),
Error!$B$17,
IF(AND(OR($E64="Tier 2",$E64="Tier 2 Grove"),$F64="Remove",$H64="Tree Protection Code: Necessary for Construction",$I64&lt;&gt;"",ISNA(MATCH($I64,Tables!$B$193:$B$197,0))),
Error!$B$17,
IF(AND($E64="Tier 1",$F64="Remove",$H64="Tree Protection Code: Special Exception",$I64&lt;&gt;"",ISNA(MATCH($I64,Tables!$B$215:$B$218,0))),
Error!$B$17,
IF(AND($E64="Tier 1",$F64="Remove",$H64="Tree Protection Code: Other removal allowance or exemption",$I64&lt;&gt;"",ISNA(MATCH($I64,Tables!$B$215:$B$218,0))),
Error!$B$17,
IF(AND($E64="ECA / Shoreline Tree",$F64="Remove",$H64&lt;&gt;"",OR($H64="Shoreline",$H64="Environmental Critical Area (ECA)"),ISNA(MATCH($I64,Tables!$B$209:$B$212,0))),
Error!$B$17,
IF(AND(_xlpm.baseRow,$F64="Retain",$E64="ECA / Shoreline Tree",_xlpm.ECA_Short=0),
Error!$B$61,
IF(AND($F64="Remove",ISNUMBER(MATCH($E64,{"Tier 1","Tier 2","Tier 3","Tier 4","Tier 2 Grove"},0)),ISNUMBER(MATCH($I64,{"On-site replacement","Off-site replacement"},0)),$J64="",$H64&lt;&gt;""),
Error!$B$19,
IF(AND(_xlpm.baseRow,$E64&lt;&gt;"",$D64&lt;&gt;"",$F64&lt;&gt;"",COUNTBLANK($B64:$C64)&gt;0,COUNTBLANK(_xlpm.HRange)&lt;&gt;4),
Error!$B$22,
IF(AND($H64="Zoning: Tree Points",$K64&lt;&gt;"",ISNA(MATCH($K64,Tables!$B$242:$B$253,0))),
Error!$B$58,
IF(AND($H64="Zoning: Tree Points",$K64="Small",$L64&lt;&gt;"",ISNA(MATCH($L64,Tables!$C$243:$C$244,0))),
Error!$B$59,
IF(AND($H64="Zoning: Tree Points",$K64="Small/Medium",$L64&lt;&gt;"",ISNA(MATCH($L64,Tables!$C$246:$C$247,0))),
Error!$B$59,
IF(AND($H64="Zoning: Tree Points",$K64="Medium/Large",$L64&lt;&gt;"",ISNA(MATCH($L64,Tables!$C$249:$C$250,0))),
Error!$B$59,
IF(AND($H64="Zoning: Tree Points",$K64="Large",$L64&lt;&gt;"",ISNA(MATCH($L64,Tables!$C$252:$C$253,0))),
Error!$B$59,
IF(AND($F64="Retain",$H64="Zoning: Tree Points",$C64&lt;&gt;"",$D64&lt;&gt;"",OR($K64="",$L64="",$M64="")),
Error!$B$20,
""
)))))))))))))))))))))))))))))))))))))))))))))))))))))))),
Error!$B$23))</f>
        <v/>
      </c>
      <c r="O64" s="343" t="str" cm="1">
        <f t="array" aca="1" ref="O64" ca="1">IFERROR(_xlfn.LET(
    _xlpm.txt, $C64,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5" spans="1:15" x14ac:dyDescent="0.3">
      <c r="A65" s="320"/>
      <c r="B65" s="616" t="str">
        <f t="shared" si="24"/>
        <v/>
      </c>
      <c r="C65" s="617" t="str">
        <f>IF($C64="", "", $C64)</f>
        <v/>
      </c>
      <c r="D65" s="618" t="str">
        <f t="shared" si="25"/>
        <v/>
      </c>
      <c r="E65" s="616" t="str">
        <f t="shared" si="26"/>
        <v/>
      </c>
      <c r="F65" s="616" t="str">
        <f t="shared" si="27"/>
        <v/>
      </c>
      <c r="G65" s="619" t="str">
        <f>IF(Tree_Table1[[#This Row],[Tree Status  &amp;]]="Retain", Tables!$B$237, IF(Tree_Table1[[#This Row],[Tree Status  &amp;]]="Remove", Tables!$B$238, ""))</f>
        <v/>
      </c>
      <c r="H65" s="321"/>
      <c r="I65" s="322"/>
      <c r="J65" s="453"/>
      <c r="K65" s="323" t="str">
        <f>IFERROR(
    IF(
        AND($H65="Zoning: Tree Points", NOT(ISNUMBER(SEARCH("sp.", $C65)))),
        VLOOKUP($C65, 'Tree List'!$C$3:$F$601, 4, FALSE),
        ""
    ),
"")</f>
        <v/>
      </c>
      <c r="L65" s="324" t="str" cm="1">
        <f t="array" ref="L65">IFERROR(
IF(
    AND($H65="Zoning: Tree Points", NOT(ISNUMBER(SEARCH("sp.", $C65)))),
    _xlfn.IFS(
        (COUNTIFS('Tree List'!$C$3:$C$601,$C65,'Tree List'!$D$3:$D$601,"Coniferous")
        + COUNTIFS('Tree List'!$C$3:$C$601,$C65,'Tree List'!$D$3:$D$601,"Deciduous Conifer")) &gt; 0,
            _xlfn.IFS($K65="Small",0.5,$K65="Small/Medium",1,$K65="Medium/Large",1.4,$K65="Large",1.8),
        (COUNTIFS('Tree List'!$C$3:$C$601,$C65,'Tree List'!$D$3:$D$601,"Deciduous")
        + COUNTIFS('Tree List'!$C$3:$C$601,$C65,'Tree List'!$D$3:$D$601,"Broadleaf Evergreen")) &gt; 0,
            _xlfn.IFS($K65="Small",0.4,$K65="Small/Medium",0.8,$K65="Medium/Large",1.2,$K65="Large",1.6)
    ),
    ""
),
"")</f>
        <v/>
      </c>
      <c r="M65" s="475" t="str">
        <f t="shared" si="0"/>
        <v/>
      </c>
      <c r="N65" s="346" t="str" cm="1">
        <f t="array" aca="1" ref="N6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IF(AND(_xlpm.baseRow,ISNA(MATCH($C65,'Tree List'!$C$3:$C$601,0)),SUMPRODUCT(--ISNUMBER(SEARCH(Tables2!$C$677:$C$772,$O65)))&gt;0),
Error!$B$57,
IF(AND(_xlpm.hasDM,$F65="Remove",$H65&lt;&gt;"",OR($I65="On-site replacement",$I65="Off-site replacement",$I65="Payment In Lieu")),
Error!$B$56,
IF(AND(_xlpm.hasDM,$F65="Remove",$H65&lt;&gt;"",$I65="Relocation"),
Error!$B$66,
IF(AND(OR(_xlpm.hasCN,_xlpm.hasPH,_xlpm.hasGR),$H65&lt;&gt;"",COUNTIF(Tables!$B$132:$B$134,$H65)&gt;0,$I65="N/A (No replacement required)"),
Error!$B$62,
IF(AND(_xlpm.baseRow,$E65&lt;&gt;"",ISNA(MATCH($E65,Tables!$B$225:$B$232,0))),
Error!$B$2,
IF(AND(_xlpm.baseRow,$F65&lt;&gt;"",ISNA(MATCH($F65,Tables!$B$234:$B$235,0))),
Error!$B$24,
IF(AND(_xlpm.baseRow,_xlpm.ECA_H&gt;0,_xlpm.Shore_H&gt;0),
Error!$B$16,
IF(AND(_xlpm.baseRow,$E65&lt;&gt;"",$D65=""),
Error!$B$3,
IF(AND(_xlpm.baseRow,OR($E65="Tier 3",$E65="Tier 4"),$C65&lt;&gt;"",$D65&gt;=24,COUNTIF(Tables2!$B$166:$B$674,$C65)&gt;0),
Error!$B$44,
IF(AND(_xlpm.baseRow,OR($E65="Tier 3",$E65="Tier 4"),$C65&lt;&gt;"",$D65&lt;&gt;"",COUNTIF(Tables2!$B$73:$B$152,$C65)&gt;0,
$D65&gt;=IFERROR(INDEX(Tables2!$C$73:$C$152,MATCH($C65,Tables2!$B$73:$B$152,0)),-1)),
Error!$B$44,
IF(AND(_xlpm.baseRow,OR($E65="Tier 2",$E65="Tier 2 Grove"),$C65&lt;&gt;"",$D65&gt;=12,COUNTIF(Tables2!$B$153:$B$162,$C65)&gt;0),
Error!$B$45,
IF(AND(_xlpm.baseRow,$E65="Tier 2 Grove",$D65&lt;12),
Error!$B$41,
IF(AND(_xlpm.baseRow,$E65="Tier 2",$D65&lt;5.88),
Error!$B$40,
IF(AND(_xlpm.baseRow,OR($E65="Tier 2",$E65="Tier 2 Grove"),$C65&lt;&gt;"",$D65&lt;12,$D65&gt;=6,COUNTIF(Tables2!$B$153:$B$162,$C65)&gt;0),
Error!$B$54,
IF(AND(_xlpm.baseRow,$E65="Tier 2",COUNTIF(Tables2!$B$166:$B$674,$C65)&gt;0,$D65&lt;24),
Error!$B$54,
IF(AND(_xlpm.baseRow,$E65="Tier 3",ISNA(MATCH($C65,Tables2!$B$153:$B$162,0)),OR($D65&lt;12,$D65&gt;=24)),
Error!$B$9,
IF(AND(_xlpm.baseRow,$E65="Tier 3",COUNTIF(Tables2!$B$153:$B$162,$C65)&gt;0,$D65&lt;12),
Error!$B$46,
IF(AND(_xlpm.baseRow,$E65="Tier 4",OR($D65&lt;6,$D65&gt;=12)),
Error!$B$10,
IF(AND(_xlpm.baseRow,$E65="&lt;6in DSH for Tree Points",OR($D65&gt;=6,$D65="")),
Error!$B$8,
IF(AND(_xlpm.baseRow,$E65="Street Tree for Green Factor",$F65&lt;&gt;"",$F65&lt;&gt;"Retain"),
Error!$B$14,
IF(AND($E65="&lt;6in DSH for Tree Points",$F65="Retain",$H65&lt;&gt;"",ISNA(MATCH($H65,Tables!$B$174:$B$174,0))),
Error!$B$15,
IF(AND($E65="Street Tree for Green Factor",$F65="Retain",$H65&lt;&gt;"",$H65&lt;&gt;"Zoning: Green Factor"),
Error!$B$15,
IF(AND($E65="ECA / Shoreline Tree",$F65="Remove",$H65&lt;&gt;"",ISNA(MATCH($H65,Tables!$B$189:$B$190,0))),
Error!$B$15,
IF(AND($E65="ECA / Shoreline Tree",$F65="Retain",$H65&lt;&gt;"",ISNA(MATCH($H65,Tables!$B$184:$B$186,0))),
Error!$B$15,
IF(AND($E65="Tier 4",$F65="Remove",$H65&lt;&gt;"",ISNA(MATCH($H65,Tables!$B$171,0))),
Error!$B$15,
IF(AND($E65="Tier 4",$F65="Retain",$H65&lt;&gt;"",ISNA(MATCH($H65,Tables!$B$166:$B$168,0))),
Error!$B$15,
IF(AND($E65="Tier 3",$F65="Retain",$H65&lt;&gt;"",ISNA(MATCH($H65,Tables!$B$158:$B$160,0))),
Error!$B$15,
IF(AND($E65="Tier 3",$F65="Remove",$H65&lt;&gt;"",ISNA(MATCH($H65,Tables!$B$163,0))),
Error!$B$15,
IF(AND(OR($E65="Tier 2",$E65="Tier 2 Grove"),$F65="Remove",$H65&lt;&gt;"",ISNA(MATCH($H65,Tables!$B$153:$B$155,0))),
Error!$B$15,
IF(AND(OR($E65="Tier 2",$E65="Tier 2 Grove"),$F65="Retain",$H65&lt;&gt;"",ISNA(MATCH($H65,Tables!$B$147:$B$150,0))),
Error!$B$15,
IF(AND($E65="Tier 1",$F65="Remove",$H65&lt;&gt;"",ISNA(MATCH($H65,Tables!$B$143:$B$144,0))),
Error!$B$15,
IF(AND($E65="Tier 1",$F65="Retain",$H65&lt;&gt;"",ISNA(MATCH($H65,Tables!$B$137:$B$140,0))),
Error!$B$15,
IF(AND($E65&lt;&gt;"Tier 2",$E65&lt;&gt;"Tier 2 Grove",$E65&lt;&gt;"Tier 3",$E65&lt;&gt;"Tier 4",$H65="Zoning: Green Factor",OR($D65="",$D65&lt;6)),
Error!$B$11,
IF(AND(_xlpm.baseRow,$D65&lt;6,$E65="&lt;6in DSH for Tree Points",_xlpm.TreePoints_H=0),
Error!$B$21,
IF(AND(_xlpm.baseRow,$E65&lt;&gt;"",$D65&lt;&gt;"",$F65=""),
Error!$B$4,
IF(AND(_xlpm.baseRow,$F65="Remove",OR($E65="Tier 1",$E65="Tier 2",$E65="Tier 2 Grove"),COUNTBLANK(_xlpm.HRange)&lt;3,_xlpm.uniqueH&gt;=2),
Error!$B$48,
IF(AND(_xlpm.baseRow,$F65="Retain",OR($E65="Tier 1",$E65="Tier 2",$E65="Tier 2 Grove"),COUNTIF(_xlpm.HRange,"Tree Code: Required to Retain Tier 1-2 Tree")=0),
Error!$B$47,
IF(AND(_xlpm.baseRow,$E65&lt;&gt;"",$D65&lt;&gt;"",$F65&lt;&gt;"",COUNTBLANK(_xlpm.HRange)=4),
Error!$B$5,
IF(AND($F65="Remove",$H65&lt;&gt;"",$I65=""),
Error!$B$18,
IF(AND($E65="Tier 4",$F65="Remove",$H65="Tree Protection Code: Tier 3 or Tier 4 Allowance",$H65&lt;&gt;"",ISNA(MATCH($I65,Tables!$B$200,0))),
Error!$B$17,
IF(AND($E65="Tier 3",$F65="Remove",$H65&lt;&gt;"",$H65="Tree Protection Code: Tier 3 or Tier 4 Allowance",OR($I65="",ISNA(MATCH($I65,Tables!$B$193:$B$197,0)))),
Error!$B$17,
IF(AND(OR($E65="Tier 2",$E65="Tier 2 Grove"),$F65="Remove",$H65="Tree Protection Code: Other removal allowance or exemption",$I65&lt;&gt;"",ISNA(MATCH($I65,Tables!$B$215:$B$218,0))),
Error!$B$17,
IF(AND(OR($E65="Tier 2",$E65="Tier 2 Grove"),$F65="Remove",$H65="Tree Protection Code: Development Capacity",$I65&lt;&gt;"",ISNA(MATCH($I65,Tables!$B$193:$B$197,0))),
Error!$B$17,
IF(AND(OR($E65="Tier 2",$E65="Tier 2 Grove"),$F65="Remove",$H65="Tree Protection Code: Necessary for Construction",$I65&lt;&gt;"",ISNA(MATCH($I65,Tables!$B$193:$B$197,0))),
Error!$B$17,
IF(AND($E65="Tier 1",$F65="Remove",$H65="Tree Protection Code: Special Exception",$I65&lt;&gt;"",ISNA(MATCH($I65,Tables!$B$215:$B$218,0))),
Error!$B$17,
IF(AND($E65="Tier 1",$F65="Remove",$H65="Tree Protection Code: Other removal allowance or exemption",$I65&lt;&gt;"",ISNA(MATCH($I65,Tables!$B$215:$B$218,0))),
Error!$B$17,
IF(AND($E65="ECA / Shoreline Tree",$F65="Remove",$H65&lt;&gt;"",OR($H65="Shoreline",$H65="Environmental Critical Area (ECA)"),ISNA(MATCH($I65,Tables!$B$209:$B$212,0))),
Error!$B$17,
IF(AND(_xlpm.baseRow,$F65="Retain",$E65="ECA / Shoreline Tree",_xlpm.ECA_Short=0),
Error!$B$61,
IF(AND($F65="Remove",ISNUMBER(MATCH($E65,{"Tier 1","Tier 2","Tier 3","Tier 4","Tier 2 Grove"},0)),ISNUMBER(MATCH($I65,{"On-site replacement","Off-site replacement"},0)),$J65="",$H65&lt;&gt;""),
Error!$B$19,
IF(AND(_xlpm.baseRow,$E65&lt;&gt;"",$D65&lt;&gt;"",$F65&lt;&gt;"",COUNTBLANK($B65:$C65)&gt;0,COUNTBLANK(_xlpm.HRange)&lt;&gt;4),
Error!$B$22,
IF(AND($H65="Zoning: Tree Points",$K65&lt;&gt;"",ISNA(MATCH($K65,Tables!$B$242:$B$253,0))),
Error!$B$58,
IF(AND($H65="Zoning: Tree Points",$K65="Small",$L65&lt;&gt;"",ISNA(MATCH($L65,Tables!$C$243:$C$244,0))),
Error!$B$59,
IF(AND($H65="Zoning: Tree Points",$K65="Small/Medium",$L65&lt;&gt;"",ISNA(MATCH($L65,Tables!$C$246:$C$247,0))),
Error!$B$59,
IF(AND($H65="Zoning: Tree Points",$K65="Medium/Large",$L65&lt;&gt;"",ISNA(MATCH($L65,Tables!$C$249:$C$250,0))),
Error!$B$59,
IF(AND($H65="Zoning: Tree Points",$K65="Large",$L65&lt;&gt;"",ISNA(MATCH($L65,Tables!$C$252:$C$253,0))),
Error!$B$59,
IF(AND($F65="Retain",$H65="Zoning: Tree Points",$C65&lt;&gt;"",$D65&lt;&gt;"",OR($K65="",$L65="",$M65="")),
Error!$B$20,
""
)))))))))))))))))))))))))))))))))))))))))))))))))))))))),
Error!$B$23))</f>
        <v/>
      </c>
      <c r="O65" s="343" t="str" cm="1">
        <f t="array" aca="1" ref="O65" ca="1">IFERROR(_xlfn.LET(
    _xlpm.txt, $C65,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6" spans="1:15" ht="15" thickBot="1" x14ac:dyDescent="0.35">
      <c r="A66" s="320"/>
      <c r="B66" s="616" t="str">
        <f t="shared" si="24"/>
        <v/>
      </c>
      <c r="C66" s="617" t="str">
        <f>IF($C65="", "", $C65)</f>
        <v/>
      </c>
      <c r="D66" s="618" t="str">
        <f t="shared" si="25"/>
        <v/>
      </c>
      <c r="E66" s="616" t="str">
        <f t="shared" si="26"/>
        <v/>
      </c>
      <c r="F66" s="616" t="str">
        <f t="shared" si="27"/>
        <v/>
      </c>
      <c r="G66" s="619" t="str">
        <f>IF(Tree_Table1[[#This Row],[Tree Status  &amp;]]="Retain", Tables!$B$237, IF(Tree_Table1[[#This Row],[Tree Status  &amp;]]="Remove", Tables!$B$238, ""))</f>
        <v/>
      </c>
      <c r="H66" s="329"/>
      <c r="I66" s="330"/>
      <c r="J66" s="455"/>
      <c r="K66" s="327" t="str">
        <f>IFERROR(
    IF(
        AND($H66="Zoning: Tree Points", NOT(ISNUMBER(SEARCH("sp.", $C66)))),
        VLOOKUP($C66, 'Tree List'!$C$3:$F$601, 4, FALSE),
        ""
    ),
"")</f>
        <v/>
      </c>
      <c r="L66" s="328" t="str" cm="1">
        <f t="array" ref="L66">IFERROR(
IF(
    AND($H66="Zoning: Tree Points", NOT(ISNUMBER(SEARCH("sp.", $C66)))),
    _xlfn.IFS(
        (COUNTIFS('Tree List'!$C$3:$C$601,$C66,'Tree List'!$D$3:$D$601,"Coniferous")
        + COUNTIFS('Tree List'!$C$3:$C$601,$C66,'Tree List'!$D$3:$D$601,"Deciduous Conifer")) &gt; 0,
            _xlfn.IFS($K66="Small",0.5,$K66="Small/Medium",1,$K66="Medium/Large",1.4,$K66="Large",1.8),
        (COUNTIFS('Tree List'!$C$3:$C$601,$C66,'Tree List'!$D$3:$D$601,"Deciduous")
        + COUNTIFS('Tree List'!$C$3:$C$601,$C66,'Tree List'!$D$3:$D$601,"Broadleaf Evergreen")) &gt; 0,
            _xlfn.IFS($K66="Small",0.4,$K66="Small/Medium",0.8,$K66="Medium/Large",1.2,$K66="Large",1.6)
    ),
    ""
),
"")</f>
        <v/>
      </c>
      <c r="M66" s="476" t="str">
        <f t="shared" si="0"/>
        <v/>
      </c>
      <c r="N66" s="347" t="str" cm="1">
        <f t="array" aca="1" ref="N6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IF(AND(_xlpm.baseRow,ISNA(MATCH($C66,'Tree List'!$C$3:$C$601,0)),SUMPRODUCT(--ISNUMBER(SEARCH(Tables2!$C$677:$C$772,$O66)))&gt;0),
Error!$B$57,
IF(AND(_xlpm.hasDM,$F66="Remove",$H66&lt;&gt;"",OR($I66="On-site replacement",$I66="Off-site replacement",$I66="Payment In Lieu")),
Error!$B$56,
IF(AND(_xlpm.hasDM,$F66="Remove",$H66&lt;&gt;"",$I66="Relocation"),
Error!$B$66,
IF(AND(OR(_xlpm.hasCN,_xlpm.hasPH,_xlpm.hasGR),$H66&lt;&gt;"",COUNTIF(Tables!$B$132:$B$134,$H66)&gt;0,$I66="N/A (No replacement required)"),
Error!$B$62,
IF(AND(_xlpm.baseRow,$E66&lt;&gt;"",ISNA(MATCH($E66,Tables!$B$225:$B$232,0))),
Error!$B$2,
IF(AND(_xlpm.baseRow,$F66&lt;&gt;"",ISNA(MATCH($F66,Tables!$B$234:$B$235,0))),
Error!$B$24,
IF(AND(_xlpm.baseRow,_xlpm.ECA_H&gt;0,_xlpm.Shore_H&gt;0),
Error!$B$16,
IF(AND(_xlpm.baseRow,$E66&lt;&gt;"",$D66=""),
Error!$B$3,
IF(AND(_xlpm.baseRow,OR($E66="Tier 3",$E66="Tier 4"),$C66&lt;&gt;"",$D66&gt;=24,COUNTIF(Tables2!$B$166:$B$674,$C66)&gt;0),
Error!$B$44,
IF(AND(_xlpm.baseRow,OR($E66="Tier 3",$E66="Tier 4"),$C66&lt;&gt;"",$D66&lt;&gt;"",COUNTIF(Tables2!$B$73:$B$152,$C66)&gt;0,
$D66&gt;=IFERROR(INDEX(Tables2!$C$73:$C$152,MATCH($C66,Tables2!$B$73:$B$152,0)),-1)),
Error!$B$44,
IF(AND(_xlpm.baseRow,OR($E66="Tier 2",$E66="Tier 2 Grove"),$C66&lt;&gt;"",$D66&gt;=12,COUNTIF(Tables2!$B$153:$B$162,$C66)&gt;0),
Error!$B$45,
IF(AND(_xlpm.baseRow,$E66="Tier 2 Grove",$D66&lt;12),
Error!$B$41,
IF(AND(_xlpm.baseRow,$E66="Tier 2",$D66&lt;5.88),
Error!$B$40,
IF(AND(_xlpm.baseRow,OR($E66="Tier 2",$E66="Tier 2 Grove"),$C66&lt;&gt;"",$D66&lt;12,$D66&gt;=6,COUNTIF(Tables2!$B$153:$B$162,$C66)&gt;0),
Error!$B$54,
IF(AND(_xlpm.baseRow,$E66="Tier 2",COUNTIF(Tables2!$B$166:$B$674,$C66)&gt;0,$D66&lt;24),
Error!$B$54,
IF(AND(_xlpm.baseRow,$E66="Tier 3",ISNA(MATCH($C66,Tables2!$B$153:$B$162,0)),OR($D66&lt;12,$D66&gt;=24)),
Error!$B$9,
IF(AND(_xlpm.baseRow,$E66="Tier 3",COUNTIF(Tables2!$B$153:$B$162,$C66)&gt;0,$D66&lt;12),
Error!$B$46,
IF(AND(_xlpm.baseRow,$E66="Tier 4",OR($D66&lt;6,$D66&gt;=12)),
Error!$B$10,
IF(AND(_xlpm.baseRow,$E66="&lt;6in DSH for Tree Points",OR($D66&gt;=6,$D66="")),
Error!$B$8,
IF(AND(_xlpm.baseRow,$E66="Street Tree for Green Factor",$F66&lt;&gt;"",$F66&lt;&gt;"Retain"),
Error!$B$14,
IF(AND($E66="&lt;6in DSH for Tree Points",$F66="Retain",$H66&lt;&gt;"",ISNA(MATCH($H66,Tables!$B$174:$B$174,0))),
Error!$B$15,
IF(AND($E66="Street Tree for Green Factor",$F66="Retain",$H66&lt;&gt;"",$H66&lt;&gt;"Zoning: Green Factor"),
Error!$B$15,
IF(AND($E66="ECA / Shoreline Tree",$F66="Remove",$H66&lt;&gt;"",ISNA(MATCH($H66,Tables!$B$189:$B$190,0))),
Error!$B$15,
IF(AND($E66="ECA / Shoreline Tree",$F66="Retain",$H66&lt;&gt;"",ISNA(MATCH($H66,Tables!$B$184:$B$186,0))),
Error!$B$15,
IF(AND($E66="Tier 4",$F66="Remove",$H66&lt;&gt;"",ISNA(MATCH($H66,Tables!$B$171,0))),
Error!$B$15,
IF(AND($E66="Tier 4",$F66="Retain",$H66&lt;&gt;"",ISNA(MATCH($H66,Tables!$B$166:$B$168,0))),
Error!$B$15,
IF(AND($E66="Tier 3",$F66="Retain",$H66&lt;&gt;"",ISNA(MATCH($H66,Tables!$B$158:$B$160,0))),
Error!$B$15,
IF(AND($E66="Tier 3",$F66="Remove",$H66&lt;&gt;"",ISNA(MATCH($H66,Tables!$B$163,0))),
Error!$B$15,
IF(AND(OR($E66="Tier 2",$E66="Tier 2 Grove"),$F66="Remove",$H66&lt;&gt;"",ISNA(MATCH($H66,Tables!$B$153:$B$155,0))),
Error!$B$15,
IF(AND(OR($E66="Tier 2",$E66="Tier 2 Grove"),$F66="Retain",$H66&lt;&gt;"",ISNA(MATCH($H66,Tables!$B$147:$B$150,0))),
Error!$B$15,
IF(AND($E66="Tier 1",$F66="Remove",$H66&lt;&gt;"",ISNA(MATCH($H66,Tables!$B$143:$B$144,0))),
Error!$B$15,
IF(AND($E66="Tier 1",$F66="Retain",$H66&lt;&gt;"",ISNA(MATCH($H66,Tables!$B$137:$B$140,0))),
Error!$B$15,
IF(AND($E66&lt;&gt;"Tier 2",$E66&lt;&gt;"Tier 2 Grove",$E66&lt;&gt;"Tier 3",$E66&lt;&gt;"Tier 4",$H66="Zoning: Green Factor",OR($D66="",$D66&lt;6)),
Error!$B$11,
IF(AND(_xlpm.baseRow,$D66&lt;6,$E66="&lt;6in DSH for Tree Points",_xlpm.TreePoints_H=0),
Error!$B$21,
IF(AND(_xlpm.baseRow,$E66&lt;&gt;"",$D66&lt;&gt;"",$F66=""),
Error!$B$4,
IF(AND(_xlpm.baseRow,$F66="Remove",OR($E66="Tier 1",$E66="Tier 2",$E66="Tier 2 Grove"),COUNTBLANK(_xlpm.HRange)&lt;3,_xlpm.uniqueH&gt;=2),
Error!$B$48,
IF(AND(_xlpm.baseRow,$F66="Retain",OR($E66="Tier 1",$E66="Tier 2",$E66="Tier 2 Grove"),COUNTIF(_xlpm.HRange,"Tree Code: Required to Retain Tier 1-2 Tree")=0),
Error!$B$47,
IF(AND(_xlpm.baseRow,$E66&lt;&gt;"",$D66&lt;&gt;"",$F66&lt;&gt;"",COUNTBLANK(_xlpm.HRange)=4),
Error!$B$5,
IF(AND($F66="Remove",$H66&lt;&gt;"",$I66=""),
Error!$B$18,
IF(AND($E66="Tier 4",$F66="Remove",$H66="Tree Protection Code: Tier 3 or Tier 4 Allowance",$H66&lt;&gt;"",ISNA(MATCH($I66,Tables!$B$200,0))),
Error!$B$17,
IF(AND($E66="Tier 3",$F66="Remove",$H66&lt;&gt;"",$H66="Tree Protection Code: Tier 3 or Tier 4 Allowance",OR($I66="",ISNA(MATCH($I66,Tables!$B$193:$B$197,0)))),
Error!$B$17,
IF(AND(OR($E66="Tier 2",$E66="Tier 2 Grove"),$F66="Remove",$H66="Tree Protection Code: Other removal allowance or exemption",$I66&lt;&gt;"",ISNA(MATCH($I66,Tables!$B$215:$B$218,0))),
Error!$B$17,
IF(AND(OR($E66="Tier 2",$E66="Tier 2 Grove"),$F66="Remove",$H66="Tree Protection Code: Development Capacity",$I66&lt;&gt;"",ISNA(MATCH($I66,Tables!$B$193:$B$197,0))),
Error!$B$17,
IF(AND(OR($E66="Tier 2",$E66="Tier 2 Grove"),$F66="Remove",$H66="Tree Protection Code: Necessary for Construction",$I66&lt;&gt;"",ISNA(MATCH($I66,Tables!$B$193:$B$197,0))),
Error!$B$17,
IF(AND($E66="Tier 1",$F66="Remove",$H66="Tree Protection Code: Special Exception",$I66&lt;&gt;"",ISNA(MATCH($I66,Tables!$B$215:$B$218,0))),
Error!$B$17,
IF(AND($E66="Tier 1",$F66="Remove",$H66="Tree Protection Code: Other removal allowance or exemption",$I66&lt;&gt;"",ISNA(MATCH($I66,Tables!$B$215:$B$218,0))),
Error!$B$17,
IF(AND($E66="ECA / Shoreline Tree",$F66="Remove",$H66&lt;&gt;"",OR($H66="Shoreline",$H66="Environmental Critical Area (ECA)"),ISNA(MATCH($I66,Tables!$B$209:$B$212,0))),
Error!$B$17,
IF(AND(_xlpm.baseRow,$F66="Retain",$E66="ECA / Shoreline Tree",_xlpm.ECA_Short=0),
Error!$B$61,
IF(AND($F66="Remove",ISNUMBER(MATCH($E66,{"Tier 1","Tier 2","Tier 3","Tier 4","Tier 2 Grove"},0)),ISNUMBER(MATCH($I66,{"On-site replacement","Off-site replacement"},0)),$J66="",$H66&lt;&gt;""),
Error!$B$19,
IF(AND(_xlpm.baseRow,$E66&lt;&gt;"",$D66&lt;&gt;"",$F66&lt;&gt;"",COUNTBLANK($B66:$C66)&gt;0,COUNTBLANK(_xlpm.HRange)&lt;&gt;4),
Error!$B$22,
IF(AND($H66="Zoning: Tree Points",$K66&lt;&gt;"",ISNA(MATCH($K66,Tables!$B$242:$B$253,0))),
Error!$B$58,
IF(AND($H66="Zoning: Tree Points",$K66="Small",$L66&lt;&gt;"",ISNA(MATCH($L66,Tables!$C$243:$C$244,0))),
Error!$B$59,
IF(AND($H66="Zoning: Tree Points",$K66="Small/Medium",$L66&lt;&gt;"",ISNA(MATCH($L66,Tables!$C$246:$C$247,0))),
Error!$B$59,
IF(AND($H66="Zoning: Tree Points",$K66="Medium/Large",$L66&lt;&gt;"",ISNA(MATCH($L66,Tables!$C$249:$C$250,0))),
Error!$B$59,
IF(AND($H66="Zoning: Tree Points",$K66="Large",$L66&lt;&gt;"",ISNA(MATCH($L66,Tables!$C$252:$C$253,0))),
Error!$B$59,
IF(AND($F66="Retain",$H66="Zoning: Tree Points",$C66&lt;&gt;"",$D66&lt;&gt;"",OR($K66="",$L66="",$M66="")),
Error!$B$20,
""
)))))))))))))))))))))))))))))))))))))))))))))))))))))))),
Error!$B$23))</f>
        <v/>
      </c>
      <c r="O66" s="343" t="str" cm="1">
        <f t="array" aca="1" ref="O66" ca="1">IFERROR(_xlfn.LET(
    _xlpm.txt, $C66,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7" spans="1:15" ht="15" thickBot="1" x14ac:dyDescent="0.35">
      <c r="A67" s="311">
        <v>15</v>
      </c>
      <c r="B67" s="312"/>
      <c r="C67" s="313"/>
      <c r="D67" s="478"/>
      <c r="E67" s="314"/>
      <c r="F67" s="314"/>
      <c r="G67" s="315" t="str">
        <f>IF(Tree_Table1[[#This Row],[Tree Status  &amp;]]="Retain", Tables!$B$237, IF(Tree_Table1[[#This Row],[Tree Status  &amp;]]="Remove", Tables!$B$238, ""))</f>
        <v/>
      </c>
      <c r="H67" s="316"/>
      <c r="I67" s="317"/>
      <c r="J67" s="452"/>
      <c r="K67" s="318" t="str">
        <f>IFERROR(
    IF(
        AND($H67="Zoning: Tree Points", NOT(ISNUMBER(SEARCH("sp.", $C67)))),
        VLOOKUP($C67, 'Tree List'!$C$3:$F$601, 4, FALSE),
        ""
    ),
"")</f>
        <v/>
      </c>
      <c r="L67" s="319" t="str" cm="1">
        <f t="array" ref="L67">IFERROR(
IF(
    AND($H67="Zoning: Tree Points", NOT(ISNUMBER(SEARCH("sp.", $C67)))),
    _xlfn.IFS(
        (COUNTIFS('Tree List'!$C$3:$C$601,$C67,'Tree List'!$D$3:$D$601,"Coniferous")
        + COUNTIFS('Tree List'!$C$3:$C$601,$C67,'Tree List'!$D$3:$D$601,"Deciduous Conifer")) &gt; 0,
            _xlfn.IFS($K67="Small",0.5,$K67="Small/Medium",1,$K67="Medium/Large",1.4,$K67="Large",1.8),
        (COUNTIFS('Tree List'!$C$3:$C$601,$C67,'Tree List'!$D$3:$D$601,"Deciduous")
        + COUNTIFS('Tree List'!$C$3:$C$601,$C67,'Tree List'!$D$3:$D$601,"Broadleaf Evergreen")) &gt; 0,
            _xlfn.IFS($K67="Small",0.4,$K67="Small/Medium",0.8,$K67="Medium/Large",1.2,$K67="Large",1.6)
    ),
    ""
),
"")</f>
        <v/>
      </c>
      <c r="M67" s="474" t="str">
        <f t="shared" si="0"/>
        <v/>
      </c>
      <c r="N67" s="620" t="str" cm="1">
        <f t="array" aca="1" ref="N6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IF(AND(_xlpm.baseRow,ISNA(MATCH($C67,'Tree List'!$C$3:$C$601,0)),SUMPRODUCT(--ISNUMBER(SEARCH(Tables2!$C$677:$C$772,$O67)))&gt;0),
Error!$B$57,
IF(AND(_xlpm.hasDM,$F67="Remove",$H67&lt;&gt;"",OR($I67="On-site replacement",$I67="Off-site replacement",$I67="Payment In Lieu")),
Error!$B$56,
IF(AND(_xlpm.hasDM,$F67="Remove",$H67&lt;&gt;"",$I67="Relocation"),
Error!$B$66,
IF(AND(OR(_xlpm.hasCN,_xlpm.hasPH,_xlpm.hasGR),$H67&lt;&gt;"",COUNTIF(Tables!$B$132:$B$134,$H67)&gt;0,$I67="N/A (No replacement required)"),
Error!$B$62,
IF(AND(_xlpm.baseRow,$E67&lt;&gt;"",ISNA(MATCH($E67,Tables!$B$225:$B$232,0))),
Error!$B$2,
IF(AND(_xlpm.baseRow,$F67&lt;&gt;"",ISNA(MATCH($F67,Tables!$B$234:$B$235,0))),
Error!$B$24,
IF(AND(_xlpm.baseRow,_xlpm.ECA_H&gt;0,_xlpm.Shore_H&gt;0),
Error!$B$16,
IF(AND(_xlpm.baseRow,$E67&lt;&gt;"",$D67=""),
Error!$B$3,
IF(AND(_xlpm.baseRow,OR($E67="Tier 3",$E67="Tier 4"),$C67&lt;&gt;"",$D67&gt;=24,COUNTIF(Tables2!$B$166:$B$674,$C67)&gt;0),
Error!$B$44,
IF(AND(_xlpm.baseRow,OR($E67="Tier 3",$E67="Tier 4"),$C67&lt;&gt;"",$D67&lt;&gt;"",COUNTIF(Tables2!$B$73:$B$152,$C67)&gt;0,
$D67&gt;=IFERROR(INDEX(Tables2!$C$73:$C$152,MATCH($C67,Tables2!$B$73:$B$152,0)),-1)),
Error!$B$44,
IF(AND(_xlpm.baseRow,OR($E67="Tier 2",$E67="Tier 2 Grove"),$C67&lt;&gt;"",$D67&gt;=12,COUNTIF(Tables2!$B$153:$B$162,$C67)&gt;0),
Error!$B$45,
IF(AND(_xlpm.baseRow,$E67="Tier 2 Grove",$D67&lt;12),
Error!$B$41,
IF(AND(_xlpm.baseRow,$E67="Tier 2",$D67&lt;5.88),
Error!$B$40,
IF(AND(_xlpm.baseRow,OR($E67="Tier 2",$E67="Tier 2 Grove"),$C67&lt;&gt;"",$D67&lt;12,$D67&gt;=6,COUNTIF(Tables2!$B$153:$B$162,$C67)&gt;0),
Error!$B$54,
IF(AND(_xlpm.baseRow,$E67="Tier 2",COUNTIF(Tables2!$B$166:$B$674,$C67)&gt;0,$D67&lt;24),
Error!$B$54,
IF(AND(_xlpm.baseRow,$E67="Tier 3",ISNA(MATCH($C67,Tables2!$B$153:$B$162,0)),OR($D67&lt;12,$D67&gt;=24)),
Error!$B$9,
IF(AND(_xlpm.baseRow,$E67="Tier 3",COUNTIF(Tables2!$B$153:$B$162,$C67)&gt;0,$D67&lt;12),
Error!$B$46,
IF(AND(_xlpm.baseRow,$E67="Tier 4",OR($D67&lt;6,$D67&gt;=12)),
Error!$B$10,
IF(AND(_xlpm.baseRow,$E67="&lt;6in DSH for Tree Points",OR($D67&gt;=6,$D67="")),
Error!$B$8,
IF(AND(_xlpm.baseRow,$E67="Street Tree for Green Factor",$F67&lt;&gt;"",$F67&lt;&gt;"Retain"),
Error!$B$14,
IF(AND($E67="&lt;6in DSH for Tree Points",$F67="Retain",$H67&lt;&gt;"",ISNA(MATCH($H67,Tables!$B$174:$B$174,0))),
Error!$B$15,
IF(AND($E67="Street Tree for Green Factor",$F67="Retain",$H67&lt;&gt;"",$H67&lt;&gt;"Zoning: Green Factor"),
Error!$B$15,
IF(AND($E67="ECA / Shoreline Tree",$F67="Remove",$H67&lt;&gt;"",ISNA(MATCH($H67,Tables!$B$189:$B$190,0))),
Error!$B$15,
IF(AND($E67="ECA / Shoreline Tree",$F67="Retain",$H67&lt;&gt;"",ISNA(MATCH($H67,Tables!$B$184:$B$186,0))),
Error!$B$15,
IF(AND($E67="Tier 4",$F67="Remove",$H67&lt;&gt;"",ISNA(MATCH($H67,Tables!$B$171,0))),
Error!$B$15,
IF(AND($E67="Tier 4",$F67="Retain",$H67&lt;&gt;"",ISNA(MATCH($H67,Tables!$B$166:$B$168,0))),
Error!$B$15,
IF(AND($E67="Tier 3",$F67="Retain",$H67&lt;&gt;"",ISNA(MATCH($H67,Tables!$B$158:$B$160,0))),
Error!$B$15,
IF(AND($E67="Tier 3",$F67="Remove",$H67&lt;&gt;"",ISNA(MATCH($H67,Tables!$B$163,0))),
Error!$B$15,
IF(AND(OR($E67="Tier 2",$E67="Tier 2 Grove"),$F67="Remove",$H67&lt;&gt;"",ISNA(MATCH($H67,Tables!$B$153:$B$155,0))),
Error!$B$15,
IF(AND(OR($E67="Tier 2",$E67="Tier 2 Grove"),$F67="Retain",$H67&lt;&gt;"",ISNA(MATCH($H67,Tables!$B$147:$B$150,0))),
Error!$B$15,
IF(AND($E67="Tier 1",$F67="Remove",$H67&lt;&gt;"",ISNA(MATCH($H67,Tables!$B$143:$B$144,0))),
Error!$B$15,
IF(AND($E67="Tier 1",$F67="Retain",$H67&lt;&gt;"",ISNA(MATCH($H67,Tables!$B$137:$B$140,0))),
Error!$B$15,
IF(AND($E67&lt;&gt;"Tier 2",$E67&lt;&gt;"Tier 2 Grove",$E67&lt;&gt;"Tier 3",$E67&lt;&gt;"Tier 4",$H67="Zoning: Green Factor",OR($D67="",$D67&lt;6)),
Error!$B$11,
IF(AND(_xlpm.baseRow,$D67&lt;6,$E67="&lt;6in DSH for Tree Points",_xlpm.TreePoints_H=0),
Error!$B$21,
IF(AND(_xlpm.baseRow,$E67&lt;&gt;"",$D67&lt;&gt;"",$F67=""),
Error!$B$4,
IF(AND(_xlpm.baseRow,$F67="Remove",OR($E67="Tier 1",$E67="Tier 2",$E67="Tier 2 Grove"),COUNTBLANK(_xlpm.HRange)&lt;3,_xlpm.uniqueH&gt;=2),
Error!$B$48,
IF(AND(_xlpm.baseRow,$F67="Retain",OR($E67="Tier 1",$E67="Tier 2",$E67="Tier 2 Grove"),COUNTIF(_xlpm.HRange,"Tree Code: Required to Retain Tier 1-2 Tree")=0),
Error!$B$47,
IF(AND(_xlpm.baseRow,$E67&lt;&gt;"",$D67&lt;&gt;"",$F67&lt;&gt;"",COUNTBLANK(_xlpm.HRange)=4),
Error!$B$5,
IF(AND($F67="Remove",$H67&lt;&gt;"",$I67=""),
Error!$B$18,
IF(AND($E67="Tier 4",$F67="Remove",$H67="Tree Protection Code: Tier 3 or Tier 4 Allowance",$H67&lt;&gt;"",ISNA(MATCH($I67,Tables!$B$200,0))),
Error!$B$17,
IF(AND($E67="Tier 3",$F67="Remove",$H67&lt;&gt;"",$H67="Tree Protection Code: Tier 3 or Tier 4 Allowance",OR($I67="",ISNA(MATCH($I67,Tables!$B$193:$B$197,0)))),
Error!$B$17,
IF(AND(OR($E67="Tier 2",$E67="Tier 2 Grove"),$F67="Remove",$H67="Tree Protection Code: Other removal allowance or exemption",$I67&lt;&gt;"",ISNA(MATCH($I67,Tables!$B$215:$B$218,0))),
Error!$B$17,
IF(AND(OR($E67="Tier 2",$E67="Tier 2 Grove"),$F67="Remove",$H67="Tree Protection Code: Development Capacity",$I67&lt;&gt;"",ISNA(MATCH($I67,Tables!$B$193:$B$197,0))),
Error!$B$17,
IF(AND(OR($E67="Tier 2",$E67="Tier 2 Grove"),$F67="Remove",$H67="Tree Protection Code: Necessary for Construction",$I67&lt;&gt;"",ISNA(MATCH($I67,Tables!$B$193:$B$197,0))),
Error!$B$17,
IF(AND($E67="Tier 1",$F67="Remove",$H67="Tree Protection Code: Special Exception",$I67&lt;&gt;"",ISNA(MATCH($I67,Tables!$B$215:$B$218,0))),
Error!$B$17,
IF(AND($E67="Tier 1",$F67="Remove",$H67="Tree Protection Code: Other removal allowance or exemption",$I67&lt;&gt;"",ISNA(MATCH($I67,Tables!$B$215:$B$218,0))),
Error!$B$17,
IF(AND($E67="ECA / Shoreline Tree",$F67="Remove",$H67&lt;&gt;"",OR($H67="Shoreline",$H67="Environmental Critical Area (ECA)"),ISNA(MATCH($I67,Tables!$B$209:$B$212,0))),
Error!$B$17,
IF(AND(_xlpm.baseRow,$F67="Retain",$E67="ECA / Shoreline Tree",_xlpm.ECA_Short=0),
Error!$B$61,
IF(AND($F67="Remove",ISNUMBER(MATCH($E67,{"Tier 1","Tier 2","Tier 3","Tier 4","Tier 2 Grove"},0)),ISNUMBER(MATCH($I67,{"On-site replacement","Off-site replacement"},0)),$J67="",$H67&lt;&gt;""),
Error!$B$19,
IF(AND(_xlpm.baseRow,$E67&lt;&gt;"",$D67&lt;&gt;"",$F67&lt;&gt;"",COUNTBLANK($B67:$C67)&gt;0,COUNTBLANK(_xlpm.HRange)&lt;&gt;4),
Error!$B$22,
IF(AND($H67="Zoning: Tree Points",$K67&lt;&gt;"",ISNA(MATCH($K67,Tables!$B$242:$B$253,0))),
Error!$B$58,
IF(AND($H67="Zoning: Tree Points",$K67="Small",$L67&lt;&gt;"",ISNA(MATCH($L67,Tables!$C$243:$C$244,0))),
Error!$B$59,
IF(AND($H67="Zoning: Tree Points",$K67="Small/Medium",$L67&lt;&gt;"",ISNA(MATCH($L67,Tables!$C$246:$C$247,0))),
Error!$B$59,
IF(AND($H67="Zoning: Tree Points",$K67="Medium/Large",$L67&lt;&gt;"",ISNA(MATCH($L67,Tables!$C$249:$C$250,0))),
Error!$B$59,
IF(AND($H67="Zoning: Tree Points",$K67="Large",$L67&lt;&gt;"",ISNA(MATCH($L67,Tables!$C$252:$C$253,0))),
Error!$B$59,
IF(AND($F67="Retain",$H67="Zoning: Tree Points",$C67&lt;&gt;"",$D67&lt;&gt;"",OR($K67="",$L67="",$M67="")),
Error!$B$20,
""
)))))))))))))))))))))))))))))))))))))))))))))))))))))))),
Error!$B$23))</f>
        <v/>
      </c>
      <c r="O67" s="343" t="str" cm="1">
        <f t="array" aca="1" ref="O67" ca="1">IFERROR(_xlfn.LET(
    _xlpm.txt, $C67,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8" spans="1:15" x14ac:dyDescent="0.3">
      <c r="A68" s="320"/>
      <c r="B68" s="616" t="str">
        <f t="shared" ref="B68:B70" si="28">IF($B67="", "", $B67)</f>
        <v/>
      </c>
      <c r="C68" s="617" t="str">
        <f t="shared" ref="C68:C70" si="29">IF($C67="", "", $C67)</f>
        <v/>
      </c>
      <c r="D68" s="618" t="str">
        <f t="shared" ref="D68:D70" si="30">IF($D67="", "", $D67)</f>
        <v/>
      </c>
      <c r="E68" s="616" t="str">
        <f t="shared" ref="E68:E70" si="31">IF($E67="", "", $E67)</f>
        <v/>
      </c>
      <c r="F68" s="616" t="str">
        <f t="shared" ref="F68:F70" si="32">IF($F67="", "", $F67)</f>
        <v/>
      </c>
      <c r="G68" s="619" t="str">
        <f>IF(Tree_Table1[[#This Row],[Tree Status  &amp;]]="Retain", Tables!$B$237, IF(Tree_Table1[[#This Row],[Tree Status  &amp;]]="Remove", Tables!$B$238, ""))</f>
        <v/>
      </c>
      <c r="H68" s="321"/>
      <c r="I68" s="322"/>
      <c r="J68" s="453"/>
      <c r="K68" s="323" t="str">
        <f>IFERROR(
    IF(
        AND($H68="Zoning: Tree Points", NOT(ISNUMBER(SEARCH("sp.", $C68)))),
        VLOOKUP($C68, 'Tree List'!$C$3:$F$601, 4, FALSE),
        ""
    ),
"")</f>
        <v/>
      </c>
      <c r="L68" s="324" t="str" cm="1">
        <f t="array" ref="L68">IFERROR(
IF(
    AND($H68="Zoning: Tree Points", NOT(ISNUMBER(SEARCH("sp.", $C68)))),
    _xlfn.IFS(
        (COUNTIFS('Tree List'!$C$3:$C$601,$C68,'Tree List'!$D$3:$D$601,"Coniferous")
        + COUNTIFS('Tree List'!$C$3:$C$601,$C68,'Tree List'!$D$3:$D$601,"Deciduous Conifer")) &gt; 0,
            _xlfn.IFS($K68="Small",0.5,$K68="Small/Medium",1,$K68="Medium/Large",1.4,$K68="Large",1.8),
        (COUNTIFS('Tree List'!$C$3:$C$601,$C68,'Tree List'!$D$3:$D$601,"Deciduous")
        + COUNTIFS('Tree List'!$C$3:$C$601,$C68,'Tree List'!$D$3:$D$601,"Broadleaf Evergreen")) &gt; 0,
            _xlfn.IFS($K68="Small",0.4,$K68="Small/Medium",0.8,$K68="Medium/Large",1.2,$K68="Large",1.6)
    ),
    ""
),
"")</f>
        <v/>
      </c>
      <c r="M68" s="475" t="str">
        <f t="shared" si="0"/>
        <v/>
      </c>
      <c r="N68" s="346" t="str" cm="1">
        <f t="array" aca="1" ref="N6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IF(AND(_xlpm.baseRow,ISNA(MATCH($C68,'Tree List'!$C$3:$C$601,0)),SUMPRODUCT(--ISNUMBER(SEARCH(Tables2!$C$677:$C$772,$O68)))&gt;0),
Error!$B$57,
IF(AND(_xlpm.hasDM,$F68="Remove",$H68&lt;&gt;"",OR($I68="On-site replacement",$I68="Off-site replacement",$I68="Payment In Lieu")),
Error!$B$56,
IF(AND(_xlpm.hasDM,$F68="Remove",$H68&lt;&gt;"",$I68="Relocation"),
Error!$B$66,
IF(AND(OR(_xlpm.hasCN,_xlpm.hasPH,_xlpm.hasGR),$H68&lt;&gt;"",COUNTIF(Tables!$B$132:$B$134,$H68)&gt;0,$I68="N/A (No replacement required)"),
Error!$B$62,
IF(AND(_xlpm.baseRow,$E68&lt;&gt;"",ISNA(MATCH($E68,Tables!$B$225:$B$232,0))),
Error!$B$2,
IF(AND(_xlpm.baseRow,$F68&lt;&gt;"",ISNA(MATCH($F68,Tables!$B$234:$B$235,0))),
Error!$B$24,
IF(AND(_xlpm.baseRow,_xlpm.ECA_H&gt;0,_xlpm.Shore_H&gt;0),
Error!$B$16,
IF(AND(_xlpm.baseRow,$E68&lt;&gt;"",$D68=""),
Error!$B$3,
IF(AND(_xlpm.baseRow,OR($E68="Tier 3",$E68="Tier 4"),$C68&lt;&gt;"",$D68&gt;=24,COUNTIF(Tables2!$B$166:$B$674,$C68)&gt;0),
Error!$B$44,
IF(AND(_xlpm.baseRow,OR($E68="Tier 3",$E68="Tier 4"),$C68&lt;&gt;"",$D68&lt;&gt;"",COUNTIF(Tables2!$B$73:$B$152,$C68)&gt;0,
$D68&gt;=IFERROR(INDEX(Tables2!$C$73:$C$152,MATCH($C68,Tables2!$B$73:$B$152,0)),-1)),
Error!$B$44,
IF(AND(_xlpm.baseRow,OR($E68="Tier 2",$E68="Tier 2 Grove"),$C68&lt;&gt;"",$D68&gt;=12,COUNTIF(Tables2!$B$153:$B$162,$C68)&gt;0),
Error!$B$45,
IF(AND(_xlpm.baseRow,$E68="Tier 2 Grove",$D68&lt;12),
Error!$B$41,
IF(AND(_xlpm.baseRow,$E68="Tier 2",$D68&lt;5.88),
Error!$B$40,
IF(AND(_xlpm.baseRow,OR($E68="Tier 2",$E68="Tier 2 Grove"),$C68&lt;&gt;"",$D68&lt;12,$D68&gt;=6,COUNTIF(Tables2!$B$153:$B$162,$C68)&gt;0),
Error!$B$54,
IF(AND(_xlpm.baseRow,$E68="Tier 2",COUNTIF(Tables2!$B$166:$B$674,$C68)&gt;0,$D68&lt;24),
Error!$B$54,
IF(AND(_xlpm.baseRow,$E68="Tier 3",ISNA(MATCH($C68,Tables2!$B$153:$B$162,0)),OR($D68&lt;12,$D68&gt;=24)),
Error!$B$9,
IF(AND(_xlpm.baseRow,$E68="Tier 3",COUNTIF(Tables2!$B$153:$B$162,$C68)&gt;0,$D68&lt;12),
Error!$B$46,
IF(AND(_xlpm.baseRow,$E68="Tier 4",OR($D68&lt;6,$D68&gt;=12)),
Error!$B$10,
IF(AND(_xlpm.baseRow,$E68="&lt;6in DSH for Tree Points",OR($D68&gt;=6,$D68="")),
Error!$B$8,
IF(AND(_xlpm.baseRow,$E68="Street Tree for Green Factor",$F68&lt;&gt;"",$F68&lt;&gt;"Retain"),
Error!$B$14,
IF(AND($E68="&lt;6in DSH for Tree Points",$F68="Retain",$H68&lt;&gt;"",ISNA(MATCH($H68,Tables!$B$174:$B$174,0))),
Error!$B$15,
IF(AND($E68="Street Tree for Green Factor",$F68="Retain",$H68&lt;&gt;"",$H68&lt;&gt;"Zoning: Green Factor"),
Error!$B$15,
IF(AND($E68="ECA / Shoreline Tree",$F68="Remove",$H68&lt;&gt;"",ISNA(MATCH($H68,Tables!$B$189:$B$190,0))),
Error!$B$15,
IF(AND($E68="ECA / Shoreline Tree",$F68="Retain",$H68&lt;&gt;"",ISNA(MATCH($H68,Tables!$B$184:$B$186,0))),
Error!$B$15,
IF(AND($E68="Tier 4",$F68="Remove",$H68&lt;&gt;"",ISNA(MATCH($H68,Tables!$B$171,0))),
Error!$B$15,
IF(AND($E68="Tier 4",$F68="Retain",$H68&lt;&gt;"",ISNA(MATCH($H68,Tables!$B$166:$B$168,0))),
Error!$B$15,
IF(AND($E68="Tier 3",$F68="Retain",$H68&lt;&gt;"",ISNA(MATCH($H68,Tables!$B$158:$B$160,0))),
Error!$B$15,
IF(AND($E68="Tier 3",$F68="Remove",$H68&lt;&gt;"",ISNA(MATCH($H68,Tables!$B$163,0))),
Error!$B$15,
IF(AND(OR($E68="Tier 2",$E68="Tier 2 Grove"),$F68="Remove",$H68&lt;&gt;"",ISNA(MATCH($H68,Tables!$B$153:$B$155,0))),
Error!$B$15,
IF(AND(OR($E68="Tier 2",$E68="Tier 2 Grove"),$F68="Retain",$H68&lt;&gt;"",ISNA(MATCH($H68,Tables!$B$147:$B$150,0))),
Error!$B$15,
IF(AND($E68="Tier 1",$F68="Remove",$H68&lt;&gt;"",ISNA(MATCH($H68,Tables!$B$143:$B$144,0))),
Error!$B$15,
IF(AND($E68="Tier 1",$F68="Retain",$H68&lt;&gt;"",ISNA(MATCH($H68,Tables!$B$137:$B$140,0))),
Error!$B$15,
IF(AND($E68&lt;&gt;"Tier 2",$E68&lt;&gt;"Tier 2 Grove",$E68&lt;&gt;"Tier 3",$E68&lt;&gt;"Tier 4",$H68="Zoning: Green Factor",OR($D68="",$D68&lt;6)),
Error!$B$11,
IF(AND(_xlpm.baseRow,$D68&lt;6,$E68="&lt;6in DSH for Tree Points",_xlpm.TreePoints_H=0),
Error!$B$21,
IF(AND(_xlpm.baseRow,$E68&lt;&gt;"",$D68&lt;&gt;"",$F68=""),
Error!$B$4,
IF(AND(_xlpm.baseRow,$F68="Remove",OR($E68="Tier 1",$E68="Tier 2",$E68="Tier 2 Grove"),COUNTBLANK(_xlpm.HRange)&lt;3,_xlpm.uniqueH&gt;=2),
Error!$B$48,
IF(AND(_xlpm.baseRow,$F68="Retain",OR($E68="Tier 1",$E68="Tier 2",$E68="Tier 2 Grove"),COUNTIF(_xlpm.HRange,"Tree Code: Required to Retain Tier 1-2 Tree")=0),
Error!$B$47,
IF(AND(_xlpm.baseRow,$E68&lt;&gt;"",$D68&lt;&gt;"",$F68&lt;&gt;"",COUNTBLANK(_xlpm.HRange)=4),
Error!$B$5,
IF(AND($F68="Remove",$H68&lt;&gt;"",$I68=""),
Error!$B$18,
IF(AND($E68="Tier 4",$F68="Remove",$H68="Tree Protection Code: Tier 3 or Tier 4 Allowance",$H68&lt;&gt;"",ISNA(MATCH($I68,Tables!$B$200,0))),
Error!$B$17,
IF(AND($E68="Tier 3",$F68="Remove",$H68&lt;&gt;"",$H68="Tree Protection Code: Tier 3 or Tier 4 Allowance",OR($I68="",ISNA(MATCH($I68,Tables!$B$193:$B$197,0)))),
Error!$B$17,
IF(AND(OR($E68="Tier 2",$E68="Tier 2 Grove"),$F68="Remove",$H68="Tree Protection Code: Other removal allowance or exemption",$I68&lt;&gt;"",ISNA(MATCH($I68,Tables!$B$215:$B$218,0))),
Error!$B$17,
IF(AND(OR($E68="Tier 2",$E68="Tier 2 Grove"),$F68="Remove",$H68="Tree Protection Code: Development Capacity",$I68&lt;&gt;"",ISNA(MATCH($I68,Tables!$B$193:$B$197,0))),
Error!$B$17,
IF(AND(OR($E68="Tier 2",$E68="Tier 2 Grove"),$F68="Remove",$H68="Tree Protection Code: Necessary for Construction",$I68&lt;&gt;"",ISNA(MATCH($I68,Tables!$B$193:$B$197,0))),
Error!$B$17,
IF(AND($E68="Tier 1",$F68="Remove",$H68="Tree Protection Code: Special Exception",$I68&lt;&gt;"",ISNA(MATCH($I68,Tables!$B$215:$B$218,0))),
Error!$B$17,
IF(AND($E68="Tier 1",$F68="Remove",$H68="Tree Protection Code: Other removal allowance or exemption",$I68&lt;&gt;"",ISNA(MATCH($I68,Tables!$B$215:$B$218,0))),
Error!$B$17,
IF(AND($E68="ECA / Shoreline Tree",$F68="Remove",$H68&lt;&gt;"",OR($H68="Shoreline",$H68="Environmental Critical Area (ECA)"),ISNA(MATCH($I68,Tables!$B$209:$B$212,0))),
Error!$B$17,
IF(AND(_xlpm.baseRow,$F68="Retain",$E68="ECA / Shoreline Tree",_xlpm.ECA_Short=0),
Error!$B$61,
IF(AND($F68="Remove",ISNUMBER(MATCH($E68,{"Tier 1","Tier 2","Tier 3","Tier 4","Tier 2 Grove"},0)),ISNUMBER(MATCH($I68,{"On-site replacement","Off-site replacement"},0)),$J68="",$H68&lt;&gt;""),
Error!$B$19,
IF(AND(_xlpm.baseRow,$E68&lt;&gt;"",$D68&lt;&gt;"",$F68&lt;&gt;"",COUNTBLANK($B68:$C68)&gt;0,COUNTBLANK(_xlpm.HRange)&lt;&gt;4),
Error!$B$22,
IF(AND($H68="Zoning: Tree Points",$K68&lt;&gt;"",ISNA(MATCH($K68,Tables!$B$242:$B$253,0))),
Error!$B$58,
IF(AND($H68="Zoning: Tree Points",$K68="Small",$L68&lt;&gt;"",ISNA(MATCH($L68,Tables!$C$243:$C$244,0))),
Error!$B$59,
IF(AND($H68="Zoning: Tree Points",$K68="Small/Medium",$L68&lt;&gt;"",ISNA(MATCH($L68,Tables!$C$246:$C$247,0))),
Error!$B$59,
IF(AND($H68="Zoning: Tree Points",$K68="Medium/Large",$L68&lt;&gt;"",ISNA(MATCH($L68,Tables!$C$249:$C$250,0))),
Error!$B$59,
IF(AND($H68="Zoning: Tree Points",$K68="Large",$L68&lt;&gt;"",ISNA(MATCH($L68,Tables!$C$252:$C$253,0))),
Error!$B$59,
IF(AND($F68="Retain",$H68="Zoning: Tree Points",$C68&lt;&gt;"",$D68&lt;&gt;"",OR($K68="",$L68="",$M68="")),
Error!$B$20,
""
)))))))))))))))))))))))))))))))))))))))))))))))))))))))),
Error!$B$23))</f>
        <v/>
      </c>
      <c r="O68" s="343" t="str" cm="1">
        <f t="array" aca="1" ref="O68" ca="1">IFERROR(_xlfn.LET(
    _xlpm.txt, $C68,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9" spans="1:15" x14ac:dyDescent="0.3">
      <c r="A69" s="320"/>
      <c r="B69" s="616" t="str">
        <f t="shared" si="28"/>
        <v/>
      </c>
      <c r="C69" s="617" t="str">
        <f t="shared" si="29"/>
        <v/>
      </c>
      <c r="D69" s="618" t="str">
        <f t="shared" si="30"/>
        <v/>
      </c>
      <c r="E69" s="616" t="str">
        <f t="shared" si="31"/>
        <v/>
      </c>
      <c r="F69" s="616" t="str">
        <f t="shared" si="32"/>
        <v/>
      </c>
      <c r="G69" s="619" t="str">
        <f>IF(Tree_Table1[[#This Row],[Tree Status  &amp;]]="Retain", Tables!$B$237, IF(Tree_Table1[[#This Row],[Tree Status  &amp;]]="Remove", Tables!$B$238, ""))</f>
        <v/>
      </c>
      <c r="H69" s="321"/>
      <c r="I69" s="322"/>
      <c r="J69" s="453"/>
      <c r="K69" s="323" t="str">
        <f>IFERROR(
    IF(
        AND($H69="Zoning: Tree Points", NOT(ISNUMBER(SEARCH("sp.", $C69)))),
        VLOOKUP($C69, 'Tree List'!$C$3:$F$601, 4, FALSE),
        ""
    ),
"")</f>
        <v/>
      </c>
      <c r="L69" s="324" t="str" cm="1">
        <f t="array" ref="L69">IFERROR(
IF(
    AND($H69="Zoning: Tree Points", NOT(ISNUMBER(SEARCH("sp.", $C69)))),
    _xlfn.IFS(
        (COUNTIFS('Tree List'!$C$3:$C$601,$C69,'Tree List'!$D$3:$D$601,"Coniferous")
        + COUNTIFS('Tree List'!$C$3:$C$601,$C69,'Tree List'!$D$3:$D$601,"Deciduous Conifer")) &gt; 0,
            _xlfn.IFS($K69="Small",0.5,$K69="Small/Medium",1,$K69="Medium/Large",1.4,$K69="Large",1.8),
        (COUNTIFS('Tree List'!$C$3:$C$601,$C69,'Tree List'!$D$3:$D$601,"Deciduous")
        + COUNTIFS('Tree List'!$C$3:$C$601,$C69,'Tree List'!$D$3:$D$601,"Broadleaf Evergreen")) &gt; 0,
            _xlfn.IFS($K69="Small",0.4,$K69="Small/Medium",0.8,$K69="Medium/Large",1.2,$K69="Large",1.6)
    ),
    ""
),
"")</f>
        <v/>
      </c>
      <c r="M69" s="475" t="str">
        <f t="shared" si="0"/>
        <v/>
      </c>
      <c r="N69" s="346" t="str" cm="1">
        <f t="array" aca="1" ref="N6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IF(AND(_xlpm.baseRow,ISNA(MATCH($C69,'Tree List'!$C$3:$C$601,0)),SUMPRODUCT(--ISNUMBER(SEARCH(Tables2!$C$677:$C$772,$O69)))&gt;0),
Error!$B$57,
IF(AND(_xlpm.hasDM,$F69="Remove",$H69&lt;&gt;"",OR($I69="On-site replacement",$I69="Off-site replacement",$I69="Payment In Lieu")),
Error!$B$56,
IF(AND(_xlpm.hasDM,$F69="Remove",$H69&lt;&gt;"",$I69="Relocation"),
Error!$B$66,
IF(AND(OR(_xlpm.hasCN,_xlpm.hasPH,_xlpm.hasGR),$H69&lt;&gt;"",COUNTIF(Tables!$B$132:$B$134,$H69)&gt;0,$I69="N/A (No replacement required)"),
Error!$B$62,
IF(AND(_xlpm.baseRow,$E69&lt;&gt;"",ISNA(MATCH($E69,Tables!$B$225:$B$232,0))),
Error!$B$2,
IF(AND(_xlpm.baseRow,$F69&lt;&gt;"",ISNA(MATCH($F69,Tables!$B$234:$B$235,0))),
Error!$B$24,
IF(AND(_xlpm.baseRow,_xlpm.ECA_H&gt;0,_xlpm.Shore_H&gt;0),
Error!$B$16,
IF(AND(_xlpm.baseRow,$E69&lt;&gt;"",$D69=""),
Error!$B$3,
IF(AND(_xlpm.baseRow,OR($E69="Tier 3",$E69="Tier 4"),$C69&lt;&gt;"",$D69&gt;=24,COUNTIF(Tables2!$B$166:$B$674,$C69)&gt;0),
Error!$B$44,
IF(AND(_xlpm.baseRow,OR($E69="Tier 3",$E69="Tier 4"),$C69&lt;&gt;"",$D69&lt;&gt;"",COUNTIF(Tables2!$B$73:$B$152,$C69)&gt;0,
$D69&gt;=IFERROR(INDEX(Tables2!$C$73:$C$152,MATCH($C69,Tables2!$B$73:$B$152,0)),-1)),
Error!$B$44,
IF(AND(_xlpm.baseRow,OR($E69="Tier 2",$E69="Tier 2 Grove"),$C69&lt;&gt;"",$D69&gt;=12,COUNTIF(Tables2!$B$153:$B$162,$C69)&gt;0),
Error!$B$45,
IF(AND(_xlpm.baseRow,$E69="Tier 2 Grove",$D69&lt;12),
Error!$B$41,
IF(AND(_xlpm.baseRow,$E69="Tier 2",$D69&lt;5.88),
Error!$B$40,
IF(AND(_xlpm.baseRow,OR($E69="Tier 2",$E69="Tier 2 Grove"),$C69&lt;&gt;"",$D69&lt;12,$D69&gt;=6,COUNTIF(Tables2!$B$153:$B$162,$C69)&gt;0),
Error!$B$54,
IF(AND(_xlpm.baseRow,$E69="Tier 2",COUNTIF(Tables2!$B$166:$B$674,$C69)&gt;0,$D69&lt;24),
Error!$B$54,
IF(AND(_xlpm.baseRow,$E69="Tier 3",ISNA(MATCH($C69,Tables2!$B$153:$B$162,0)),OR($D69&lt;12,$D69&gt;=24)),
Error!$B$9,
IF(AND(_xlpm.baseRow,$E69="Tier 3",COUNTIF(Tables2!$B$153:$B$162,$C69)&gt;0,$D69&lt;12),
Error!$B$46,
IF(AND(_xlpm.baseRow,$E69="Tier 4",OR($D69&lt;6,$D69&gt;=12)),
Error!$B$10,
IF(AND(_xlpm.baseRow,$E69="&lt;6in DSH for Tree Points",OR($D69&gt;=6,$D69="")),
Error!$B$8,
IF(AND(_xlpm.baseRow,$E69="Street Tree for Green Factor",$F69&lt;&gt;"",$F69&lt;&gt;"Retain"),
Error!$B$14,
IF(AND($E69="&lt;6in DSH for Tree Points",$F69="Retain",$H69&lt;&gt;"",ISNA(MATCH($H69,Tables!$B$174:$B$174,0))),
Error!$B$15,
IF(AND($E69="Street Tree for Green Factor",$F69="Retain",$H69&lt;&gt;"",$H69&lt;&gt;"Zoning: Green Factor"),
Error!$B$15,
IF(AND($E69="ECA / Shoreline Tree",$F69="Remove",$H69&lt;&gt;"",ISNA(MATCH($H69,Tables!$B$189:$B$190,0))),
Error!$B$15,
IF(AND($E69="ECA / Shoreline Tree",$F69="Retain",$H69&lt;&gt;"",ISNA(MATCH($H69,Tables!$B$184:$B$186,0))),
Error!$B$15,
IF(AND($E69="Tier 4",$F69="Remove",$H69&lt;&gt;"",ISNA(MATCH($H69,Tables!$B$171,0))),
Error!$B$15,
IF(AND($E69="Tier 4",$F69="Retain",$H69&lt;&gt;"",ISNA(MATCH($H69,Tables!$B$166:$B$168,0))),
Error!$B$15,
IF(AND($E69="Tier 3",$F69="Retain",$H69&lt;&gt;"",ISNA(MATCH($H69,Tables!$B$158:$B$160,0))),
Error!$B$15,
IF(AND($E69="Tier 3",$F69="Remove",$H69&lt;&gt;"",ISNA(MATCH($H69,Tables!$B$163,0))),
Error!$B$15,
IF(AND(OR($E69="Tier 2",$E69="Tier 2 Grove"),$F69="Remove",$H69&lt;&gt;"",ISNA(MATCH($H69,Tables!$B$153:$B$155,0))),
Error!$B$15,
IF(AND(OR($E69="Tier 2",$E69="Tier 2 Grove"),$F69="Retain",$H69&lt;&gt;"",ISNA(MATCH($H69,Tables!$B$147:$B$150,0))),
Error!$B$15,
IF(AND($E69="Tier 1",$F69="Remove",$H69&lt;&gt;"",ISNA(MATCH($H69,Tables!$B$143:$B$144,0))),
Error!$B$15,
IF(AND($E69="Tier 1",$F69="Retain",$H69&lt;&gt;"",ISNA(MATCH($H69,Tables!$B$137:$B$140,0))),
Error!$B$15,
IF(AND($E69&lt;&gt;"Tier 2",$E69&lt;&gt;"Tier 2 Grove",$E69&lt;&gt;"Tier 3",$E69&lt;&gt;"Tier 4",$H69="Zoning: Green Factor",OR($D69="",$D69&lt;6)),
Error!$B$11,
IF(AND(_xlpm.baseRow,$D69&lt;6,$E69="&lt;6in DSH for Tree Points",_xlpm.TreePoints_H=0),
Error!$B$21,
IF(AND(_xlpm.baseRow,$E69&lt;&gt;"",$D69&lt;&gt;"",$F69=""),
Error!$B$4,
IF(AND(_xlpm.baseRow,$F69="Remove",OR($E69="Tier 1",$E69="Tier 2",$E69="Tier 2 Grove"),COUNTBLANK(_xlpm.HRange)&lt;3,_xlpm.uniqueH&gt;=2),
Error!$B$48,
IF(AND(_xlpm.baseRow,$F69="Retain",OR($E69="Tier 1",$E69="Tier 2",$E69="Tier 2 Grove"),COUNTIF(_xlpm.HRange,"Tree Code: Required to Retain Tier 1-2 Tree")=0),
Error!$B$47,
IF(AND(_xlpm.baseRow,$E69&lt;&gt;"",$D69&lt;&gt;"",$F69&lt;&gt;"",COUNTBLANK(_xlpm.HRange)=4),
Error!$B$5,
IF(AND($F69="Remove",$H69&lt;&gt;"",$I69=""),
Error!$B$18,
IF(AND($E69="Tier 4",$F69="Remove",$H69="Tree Protection Code: Tier 3 or Tier 4 Allowance",$H69&lt;&gt;"",ISNA(MATCH($I69,Tables!$B$200,0))),
Error!$B$17,
IF(AND($E69="Tier 3",$F69="Remove",$H69&lt;&gt;"",$H69="Tree Protection Code: Tier 3 or Tier 4 Allowance",OR($I69="",ISNA(MATCH($I69,Tables!$B$193:$B$197,0)))),
Error!$B$17,
IF(AND(OR($E69="Tier 2",$E69="Tier 2 Grove"),$F69="Remove",$H69="Tree Protection Code: Other removal allowance or exemption",$I69&lt;&gt;"",ISNA(MATCH($I69,Tables!$B$215:$B$218,0))),
Error!$B$17,
IF(AND(OR($E69="Tier 2",$E69="Tier 2 Grove"),$F69="Remove",$H69="Tree Protection Code: Development Capacity",$I69&lt;&gt;"",ISNA(MATCH($I69,Tables!$B$193:$B$197,0))),
Error!$B$17,
IF(AND(OR($E69="Tier 2",$E69="Tier 2 Grove"),$F69="Remove",$H69="Tree Protection Code: Necessary for Construction",$I69&lt;&gt;"",ISNA(MATCH($I69,Tables!$B$193:$B$197,0))),
Error!$B$17,
IF(AND($E69="Tier 1",$F69="Remove",$H69="Tree Protection Code: Special Exception",$I69&lt;&gt;"",ISNA(MATCH($I69,Tables!$B$215:$B$218,0))),
Error!$B$17,
IF(AND($E69="Tier 1",$F69="Remove",$H69="Tree Protection Code: Other removal allowance or exemption",$I69&lt;&gt;"",ISNA(MATCH($I69,Tables!$B$215:$B$218,0))),
Error!$B$17,
IF(AND($E69="ECA / Shoreline Tree",$F69="Remove",$H69&lt;&gt;"",OR($H69="Shoreline",$H69="Environmental Critical Area (ECA)"),ISNA(MATCH($I69,Tables!$B$209:$B$212,0))),
Error!$B$17,
IF(AND(_xlpm.baseRow,$F69="Retain",$E69="ECA / Shoreline Tree",_xlpm.ECA_Short=0),
Error!$B$61,
IF(AND($F69="Remove",ISNUMBER(MATCH($E69,{"Tier 1","Tier 2","Tier 3","Tier 4","Tier 2 Grove"},0)),ISNUMBER(MATCH($I69,{"On-site replacement","Off-site replacement"},0)),$J69="",$H69&lt;&gt;""),
Error!$B$19,
IF(AND(_xlpm.baseRow,$E69&lt;&gt;"",$D69&lt;&gt;"",$F69&lt;&gt;"",COUNTBLANK($B69:$C69)&gt;0,COUNTBLANK(_xlpm.HRange)&lt;&gt;4),
Error!$B$22,
IF(AND($H69="Zoning: Tree Points",$K69&lt;&gt;"",ISNA(MATCH($K69,Tables!$B$242:$B$253,0))),
Error!$B$58,
IF(AND($H69="Zoning: Tree Points",$K69="Small",$L69&lt;&gt;"",ISNA(MATCH($L69,Tables!$C$243:$C$244,0))),
Error!$B$59,
IF(AND($H69="Zoning: Tree Points",$K69="Small/Medium",$L69&lt;&gt;"",ISNA(MATCH($L69,Tables!$C$246:$C$247,0))),
Error!$B$59,
IF(AND($H69="Zoning: Tree Points",$K69="Medium/Large",$L69&lt;&gt;"",ISNA(MATCH($L69,Tables!$C$249:$C$250,0))),
Error!$B$59,
IF(AND($H69="Zoning: Tree Points",$K69="Large",$L69&lt;&gt;"",ISNA(MATCH($L69,Tables!$C$252:$C$253,0))),
Error!$B$59,
IF(AND($F69="Retain",$H69="Zoning: Tree Points",$C69&lt;&gt;"",$D69&lt;&gt;"",OR($K69="",$L69="",$M69="")),
Error!$B$20,
""
)))))))))))))))))))))))))))))))))))))))))))))))))))))))),
Error!$B$23))</f>
        <v/>
      </c>
      <c r="O69" s="343" t="str" cm="1">
        <f t="array" aca="1" ref="O69" ca="1">IFERROR(_xlfn.LET(
    _xlpm.txt, $C69,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0" spans="1:15" ht="15" thickBot="1" x14ac:dyDescent="0.35">
      <c r="A70" s="331"/>
      <c r="B70" s="616" t="str">
        <f t="shared" si="28"/>
        <v/>
      </c>
      <c r="C70" s="617" t="str">
        <f t="shared" si="29"/>
        <v/>
      </c>
      <c r="D70" s="618" t="str">
        <f t="shared" si="30"/>
        <v/>
      </c>
      <c r="E70" s="616" t="str">
        <f t="shared" si="31"/>
        <v/>
      </c>
      <c r="F70" s="616" t="str">
        <f t="shared" si="32"/>
        <v/>
      </c>
      <c r="G70" s="619" t="str">
        <f>IF(Tree_Table1[[#This Row],[Tree Status  &amp;]]="Retain", Tables!$B$237, IF(Tree_Table1[[#This Row],[Tree Status  &amp;]]="Remove", Tables!$B$238, ""))</f>
        <v/>
      </c>
      <c r="H70" s="329"/>
      <c r="I70" s="330"/>
      <c r="J70" s="455"/>
      <c r="K70" s="327" t="str">
        <f>IFERROR(
    IF(
        AND($H70="Zoning: Tree Points", NOT(ISNUMBER(SEARCH("sp.", $C70)))),
        VLOOKUP($C70, 'Tree List'!$C$3:$F$601, 4, FALSE),
        ""
    ),
"")</f>
        <v/>
      </c>
      <c r="L70" s="328" t="str" cm="1">
        <f t="array" ref="L70">IFERROR(
IF(
    AND($H70="Zoning: Tree Points", NOT(ISNUMBER(SEARCH("sp.", $C70)))),
    _xlfn.IFS(
        (COUNTIFS('Tree List'!$C$3:$C$601,$C70,'Tree List'!$D$3:$D$601,"Coniferous")
        + COUNTIFS('Tree List'!$C$3:$C$601,$C70,'Tree List'!$D$3:$D$601,"Deciduous Conifer")) &gt; 0,
            _xlfn.IFS($K70="Small",0.5,$K70="Small/Medium",1,$K70="Medium/Large",1.4,$K70="Large",1.8),
        (COUNTIFS('Tree List'!$C$3:$C$601,$C70,'Tree List'!$D$3:$D$601,"Deciduous")
        + COUNTIFS('Tree List'!$C$3:$C$601,$C70,'Tree List'!$D$3:$D$601,"Broadleaf Evergreen")) &gt; 0,
            _xlfn.IFS($K70="Small",0.4,$K70="Small/Medium",0.8,$K70="Medium/Large",1.2,$K70="Large",1.6)
    ),
    ""
),
"")</f>
        <v/>
      </c>
      <c r="M70" s="476" t="str">
        <f t="shared" si="0"/>
        <v/>
      </c>
      <c r="N70" s="347" t="str" cm="1">
        <f t="array" aca="1" ref="N7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IF(AND(_xlpm.baseRow,ISNA(MATCH($C70,'Tree List'!$C$3:$C$601,0)),SUMPRODUCT(--ISNUMBER(SEARCH(Tables2!$C$677:$C$772,$O70)))&gt;0),
Error!$B$57,
IF(AND(_xlpm.hasDM,$F70="Remove",$H70&lt;&gt;"",OR($I70="On-site replacement",$I70="Off-site replacement",$I70="Payment In Lieu")),
Error!$B$56,
IF(AND(_xlpm.hasDM,$F70="Remove",$H70&lt;&gt;"",$I70="Relocation"),
Error!$B$66,
IF(AND(OR(_xlpm.hasCN,_xlpm.hasPH,_xlpm.hasGR),$H70&lt;&gt;"",COUNTIF(Tables!$B$132:$B$134,$H70)&gt;0,$I70="N/A (No replacement required)"),
Error!$B$62,
IF(AND(_xlpm.baseRow,$E70&lt;&gt;"",ISNA(MATCH($E70,Tables!$B$225:$B$232,0))),
Error!$B$2,
IF(AND(_xlpm.baseRow,$F70&lt;&gt;"",ISNA(MATCH($F70,Tables!$B$234:$B$235,0))),
Error!$B$24,
IF(AND(_xlpm.baseRow,_xlpm.ECA_H&gt;0,_xlpm.Shore_H&gt;0),
Error!$B$16,
IF(AND(_xlpm.baseRow,$E70&lt;&gt;"",$D70=""),
Error!$B$3,
IF(AND(_xlpm.baseRow,OR($E70="Tier 3",$E70="Tier 4"),$C70&lt;&gt;"",$D70&gt;=24,COUNTIF(Tables2!$B$166:$B$674,$C70)&gt;0),
Error!$B$44,
IF(AND(_xlpm.baseRow,OR($E70="Tier 3",$E70="Tier 4"),$C70&lt;&gt;"",$D70&lt;&gt;"",COUNTIF(Tables2!$B$73:$B$152,$C70)&gt;0,
$D70&gt;=IFERROR(INDEX(Tables2!$C$73:$C$152,MATCH($C70,Tables2!$B$73:$B$152,0)),-1)),
Error!$B$44,
IF(AND(_xlpm.baseRow,OR($E70="Tier 2",$E70="Tier 2 Grove"),$C70&lt;&gt;"",$D70&gt;=12,COUNTIF(Tables2!$B$153:$B$162,$C70)&gt;0),
Error!$B$45,
IF(AND(_xlpm.baseRow,$E70="Tier 2 Grove",$D70&lt;12),
Error!$B$41,
IF(AND(_xlpm.baseRow,$E70="Tier 2",$D70&lt;5.88),
Error!$B$40,
IF(AND(_xlpm.baseRow,OR($E70="Tier 2",$E70="Tier 2 Grove"),$C70&lt;&gt;"",$D70&lt;12,$D70&gt;=6,COUNTIF(Tables2!$B$153:$B$162,$C70)&gt;0),
Error!$B$54,
IF(AND(_xlpm.baseRow,$E70="Tier 2",COUNTIF(Tables2!$B$166:$B$674,$C70)&gt;0,$D70&lt;24),
Error!$B$54,
IF(AND(_xlpm.baseRow,$E70="Tier 3",ISNA(MATCH($C70,Tables2!$B$153:$B$162,0)),OR($D70&lt;12,$D70&gt;=24)),
Error!$B$9,
IF(AND(_xlpm.baseRow,$E70="Tier 3",COUNTIF(Tables2!$B$153:$B$162,$C70)&gt;0,$D70&lt;12),
Error!$B$46,
IF(AND(_xlpm.baseRow,$E70="Tier 4",OR($D70&lt;6,$D70&gt;=12)),
Error!$B$10,
IF(AND(_xlpm.baseRow,$E70="&lt;6in DSH for Tree Points",OR($D70&gt;=6,$D70="")),
Error!$B$8,
IF(AND(_xlpm.baseRow,$E70="Street Tree for Green Factor",$F70&lt;&gt;"",$F70&lt;&gt;"Retain"),
Error!$B$14,
IF(AND($E70="&lt;6in DSH for Tree Points",$F70="Retain",$H70&lt;&gt;"",ISNA(MATCH($H70,Tables!$B$174:$B$174,0))),
Error!$B$15,
IF(AND($E70="Street Tree for Green Factor",$F70="Retain",$H70&lt;&gt;"",$H70&lt;&gt;"Zoning: Green Factor"),
Error!$B$15,
IF(AND($E70="ECA / Shoreline Tree",$F70="Remove",$H70&lt;&gt;"",ISNA(MATCH($H70,Tables!$B$189:$B$190,0))),
Error!$B$15,
IF(AND($E70="ECA / Shoreline Tree",$F70="Retain",$H70&lt;&gt;"",ISNA(MATCH($H70,Tables!$B$184:$B$186,0))),
Error!$B$15,
IF(AND($E70="Tier 4",$F70="Remove",$H70&lt;&gt;"",ISNA(MATCH($H70,Tables!$B$171,0))),
Error!$B$15,
IF(AND($E70="Tier 4",$F70="Retain",$H70&lt;&gt;"",ISNA(MATCH($H70,Tables!$B$166:$B$168,0))),
Error!$B$15,
IF(AND($E70="Tier 3",$F70="Retain",$H70&lt;&gt;"",ISNA(MATCH($H70,Tables!$B$158:$B$160,0))),
Error!$B$15,
IF(AND($E70="Tier 3",$F70="Remove",$H70&lt;&gt;"",ISNA(MATCH($H70,Tables!$B$163,0))),
Error!$B$15,
IF(AND(OR($E70="Tier 2",$E70="Tier 2 Grove"),$F70="Remove",$H70&lt;&gt;"",ISNA(MATCH($H70,Tables!$B$153:$B$155,0))),
Error!$B$15,
IF(AND(OR($E70="Tier 2",$E70="Tier 2 Grove"),$F70="Retain",$H70&lt;&gt;"",ISNA(MATCH($H70,Tables!$B$147:$B$150,0))),
Error!$B$15,
IF(AND($E70="Tier 1",$F70="Remove",$H70&lt;&gt;"",ISNA(MATCH($H70,Tables!$B$143:$B$144,0))),
Error!$B$15,
IF(AND($E70="Tier 1",$F70="Retain",$H70&lt;&gt;"",ISNA(MATCH($H70,Tables!$B$137:$B$140,0))),
Error!$B$15,
IF(AND($E70&lt;&gt;"Tier 2",$E70&lt;&gt;"Tier 2 Grove",$E70&lt;&gt;"Tier 3",$E70&lt;&gt;"Tier 4",$H70="Zoning: Green Factor",OR($D70="",$D70&lt;6)),
Error!$B$11,
IF(AND(_xlpm.baseRow,$D70&lt;6,$E70="&lt;6in DSH for Tree Points",_xlpm.TreePoints_H=0),
Error!$B$21,
IF(AND(_xlpm.baseRow,$E70&lt;&gt;"",$D70&lt;&gt;"",$F70=""),
Error!$B$4,
IF(AND(_xlpm.baseRow,$F70="Remove",OR($E70="Tier 1",$E70="Tier 2",$E70="Tier 2 Grove"),COUNTBLANK(_xlpm.HRange)&lt;3,_xlpm.uniqueH&gt;=2),
Error!$B$48,
IF(AND(_xlpm.baseRow,$F70="Retain",OR($E70="Tier 1",$E70="Tier 2",$E70="Tier 2 Grove"),COUNTIF(_xlpm.HRange,"Tree Code: Required to Retain Tier 1-2 Tree")=0),
Error!$B$47,
IF(AND(_xlpm.baseRow,$E70&lt;&gt;"",$D70&lt;&gt;"",$F70&lt;&gt;"",COUNTBLANK(_xlpm.HRange)=4),
Error!$B$5,
IF(AND($F70="Remove",$H70&lt;&gt;"",$I70=""),
Error!$B$18,
IF(AND($E70="Tier 4",$F70="Remove",$H70="Tree Protection Code: Tier 3 or Tier 4 Allowance",$H70&lt;&gt;"",ISNA(MATCH($I70,Tables!$B$200,0))),
Error!$B$17,
IF(AND($E70="Tier 3",$F70="Remove",$H70&lt;&gt;"",$H70="Tree Protection Code: Tier 3 or Tier 4 Allowance",OR($I70="",ISNA(MATCH($I70,Tables!$B$193:$B$197,0)))),
Error!$B$17,
IF(AND(OR($E70="Tier 2",$E70="Tier 2 Grove"),$F70="Remove",$H70="Tree Protection Code: Other removal allowance or exemption",$I70&lt;&gt;"",ISNA(MATCH($I70,Tables!$B$215:$B$218,0))),
Error!$B$17,
IF(AND(OR($E70="Tier 2",$E70="Tier 2 Grove"),$F70="Remove",$H70="Tree Protection Code: Development Capacity",$I70&lt;&gt;"",ISNA(MATCH($I70,Tables!$B$193:$B$197,0))),
Error!$B$17,
IF(AND(OR($E70="Tier 2",$E70="Tier 2 Grove"),$F70="Remove",$H70="Tree Protection Code: Necessary for Construction",$I70&lt;&gt;"",ISNA(MATCH($I70,Tables!$B$193:$B$197,0))),
Error!$B$17,
IF(AND($E70="Tier 1",$F70="Remove",$H70="Tree Protection Code: Special Exception",$I70&lt;&gt;"",ISNA(MATCH($I70,Tables!$B$215:$B$218,0))),
Error!$B$17,
IF(AND($E70="Tier 1",$F70="Remove",$H70="Tree Protection Code: Other removal allowance or exemption",$I70&lt;&gt;"",ISNA(MATCH($I70,Tables!$B$215:$B$218,0))),
Error!$B$17,
IF(AND($E70="ECA / Shoreline Tree",$F70="Remove",$H70&lt;&gt;"",OR($H70="Shoreline",$H70="Environmental Critical Area (ECA)"),ISNA(MATCH($I70,Tables!$B$209:$B$212,0))),
Error!$B$17,
IF(AND(_xlpm.baseRow,$F70="Retain",$E70="ECA / Shoreline Tree",_xlpm.ECA_Short=0),
Error!$B$61,
IF(AND($F70="Remove",ISNUMBER(MATCH($E70,{"Tier 1","Tier 2","Tier 3","Tier 4","Tier 2 Grove"},0)),ISNUMBER(MATCH($I70,{"On-site replacement","Off-site replacement"},0)),$J70="",$H70&lt;&gt;""),
Error!$B$19,
IF(AND(_xlpm.baseRow,$E70&lt;&gt;"",$D70&lt;&gt;"",$F70&lt;&gt;"",COUNTBLANK($B70:$C70)&gt;0,COUNTBLANK(_xlpm.HRange)&lt;&gt;4),
Error!$B$22,
IF(AND($H70="Zoning: Tree Points",$K70&lt;&gt;"",ISNA(MATCH($K70,Tables!$B$242:$B$253,0))),
Error!$B$58,
IF(AND($H70="Zoning: Tree Points",$K70="Small",$L70&lt;&gt;"",ISNA(MATCH($L70,Tables!$C$243:$C$244,0))),
Error!$B$59,
IF(AND($H70="Zoning: Tree Points",$K70="Small/Medium",$L70&lt;&gt;"",ISNA(MATCH($L70,Tables!$C$246:$C$247,0))),
Error!$B$59,
IF(AND($H70="Zoning: Tree Points",$K70="Medium/Large",$L70&lt;&gt;"",ISNA(MATCH($L70,Tables!$C$249:$C$250,0))),
Error!$B$59,
IF(AND($H70="Zoning: Tree Points",$K70="Large",$L70&lt;&gt;"",ISNA(MATCH($L70,Tables!$C$252:$C$253,0))),
Error!$B$59,
IF(AND($F70="Retain",$H70="Zoning: Tree Points",$C70&lt;&gt;"",$D70&lt;&gt;"",OR($K70="",$L70="",$M70="")),
Error!$B$20,
""
)))))))))))))))))))))))))))))))))))))))))))))))))))))))),
Error!$B$23))</f>
        <v/>
      </c>
      <c r="O70" s="343" t="str" cm="1">
        <f t="array" aca="1" ref="O70" ca="1">IFERROR(_xlfn.LET(
    _xlpm.txt, $C70,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1" spans="1:15" ht="15" thickBot="1" x14ac:dyDescent="0.35">
      <c r="A71" s="311">
        <v>16</v>
      </c>
      <c r="B71" s="312"/>
      <c r="C71" s="313"/>
      <c r="D71" s="478"/>
      <c r="E71" s="314"/>
      <c r="F71" s="314"/>
      <c r="G71" s="315" t="str">
        <f>IF(Tree_Table1[[#This Row],[Tree Status  &amp;]]="Retain", Tables!$B$237, IF(Tree_Table1[[#This Row],[Tree Status  &amp;]]="Remove", Tables!$B$238, ""))</f>
        <v/>
      </c>
      <c r="H71" s="316"/>
      <c r="I71" s="317"/>
      <c r="J71" s="452"/>
      <c r="K71" s="318" t="str">
        <f>IFERROR(
    IF(
        AND($H71="Zoning: Tree Points", NOT(ISNUMBER(SEARCH("sp.", $C71)))),
        VLOOKUP($C71, 'Tree List'!$C$3:$F$601, 4, FALSE),
        ""
    ),
"")</f>
        <v/>
      </c>
      <c r="L71" s="319" t="str" cm="1">
        <f t="array" ref="L71">IFERROR(
IF(
    AND($H71="Zoning: Tree Points", NOT(ISNUMBER(SEARCH("sp.", $C71)))),
    _xlfn.IFS(
        (COUNTIFS('Tree List'!$C$3:$C$601,$C71,'Tree List'!$D$3:$D$601,"Coniferous")
        + COUNTIFS('Tree List'!$C$3:$C$601,$C71,'Tree List'!$D$3:$D$601,"Deciduous Conifer")) &gt; 0,
            _xlfn.IFS($K71="Small",0.5,$K71="Small/Medium",1,$K71="Medium/Large",1.4,$K71="Large",1.8),
        (COUNTIFS('Tree List'!$C$3:$C$601,$C71,'Tree List'!$D$3:$D$601,"Deciduous")
        + COUNTIFS('Tree List'!$C$3:$C$601,$C71,'Tree List'!$D$3:$D$601,"Broadleaf Evergreen")) &gt; 0,
            _xlfn.IFS($K71="Small",0.4,$K71="Small/Medium",0.8,$K71="Medium/Large",1.2,$K71="Large",1.6)
    ),
    ""
),
"")</f>
        <v/>
      </c>
      <c r="M71" s="474" t="str">
        <f t="shared" si="0"/>
        <v/>
      </c>
      <c r="N71" s="620" t="str" cm="1">
        <f t="array" aca="1" ref="N7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IF(AND(_xlpm.baseRow,ISNA(MATCH($C71,'Tree List'!$C$3:$C$601,0)),SUMPRODUCT(--ISNUMBER(SEARCH(Tables2!$C$677:$C$772,$O71)))&gt;0),
Error!$B$57,
IF(AND(_xlpm.hasDM,$F71="Remove",$H71&lt;&gt;"",OR($I71="On-site replacement",$I71="Off-site replacement",$I71="Payment In Lieu")),
Error!$B$56,
IF(AND(_xlpm.hasDM,$F71="Remove",$H71&lt;&gt;"",$I71="Relocation"),
Error!$B$66,
IF(AND(OR(_xlpm.hasCN,_xlpm.hasPH,_xlpm.hasGR),$H71&lt;&gt;"",COUNTIF(Tables!$B$132:$B$134,$H71)&gt;0,$I71="N/A (No replacement required)"),
Error!$B$62,
IF(AND(_xlpm.baseRow,$E71&lt;&gt;"",ISNA(MATCH($E71,Tables!$B$225:$B$232,0))),
Error!$B$2,
IF(AND(_xlpm.baseRow,$F71&lt;&gt;"",ISNA(MATCH($F71,Tables!$B$234:$B$235,0))),
Error!$B$24,
IF(AND(_xlpm.baseRow,_xlpm.ECA_H&gt;0,_xlpm.Shore_H&gt;0),
Error!$B$16,
IF(AND(_xlpm.baseRow,$E71&lt;&gt;"",$D71=""),
Error!$B$3,
IF(AND(_xlpm.baseRow,OR($E71="Tier 3",$E71="Tier 4"),$C71&lt;&gt;"",$D71&gt;=24,COUNTIF(Tables2!$B$166:$B$674,$C71)&gt;0),
Error!$B$44,
IF(AND(_xlpm.baseRow,OR($E71="Tier 3",$E71="Tier 4"),$C71&lt;&gt;"",$D71&lt;&gt;"",COUNTIF(Tables2!$B$73:$B$152,$C71)&gt;0,
$D71&gt;=IFERROR(INDEX(Tables2!$C$73:$C$152,MATCH($C71,Tables2!$B$73:$B$152,0)),-1)),
Error!$B$44,
IF(AND(_xlpm.baseRow,OR($E71="Tier 2",$E71="Tier 2 Grove"),$C71&lt;&gt;"",$D71&gt;=12,COUNTIF(Tables2!$B$153:$B$162,$C71)&gt;0),
Error!$B$45,
IF(AND(_xlpm.baseRow,$E71="Tier 2 Grove",$D71&lt;12),
Error!$B$41,
IF(AND(_xlpm.baseRow,$E71="Tier 2",$D71&lt;5.88),
Error!$B$40,
IF(AND(_xlpm.baseRow,OR($E71="Tier 2",$E71="Tier 2 Grove"),$C71&lt;&gt;"",$D71&lt;12,$D71&gt;=6,COUNTIF(Tables2!$B$153:$B$162,$C71)&gt;0),
Error!$B$54,
IF(AND(_xlpm.baseRow,$E71="Tier 2",COUNTIF(Tables2!$B$166:$B$674,$C71)&gt;0,$D71&lt;24),
Error!$B$54,
IF(AND(_xlpm.baseRow,$E71="Tier 3",ISNA(MATCH($C71,Tables2!$B$153:$B$162,0)),OR($D71&lt;12,$D71&gt;=24)),
Error!$B$9,
IF(AND(_xlpm.baseRow,$E71="Tier 3",COUNTIF(Tables2!$B$153:$B$162,$C71)&gt;0,$D71&lt;12),
Error!$B$46,
IF(AND(_xlpm.baseRow,$E71="Tier 4",OR($D71&lt;6,$D71&gt;=12)),
Error!$B$10,
IF(AND(_xlpm.baseRow,$E71="&lt;6in DSH for Tree Points",OR($D71&gt;=6,$D71="")),
Error!$B$8,
IF(AND(_xlpm.baseRow,$E71="Street Tree for Green Factor",$F71&lt;&gt;"",$F71&lt;&gt;"Retain"),
Error!$B$14,
IF(AND($E71="&lt;6in DSH for Tree Points",$F71="Retain",$H71&lt;&gt;"",ISNA(MATCH($H71,Tables!$B$174:$B$174,0))),
Error!$B$15,
IF(AND($E71="Street Tree for Green Factor",$F71="Retain",$H71&lt;&gt;"",$H71&lt;&gt;"Zoning: Green Factor"),
Error!$B$15,
IF(AND($E71="ECA / Shoreline Tree",$F71="Remove",$H71&lt;&gt;"",ISNA(MATCH($H71,Tables!$B$189:$B$190,0))),
Error!$B$15,
IF(AND($E71="ECA / Shoreline Tree",$F71="Retain",$H71&lt;&gt;"",ISNA(MATCH($H71,Tables!$B$184:$B$186,0))),
Error!$B$15,
IF(AND($E71="Tier 4",$F71="Remove",$H71&lt;&gt;"",ISNA(MATCH($H71,Tables!$B$171,0))),
Error!$B$15,
IF(AND($E71="Tier 4",$F71="Retain",$H71&lt;&gt;"",ISNA(MATCH($H71,Tables!$B$166:$B$168,0))),
Error!$B$15,
IF(AND($E71="Tier 3",$F71="Retain",$H71&lt;&gt;"",ISNA(MATCH($H71,Tables!$B$158:$B$160,0))),
Error!$B$15,
IF(AND($E71="Tier 3",$F71="Remove",$H71&lt;&gt;"",ISNA(MATCH($H71,Tables!$B$163,0))),
Error!$B$15,
IF(AND(OR($E71="Tier 2",$E71="Tier 2 Grove"),$F71="Remove",$H71&lt;&gt;"",ISNA(MATCH($H71,Tables!$B$153:$B$155,0))),
Error!$B$15,
IF(AND(OR($E71="Tier 2",$E71="Tier 2 Grove"),$F71="Retain",$H71&lt;&gt;"",ISNA(MATCH($H71,Tables!$B$147:$B$150,0))),
Error!$B$15,
IF(AND($E71="Tier 1",$F71="Remove",$H71&lt;&gt;"",ISNA(MATCH($H71,Tables!$B$143:$B$144,0))),
Error!$B$15,
IF(AND($E71="Tier 1",$F71="Retain",$H71&lt;&gt;"",ISNA(MATCH($H71,Tables!$B$137:$B$140,0))),
Error!$B$15,
IF(AND($E71&lt;&gt;"Tier 2",$E71&lt;&gt;"Tier 2 Grove",$E71&lt;&gt;"Tier 3",$E71&lt;&gt;"Tier 4",$H71="Zoning: Green Factor",OR($D71="",$D71&lt;6)),
Error!$B$11,
IF(AND(_xlpm.baseRow,$D71&lt;6,$E71="&lt;6in DSH for Tree Points",_xlpm.TreePoints_H=0),
Error!$B$21,
IF(AND(_xlpm.baseRow,$E71&lt;&gt;"",$D71&lt;&gt;"",$F71=""),
Error!$B$4,
IF(AND(_xlpm.baseRow,$F71="Remove",OR($E71="Tier 1",$E71="Tier 2",$E71="Tier 2 Grove"),COUNTBLANK(_xlpm.HRange)&lt;3,_xlpm.uniqueH&gt;=2),
Error!$B$48,
IF(AND(_xlpm.baseRow,$F71="Retain",OR($E71="Tier 1",$E71="Tier 2",$E71="Tier 2 Grove"),COUNTIF(_xlpm.HRange,"Tree Code: Required to Retain Tier 1-2 Tree")=0),
Error!$B$47,
IF(AND(_xlpm.baseRow,$E71&lt;&gt;"",$D71&lt;&gt;"",$F71&lt;&gt;"",COUNTBLANK(_xlpm.HRange)=4),
Error!$B$5,
IF(AND($F71="Remove",$H71&lt;&gt;"",$I71=""),
Error!$B$18,
IF(AND($E71="Tier 4",$F71="Remove",$H71="Tree Protection Code: Tier 3 or Tier 4 Allowance",$H71&lt;&gt;"",ISNA(MATCH($I71,Tables!$B$200,0))),
Error!$B$17,
IF(AND($E71="Tier 3",$F71="Remove",$H71&lt;&gt;"",$H71="Tree Protection Code: Tier 3 or Tier 4 Allowance",OR($I71="",ISNA(MATCH($I71,Tables!$B$193:$B$197,0)))),
Error!$B$17,
IF(AND(OR($E71="Tier 2",$E71="Tier 2 Grove"),$F71="Remove",$H71="Tree Protection Code: Other removal allowance or exemption",$I71&lt;&gt;"",ISNA(MATCH($I71,Tables!$B$215:$B$218,0))),
Error!$B$17,
IF(AND(OR($E71="Tier 2",$E71="Tier 2 Grove"),$F71="Remove",$H71="Tree Protection Code: Development Capacity",$I71&lt;&gt;"",ISNA(MATCH($I71,Tables!$B$193:$B$197,0))),
Error!$B$17,
IF(AND(OR($E71="Tier 2",$E71="Tier 2 Grove"),$F71="Remove",$H71="Tree Protection Code: Necessary for Construction",$I71&lt;&gt;"",ISNA(MATCH($I71,Tables!$B$193:$B$197,0))),
Error!$B$17,
IF(AND($E71="Tier 1",$F71="Remove",$H71="Tree Protection Code: Special Exception",$I71&lt;&gt;"",ISNA(MATCH($I71,Tables!$B$215:$B$218,0))),
Error!$B$17,
IF(AND($E71="Tier 1",$F71="Remove",$H71="Tree Protection Code: Other removal allowance or exemption",$I71&lt;&gt;"",ISNA(MATCH($I71,Tables!$B$215:$B$218,0))),
Error!$B$17,
IF(AND($E71="ECA / Shoreline Tree",$F71="Remove",$H71&lt;&gt;"",OR($H71="Shoreline",$H71="Environmental Critical Area (ECA)"),ISNA(MATCH($I71,Tables!$B$209:$B$212,0))),
Error!$B$17,
IF(AND(_xlpm.baseRow,$F71="Retain",$E71="ECA / Shoreline Tree",_xlpm.ECA_Short=0),
Error!$B$61,
IF(AND($F71="Remove",ISNUMBER(MATCH($E71,{"Tier 1","Tier 2","Tier 3","Tier 4","Tier 2 Grove"},0)),ISNUMBER(MATCH($I71,{"On-site replacement","Off-site replacement"},0)),$J71="",$H71&lt;&gt;""),
Error!$B$19,
IF(AND(_xlpm.baseRow,$E71&lt;&gt;"",$D71&lt;&gt;"",$F71&lt;&gt;"",COUNTBLANK($B71:$C71)&gt;0,COUNTBLANK(_xlpm.HRange)&lt;&gt;4),
Error!$B$22,
IF(AND($H71="Zoning: Tree Points",$K71&lt;&gt;"",ISNA(MATCH($K71,Tables!$B$242:$B$253,0))),
Error!$B$58,
IF(AND($H71="Zoning: Tree Points",$K71="Small",$L71&lt;&gt;"",ISNA(MATCH($L71,Tables!$C$243:$C$244,0))),
Error!$B$59,
IF(AND($H71="Zoning: Tree Points",$K71="Small/Medium",$L71&lt;&gt;"",ISNA(MATCH($L71,Tables!$C$246:$C$247,0))),
Error!$B$59,
IF(AND($H71="Zoning: Tree Points",$K71="Medium/Large",$L71&lt;&gt;"",ISNA(MATCH($L71,Tables!$C$249:$C$250,0))),
Error!$B$59,
IF(AND($H71="Zoning: Tree Points",$K71="Large",$L71&lt;&gt;"",ISNA(MATCH($L71,Tables!$C$252:$C$253,0))),
Error!$B$59,
IF(AND($F71="Retain",$H71="Zoning: Tree Points",$C71&lt;&gt;"",$D71&lt;&gt;"",OR($K71="",$L71="",$M71="")),
Error!$B$20,
""
)))))))))))))))))))))))))))))))))))))))))))))))))))))))),
Error!$B$23))</f>
        <v/>
      </c>
      <c r="O71" s="343" t="str" cm="1">
        <f t="array" aca="1" ref="O71" ca="1">IFERROR(_xlfn.LET(
    _xlpm.txt, $C71,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2" spans="1:15" x14ac:dyDescent="0.3">
      <c r="A72" s="320"/>
      <c r="B72" s="616" t="str">
        <f t="shared" ref="B72:B74" si="33">IF($B71="", "", $B71)</f>
        <v/>
      </c>
      <c r="C72" s="617" t="str">
        <f t="shared" ref="C72:C74" si="34">IF($C71="", "", $C71)</f>
        <v/>
      </c>
      <c r="D72" s="618" t="str">
        <f t="shared" ref="D72:D74" si="35">IF($D71="", "", $D71)</f>
        <v/>
      </c>
      <c r="E72" s="616" t="str">
        <f t="shared" ref="E72:E74" si="36">IF($E71="", "", $E71)</f>
        <v/>
      </c>
      <c r="F72" s="616" t="str">
        <f t="shared" ref="F72:F74" si="37">IF($F71="", "", $F71)</f>
        <v/>
      </c>
      <c r="G72" s="619" t="str">
        <f>IF(Tree_Table1[[#This Row],[Tree Status  &amp;]]="Retain", Tables!$B$237, IF(Tree_Table1[[#This Row],[Tree Status  &amp;]]="Remove", Tables!$B$238, ""))</f>
        <v/>
      </c>
      <c r="H72" s="321"/>
      <c r="I72" s="322"/>
      <c r="J72" s="453"/>
      <c r="K72" s="323" t="str">
        <f>IFERROR(
    IF(
        AND($H72="Zoning: Tree Points", NOT(ISNUMBER(SEARCH("sp.", $C72)))),
        VLOOKUP($C72, 'Tree List'!$C$3:$F$601, 4, FALSE),
        ""
    ),
"")</f>
        <v/>
      </c>
      <c r="L72" s="324" t="str" cm="1">
        <f t="array" ref="L72">IFERROR(
IF(
    AND($H72="Zoning: Tree Points", NOT(ISNUMBER(SEARCH("sp.", $C72)))),
    _xlfn.IFS(
        (COUNTIFS('Tree List'!$C$3:$C$601,$C72,'Tree List'!$D$3:$D$601,"Coniferous")
        + COUNTIFS('Tree List'!$C$3:$C$601,$C72,'Tree List'!$D$3:$D$601,"Deciduous Conifer")) &gt; 0,
            _xlfn.IFS($K72="Small",0.5,$K72="Small/Medium",1,$K72="Medium/Large",1.4,$K72="Large",1.8),
        (COUNTIFS('Tree List'!$C$3:$C$601,$C72,'Tree List'!$D$3:$D$601,"Deciduous")
        + COUNTIFS('Tree List'!$C$3:$C$601,$C72,'Tree List'!$D$3:$D$601,"Broadleaf Evergreen")) &gt; 0,
            _xlfn.IFS($K72="Small",0.4,$K72="Small/Medium",0.8,$K72="Medium/Large",1.2,$K72="Large",1.6)
    ),
    ""
),
"")</f>
        <v/>
      </c>
      <c r="M72" s="475" t="str">
        <f t="shared" si="0"/>
        <v/>
      </c>
      <c r="N72" s="346" t="str" cm="1">
        <f t="array" aca="1" ref="N7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IF(AND(_xlpm.baseRow,ISNA(MATCH($C72,'Tree List'!$C$3:$C$601,0)),SUMPRODUCT(--ISNUMBER(SEARCH(Tables2!$C$677:$C$772,$O72)))&gt;0),
Error!$B$57,
IF(AND(_xlpm.hasDM,$F72="Remove",$H72&lt;&gt;"",OR($I72="On-site replacement",$I72="Off-site replacement",$I72="Payment In Lieu")),
Error!$B$56,
IF(AND(_xlpm.hasDM,$F72="Remove",$H72&lt;&gt;"",$I72="Relocation"),
Error!$B$66,
IF(AND(OR(_xlpm.hasCN,_xlpm.hasPH,_xlpm.hasGR),$H72&lt;&gt;"",COUNTIF(Tables!$B$132:$B$134,$H72)&gt;0,$I72="N/A (No replacement required)"),
Error!$B$62,
IF(AND(_xlpm.baseRow,$E72&lt;&gt;"",ISNA(MATCH($E72,Tables!$B$225:$B$232,0))),
Error!$B$2,
IF(AND(_xlpm.baseRow,$F72&lt;&gt;"",ISNA(MATCH($F72,Tables!$B$234:$B$235,0))),
Error!$B$24,
IF(AND(_xlpm.baseRow,_xlpm.ECA_H&gt;0,_xlpm.Shore_H&gt;0),
Error!$B$16,
IF(AND(_xlpm.baseRow,$E72&lt;&gt;"",$D72=""),
Error!$B$3,
IF(AND(_xlpm.baseRow,OR($E72="Tier 3",$E72="Tier 4"),$C72&lt;&gt;"",$D72&gt;=24,COUNTIF(Tables2!$B$166:$B$674,$C72)&gt;0),
Error!$B$44,
IF(AND(_xlpm.baseRow,OR($E72="Tier 3",$E72="Tier 4"),$C72&lt;&gt;"",$D72&lt;&gt;"",COUNTIF(Tables2!$B$73:$B$152,$C72)&gt;0,
$D72&gt;=IFERROR(INDEX(Tables2!$C$73:$C$152,MATCH($C72,Tables2!$B$73:$B$152,0)),-1)),
Error!$B$44,
IF(AND(_xlpm.baseRow,OR($E72="Tier 2",$E72="Tier 2 Grove"),$C72&lt;&gt;"",$D72&gt;=12,COUNTIF(Tables2!$B$153:$B$162,$C72)&gt;0),
Error!$B$45,
IF(AND(_xlpm.baseRow,$E72="Tier 2 Grove",$D72&lt;12),
Error!$B$41,
IF(AND(_xlpm.baseRow,$E72="Tier 2",$D72&lt;5.88),
Error!$B$40,
IF(AND(_xlpm.baseRow,OR($E72="Tier 2",$E72="Tier 2 Grove"),$C72&lt;&gt;"",$D72&lt;12,$D72&gt;=6,COUNTIF(Tables2!$B$153:$B$162,$C72)&gt;0),
Error!$B$54,
IF(AND(_xlpm.baseRow,$E72="Tier 2",COUNTIF(Tables2!$B$166:$B$674,$C72)&gt;0,$D72&lt;24),
Error!$B$54,
IF(AND(_xlpm.baseRow,$E72="Tier 3",ISNA(MATCH($C72,Tables2!$B$153:$B$162,0)),OR($D72&lt;12,$D72&gt;=24)),
Error!$B$9,
IF(AND(_xlpm.baseRow,$E72="Tier 3",COUNTIF(Tables2!$B$153:$B$162,$C72)&gt;0,$D72&lt;12),
Error!$B$46,
IF(AND(_xlpm.baseRow,$E72="Tier 4",OR($D72&lt;6,$D72&gt;=12)),
Error!$B$10,
IF(AND(_xlpm.baseRow,$E72="&lt;6in DSH for Tree Points",OR($D72&gt;=6,$D72="")),
Error!$B$8,
IF(AND(_xlpm.baseRow,$E72="Street Tree for Green Factor",$F72&lt;&gt;"",$F72&lt;&gt;"Retain"),
Error!$B$14,
IF(AND($E72="&lt;6in DSH for Tree Points",$F72="Retain",$H72&lt;&gt;"",ISNA(MATCH($H72,Tables!$B$174:$B$174,0))),
Error!$B$15,
IF(AND($E72="Street Tree for Green Factor",$F72="Retain",$H72&lt;&gt;"",$H72&lt;&gt;"Zoning: Green Factor"),
Error!$B$15,
IF(AND($E72="ECA / Shoreline Tree",$F72="Remove",$H72&lt;&gt;"",ISNA(MATCH($H72,Tables!$B$189:$B$190,0))),
Error!$B$15,
IF(AND($E72="ECA / Shoreline Tree",$F72="Retain",$H72&lt;&gt;"",ISNA(MATCH($H72,Tables!$B$184:$B$186,0))),
Error!$B$15,
IF(AND($E72="Tier 4",$F72="Remove",$H72&lt;&gt;"",ISNA(MATCH($H72,Tables!$B$171,0))),
Error!$B$15,
IF(AND($E72="Tier 4",$F72="Retain",$H72&lt;&gt;"",ISNA(MATCH($H72,Tables!$B$166:$B$168,0))),
Error!$B$15,
IF(AND($E72="Tier 3",$F72="Retain",$H72&lt;&gt;"",ISNA(MATCH($H72,Tables!$B$158:$B$160,0))),
Error!$B$15,
IF(AND($E72="Tier 3",$F72="Remove",$H72&lt;&gt;"",ISNA(MATCH($H72,Tables!$B$163,0))),
Error!$B$15,
IF(AND(OR($E72="Tier 2",$E72="Tier 2 Grove"),$F72="Remove",$H72&lt;&gt;"",ISNA(MATCH($H72,Tables!$B$153:$B$155,0))),
Error!$B$15,
IF(AND(OR($E72="Tier 2",$E72="Tier 2 Grove"),$F72="Retain",$H72&lt;&gt;"",ISNA(MATCH($H72,Tables!$B$147:$B$150,0))),
Error!$B$15,
IF(AND($E72="Tier 1",$F72="Remove",$H72&lt;&gt;"",ISNA(MATCH($H72,Tables!$B$143:$B$144,0))),
Error!$B$15,
IF(AND($E72="Tier 1",$F72="Retain",$H72&lt;&gt;"",ISNA(MATCH($H72,Tables!$B$137:$B$140,0))),
Error!$B$15,
IF(AND($E72&lt;&gt;"Tier 2",$E72&lt;&gt;"Tier 2 Grove",$E72&lt;&gt;"Tier 3",$E72&lt;&gt;"Tier 4",$H72="Zoning: Green Factor",OR($D72="",$D72&lt;6)),
Error!$B$11,
IF(AND(_xlpm.baseRow,$D72&lt;6,$E72="&lt;6in DSH for Tree Points",_xlpm.TreePoints_H=0),
Error!$B$21,
IF(AND(_xlpm.baseRow,$E72&lt;&gt;"",$D72&lt;&gt;"",$F72=""),
Error!$B$4,
IF(AND(_xlpm.baseRow,$F72="Remove",OR($E72="Tier 1",$E72="Tier 2",$E72="Tier 2 Grove"),COUNTBLANK(_xlpm.HRange)&lt;3,_xlpm.uniqueH&gt;=2),
Error!$B$48,
IF(AND(_xlpm.baseRow,$F72="Retain",OR($E72="Tier 1",$E72="Tier 2",$E72="Tier 2 Grove"),COUNTIF(_xlpm.HRange,"Tree Code: Required to Retain Tier 1-2 Tree")=0),
Error!$B$47,
IF(AND(_xlpm.baseRow,$E72&lt;&gt;"",$D72&lt;&gt;"",$F72&lt;&gt;"",COUNTBLANK(_xlpm.HRange)=4),
Error!$B$5,
IF(AND($F72="Remove",$H72&lt;&gt;"",$I72=""),
Error!$B$18,
IF(AND($E72="Tier 4",$F72="Remove",$H72="Tree Protection Code: Tier 3 or Tier 4 Allowance",$H72&lt;&gt;"",ISNA(MATCH($I72,Tables!$B$200,0))),
Error!$B$17,
IF(AND($E72="Tier 3",$F72="Remove",$H72&lt;&gt;"",$H72="Tree Protection Code: Tier 3 or Tier 4 Allowance",OR($I72="",ISNA(MATCH($I72,Tables!$B$193:$B$197,0)))),
Error!$B$17,
IF(AND(OR($E72="Tier 2",$E72="Tier 2 Grove"),$F72="Remove",$H72="Tree Protection Code: Other removal allowance or exemption",$I72&lt;&gt;"",ISNA(MATCH($I72,Tables!$B$215:$B$218,0))),
Error!$B$17,
IF(AND(OR($E72="Tier 2",$E72="Tier 2 Grove"),$F72="Remove",$H72="Tree Protection Code: Development Capacity",$I72&lt;&gt;"",ISNA(MATCH($I72,Tables!$B$193:$B$197,0))),
Error!$B$17,
IF(AND(OR($E72="Tier 2",$E72="Tier 2 Grove"),$F72="Remove",$H72="Tree Protection Code: Necessary for Construction",$I72&lt;&gt;"",ISNA(MATCH($I72,Tables!$B$193:$B$197,0))),
Error!$B$17,
IF(AND($E72="Tier 1",$F72="Remove",$H72="Tree Protection Code: Special Exception",$I72&lt;&gt;"",ISNA(MATCH($I72,Tables!$B$215:$B$218,0))),
Error!$B$17,
IF(AND($E72="Tier 1",$F72="Remove",$H72="Tree Protection Code: Other removal allowance or exemption",$I72&lt;&gt;"",ISNA(MATCH($I72,Tables!$B$215:$B$218,0))),
Error!$B$17,
IF(AND($E72="ECA / Shoreline Tree",$F72="Remove",$H72&lt;&gt;"",OR($H72="Shoreline",$H72="Environmental Critical Area (ECA)"),ISNA(MATCH($I72,Tables!$B$209:$B$212,0))),
Error!$B$17,
IF(AND(_xlpm.baseRow,$F72="Retain",$E72="ECA / Shoreline Tree",_xlpm.ECA_Short=0),
Error!$B$61,
IF(AND($F72="Remove",ISNUMBER(MATCH($E72,{"Tier 1","Tier 2","Tier 3","Tier 4","Tier 2 Grove"},0)),ISNUMBER(MATCH($I72,{"On-site replacement","Off-site replacement"},0)),$J72="",$H72&lt;&gt;""),
Error!$B$19,
IF(AND(_xlpm.baseRow,$E72&lt;&gt;"",$D72&lt;&gt;"",$F72&lt;&gt;"",COUNTBLANK($B72:$C72)&gt;0,COUNTBLANK(_xlpm.HRange)&lt;&gt;4),
Error!$B$22,
IF(AND($H72="Zoning: Tree Points",$K72&lt;&gt;"",ISNA(MATCH($K72,Tables!$B$242:$B$253,0))),
Error!$B$58,
IF(AND($H72="Zoning: Tree Points",$K72="Small",$L72&lt;&gt;"",ISNA(MATCH($L72,Tables!$C$243:$C$244,0))),
Error!$B$59,
IF(AND($H72="Zoning: Tree Points",$K72="Small/Medium",$L72&lt;&gt;"",ISNA(MATCH($L72,Tables!$C$246:$C$247,0))),
Error!$B$59,
IF(AND($H72="Zoning: Tree Points",$K72="Medium/Large",$L72&lt;&gt;"",ISNA(MATCH($L72,Tables!$C$249:$C$250,0))),
Error!$B$59,
IF(AND($H72="Zoning: Tree Points",$K72="Large",$L72&lt;&gt;"",ISNA(MATCH($L72,Tables!$C$252:$C$253,0))),
Error!$B$59,
IF(AND($F72="Retain",$H72="Zoning: Tree Points",$C72&lt;&gt;"",$D72&lt;&gt;"",OR($K72="",$L72="",$M72="")),
Error!$B$20,
""
)))))))))))))))))))))))))))))))))))))))))))))))))))))))),
Error!$B$23))</f>
        <v/>
      </c>
      <c r="O72" s="343" t="str" cm="1">
        <f t="array" aca="1" ref="O72" ca="1">IFERROR(_xlfn.LET(
    _xlpm.txt, $C72,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3" spans="1:15" x14ac:dyDescent="0.3">
      <c r="A73" s="320"/>
      <c r="B73" s="616" t="str">
        <f t="shared" si="33"/>
        <v/>
      </c>
      <c r="C73" s="617" t="str">
        <f t="shared" si="34"/>
        <v/>
      </c>
      <c r="D73" s="618" t="str">
        <f t="shared" si="35"/>
        <v/>
      </c>
      <c r="E73" s="616" t="str">
        <f t="shared" si="36"/>
        <v/>
      </c>
      <c r="F73" s="616" t="str">
        <f t="shared" si="37"/>
        <v/>
      </c>
      <c r="G73" s="619" t="str">
        <f>IF(Tree_Table1[[#This Row],[Tree Status  &amp;]]="Retain", Tables!$B$237, IF(Tree_Table1[[#This Row],[Tree Status  &amp;]]="Remove", Tables!$B$238, ""))</f>
        <v/>
      </c>
      <c r="H73" s="321"/>
      <c r="I73" s="322"/>
      <c r="J73" s="453"/>
      <c r="K73" s="323" t="str">
        <f>IFERROR(
    IF(
        AND($H73="Zoning: Tree Points", NOT(ISNUMBER(SEARCH("sp.", $C73)))),
        VLOOKUP($C73, 'Tree List'!$C$3:$F$601, 4, FALSE),
        ""
    ),
"")</f>
        <v/>
      </c>
      <c r="L73" s="324" t="str" cm="1">
        <f t="array" ref="L73">IFERROR(
IF(
    AND($H73="Zoning: Tree Points", NOT(ISNUMBER(SEARCH("sp.", $C73)))),
    _xlfn.IFS(
        (COUNTIFS('Tree List'!$C$3:$C$601,$C73,'Tree List'!$D$3:$D$601,"Coniferous")
        + COUNTIFS('Tree List'!$C$3:$C$601,$C73,'Tree List'!$D$3:$D$601,"Deciduous Conifer")) &gt; 0,
            _xlfn.IFS($K73="Small",0.5,$K73="Small/Medium",1,$K73="Medium/Large",1.4,$K73="Large",1.8),
        (COUNTIFS('Tree List'!$C$3:$C$601,$C73,'Tree List'!$D$3:$D$601,"Deciduous")
        + COUNTIFS('Tree List'!$C$3:$C$601,$C73,'Tree List'!$D$3:$D$601,"Broadleaf Evergreen")) &gt; 0,
            _xlfn.IFS($K73="Small",0.4,$K73="Small/Medium",0.8,$K73="Medium/Large",1.2,$K73="Large",1.6)
    ),
    ""
),
"")</f>
        <v/>
      </c>
      <c r="M73" s="475" t="str">
        <f t="shared" si="0"/>
        <v/>
      </c>
      <c r="N73" s="346" t="str" cm="1">
        <f t="array" aca="1" ref="N7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IF(AND(_xlpm.baseRow,ISNA(MATCH($C73,'Tree List'!$C$3:$C$601,0)),SUMPRODUCT(--ISNUMBER(SEARCH(Tables2!$C$677:$C$772,$O73)))&gt;0),
Error!$B$57,
IF(AND(_xlpm.hasDM,$F73="Remove",$H73&lt;&gt;"",OR($I73="On-site replacement",$I73="Off-site replacement",$I73="Payment In Lieu")),
Error!$B$56,
IF(AND(_xlpm.hasDM,$F73="Remove",$H73&lt;&gt;"",$I73="Relocation"),
Error!$B$66,
IF(AND(OR(_xlpm.hasCN,_xlpm.hasPH,_xlpm.hasGR),$H73&lt;&gt;"",COUNTIF(Tables!$B$132:$B$134,$H73)&gt;0,$I73="N/A (No replacement required)"),
Error!$B$62,
IF(AND(_xlpm.baseRow,$E73&lt;&gt;"",ISNA(MATCH($E73,Tables!$B$225:$B$232,0))),
Error!$B$2,
IF(AND(_xlpm.baseRow,$F73&lt;&gt;"",ISNA(MATCH($F73,Tables!$B$234:$B$235,0))),
Error!$B$24,
IF(AND(_xlpm.baseRow,_xlpm.ECA_H&gt;0,_xlpm.Shore_H&gt;0),
Error!$B$16,
IF(AND(_xlpm.baseRow,$E73&lt;&gt;"",$D73=""),
Error!$B$3,
IF(AND(_xlpm.baseRow,OR($E73="Tier 3",$E73="Tier 4"),$C73&lt;&gt;"",$D73&gt;=24,COUNTIF(Tables2!$B$166:$B$674,$C73)&gt;0),
Error!$B$44,
IF(AND(_xlpm.baseRow,OR($E73="Tier 3",$E73="Tier 4"),$C73&lt;&gt;"",$D73&lt;&gt;"",COUNTIF(Tables2!$B$73:$B$152,$C73)&gt;0,
$D73&gt;=IFERROR(INDEX(Tables2!$C$73:$C$152,MATCH($C73,Tables2!$B$73:$B$152,0)),-1)),
Error!$B$44,
IF(AND(_xlpm.baseRow,OR($E73="Tier 2",$E73="Tier 2 Grove"),$C73&lt;&gt;"",$D73&gt;=12,COUNTIF(Tables2!$B$153:$B$162,$C73)&gt;0),
Error!$B$45,
IF(AND(_xlpm.baseRow,$E73="Tier 2 Grove",$D73&lt;12),
Error!$B$41,
IF(AND(_xlpm.baseRow,$E73="Tier 2",$D73&lt;5.88),
Error!$B$40,
IF(AND(_xlpm.baseRow,OR($E73="Tier 2",$E73="Tier 2 Grove"),$C73&lt;&gt;"",$D73&lt;12,$D73&gt;=6,COUNTIF(Tables2!$B$153:$B$162,$C73)&gt;0),
Error!$B$54,
IF(AND(_xlpm.baseRow,$E73="Tier 2",COUNTIF(Tables2!$B$166:$B$674,$C73)&gt;0,$D73&lt;24),
Error!$B$54,
IF(AND(_xlpm.baseRow,$E73="Tier 3",ISNA(MATCH($C73,Tables2!$B$153:$B$162,0)),OR($D73&lt;12,$D73&gt;=24)),
Error!$B$9,
IF(AND(_xlpm.baseRow,$E73="Tier 3",COUNTIF(Tables2!$B$153:$B$162,$C73)&gt;0,$D73&lt;12),
Error!$B$46,
IF(AND(_xlpm.baseRow,$E73="Tier 4",OR($D73&lt;6,$D73&gt;=12)),
Error!$B$10,
IF(AND(_xlpm.baseRow,$E73="&lt;6in DSH for Tree Points",OR($D73&gt;=6,$D73="")),
Error!$B$8,
IF(AND(_xlpm.baseRow,$E73="Street Tree for Green Factor",$F73&lt;&gt;"",$F73&lt;&gt;"Retain"),
Error!$B$14,
IF(AND($E73="&lt;6in DSH for Tree Points",$F73="Retain",$H73&lt;&gt;"",ISNA(MATCH($H73,Tables!$B$174:$B$174,0))),
Error!$B$15,
IF(AND($E73="Street Tree for Green Factor",$F73="Retain",$H73&lt;&gt;"",$H73&lt;&gt;"Zoning: Green Factor"),
Error!$B$15,
IF(AND($E73="ECA / Shoreline Tree",$F73="Remove",$H73&lt;&gt;"",ISNA(MATCH($H73,Tables!$B$189:$B$190,0))),
Error!$B$15,
IF(AND($E73="ECA / Shoreline Tree",$F73="Retain",$H73&lt;&gt;"",ISNA(MATCH($H73,Tables!$B$184:$B$186,0))),
Error!$B$15,
IF(AND($E73="Tier 4",$F73="Remove",$H73&lt;&gt;"",ISNA(MATCH($H73,Tables!$B$171,0))),
Error!$B$15,
IF(AND($E73="Tier 4",$F73="Retain",$H73&lt;&gt;"",ISNA(MATCH($H73,Tables!$B$166:$B$168,0))),
Error!$B$15,
IF(AND($E73="Tier 3",$F73="Retain",$H73&lt;&gt;"",ISNA(MATCH($H73,Tables!$B$158:$B$160,0))),
Error!$B$15,
IF(AND($E73="Tier 3",$F73="Remove",$H73&lt;&gt;"",ISNA(MATCH($H73,Tables!$B$163,0))),
Error!$B$15,
IF(AND(OR($E73="Tier 2",$E73="Tier 2 Grove"),$F73="Remove",$H73&lt;&gt;"",ISNA(MATCH($H73,Tables!$B$153:$B$155,0))),
Error!$B$15,
IF(AND(OR($E73="Tier 2",$E73="Tier 2 Grove"),$F73="Retain",$H73&lt;&gt;"",ISNA(MATCH($H73,Tables!$B$147:$B$150,0))),
Error!$B$15,
IF(AND($E73="Tier 1",$F73="Remove",$H73&lt;&gt;"",ISNA(MATCH($H73,Tables!$B$143:$B$144,0))),
Error!$B$15,
IF(AND($E73="Tier 1",$F73="Retain",$H73&lt;&gt;"",ISNA(MATCH($H73,Tables!$B$137:$B$140,0))),
Error!$B$15,
IF(AND($E73&lt;&gt;"Tier 2",$E73&lt;&gt;"Tier 2 Grove",$E73&lt;&gt;"Tier 3",$E73&lt;&gt;"Tier 4",$H73="Zoning: Green Factor",OR($D73="",$D73&lt;6)),
Error!$B$11,
IF(AND(_xlpm.baseRow,$D73&lt;6,$E73="&lt;6in DSH for Tree Points",_xlpm.TreePoints_H=0),
Error!$B$21,
IF(AND(_xlpm.baseRow,$E73&lt;&gt;"",$D73&lt;&gt;"",$F73=""),
Error!$B$4,
IF(AND(_xlpm.baseRow,$F73="Remove",OR($E73="Tier 1",$E73="Tier 2",$E73="Tier 2 Grove"),COUNTBLANK(_xlpm.HRange)&lt;3,_xlpm.uniqueH&gt;=2),
Error!$B$48,
IF(AND(_xlpm.baseRow,$F73="Retain",OR($E73="Tier 1",$E73="Tier 2",$E73="Tier 2 Grove"),COUNTIF(_xlpm.HRange,"Tree Code: Required to Retain Tier 1-2 Tree")=0),
Error!$B$47,
IF(AND(_xlpm.baseRow,$E73&lt;&gt;"",$D73&lt;&gt;"",$F73&lt;&gt;"",COUNTBLANK(_xlpm.HRange)=4),
Error!$B$5,
IF(AND($F73="Remove",$H73&lt;&gt;"",$I73=""),
Error!$B$18,
IF(AND($E73="Tier 4",$F73="Remove",$H73="Tree Protection Code: Tier 3 or Tier 4 Allowance",$H73&lt;&gt;"",ISNA(MATCH($I73,Tables!$B$200,0))),
Error!$B$17,
IF(AND($E73="Tier 3",$F73="Remove",$H73&lt;&gt;"",$H73="Tree Protection Code: Tier 3 or Tier 4 Allowance",OR($I73="",ISNA(MATCH($I73,Tables!$B$193:$B$197,0)))),
Error!$B$17,
IF(AND(OR($E73="Tier 2",$E73="Tier 2 Grove"),$F73="Remove",$H73="Tree Protection Code: Other removal allowance or exemption",$I73&lt;&gt;"",ISNA(MATCH($I73,Tables!$B$215:$B$218,0))),
Error!$B$17,
IF(AND(OR($E73="Tier 2",$E73="Tier 2 Grove"),$F73="Remove",$H73="Tree Protection Code: Development Capacity",$I73&lt;&gt;"",ISNA(MATCH($I73,Tables!$B$193:$B$197,0))),
Error!$B$17,
IF(AND(OR($E73="Tier 2",$E73="Tier 2 Grove"),$F73="Remove",$H73="Tree Protection Code: Necessary for Construction",$I73&lt;&gt;"",ISNA(MATCH($I73,Tables!$B$193:$B$197,0))),
Error!$B$17,
IF(AND($E73="Tier 1",$F73="Remove",$H73="Tree Protection Code: Special Exception",$I73&lt;&gt;"",ISNA(MATCH($I73,Tables!$B$215:$B$218,0))),
Error!$B$17,
IF(AND($E73="Tier 1",$F73="Remove",$H73="Tree Protection Code: Other removal allowance or exemption",$I73&lt;&gt;"",ISNA(MATCH($I73,Tables!$B$215:$B$218,0))),
Error!$B$17,
IF(AND($E73="ECA / Shoreline Tree",$F73="Remove",$H73&lt;&gt;"",OR($H73="Shoreline",$H73="Environmental Critical Area (ECA)"),ISNA(MATCH($I73,Tables!$B$209:$B$212,0))),
Error!$B$17,
IF(AND(_xlpm.baseRow,$F73="Retain",$E73="ECA / Shoreline Tree",_xlpm.ECA_Short=0),
Error!$B$61,
IF(AND($F73="Remove",ISNUMBER(MATCH($E73,{"Tier 1","Tier 2","Tier 3","Tier 4","Tier 2 Grove"},0)),ISNUMBER(MATCH($I73,{"On-site replacement","Off-site replacement"},0)),$J73="",$H73&lt;&gt;""),
Error!$B$19,
IF(AND(_xlpm.baseRow,$E73&lt;&gt;"",$D73&lt;&gt;"",$F73&lt;&gt;"",COUNTBLANK($B73:$C73)&gt;0,COUNTBLANK(_xlpm.HRange)&lt;&gt;4),
Error!$B$22,
IF(AND($H73="Zoning: Tree Points",$K73&lt;&gt;"",ISNA(MATCH($K73,Tables!$B$242:$B$253,0))),
Error!$B$58,
IF(AND($H73="Zoning: Tree Points",$K73="Small",$L73&lt;&gt;"",ISNA(MATCH($L73,Tables!$C$243:$C$244,0))),
Error!$B$59,
IF(AND($H73="Zoning: Tree Points",$K73="Small/Medium",$L73&lt;&gt;"",ISNA(MATCH($L73,Tables!$C$246:$C$247,0))),
Error!$B$59,
IF(AND($H73="Zoning: Tree Points",$K73="Medium/Large",$L73&lt;&gt;"",ISNA(MATCH($L73,Tables!$C$249:$C$250,0))),
Error!$B$59,
IF(AND($H73="Zoning: Tree Points",$K73="Large",$L73&lt;&gt;"",ISNA(MATCH($L73,Tables!$C$252:$C$253,0))),
Error!$B$59,
IF(AND($F73="Retain",$H73="Zoning: Tree Points",$C73&lt;&gt;"",$D73&lt;&gt;"",OR($K73="",$L73="",$M73="")),
Error!$B$20,
""
)))))))))))))))))))))))))))))))))))))))))))))))))))))))),
Error!$B$23))</f>
        <v/>
      </c>
      <c r="O73" s="343" t="str" cm="1">
        <f t="array" aca="1" ref="O73" ca="1">IFERROR(_xlfn.LET(
    _xlpm.txt, $C73,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4" spans="1:15" ht="15" thickBot="1" x14ac:dyDescent="0.35">
      <c r="A74" s="331"/>
      <c r="B74" s="616" t="str">
        <f t="shared" si="33"/>
        <v/>
      </c>
      <c r="C74" s="617" t="str">
        <f t="shared" si="34"/>
        <v/>
      </c>
      <c r="D74" s="618" t="str">
        <f t="shared" si="35"/>
        <v/>
      </c>
      <c r="E74" s="616" t="str">
        <f t="shared" si="36"/>
        <v/>
      </c>
      <c r="F74" s="616" t="str">
        <f t="shared" si="37"/>
        <v/>
      </c>
      <c r="G74" s="619" t="str">
        <f>IF(Tree_Table1[[#This Row],[Tree Status  &amp;]]="Retain", Tables!$B$237, IF(Tree_Table1[[#This Row],[Tree Status  &amp;]]="Remove", Tables!$B$238, ""))</f>
        <v/>
      </c>
      <c r="H74" s="329"/>
      <c r="I74" s="330"/>
      <c r="J74" s="455"/>
      <c r="K74" s="327" t="str">
        <f>IFERROR(
    IF(
        AND($H74="Zoning: Tree Points", NOT(ISNUMBER(SEARCH("sp.", $C74)))),
        VLOOKUP($C74, 'Tree List'!$C$3:$F$601, 4, FALSE),
        ""
    ),
"")</f>
        <v/>
      </c>
      <c r="L74" s="328" t="str" cm="1">
        <f t="array" ref="L74">IFERROR(
IF(
    AND($H74="Zoning: Tree Points", NOT(ISNUMBER(SEARCH("sp.", $C74)))),
    _xlfn.IFS(
        (COUNTIFS('Tree List'!$C$3:$C$601,$C74,'Tree List'!$D$3:$D$601,"Coniferous")
        + COUNTIFS('Tree List'!$C$3:$C$601,$C74,'Tree List'!$D$3:$D$601,"Deciduous Conifer")) &gt; 0,
            _xlfn.IFS($K74="Small",0.5,$K74="Small/Medium",1,$K74="Medium/Large",1.4,$K74="Large",1.8),
        (COUNTIFS('Tree List'!$C$3:$C$601,$C74,'Tree List'!$D$3:$D$601,"Deciduous")
        + COUNTIFS('Tree List'!$C$3:$C$601,$C74,'Tree List'!$D$3:$D$601,"Broadleaf Evergreen")) &gt; 0,
            _xlfn.IFS($K74="Small",0.4,$K74="Small/Medium",0.8,$K74="Medium/Large",1.2,$K74="Large",1.6)
    ),
    ""
),
"")</f>
        <v/>
      </c>
      <c r="M74" s="476" t="str">
        <f t="shared" si="0"/>
        <v/>
      </c>
      <c r="N74" s="347" t="str" cm="1">
        <f t="array" aca="1" ref="N7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IF(AND(_xlpm.baseRow,ISNA(MATCH($C74,'Tree List'!$C$3:$C$601,0)),SUMPRODUCT(--ISNUMBER(SEARCH(Tables2!$C$677:$C$772,$O74)))&gt;0),
Error!$B$57,
IF(AND(_xlpm.hasDM,$F74="Remove",$H74&lt;&gt;"",OR($I74="On-site replacement",$I74="Off-site replacement",$I74="Payment In Lieu")),
Error!$B$56,
IF(AND(_xlpm.hasDM,$F74="Remove",$H74&lt;&gt;"",$I74="Relocation"),
Error!$B$66,
IF(AND(OR(_xlpm.hasCN,_xlpm.hasPH,_xlpm.hasGR),$H74&lt;&gt;"",COUNTIF(Tables!$B$132:$B$134,$H74)&gt;0,$I74="N/A (No replacement required)"),
Error!$B$62,
IF(AND(_xlpm.baseRow,$E74&lt;&gt;"",ISNA(MATCH($E74,Tables!$B$225:$B$232,0))),
Error!$B$2,
IF(AND(_xlpm.baseRow,$F74&lt;&gt;"",ISNA(MATCH($F74,Tables!$B$234:$B$235,0))),
Error!$B$24,
IF(AND(_xlpm.baseRow,_xlpm.ECA_H&gt;0,_xlpm.Shore_H&gt;0),
Error!$B$16,
IF(AND(_xlpm.baseRow,$E74&lt;&gt;"",$D74=""),
Error!$B$3,
IF(AND(_xlpm.baseRow,OR($E74="Tier 3",$E74="Tier 4"),$C74&lt;&gt;"",$D74&gt;=24,COUNTIF(Tables2!$B$166:$B$674,$C74)&gt;0),
Error!$B$44,
IF(AND(_xlpm.baseRow,OR($E74="Tier 3",$E74="Tier 4"),$C74&lt;&gt;"",$D74&lt;&gt;"",COUNTIF(Tables2!$B$73:$B$152,$C74)&gt;0,
$D74&gt;=IFERROR(INDEX(Tables2!$C$73:$C$152,MATCH($C74,Tables2!$B$73:$B$152,0)),-1)),
Error!$B$44,
IF(AND(_xlpm.baseRow,OR($E74="Tier 2",$E74="Tier 2 Grove"),$C74&lt;&gt;"",$D74&gt;=12,COUNTIF(Tables2!$B$153:$B$162,$C74)&gt;0),
Error!$B$45,
IF(AND(_xlpm.baseRow,$E74="Tier 2 Grove",$D74&lt;12),
Error!$B$41,
IF(AND(_xlpm.baseRow,$E74="Tier 2",$D74&lt;5.88),
Error!$B$40,
IF(AND(_xlpm.baseRow,OR($E74="Tier 2",$E74="Tier 2 Grove"),$C74&lt;&gt;"",$D74&lt;12,$D74&gt;=6,COUNTIF(Tables2!$B$153:$B$162,$C74)&gt;0),
Error!$B$54,
IF(AND(_xlpm.baseRow,$E74="Tier 2",COUNTIF(Tables2!$B$166:$B$674,$C74)&gt;0,$D74&lt;24),
Error!$B$54,
IF(AND(_xlpm.baseRow,$E74="Tier 3",ISNA(MATCH($C74,Tables2!$B$153:$B$162,0)),OR($D74&lt;12,$D74&gt;=24)),
Error!$B$9,
IF(AND(_xlpm.baseRow,$E74="Tier 3",COUNTIF(Tables2!$B$153:$B$162,$C74)&gt;0,$D74&lt;12),
Error!$B$46,
IF(AND(_xlpm.baseRow,$E74="Tier 4",OR($D74&lt;6,$D74&gt;=12)),
Error!$B$10,
IF(AND(_xlpm.baseRow,$E74="&lt;6in DSH for Tree Points",OR($D74&gt;=6,$D74="")),
Error!$B$8,
IF(AND(_xlpm.baseRow,$E74="Street Tree for Green Factor",$F74&lt;&gt;"",$F74&lt;&gt;"Retain"),
Error!$B$14,
IF(AND($E74="&lt;6in DSH for Tree Points",$F74="Retain",$H74&lt;&gt;"",ISNA(MATCH($H74,Tables!$B$174:$B$174,0))),
Error!$B$15,
IF(AND($E74="Street Tree for Green Factor",$F74="Retain",$H74&lt;&gt;"",$H74&lt;&gt;"Zoning: Green Factor"),
Error!$B$15,
IF(AND($E74="ECA / Shoreline Tree",$F74="Remove",$H74&lt;&gt;"",ISNA(MATCH($H74,Tables!$B$189:$B$190,0))),
Error!$B$15,
IF(AND($E74="ECA / Shoreline Tree",$F74="Retain",$H74&lt;&gt;"",ISNA(MATCH($H74,Tables!$B$184:$B$186,0))),
Error!$B$15,
IF(AND($E74="Tier 4",$F74="Remove",$H74&lt;&gt;"",ISNA(MATCH($H74,Tables!$B$171,0))),
Error!$B$15,
IF(AND($E74="Tier 4",$F74="Retain",$H74&lt;&gt;"",ISNA(MATCH($H74,Tables!$B$166:$B$168,0))),
Error!$B$15,
IF(AND($E74="Tier 3",$F74="Retain",$H74&lt;&gt;"",ISNA(MATCH($H74,Tables!$B$158:$B$160,0))),
Error!$B$15,
IF(AND($E74="Tier 3",$F74="Remove",$H74&lt;&gt;"",ISNA(MATCH($H74,Tables!$B$163,0))),
Error!$B$15,
IF(AND(OR($E74="Tier 2",$E74="Tier 2 Grove"),$F74="Remove",$H74&lt;&gt;"",ISNA(MATCH($H74,Tables!$B$153:$B$155,0))),
Error!$B$15,
IF(AND(OR($E74="Tier 2",$E74="Tier 2 Grove"),$F74="Retain",$H74&lt;&gt;"",ISNA(MATCH($H74,Tables!$B$147:$B$150,0))),
Error!$B$15,
IF(AND($E74="Tier 1",$F74="Remove",$H74&lt;&gt;"",ISNA(MATCH($H74,Tables!$B$143:$B$144,0))),
Error!$B$15,
IF(AND($E74="Tier 1",$F74="Retain",$H74&lt;&gt;"",ISNA(MATCH($H74,Tables!$B$137:$B$140,0))),
Error!$B$15,
IF(AND($E74&lt;&gt;"Tier 2",$E74&lt;&gt;"Tier 2 Grove",$E74&lt;&gt;"Tier 3",$E74&lt;&gt;"Tier 4",$H74="Zoning: Green Factor",OR($D74="",$D74&lt;6)),
Error!$B$11,
IF(AND(_xlpm.baseRow,$D74&lt;6,$E74="&lt;6in DSH for Tree Points",_xlpm.TreePoints_H=0),
Error!$B$21,
IF(AND(_xlpm.baseRow,$E74&lt;&gt;"",$D74&lt;&gt;"",$F74=""),
Error!$B$4,
IF(AND(_xlpm.baseRow,$F74="Remove",OR($E74="Tier 1",$E74="Tier 2",$E74="Tier 2 Grove"),COUNTBLANK(_xlpm.HRange)&lt;3,_xlpm.uniqueH&gt;=2),
Error!$B$48,
IF(AND(_xlpm.baseRow,$F74="Retain",OR($E74="Tier 1",$E74="Tier 2",$E74="Tier 2 Grove"),COUNTIF(_xlpm.HRange,"Tree Code: Required to Retain Tier 1-2 Tree")=0),
Error!$B$47,
IF(AND(_xlpm.baseRow,$E74&lt;&gt;"",$D74&lt;&gt;"",$F74&lt;&gt;"",COUNTBLANK(_xlpm.HRange)=4),
Error!$B$5,
IF(AND($F74="Remove",$H74&lt;&gt;"",$I74=""),
Error!$B$18,
IF(AND($E74="Tier 4",$F74="Remove",$H74="Tree Protection Code: Tier 3 or Tier 4 Allowance",$H74&lt;&gt;"",ISNA(MATCH($I74,Tables!$B$200,0))),
Error!$B$17,
IF(AND($E74="Tier 3",$F74="Remove",$H74&lt;&gt;"",$H74="Tree Protection Code: Tier 3 or Tier 4 Allowance",OR($I74="",ISNA(MATCH($I74,Tables!$B$193:$B$197,0)))),
Error!$B$17,
IF(AND(OR($E74="Tier 2",$E74="Tier 2 Grove"),$F74="Remove",$H74="Tree Protection Code: Other removal allowance or exemption",$I74&lt;&gt;"",ISNA(MATCH($I74,Tables!$B$215:$B$218,0))),
Error!$B$17,
IF(AND(OR($E74="Tier 2",$E74="Tier 2 Grove"),$F74="Remove",$H74="Tree Protection Code: Development Capacity",$I74&lt;&gt;"",ISNA(MATCH($I74,Tables!$B$193:$B$197,0))),
Error!$B$17,
IF(AND(OR($E74="Tier 2",$E74="Tier 2 Grove"),$F74="Remove",$H74="Tree Protection Code: Necessary for Construction",$I74&lt;&gt;"",ISNA(MATCH($I74,Tables!$B$193:$B$197,0))),
Error!$B$17,
IF(AND($E74="Tier 1",$F74="Remove",$H74="Tree Protection Code: Special Exception",$I74&lt;&gt;"",ISNA(MATCH($I74,Tables!$B$215:$B$218,0))),
Error!$B$17,
IF(AND($E74="Tier 1",$F74="Remove",$H74="Tree Protection Code: Other removal allowance or exemption",$I74&lt;&gt;"",ISNA(MATCH($I74,Tables!$B$215:$B$218,0))),
Error!$B$17,
IF(AND($E74="ECA / Shoreline Tree",$F74="Remove",$H74&lt;&gt;"",OR($H74="Shoreline",$H74="Environmental Critical Area (ECA)"),ISNA(MATCH($I74,Tables!$B$209:$B$212,0))),
Error!$B$17,
IF(AND(_xlpm.baseRow,$F74="Retain",$E74="ECA / Shoreline Tree",_xlpm.ECA_Short=0),
Error!$B$61,
IF(AND($F74="Remove",ISNUMBER(MATCH($E74,{"Tier 1","Tier 2","Tier 3","Tier 4","Tier 2 Grove"},0)),ISNUMBER(MATCH($I74,{"On-site replacement","Off-site replacement"},0)),$J74="",$H74&lt;&gt;""),
Error!$B$19,
IF(AND(_xlpm.baseRow,$E74&lt;&gt;"",$D74&lt;&gt;"",$F74&lt;&gt;"",COUNTBLANK($B74:$C74)&gt;0,COUNTBLANK(_xlpm.HRange)&lt;&gt;4),
Error!$B$22,
IF(AND($H74="Zoning: Tree Points",$K74&lt;&gt;"",ISNA(MATCH($K74,Tables!$B$242:$B$253,0))),
Error!$B$58,
IF(AND($H74="Zoning: Tree Points",$K74="Small",$L74&lt;&gt;"",ISNA(MATCH($L74,Tables!$C$243:$C$244,0))),
Error!$B$59,
IF(AND($H74="Zoning: Tree Points",$K74="Small/Medium",$L74&lt;&gt;"",ISNA(MATCH($L74,Tables!$C$246:$C$247,0))),
Error!$B$59,
IF(AND($H74="Zoning: Tree Points",$K74="Medium/Large",$L74&lt;&gt;"",ISNA(MATCH($L74,Tables!$C$249:$C$250,0))),
Error!$B$59,
IF(AND($H74="Zoning: Tree Points",$K74="Large",$L74&lt;&gt;"",ISNA(MATCH($L74,Tables!$C$252:$C$253,0))),
Error!$B$59,
IF(AND($F74="Retain",$H74="Zoning: Tree Points",$C74&lt;&gt;"",$D74&lt;&gt;"",OR($K74="",$L74="",$M74="")),
Error!$B$20,
""
)))))))))))))))))))))))))))))))))))))))))))))))))))))))),
Error!$B$23))</f>
        <v/>
      </c>
      <c r="O74" s="343" t="str" cm="1">
        <f t="array" aca="1" ref="O74" ca="1">IFERROR(_xlfn.LET(
    _xlpm.txt, $C74,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5" spans="1:15" ht="15" thickBot="1" x14ac:dyDescent="0.35">
      <c r="A75" s="311">
        <v>17</v>
      </c>
      <c r="B75" s="312"/>
      <c r="C75" s="313"/>
      <c r="D75" s="478"/>
      <c r="E75" s="314"/>
      <c r="F75" s="314"/>
      <c r="G75" s="315" t="str">
        <f>IF(Tree_Table1[[#This Row],[Tree Status  &amp;]]="Retain", Tables!$B$237, IF(Tree_Table1[[#This Row],[Tree Status  &amp;]]="Remove", Tables!$B$238, ""))</f>
        <v/>
      </c>
      <c r="H75" s="316"/>
      <c r="I75" s="317"/>
      <c r="J75" s="452"/>
      <c r="K75" s="318" t="str">
        <f>IFERROR(
    IF(
        AND($H75="Zoning: Tree Points", NOT(ISNUMBER(SEARCH("sp.", $C75)))),
        VLOOKUP($C75, 'Tree List'!$C$3:$F$601, 4, FALSE),
        ""
    ),
"")</f>
        <v/>
      </c>
      <c r="L75" s="319" t="str" cm="1">
        <f t="array" ref="L75">IFERROR(
IF(
    AND($H75="Zoning: Tree Points", NOT(ISNUMBER(SEARCH("sp.", $C75)))),
    _xlfn.IFS(
        (COUNTIFS('Tree List'!$C$3:$C$601,$C75,'Tree List'!$D$3:$D$601,"Coniferous")
        + COUNTIFS('Tree List'!$C$3:$C$601,$C75,'Tree List'!$D$3:$D$601,"Deciduous Conifer")) &gt; 0,
            _xlfn.IFS($K75="Small",0.5,$K75="Small/Medium",1,$K75="Medium/Large",1.4,$K75="Large",1.8),
        (COUNTIFS('Tree List'!$C$3:$C$601,$C75,'Tree List'!$D$3:$D$601,"Deciduous")
        + COUNTIFS('Tree List'!$C$3:$C$601,$C75,'Tree List'!$D$3:$D$601,"Broadleaf Evergreen")) &gt; 0,
            _xlfn.IFS($K75="Small",0.4,$K75="Small/Medium",0.8,$K75="Medium/Large",1.2,$K75="Large",1.6)
    ),
    ""
),
"")</f>
        <v/>
      </c>
      <c r="M75" s="474" t="str">
        <f t="shared" si="0"/>
        <v/>
      </c>
      <c r="N75" s="620" t="str" cm="1">
        <f t="array" aca="1" ref="N7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IF(AND(_xlpm.baseRow,ISNA(MATCH($C75,'Tree List'!$C$3:$C$601,0)),SUMPRODUCT(--ISNUMBER(SEARCH(Tables2!$C$677:$C$772,$O75)))&gt;0),
Error!$B$57,
IF(AND(_xlpm.hasDM,$F75="Remove",$H75&lt;&gt;"",OR($I75="On-site replacement",$I75="Off-site replacement",$I75="Payment In Lieu")),
Error!$B$56,
IF(AND(_xlpm.hasDM,$F75="Remove",$H75&lt;&gt;"",$I75="Relocation"),
Error!$B$66,
IF(AND(OR(_xlpm.hasCN,_xlpm.hasPH,_xlpm.hasGR),$H75&lt;&gt;"",COUNTIF(Tables!$B$132:$B$134,$H75)&gt;0,$I75="N/A (No replacement required)"),
Error!$B$62,
IF(AND(_xlpm.baseRow,$E75&lt;&gt;"",ISNA(MATCH($E75,Tables!$B$225:$B$232,0))),
Error!$B$2,
IF(AND(_xlpm.baseRow,$F75&lt;&gt;"",ISNA(MATCH($F75,Tables!$B$234:$B$235,0))),
Error!$B$24,
IF(AND(_xlpm.baseRow,_xlpm.ECA_H&gt;0,_xlpm.Shore_H&gt;0),
Error!$B$16,
IF(AND(_xlpm.baseRow,$E75&lt;&gt;"",$D75=""),
Error!$B$3,
IF(AND(_xlpm.baseRow,OR($E75="Tier 3",$E75="Tier 4"),$C75&lt;&gt;"",$D75&gt;=24,COUNTIF(Tables2!$B$166:$B$674,$C75)&gt;0),
Error!$B$44,
IF(AND(_xlpm.baseRow,OR($E75="Tier 3",$E75="Tier 4"),$C75&lt;&gt;"",$D75&lt;&gt;"",COUNTIF(Tables2!$B$73:$B$152,$C75)&gt;0,
$D75&gt;=IFERROR(INDEX(Tables2!$C$73:$C$152,MATCH($C75,Tables2!$B$73:$B$152,0)),-1)),
Error!$B$44,
IF(AND(_xlpm.baseRow,OR($E75="Tier 2",$E75="Tier 2 Grove"),$C75&lt;&gt;"",$D75&gt;=12,COUNTIF(Tables2!$B$153:$B$162,$C75)&gt;0),
Error!$B$45,
IF(AND(_xlpm.baseRow,$E75="Tier 2 Grove",$D75&lt;12),
Error!$B$41,
IF(AND(_xlpm.baseRow,$E75="Tier 2",$D75&lt;5.88),
Error!$B$40,
IF(AND(_xlpm.baseRow,OR($E75="Tier 2",$E75="Tier 2 Grove"),$C75&lt;&gt;"",$D75&lt;12,$D75&gt;=6,COUNTIF(Tables2!$B$153:$B$162,$C75)&gt;0),
Error!$B$54,
IF(AND(_xlpm.baseRow,$E75="Tier 2",COUNTIF(Tables2!$B$166:$B$674,$C75)&gt;0,$D75&lt;24),
Error!$B$54,
IF(AND(_xlpm.baseRow,$E75="Tier 3",ISNA(MATCH($C75,Tables2!$B$153:$B$162,0)),OR($D75&lt;12,$D75&gt;=24)),
Error!$B$9,
IF(AND(_xlpm.baseRow,$E75="Tier 3",COUNTIF(Tables2!$B$153:$B$162,$C75)&gt;0,$D75&lt;12),
Error!$B$46,
IF(AND(_xlpm.baseRow,$E75="Tier 4",OR($D75&lt;6,$D75&gt;=12)),
Error!$B$10,
IF(AND(_xlpm.baseRow,$E75="&lt;6in DSH for Tree Points",OR($D75&gt;=6,$D75="")),
Error!$B$8,
IF(AND(_xlpm.baseRow,$E75="Street Tree for Green Factor",$F75&lt;&gt;"",$F75&lt;&gt;"Retain"),
Error!$B$14,
IF(AND($E75="&lt;6in DSH for Tree Points",$F75="Retain",$H75&lt;&gt;"",ISNA(MATCH($H75,Tables!$B$174:$B$174,0))),
Error!$B$15,
IF(AND($E75="Street Tree for Green Factor",$F75="Retain",$H75&lt;&gt;"",$H75&lt;&gt;"Zoning: Green Factor"),
Error!$B$15,
IF(AND($E75="ECA / Shoreline Tree",$F75="Remove",$H75&lt;&gt;"",ISNA(MATCH($H75,Tables!$B$189:$B$190,0))),
Error!$B$15,
IF(AND($E75="ECA / Shoreline Tree",$F75="Retain",$H75&lt;&gt;"",ISNA(MATCH($H75,Tables!$B$184:$B$186,0))),
Error!$B$15,
IF(AND($E75="Tier 4",$F75="Remove",$H75&lt;&gt;"",ISNA(MATCH($H75,Tables!$B$171,0))),
Error!$B$15,
IF(AND($E75="Tier 4",$F75="Retain",$H75&lt;&gt;"",ISNA(MATCH($H75,Tables!$B$166:$B$168,0))),
Error!$B$15,
IF(AND($E75="Tier 3",$F75="Retain",$H75&lt;&gt;"",ISNA(MATCH($H75,Tables!$B$158:$B$160,0))),
Error!$B$15,
IF(AND($E75="Tier 3",$F75="Remove",$H75&lt;&gt;"",ISNA(MATCH($H75,Tables!$B$163,0))),
Error!$B$15,
IF(AND(OR($E75="Tier 2",$E75="Tier 2 Grove"),$F75="Remove",$H75&lt;&gt;"",ISNA(MATCH($H75,Tables!$B$153:$B$155,0))),
Error!$B$15,
IF(AND(OR($E75="Tier 2",$E75="Tier 2 Grove"),$F75="Retain",$H75&lt;&gt;"",ISNA(MATCH($H75,Tables!$B$147:$B$150,0))),
Error!$B$15,
IF(AND($E75="Tier 1",$F75="Remove",$H75&lt;&gt;"",ISNA(MATCH($H75,Tables!$B$143:$B$144,0))),
Error!$B$15,
IF(AND($E75="Tier 1",$F75="Retain",$H75&lt;&gt;"",ISNA(MATCH($H75,Tables!$B$137:$B$140,0))),
Error!$B$15,
IF(AND($E75&lt;&gt;"Tier 2",$E75&lt;&gt;"Tier 2 Grove",$E75&lt;&gt;"Tier 3",$E75&lt;&gt;"Tier 4",$H75="Zoning: Green Factor",OR($D75="",$D75&lt;6)),
Error!$B$11,
IF(AND(_xlpm.baseRow,$D75&lt;6,$E75="&lt;6in DSH for Tree Points",_xlpm.TreePoints_H=0),
Error!$B$21,
IF(AND(_xlpm.baseRow,$E75&lt;&gt;"",$D75&lt;&gt;"",$F75=""),
Error!$B$4,
IF(AND(_xlpm.baseRow,$F75="Remove",OR($E75="Tier 1",$E75="Tier 2",$E75="Tier 2 Grove"),COUNTBLANK(_xlpm.HRange)&lt;3,_xlpm.uniqueH&gt;=2),
Error!$B$48,
IF(AND(_xlpm.baseRow,$F75="Retain",OR($E75="Tier 1",$E75="Tier 2",$E75="Tier 2 Grove"),COUNTIF(_xlpm.HRange,"Tree Code: Required to Retain Tier 1-2 Tree")=0),
Error!$B$47,
IF(AND(_xlpm.baseRow,$E75&lt;&gt;"",$D75&lt;&gt;"",$F75&lt;&gt;"",COUNTBLANK(_xlpm.HRange)=4),
Error!$B$5,
IF(AND($F75="Remove",$H75&lt;&gt;"",$I75=""),
Error!$B$18,
IF(AND($E75="Tier 4",$F75="Remove",$H75="Tree Protection Code: Tier 3 or Tier 4 Allowance",$H75&lt;&gt;"",ISNA(MATCH($I75,Tables!$B$200,0))),
Error!$B$17,
IF(AND($E75="Tier 3",$F75="Remove",$H75&lt;&gt;"",$H75="Tree Protection Code: Tier 3 or Tier 4 Allowance",OR($I75="",ISNA(MATCH($I75,Tables!$B$193:$B$197,0)))),
Error!$B$17,
IF(AND(OR($E75="Tier 2",$E75="Tier 2 Grove"),$F75="Remove",$H75="Tree Protection Code: Other removal allowance or exemption",$I75&lt;&gt;"",ISNA(MATCH($I75,Tables!$B$215:$B$218,0))),
Error!$B$17,
IF(AND(OR($E75="Tier 2",$E75="Tier 2 Grove"),$F75="Remove",$H75="Tree Protection Code: Development Capacity",$I75&lt;&gt;"",ISNA(MATCH($I75,Tables!$B$193:$B$197,0))),
Error!$B$17,
IF(AND(OR($E75="Tier 2",$E75="Tier 2 Grove"),$F75="Remove",$H75="Tree Protection Code: Necessary for Construction",$I75&lt;&gt;"",ISNA(MATCH($I75,Tables!$B$193:$B$197,0))),
Error!$B$17,
IF(AND($E75="Tier 1",$F75="Remove",$H75="Tree Protection Code: Special Exception",$I75&lt;&gt;"",ISNA(MATCH($I75,Tables!$B$215:$B$218,0))),
Error!$B$17,
IF(AND($E75="Tier 1",$F75="Remove",$H75="Tree Protection Code: Other removal allowance or exemption",$I75&lt;&gt;"",ISNA(MATCH($I75,Tables!$B$215:$B$218,0))),
Error!$B$17,
IF(AND($E75="ECA / Shoreline Tree",$F75="Remove",$H75&lt;&gt;"",OR($H75="Shoreline",$H75="Environmental Critical Area (ECA)"),ISNA(MATCH($I75,Tables!$B$209:$B$212,0))),
Error!$B$17,
IF(AND(_xlpm.baseRow,$F75="Retain",$E75="ECA / Shoreline Tree",_xlpm.ECA_Short=0),
Error!$B$61,
IF(AND($F75="Remove",ISNUMBER(MATCH($E75,{"Tier 1","Tier 2","Tier 3","Tier 4","Tier 2 Grove"},0)),ISNUMBER(MATCH($I75,{"On-site replacement","Off-site replacement"},0)),$J75="",$H75&lt;&gt;""),
Error!$B$19,
IF(AND(_xlpm.baseRow,$E75&lt;&gt;"",$D75&lt;&gt;"",$F75&lt;&gt;"",COUNTBLANK($B75:$C75)&gt;0,COUNTBLANK(_xlpm.HRange)&lt;&gt;4),
Error!$B$22,
IF(AND($H75="Zoning: Tree Points",$K75&lt;&gt;"",ISNA(MATCH($K75,Tables!$B$242:$B$253,0))),
Error!$B$58,
IF(AND($H75="Zoning: Tree Points",$K75="Small",$L75&lt;&gt;"",ISNA(MATCH($L75,Tables!$C$243:$C$244,0))),
Error!$B$59,
IF(AND($H75="Zoning: Tree Points",$K75="Small/Medium",$L75&lt;&gt;"",ISNA(MATCH($L75,Tables!$C$246:$C$247,0))),
Error!$B$59,
IF(AND($H75="Zoning: Tree Points",$K75="Medium/Large",$L75&lt;&gt;"",ISNA(MATCH($L75,Tables!$C$249:$C$250,0))),
Error!$B$59,
IF(AND($H75="Zoning: Tree Points",$K75="Large",$L75&lt;&gt;"",ISNA(MATCH($L75,Tables!$C$252:$C$253,0))),
Error!$B$59,
IF(AND($F75="Retain",$H75="Zoning: Tree Points",$C75&lt;&gt;"",$D75&lt;&gt;"",OR($K75="",$L75="",$M75="")),
Error!$B$20,
""
)))))))))))))))))))))))))))))))))))))))))))))))))))))))),
Error!$B$23))</f>
        <v/>
      </c>
      <c r="O75" s="343" t="str" cm="1">
        <f t="array" aca="1" ref="O75" ca="1">IFERROR(_xlfn.LET(
    _xlpm.txt, $C75,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6" spans="1:15" x14ac:dyDescent="0.3">
      <c r="A76" s="320"/>
      <c r="B76" s="616" t="str">
        <f t="shared" ref="B76:B78" si="38">IF($B75="", "", $B75)</f>
        <v/>
      </c>
      <c r="C76" s="617" t="str">
        <f t="shared" ref="C76:C78" si="39">IF($C75="", "", $C75)</f>
        <v/>
      </c>
      <c r="D76" s="618" t="str">
        <f t="shared" ref="D76:D78" si="40">IF($D75="", "", $D75)</f>
        <v/>
      </c>
      <c r="E76" s="616" t="str">
        <f t="shared" ref="E76:E78" si="41">IF($E75="", "", $E75)</f>
        <v/>
      </c>
      <c r="F76" s="616" t="str">
        <f t="shared" ref="F76:F78" si="42">IF($F75="", "", $F75)</f>
        <v/>
      </c>
      <c r="G76" s="619" t="str">
        <f>IF(Tree_Table1[[#This Row],[Tree Status  &amp;]]="Retain", Tables!$B$237, IF(Tree_Table1[[#This Row],[Tree Status  &amp;]]="Remove", Tables!$B$238, ""))</f>
        <v/>
      </c>
      <c r="H76" s="321"/>
      <c r="I76" s="322"/>
      <c r="J76" s="453"/>
      <c r="K76" s="323" t="str">
        <f>IFERROR(
    IF(
        AND($H76="Zoning: Tree Points", NOT(ISNUMBER(SEARCH("sp.", $C76)))),
        VLOOKUP($C76, 'Tree List'!$C$3:$F$601, 4, FALSE),
        ""
    ),
"")</f>
        <v/>
      </c>
      <c r="L76" s="324" t="str" cm="1">
        <f t="array" ref="L76">IFERROR(
IF(
    AND($H76="Zoning: Tree Points", NOT(ISNUMBER(SEARCH("sp.", $C76)))),
    _xlfn.IFS(
        (COUNTIFS('Tree List'!$C$3:$C$601,$C76,'Tree List'!$D$3:$D$601,"Coniferous")
        + COUNTIFS('Tree List'!$C$3:$C$601,$C76,'Tree List'!$D$3:$D$601,"Deciduous Conifer")) &gt; 0,
            _xlfn.IFS($K76="Small",0.5,$K76="Small/Medium",1,$K76="Medium/Large",1.4,$K76="Large",1.8),
        (COUNTIFS('Tree List'!$C$3:$C$601,$C76,'Tree List'!$D$3:$D$601,"Deciduous")
        + COUNTIFS('Tree List'!$C$3:$C$601,$C76,'Tree List'!$D$3:$D$601,"Broadleaf Evergreen")) &gt; 0,
            _xlfn.IFS($K76="Small",0.4,$K76="Small/Medium",0.8,$K76="Medium/Large",1.2,$K76="Large",1.6)
    ),
    ""
),
"")</f>
        <v/>
      </c>
      <c r="M76" s="475" t="str">
        <f t="shared" si="0"/>
        <v/>
      </c>
      <c r="N76" s="346" t="str" cm="1">
        <f t="array" aca="1" ref="N7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IF(AND(_xlpm.baseRow,ISNA(MATCH($C76,'Tree List'!$C$3:$C$601,0)),SUMPRODUCT(--ISNUMBER(SEARCH(Tables2!$C$677:$C$772,$O76)))&gt;0),
Error!$B$57,
IF(AND(_xlpm.hasDM,$F76="Remove",$H76&lt;&gt;"",OR($I76="On-site replacement",$I76="Off-site replacement",$I76="Payment In Lieu")),
Error!$B$56,
IF(AND(_xlpm.hasDM,$F76="Remove",$H76&lt;&gt;"",$I76="Relocation"),
Error!$B$66,
IF(AND(OR(_xlpm.hasCN,_xlpm.hasPH,_xlpm.hasGR),$H76&lt;&gt;"",COUNTIF(Tables!$B$132:$B$134,$H76)&gt;0,$I76="N/A (No replacement required)"),
Error!$B$62,
IF(AND(_xlpm.baseRow,$E76&lt;&gt;"",ISNA(MATCH($E76,Tables!$B$225:$B$232,0))),
Error!$B$2,
IF(AND(_xlpm.baseRow,$F76&lt;&gt;"",ISNA(MATCH($F76,Tables!$B$234:$B$235,0))),
Error!$B$24,
IF(AND(_xlpm.baseRow,_xlpm.ECA_H&gt;0,_xlpm.Shore_H&gt;0),
Error!$B$16,
IF(AND(_xlpm.baseRow,$E76&lt;&gt;"",$D76=""),
Error!$B$3,
IF(AND(_xlpm.baseRow,OR($E76="Tier 3",$E76="Tier 4"),$C76&lt;&gt;"",$D76&gt;=24,COUNTIF(Tables2!$B$166:$B$674,$C76)&gt;0),
Error!$B$44,
IF(AND(_xlpm.baseRow,OR($E76="Tier 3",$E76="Tier 4"),$C76&lt;&gt;"",$D76&lt;&gt;"",COUNTIF(Tables2!$B$73:$B$152,$C76)&gt;0,
$D76&gt;=IFERROR(INDEX(Tables2!$C$73:$C$152,MATCH($C76,Tables2!$B$73:$B$152,0)),-1)),
Error!$B$44,
IF(AND(_xlpm.baseRow,OR($E76="Tier 2",$E76="Tier 2 Grove"),$C76&lt;&gt;"",$D76&gt;=12,COUNTIF(Tables2!$B$153:$B$162,$C76)&gt;0),
Error!$B$45,
IF(AND(_xlpm.baseRow,$E76="Tier 2 Grove",$D76&lt;12),
Error!$B$41,
IF(AND(_xlpm.baseRow,$E76="Tier 2",$D76&lt;5.88),
Error!$B$40,
IF(AND(_xlpm.baseRow,OR($E76="Tier 2",$E76="Tier 2 Grove"),$C76&lt;&gt;"",$D76&lt;12,$D76&gt;=6,COUNTIF(Tables2!$B$153:$B$162,$C76)&gt;0),
Error!$B$54,
IF(AND(_xlpm.baseRow,$E76="Tier 2",COUNTIF(Tables2!$B$166:$B$674,$C76)&gt;0,$D76&lt;24),
Error!$B$54,
IF(AND(_xlpm.baseRow,$E76="Tier 3",ISNA(MATCH($C76,Tables2!$B$153:$B$162,0)),OR($D76&lt;12,$D76&gt;=24)),
Error!$B$9,
IF(AND(_xlpm.baseRow,$E76="Tier 3",COUNTIF(Tables2!$B$153:$B$162,$C76)&gt;0,$D76&lt;12),
Error!$B$46,
IF(AND(_xlpm.baseRow,$E76="Tier 4",OR($D76&lt;6,$D76&gt;=12)),
Error!$B$10,
IF(AND(_xlpm.baseRow,$E76="&lt;6in DSH for Tree Points",OR($D76&gt;=6,$D76="")),
Error!$B$8,
IF(AND(_xlpm.baseRow,$E76="Street Tree for Green Factor",$F76&lt;&gt;"",$F76&lt;&gt;"Retain"),
Error!$B$14,
IF(AND($E76="&lt;6in DSH for Tree Points",$F76="Retain",$H76&lt;&gt;"",ISNA(MATCH($H76,Tables!$B$174:$B$174,0))),
Error!$B$15,
IF(AND($E76="Street Tree for Green Factor",$F76="Retain",$H76&lt;&gt;"",$H76&lt;&gt;"Zoning: Green Factor"),
Error!$B$15,
IF(AND($E76="ECA / Shoreline Tree",$F76="Remove",$H76&lt;&gt;"",ISNA(MATCH($H76,Tables!$B$189:$B$190,0))),
Error!$B$15,
IF(AND($E76="ECA / Shoreline Tree",$F76="Retain",$H76&lt;&gt;"",ISNA(MATCH($H76,Tables!$B$184:$B$186,0))),
Error!$B$15,
IF(AND($E76="Tier 4",$F76="Remove",$H76&lt;&gt;"",ISNA(MATCH($H76,Tables!$B$171,0))),
Error!$B$15,
IF(AND($E76="Tier 4",$F76="Retain",$H76&lt;&gt;"",ISNA(MATCH($H76,Tables!$B$166:$B$168,0))),
Error!$B$15,
IF(AND($E76="Tier 3",$F76="Retain",$H76&lt;&gt;"",ISNA(MATCH($H76,Tables!$B$158:$B$160,0))),
Error!$B$15,
IF(AND($E76="Tier 3",$F76="Remove",$H76&lt;&gt;"",ISNA(MATCH($H76,Tables!$B$163,0))),
Error!$B$15,
IF(AND(OR($E76="Tier 2",$E76="Tier 2 Grove"),$F76="Remove",$H76&lt;&gt;"",ISNA(MATCH($H76,Tables!$B$153:$B$155,0))),
Error!$B$15,
IF(AND(OR($E76="Tier 2",$E76="Tier 2 Grove"),$F76="Retain",$H76&lt;&gt;"",ISNA(MATCH($H76,Tables!$B$147:$B$150,0))),
Error!$B$15,
IF(AND($E76="Tier 1",$F76="Remove",$H76&lt;&gt;"",ISNA(MATCH($H76,Tables!$B$143:$B$144,0))),
Error!$B$15,
IF(AND($E76="Tier 1",$F76="Retain",$H76&lt;&gt;"",ISNA(MATCH($H76,Tables!$B$137:$B$140,0))),
Error!$B$15,
IF(AND($E76&lt;&gt;"Tier 2",$E76&lt;&gt;"Tier 2 Grove",$E76&lt;&gt;"Tier 3",$E76&lt;&gt;"Tier 4",$H76="Zoning: Green Factor",OR($D76="",$D76&lt;6)),
Error!$B$11,
IF(AND(_xlpm.baseRow,$D76&lt;6,$E76="&lt;6in DSH for Tree Points",_xlpm.TreePoints_H=0),
Error!$B$21,
IF(AND(_xlpm.baseRow,$E76&lt;&gt;"",$D76&lt;&gt;"",$F76=""),
Error!$B$4,
IF(AND(_xlpm.baseRow,$F76="Remove",OR($E76="Tier 1",$E76="Tier 2",$E76="Tier 2 Grove"),COUNTBLANK(_xlpm.HRange)&lt;3,_xlpm.uniqueH&gt;=2),
Error!$B$48,
IF(AND(_xlpm.baseRow,$F76="Retain",OR($E76="Tier 1",$E76="Tier 2",$E76="Tier 2 Grove"),COUNTIF(_xlpm.HRange,"Tree Code: Required to Retain Tier 1-2 Tree")=0),
Error!$B$47,
IF(AND(_xlpm.baseRow,$E76&lt;&gt;"",$D76&lt;&gt;"",$F76&lt;&gt;"",COUNTBLANK(_xlpm.HRange)=4),
Error!$B$5,
IF(AND($F76="Remove",$H76&lt;&gt;"",$I76=""),
Error!$B$18,
IF(AND($E76="Tier 4",$F76="Remove",$H76="Tree Protection Code: Tier 3 or Tier 4 Allowance",$H76&lt;&gt;"",ISNA(MATCH($I76,Tables!$B$200,0))),
Error!$B$17,
IF(AND($E76="Tier 3",$F76="Remove",$H76&lt;&gt;"",$H76="Tree Protection Code: Tier 3 or Tier 4 Allowance",OR($I76="",ISNA(MATCH($I76,Tables!$B$193:$B$197,0)))),
Error!$B$17,
IF(AND(OR($E76="Tier 2",$E76="Tier 2 Grove"),$F76="Remove",$H76="Tree Protection Code: Other removal allowance or exemption",$I76&lt;&gt;"",ISNA(MATCH($I76,Tables!$B$215:$B$218,0))),
Error!$B$17,
IF(AND(OR($E76="Tier 2",$E76="Tier 2 Grove"),$F76="Remove",$H76="Tree Protection Code: Development Capacity",$I76&lt;&gt;"",ISNA(MATCH($I76,Tables!$B$193:$B$197,0))),
Error!$B$17,
IF(AND(OR($E76="Tier 2",$E76="Tier 2 Grove"),$F76="Remove",$H76="Tree Protection Code: Necessary for Construction",$I76&lt;&gt;"",ISNA(MATCH($I76,Tables!$B$193:$B$197,0))),
Error!$B$17,
IF(AND($E76="Tier 1",$F76="Remove",$H76="Tree Protection Code: Special Exception",$I76&lt;&gt;"",ISNA(MATCH($I76,Tables!$B$215:$B$218,0))),
Error!$B$17,
IF(AND($E76="Tier 1",$F76="Remove",$H76="Tree Protection Code: Other removal allowance or exemption",$I76&lt;&gt;"",ISNA(MATCH($I76,Tables!$B$215:$B$218,0))),
Error!$B$17,
IF(AND($E76="ECA / Shoreline Tree",$F76="Remove",$H76&lt;&gt;"",OR($H76="Shoreline",$H76="Environmental Critical Area (ECA)"),ISNA(MATCH($I76,Tables!$B$209:$B$212,0))),
Error!$B$17,
IF(AND(_xlpm.baseRow,$F76="Retain",$E76="ECA / Shoreline Tree",_xlpm.ECA_Short=0),
Error!$B$61,
IF(AND($F76="Remove",ISNUMBER(MATCH($E76,{"Tier 1","Tier 2","Tier 3","Tier 4","Tier 2 Grove"},0)),ISNUMBER(MATCH($I76,{"On-site replacement","Off-site replacement"},0)),$J76="",$H76&lt;&gt;""),
Error!$B$19,
IF(AND(_xlpm.baseRow,$E76&lt;&gt;"",$D76&lt;&gt;"",$F76&lt;&gt;"",COUNTBLANK($B76:$C76)&gt;0,COUNTBLANK(_xlpm.HRange)&lt;&gt;4),
Error!$B$22,
IF(AND($H76="Zoning: Tree Points",$K76&lt;&gt;"",ISNA(MATCH($K76,Tables!$B$242:$B$253,0))),
Error!$B$58,
IF(AND($H76="Zoning: Tree Points",$K76="Small",$L76&lt;&gt;"",ISNA(MATCH($L76,Tables!$C$243:$C$244,0))),
Error!$B$59,
IF(AND($H76="Zoning: Tree Points",$K76="Small/Medium",$L76&lt;&gt;"",ISNA(MATCH($L76,Tables!$C$246:$C$247,0))),
Error!$B$59,
IF(AND($H76="Zoning: Tree Points",$K76="Medium/Large",$L76&lt;&gt;"",ISNA(MATCH($L76,Tables!$C$249:$C$250,0))),
Error!$B$59,
IF(AND($H76="Zoning: Tree Points",$K76="Large",$L76&lt;&gt;"",ISNA(MATCH($L76,Tables!$C$252:$C$253,0))),
Error!$B$59,
IF(AND($F76="Retain",$H76="Zoning: Tree Points",$C76&lt;&gt;"",$D76&lt;&gt;"",OR($K76="",$L76="",$M76="")),
Error!$B$20,
""
)))))))))))))))))))))))))))))))))))))))))))))))))))))))),
Error!$B$23))</f>
        <v/>
      </c>
      <c r="O76" s="343" t="str" cm="1">
        <f t="array" aca="1" ref="O76" ca="1">IFERROR(_xlfn.LET(
    _xlpm.txt, $C76,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7" spans="1:15" x14ac:dyDescent="0.3">
      <c r="A77" s="320"/>
      <c r="B77" s="616" t="str">
        <f t="shared" si="38"/>
        <v/>
      </c>
      <c r="C77" s="617" t="str">
        <f t="shared" si="39"/>
        <v/>
      </c>
      <c r="D77" s="618" t="str">
        <f t="shared" si="40"/>
        <v/>
      </c>
      <c r="E77" s="616" t="str">
        <f t="shared" si="41"/>
        <v/>
      </c>
      <c r="F77" s="616" t="str">
        <f t="shared" si="42"/>
        <v/>
      </c>
      <c r="G77" s="619" t="str">
        <f>IF(Tree_Table1[[#This Row],[Tree Status  &amp;]]="Retain", Tables!$B$237, IF(Tree_Table1[[#This Row],[Tree Status  &amp;]]="Remove", Tables!$B$238, ""))</f>
        <v/>
      </c>
      <c r="H77" s="321"/>
      <c r="I77" s="322"/>
      <c r="J77" s="453"/>
      <c r="K77" s="323" t="str">
        <f>IFERROR(
    IF(
        AND($H77="Zoning: Tree Points", NOT(ISNUMBER(SEARCH("sp.", $C77)))),
        VLOOKUP($C77, 'Tree List'!$C$3:$F$601, 4, FALSE),
        ""
    ),
"")</f>
        <v/>
      </c>
      <c r="L77" s="324" t="str" cm="1">
        <f t="array" ref="L77">IFERROR(
IF(
    AND($H77="Zoning: Tree Points", NOT(ISNUMBER(SEARCH("sp.", $C77)))),
    _xlfn.IFS(
        (COUNTIFS('Tree List'!$C$3:$C$601,$C77,'Tree List'!$D$3:$D$601,"Coniferous")
        + COUNTIFS('Tree List'!$C$3:$C$601,$C77,'Tree List'!$D$3:$D$601,"Deciduous Conifer")) &gt; 0,
            _xlfn.IFS($K77="Small",0.5,$K77="Small/Medium",1,$K77="Medium/Large",1.4,$K77="Large",1.8),
        (COUNTIFS('Tree List'!$C$3:$C$601,$C77,'Tree List'!$D$3:$D$601,"Deciduous")
        + COUNTIFS('Tree List'!$C$3:$C$601,$C77,'Tree List'!$D$3:$D$601,"Broadleaf Evergreen")) &gt; 0,
            _xlfn.IFS($K77="Small",0.4,$K77="Small/Medium",0.8,$K77="Medium/Large",1.2,$K77="Large",1.6)
    ),
    ""
),
"")</f>
        <v/>
      </c>
      <c r="M77" s="475" t="str">
        <f t="shared" si="0"/>
        <v/>
      </c>
      <c r="N77" s="346" t="str" cm="1">
        <f t="array" aca="1" ref="N7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IF(AND(_xlpm.baseRow,ISNA(MATCH($C77,'Tree List'!$C$3:$C$601,0)),SUMPRODUCT(--ISNUMBER(SEARCH(Tables2!$C$677:$C$772,$O77)))&gt;0),
Error!$B$57,
IF(AND(_xlpm.hasDM,$F77="Remove",$H77&lt;&gt;"",OR($I77="On-site replacement",$I77="Off-site replacement",$I77="Payment In Lieu")),
Error!$B$56,
IF(AND(_xlpm.hasDM,$F77="Remove",$H77&lt;&gt;"",$I77="Relocation"),
Error!$B$66,
IF(AND(OR(_xlpm.hasCN,_xlpm.hasPH,_xlpm.hasGR),$H77&lt;&gt;"",COUNTIF(Tables!$B$132:$B$134,$H77)&gt;0,$I77="N/A (No replacement required)"),
Error!$B$62,
IF(AND(_xlpm.baseRow,$E77&lt;&gt;"",ISNA(MATCH($E77,Tables!$B$225:$B$232,0))),
Error!$B$2,
IF(AND(_xlpm.baseRow,$F77&lt;&gt;"",ISNA(MATCH($F77,Tables!$B$234:$B$235,0))),
Error!$B$24,
IF(AND(_xlpm.baseRow,_xlpm.ECA_H&gt;0,_xlpm.Shore_H&gt;0),
Error!$B$16,
IF(AND(_xlpm.baseRow,$E77&lt;&gt;"",$D77=""),
Error!$B$3,
IF(AND(_xlpm.baseRow,OR($E77="Tier 3",$E77="Tier 4"),$C77&lt;&gt;"",$D77&gt;=24,COUNTIF(Tables2!$B$166:$B$674,$C77)&gt;0),
Error!$B$44,
IF(AND(_xlpm.baseRow,OR($E77="Tier 3",$E77="Tier 4"),$C77&lt;&gt;"",$D77&lt;&gt;"",COUNTIF(Tables2!$B$73:$B$152,$C77)&gt;0,
$D77&gt;=IFERROR(INDEX(Tables2!$C$73:$C$152,MATCH($C77,Tables2!$B$73:$B$152,0)),-1)),
Error!$B$44,
IF(AND(_xlpm.baseRow,OR($E77="Tier 2",$E77="Tier 2 Grove"),$C77&lt;&gt;"",$D77&gt;=12,COUNTIF(Tables2!$B$153:$B$162,$C77)&gt;0),
Error!$B$45,
IF(AND(_xlpm.baseRow,$E77="Tier 2 Grove",$D77&lt;12),
Error!$B$41,
IF(AND(_xlpm.baseRow,$E77="Tier 2",$D77&lt;5.88),
Error!$B$40,
IF(AND(_xlpm.baseRow,OR($E77="Tier 2",$E77="Tier 2 Grove"),$C77&lt;&gt;"",$D77&lt;12,$D77&gt;=6,COUNTIF(Tables2!$B$153:$B$162,$C77)&gt;0),
Error!$B$54,
IF(AND(_xlpm.baseRow,$E77="Tier 2",COUNTIF(Tables2!$B$166:$B$674,$C77)&gt;0,$D77&lt;24),
Error!$B$54,
IF(AND(_xlpm.baseRow,$E77="Tier 3",ISNA(MATCH($C77,Tables2!$B$153:$B$162,0)),OR($D77&lt;12,$D77&gt;=24)),
Error!$B$9,
IF(AND(_xlpm.baseRow,$E77="Tier 3",COUNTIF(Tables2!$B$153:$B$162,$C77)&gt;0,$D77&lt;12),
Error!$B$46,
IF(AND(_xlpm.baseRow,$E77="Tier 4",OR($D77&lt;6,$D77&gt;=12)),
Error!$B$10,
IF(AND(_xlpm.baseRow,$E77="&lt;6in DSH for Tree Points",OR($D77&gt;=6,$D77="")),
Error!$B$8,
IF(AND(_xlpm.baseRow,$E77="Street Tree for Green Factor",$F77&lt;&gt;"",$F77&lt;&gt;"Retain"),
Error!$B$14,
IF(AND($E77="&lt;6in DSH for Tree Points",$F77="Retain",$H77&lt;&gt;"",ISNA(MATCH($H77,Tables!$B$174:$B$174,0))),
Error!$B$15,
IF(AND($E77="Street Tree for Green Factor",$F77="Retain",$H77&lt;&gt;"",$H77&lt;&gt;"Zoning: Green Factor"),
Error!$B$15,
IF(AND($E77="ECA / Shoreline Tree",$F77="Remove",$H77&lt;&gt;"",ISNA(MATCH($H77,Tables!$B$189:$B$190,0))),
Error!$B$15,
IF(AND($E77="ECA / Shoreline Tree",$F77="Retain",$H77&lt;&gt;"",ISNA(MATCH($H77,Tables!$B$184:$B$186,0))),
Error!$B$15,
IF(AND($E77="Tier 4",$F77="Remove",$H77&lt;&gt;"",ISNA(MATCH($H77,Tables!$B$171,0))),
Error!$B$15,
IF(AND($E77="Tier 4",$F77="Retain",$H77&lt;&gt;"",ISNA(MATCH($H77,Tables!$B$166:$B$168,0))),
Error!$B$15,
IF(AND($E77="Tier 3",$F77="Retain",$H77&lt;&gt;"",ISNA(MATCH($H77,Tables!$B$158:$B$160,0))),
Error!$B$15,
IF(AND($E77="Tier 3",$F77="Remove",$H77&lt;&gt;"",ISNA(MATCH($H77,Tables!$B$163,0))),
Error!$B$15,
IF(AND(OR($E77="Tier 2",$E77="Tier 2 Grove"),$F77="Remove",$H77&lt;&gt;"",ISNA(MATCH($H77,Tables!$B$153:$B$155,0))),
Error!$B$15,
IF(AND(OR($E77="Tier 2",$E77="Tier 2 Grove"),$F77="Retain",$H77&lt;&gt;"",ISNA(MATCH($H77,Tables!$B$147:$B$150,0))),
Error!$B$15,
IF(AND($E77="Tier 1",$F77="Remove",$H77&lt;&gt;"",ISNA(MATCH($H77,Tables!$B$143:$B$144,0))),
Error!$B$15,
IF(AND($E77="Tier 1",$F77="Retain",$H77&lt;&gt;"",ISNA(MATCH($H77,Tables!$B$137:$B$140,0))),
Error!$B$15,
IF(AND($E77&lt;&gt;"Tier 2",$E77&lt;&gt;"Tier 2 Grove",$E77&lt;&gt;"Tier 3",$E77&lt;&gt;"Tier 4",$H77="Zoning: Green Factor",OR($D77="",$D77&lt;6)),
Error!$B$11,
IF(AND(_xlpm.baseRow,$D77&lt;6,$E77="&lt;6in DSH for Tree Points",_xlpm.TreePoints_H=0),
Error!$B$21,
IF(AND(_xlpm.baseRow,$E77&lt;&gt;"",$D77&lt;&gt;"",$F77=""),
Error!$B$4,
IF(AND(_xlpm.baseRow,$F77="Remove",OR($E77="Tier 1",$E77="Tier 2",$E77="Tier 2 Grove"),COUNTBLANK(_xlpm.HRange)&lt;3,_xlpm.uniqueH&gt;=2),
Error!$B$48,
IF(AND(_xlpm.baseRow,$F77="Retain",OR($E77="Tier 1",$E77="Tier 2",$E77="Tier 2 Grove"),COUNTIF(_xlpm.HRange,"Tree Code: Required to Retain Tier 1-2 Tree")=0),
Error!$B$47,
IF(AND(_xlpm.baseRow,$E77&lt;&gt;"",$D77&lt;&gt;"",$F77&lt;&gt;"",COUNTBLANK(_xlpm.HRange)=4),
Error!$B$5,
IF(AND($F77="Remove",$H77&lt;&gt;"",$I77=""),
Error!$B$18,
IF(AND($E77="Tier 4",$F77="Remove",$H77="Tree Protection Code: Tier 3 or Tier 4 Allowance",$H77&lt;&gt;"",ISNA(MATCH($I77,Tables!$B$200,0))),
Error!$B$17,
IF(AND($E77="Tier 3",$F77="Remove",$H77&lt;&gt;"",$H77="Tree Protection Code: Tier 3 or Tier 4 Allowance",OR($I77="",ISNA(MATCH($I77,Tables!$B$193:$B$197,0)))),
Error!$B$17,
IF(AND(OR($E77="Tier 2",$E77="Tier 2 Grove"),$F77="Remove",$H77="Tree Protection Code: Other removal allowance or exemption",$I77&lt;&gt;"",ISNA(MATCH($I77,Tables!$B$215:$B$218,0))),
Error!$B$17,
IF(AND(OR($E77="Tier 2",$E77="Tier 2 Grove"),$F77="Remove",$H77="Tree Protection Code: Development Capacity",$I77&lt;&gt;"",ISNA(MATCH($I77,Tables!$B$193:$B$197,0))),
Error!$B$17,
IF(AND(OR($E77="Tier 2",$E77="Tier 2 Grove"),$F77="Remove",$H77="Tree Protection Code: Necessary for Construction",$I77&lt;&gt;"",ISNA(MATCH($I77,Tables!$B$193:$B$197,0))),
Error!$B$17,
IF(AND($E77="Tier 1",$F77="Remove",$H77="Tree Protection Code: Special Exception",$I77&lt;&gt;"",ISNA(MATCH($I77,Tables!$B$215:$B$218,0))),
Error!$B$17,
IF(AND($E77="Tier 1",$F77="Remove",$H77="Tree Protection Code: Other removal allowance or exemption",$I77&lt;&gt;"",ISNA(MATCH($I77,Tables!$B$215:$B$218,0))),
Error!$B$17,
IF(AND($E77="ECA / Shoreline Tree",$F77="Remove",$H77&lt;&gt;"",OR($H77="Shoreline",$H77="Environmental Critical Area (ECA)"),ISNA(MATCH($I77,Tables!$B$209:$B$212,0))),
Error!$B$17,
IF(AND(_xlpm.baseRow,$F77="Retain",$E77="ECA / Shoreline Tree",_xlpm.ECA_Short=0),
Error!$B$61,
IF(AND($F77="Remove",ISNUMBER(MATCH($E77,{"Tier 1","Tier 2","Tier 3","Tier 4","Tier 2 Grove"},0)),ISNUMBER(MATCH($I77,{"On-site replacement","Off-site replacement"},0)),$J77="",$H77&lt;&gt;""),
Error!$B$19,
IF(AND(_xlpm.baseRow,$E77&lt;&gt;"",$D77&lt;&gt;"",$F77&lt;&gt;"",COUNTBLANK($B77:$C77)&gt;0,COUNTBLANK(_xlpm.HRange)&lt;&gt;4),
Error!$B$22,
IF(AND($H77="Zoning: Tree Points",$K77&lt;&gt;"",ISNA(MATCH($K77,Tables!$B$242:$B$253,0))),
Error!$B$58,
IF(AND($H77="Zoning: Tree Points",$K77="Small",$L77&lt;&gt;"",ISNA(MATCH($L77,Tables!$C$243:$C$244,0))),
Error!$B$59,
IF(AND($H77="Zoning: Tree Points",$K77="Small/Medium",$L77&lt;&gt;"",ISNA(MATCH($L77,Tables!$C$246:$C$247,0))),
Error!$B$59,
IF(AND($H77="Zoning: Tree Points",$K77="Medium/Large",$L77&lt;&gt;"",ISNA(MATCH($L77,Tables!$C$249:$C$250,0))),
Error!$B$59,
IF(AND($H77="Zoning: Tree Points",$K77="Large",$L77&lt;&gt;"",ISNA(MATCH($L77,Tables!$C$252:$C$253,0))),
Error!$B$59,
IF(AND($F77="Retain",$H77="Zoning: Tree Points",$C77&lt;&gt;"",$D77&lt;&gt;"",OR($K77="",$L77="",$M77="")),
Error!$B$20,
""
)))))))))))))))))))))))))))))))))))))))))))))))))))))))),
Error!$B$23))</f>
        <v/>
      </c>
      <c r="O77" s="343" t="str" cm="1">
        <f t="array" aca="1" ref="O77" ca="1">IFERROR(_xlfn.LET(
    _xlpm.txt, $C77,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8" spans="1:15" ht="15" thickBot="1" x14ac:dyDescent="0.35">
      <c r="A78" s="331"/>
      <c r="B78" s="616" t="str">
        <f t="shared" si="38"/>
        <v/>
      </c>
      <c r="C78" s="617" t="str">
        <f t="shared" si="39"/>
        <v/>
      </c>
      <c r="D78" s="618" t="str">
        <f t="shared" si="40"/>
        <v/>
      </c>
      <c r="E78" s="616" t="str">
        <f t="shared" si="41"/>
        <v/>
      </c>
      <c r="F78" s="616" t="str">
        <f t="shared" si="42"/>
        <v/>
      </c>
      <c r="G78" s="619" t="str">
        <f>IF(Tree_Table1[[#This Row],[Tree Status  &amp;]]="Retain", Tables!$B$237, IF(Tree_Table1[[#This Row],[Tree Status  &amp;]]="Remove", Tables!$B$238, ""))</f>
        <v/>
      </c>
      <c r="H78" s="329"/>
      <c r="I78" s="330"/>
      <c r="J78" s="455"/>
      <c r="K78" s="327" t="str">
        <f>IFERROR(
    IF(
        AND($H78="Zoning: Tree Points", NOT(ISNUMBER(SEARCH("sp.", $C78)))),
        VLOOKUP($C78, 'Tree List'!$C$3:$F$601, 4, FALSE),
        ""
    ),
"")</f>
        <v/>
      </c>
      <c r="L78" s="328" t="str" cm="1">
        <f t="array" ref="L78">IFERROR(
IF(
    AND($H78="Zoning: Tree Points", NOT(ISNUMBER(SEARCH("sp.", $C78)))),
    _xlfn.IFS(
        (COUNTIFS('Tree List'!$C$3:$C$601,$C78,'Tree List'!$D$3:$D$601,"Coniferous")
        + COUNTIFS('Tree List'!$C$3:$C$601,$C78,'Tree List'!$D$3:$D$601,"Deciduous Conifer")) &gt; 0,
            _xlfn.IFS($K78="Small",0.5,$K78="Small/Medium",1,$K78="Medium/Large",1.4,$K78="Large",1.8),
        (COUNTIFS('Tree List'!$C$3:$C$601,$C78,'Tree List'!$D$3:$D$601,"Deciduous")
        + COUNTIFS('Tree List'!$C$3:$C$601,$C78,'Tree List'!$D$3:$D$601,"Broadleaf Evergreen")) &gt; 0,
            _xlfn.IFS($K78="Small",0.4,$K78="Small/Medium",0.8,$K78="Medium/Large",1.2,$K78="Large",1.6)
    ),
    ""
),
"")</f>
        <v/>
      </c>
      <c r="M78" s="476" t="str">
        <f t="shared" si="0"/>
        <v/>
      </c>
      <c r="N78" s="347" t="str" cm="1">
        <f t="array" aca="1" ref="N7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IF(AND(_xlpm.baseRow,ISNA(MATCH($C78,'Tree List'!$C$3:$C$601,0)),SUMPRODUCT(--ISNUMBER(SEARCH(Tables2!$C$677:$C$772,$O78)))&gt;0),
Error!$B$57,
IF(AND(_xlpm.hasDM,$F78="Remove",$H78&lt;&gt;"",OR($I78="On-site replacement",$I78="Off-site replacement",$I78="Payment In Lieu")),
Error!$B$56,
IF(AND(_xlpm.hasDM,$F78="Remove",$H78&lt;&gt;"",$I78="Relocation"),
Error!$B$66,
IF(AND(OR(_xlpm.hasCN,_xlpm.hasPH,_xlpm.hasGR),$H78&lt;&gt;"",COUNTIF(Tables!$B$132:$B$134,$H78)&gt;0,$I78="N/A (No replacement required)"),
Error!$B$62,
IF(AND(_xlpm.baseRow,$E78&lt;&gt;"",ISNA(MATCH($E78,Tables!$B$225:$B$232,0))),
Error!$B$2,
IF(AND(_xlpm.baseRow,$F78&lt;&gt;"",ISNA(MATCH($F78,Tables!$B$234:$B$235,0))),
Error!$B$24,
IF(AND(_xlpm.baseRow,_xlpm.ECA_H&gt;0,_xlpm.Shore_H&gt;0),
Error!$B$16,
IF(AND(_xlpm.baseRow,$E78&lt;&gt;"",$D78=""),
Error!$B$3,
IF(AND(_xlpm.baseRow,OR($E78="Tier 3",$E78="Tier 4"),$C78&lt;&gt;"",$D78&gt;=24,COUNTIF(Tables2!$B$166:$B$674,$C78)&gt;0),
Error!$B$44,
IF(AND(_xlpm.baseRow,OR($E78="Tier 3",$E78="Tier 4"),$C78&lt;&gt;"",$D78&lt;&gt;"",COUNTIF(Tables2!$B$73:$B$152,$C78)&gt;0,
$D78&gt;=IFERROR(INDEX(Tables2!$C$73:$C$152,MATCH($C78,Tables2!$B$73:$B$152,0)),-1)),
Error!$B$44,
IF(AND(_xlpm.baseRow,OR($E78="Tier 2",$E78="Tier 2 Grove"),$C78&lt;&gt;"",$D78&gt;=12,COUNTIF(Tables2!$B$153:$B$162,$C78)&gt;0),
Error!$B$45,
IF(AND(_xlpm.baseRow,$E78="Tier 2 Grove",$D78&lt;12),
Error!$B$41,
IF(AND(_xlpm.baseRow,$E78="Tier 2",$D78&lt;5.88),
Error!$B$40,
IF(AND(_xlpm.baseRow,OR($E78="Tier 2",$E78="Tier 2 Grove"),$C78&lt;&gt;"",$D78&lt;12,$D78&gt;=6,COUNTIF(Tables2!$B$153:$B$162,$C78)&gt;0),
Error!$B$54,
IF(AND(_xlpm.baseRow,$E78="Tier 2",COUNTIF(Tables2!$B$166:$B$674,$C78)&gt;0,$D78&lt;24),
Error!$B$54,
IF(AND(_xlpm.baseRow,$E78="Tier 3",ISNA(MATCH($C78,Tables2!$B$153:$B$162,0)),OR($D78&lt;12,$D78&gt;=24)),
Error!$B$9,
IF(AND(_xlpm.baseRow,$E78="Tier 3",COUNTIF(Tables2!$B$153:$B$162,$C78)&gt;0,$D78&lt;12),
Error!$B$46,
IF(AND(_xlpm.baseRow,$E78="Tier 4",OR($D78&lt;6,$D78&gt;=12)),
Error!$B$10,
IF(AND(_xlpm.baseRow,$E78="&lt;6in DSH for Tree Points",OR($D78&gt;=6,$D78="")),
Error!$B$8,
IF(AND(_xlpm.baseRow,$E78="Street Tree for Green Factor",$F78&lt;&gt;"",$F78&lt;&gt;"Retain"),
Error!$B$14,
IF(AND($E78="&lt;6in DSH for Tree Points",$F78="Retain",$H78&lt;&gt;"",ISNA(MATCH($H78,Tables!$B$174:$B$174,0))),
Error!$B$15,
IF(AND($E78="Street Tree for Green Factor",$F78="Retain",$H78&lt;&gt;"",$H78&lt;&gt;"Zoning: Green Factor"),
Error!$B$15,
IF(AND($E78="ECA / Shoreline Tree",$F78="Remove",$H78&lt;&gt;"",ISNA(MATCH($H78,Tables!$B$189:$B$190,0))),
Error!$B$15,
IF(AND($E78="ECA / Shoreline Tree",$F78="Retain",$H78&lt;&gt;"",ISNA(MATCH($H78,Tables!$B$184:$B$186,0))),
Error!$B$15,
IF(AND($E78="Tier 4",$F78="Remove",$H78&lt;&gt;"",ISNA(MATCH($H78,Tables!$B$171,0))),
Error!$B$15,
IF(AND($E78="Tier 4",$F78="Retain",$H78&lt;&gt;"",ISNA(MATCH($H78,Tables!$B$166:$B$168,0))),
Error!$B$15,
IF(AND($E78="Tier 3",$F78="Retain",$H78&lt;&gt;"",ISNA(MATCH($H78,Tables!$B$158:$B$160,0))),
Error!$B$15,
IF(AND($E78="Tier 3",$F78="Remove",$H78&lt;&gt;"",ISNA(MATCH($H78,Tables!$B$163,0))),
Error!$B$15,
IF(AND(OR($E78="Tier 2",$E78="Tier 2 Grove"),$F78="Remove",$H78&lt;&gt;"",ISNA(MATCH($H78,Tables!$B$153:$B$155,0))),
Error!$B$15,
IF(AND(OR($E78="Tier 2",$E78="Tier 2 Grove"),$F78="Retain",$H78&lt;&gt;"",ISNA(MATCH($H78,Tables!$B$147:$B$150,0))),
Error!$B$15,
IF(AND($E78="Tier 1",$F78="Remove",$H78&lt;&gt;"",ISNA(MATCH($H78,Tables!$B$143:$B$144,0))),
Error!$B$15,
IF(AND($E78="Tier 1",$F78="Retain",$H78&lt;&gt;"",ISNA(MATCH($H78,Tables!$B$137:$B$140,0))),
Error!$B$15,
IF(AND($E78&lt;&gt;"Tier 2",$E78&lt;&gt;"Tier 2 Grove",$E78&lt;&gt;"Tier 3",$E78&lt;&gt;"Tier 4",$H78="Zoning: Green Factor",OR($D78="",$D78&lt;6)),
Error!$B$11,
IF(AND(_xlpm.baseRow,$D78&lt;6,$E78="&lt;6in DSH for Tree Points",_xlpm.TreePoints_H=0),
Error!$B$21,
IF(AND(_xlpm.baseRow,$E78&lt;&gt;"",$D78&lt;&gt;"",$F78=""),
Error!$B$4,
IF(AND(_xlpm.baseRow,$F78="Remove",OR($E78="Tier 1",$E78="Tier 2",$E78="Tier 2 Grove"),COUNTBLANK(_xlpm.HRange)&lt;3,_xlpm.uniqueH&gt;=2),
Error!$B$48,
IF(AND(_xlpm.baseRow,$F78="Retain",OR($E78="Tier 1",$E78="Tier 2",$E78="Tier 2 Grove"),COUNTIF(_xlpm.HRange,"Tree Code: Required to Retain Tier 1-2 Tree")=0),
Error!$B$47,
IF(AND(_xlpm.baseRow,$E78&lt;&gt;"",$D78&lt;&gt;"",$F78&lt;&gt;"",COUNTBLANK(_xlpm.HRange)=4),
Error!$B$5,
IF(AND($F78="Remove",$H78&lt;&gt;"",$I78=""),
Error!$B$18,
IF(AND($E78="Tier 4",$F78="Remove",$H78="Tree Protection Code: Tier 3 or Tier 4 Allowance",$H78&lt;&gt;"",ISNA(MATCH($I78,Tables!$B$200,0))),
Error!$B$17,
IF(AND($E78="Tier 3",$F78="Remove",$H78&lt;&gt;"",$H78="Tree Protection Code: Tier 3 or Tier 4 Allowance",OR($I78="",ISNA(MATCH($I78,Tables!$B$193:$B$197,0)))),
Error!$B$17,
IF(AND(OR($E78="Tier 2",$E78="Tier 2 Grove"),$F78="Remove",$H78="Tree Protection Code: Other removal allowance or exemption",$I78&lt;&gt;"",ISNA(MATCH($I78,Tables!$B$215:$B$218,0))),
Error!$B$17,
IF(AND(OR($E78="Tier 2",$E78="Tier 2 Grove"),$F78="Remove",$H78="Tree Protection Code: Development Capacity",$I78&lt;&gt;"",ISNA(MATCH($I78,Tables!$B$193:$B$197,0))),
Error!$B$17,
IF(AND(OR($E78="Tier 2",$E78="Tier 2 Grove"),$F78="Remove",$H78="Tree Protection Code: Necessary for Construction",$I78&lt;&gt;"",ISNA(MATCH($I78,Tables!$B$193:$B$197,0))),
Error!$B$17,
IF(AND($E78="Tier 1",$F78="Remove",$H78="Tree Protection Code: Special Exception",$I78&lt;&gt;"",ISNA(MATCH($I78,Tables!$B$215:$B$218,0))),
Error!$B$17,
IF(AND($E78="Tier 1",$F78="Remove",$H78="Tree Protection Code: Other removal allowance or exemption",$I78&lt;&gt;"",ISNA(MATCH($I78,Tables!$B$215:$B$218,0))),
Error!$B$17,
IF(AND($E78="ECA / Shoreline Tree",$F78="Remove",$H78&lt;&gt;"",OR($H78="Shoreline",$H78="Environmental Critical Area (ECA)"),ISNA(MATCH($I78,Tables!$B$209:$B$212,0))),
Error!$B$17,
IF(AND(_xlpm.baseRow,$F78="Retain",$E78="ECA / Shoreline Tree",_xlpm.ECA_Short=0),
Error!$B$61,
IF(AND($F78="Remove",ISNUMBER(MATCH($E78,{"Tier 1","Tier 2","Tier 3","Tier 4","Tier 2 Grove"},0)),ISNUMBER(MATCH($I78,{"On-site replacement","Off-site replacement"},0)),$J78="",$H78&lt;&gt;""),
Error!$B$19,
IF(AND(_xlpm.baseRow,$E78&lt;&gt;"",$D78&lt;&gt;"",$F78&lt;&gt;"",COUNTBLANK($B78:$C78)&gt;0,COUNTBLANK(_xlpm.HRange)&lt;&gt;4),
Error!$B$22,
IF(AND($H78="Zoning: Tree Points",$K78&lt;&gt;"",ISNA(MATCH($K78,Tables!$B$242:$B$253,0))),
Error!$B$58,
IF(AND($H78="Zoning: Tree Points",$K78="Small",$L78&lt;&gt;"",ISNA(MATCH($L78,Tables!$C$243:$C$244,0))),
Error!$B$59,
IF(AND($H78="Zoning: Tree Points",$K78="Small/Medium",$L78&lt;&gt;"",ISNA(MATCH($L78,Tables!$C$246:$C$247,0))),
Error!$B$59,
IF(AND($H78="Zoning: Tree Points",$K78="Medium/Large",$L78&lt;&gt;"",ISNA(MATCH($L78,Tables!$C$249:$C$250,0))),
Error!$B$59,
IF(AND($H78="Zoning: Tree Points",$K78="Large",$L78&lt;&gt;"",ISNA(MATCH($L78,Tables!$C$252:$C$253,0))),
Error!$B$59,
IF(AND($F78="Retain",$H78="Zoning: Tree Points",$C78&lt;&gt;"",$D78&lt;&gt;"",OR($K78="",$L78="",$M78="")),
Error!$B$20,
""
)))))))))))))))))))))))))))))))))))))))))))))))))))))))),
Error!$B$23))</f>
        <v/>
      </c>
      <c r="O78" s="343" t="str" cm="1">
        <f t="array" aca="1" ref="O78" ca="1">IFERROR(_xlfn.LET(
    _xlpm.txt, $C78,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9" spans="1:15" ht="15" thickBot="1" x14ac:dyDescent="0.35">
      <c r="A79" s="311">
        <v>18</v>
      </c>
      <c r="B79" s="312"/>
      <c r="C79" s="313"/>
      <c r="D79" s="478"/>
      <c r="E79" s="314"/>
      <c r="F79" s="314"/>
      <c r="G79" s="315" t="str">
        <f>IF(Tree_Table1[[#This Row],[Tree Status  &amp;]]="Retain", Tables!$B$237, IF(Tree_Table1[[#This Row],[Tree Status  &amp;]]="Remove", Tables!$B$238, ""))</f>
        <v/>
      </c>
      <c r="H79" s="316"/>
      <c r="I79" s="317"/>
      <c r="J79" s="452"/>
      <c r="K79" s="318" t="str">
        <f>IFERROR(
    IF(
        AND($H79="Zoning: Tree Points", NOT(ISNUMBER(SEARCH("sp.", $C79)))),
        VLOOKUP($C79, 'Tree List'!$C$3:$F$601, 4, FALSE),
        ""
    ),
"")</f>
        <v/>
      </c>
      <c r="L79" s="319" t="str" cm="1">
        <f t="array" ref="L79">IFERROR(
IF(
    AND($H79="Zoning: Tree Points", NOT(ISNUMBER(SEARCH("sp.", $C79)))),
    _xlfn.IFS(
        (COUNTIFS('Tree List'!$C$3:$C$601,$C79,'Tree List'!$D$3:$D$601,"Coniferous")
        + COUNTIFS('Tree List'!$C$3:$C$601,$C79,'Tree List'!$D$3:$D$601,"Deciduous Conifer")) &gt; 0,
            _xlfn.IFS($K79="Small",0.5,$K79="Small/Medium",1,$K79="Medium/Large",1.4,$K79="Large",1.8),
        (COUNTIFS('Tree List'!$C$3:$C$601,$C79,'Tree List'!$D$3:$D$601,"Deciduous")
        + COUNTIFS('Tree List'!$C$3:$C$601,$C79,'Tree List'!$D$3:$D$601,"Broadleaf Evergreen")) &gt; 0,
            _xlfn.IFS($K79="Small",0.4,$K79="Small/Medium",0.8,$K79="Medium/Large",1.2,$K79="Large",1.6)
    ),
    ""
),
"")</f>
        <v/>
      </c>
      <c r="M79" s="474" t="str">
        <f t="shared" si="0"/>
        <v/>
      </c>
      <c r="N79" s="620" t="str" cm="1">
        <f t="array" aca="1" ref="N7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IF(AND(_xlpm.baseRow,ISNA(MATCH($C79,'Tree List'!$C$3:$C$601,0)),SUMPRODUCT(--ISNUMBER(SEARCH(Tables2!$C$677:$C$772,$O79)))&gt;0),
Error!$B$57,
IF(AND(_xlpm.hasDM,$F79="Remove",$H79&lt;&gt;"",OR($I79="On-site replacement",$I79="Off-site replacement",$I79="Payment In Lieu")),
Error!$B$56,
IF(AND(_xlpm.hasDM,$F79="Remove",$H79&lt;&gt;"",$I79="Relocation"),
Error!$B$66,
IF(AND(OR(_xlpm.hasCN,_xlpm.hasPH,_xlpm.hasGR),$H79&lt;&gt;"",COUNTIF(Tables!$B$132:$B$134,$H79)&gt;0,$I79="N/A (No replacement required)"),
Error!$B$62,
IF(AND(_xlpm.baseRow,$E79&lt;&gt;"",ISNA(MATCH($E79,Tables!$B$225:$B$232,0))),
Error!$B$2,
IF(AND(_xlpm.baseRow,$F79&lt;&gt;"",ISNA(MATCH($F79,Tables!$B$234:$B$235,0))),
Error!$B$24,
IF(AND(_xlpm.baseRow,_xlpm.ECA_H&gt;0,_xlpm.Shore_H&gt;0),
Error!$B$16,
IF(AND(_xlpm.baseRow,$E79&lt;&gt;"",$D79=""),
Error!$B$3,
IF(AND(_xlpm.baseRow,OR($E79="Tier 3",$E79="Tier 4"),$C79&lt;&gt;"",$D79&gt;=24,COUNTIF(Tables2!$B$166:$B$674,$C79)&gt;0),
Error!$B$44,
IF(AND(_xlpm.baseRow,OR($E79="Tier 3",$E79="Tier 4"),$C79&lt;&gt;"",$D79&lt;&gt;"",COUNTIF(Tables2!$B$73:$B$152,$C79)&gt;0,
$D79&gt;=IFERROR(INDEX(Tables2!$C$73:$C$152,MATCH($C79,Tables2!$B$73:$B$152,0)),-1)),
Error!$B$44,
IF(AND(_xlpm.baseRow,OR($E79="Tier 2",$E79="Tier 2 Grove"),$C79&lt;&gt;"",$D79&gt;=12,COUNTIF(Tables2!$B$153:$B$162,$C79)&gt;0),
Error!$B$45,
IF(AND(_xlpm.baseRow,$E79="Tier 2 Grove",$D79&lt;12),
Error!$B$41,
IF(AND(_xlpm.baseRow,$E79="Tier 2",$D79&lt;5.88),
Error!$B$40,
IF(AND(_xlpm.baseRow,OR($E79="Tier 2",$E79="Tier 2 Grove"),$C79&lt;&gt;"",$D79&lt;12,$D79&gt;=6,COUNTIF(Tables2!$B$153:$B$162,$C79)&gt;0),
Error!$B$54,
IF(AND(_xlpm.baseRow,$E79="Tier 2",COUNTIF(Tables2!$B$166:$B$674,$C79)&gt;0,$D79&lt;24),
Error!$B$54,
IF(AND(_xlpm.baseRow,$E79="Tier 3",ISNA(MATCH($C79,Tables2!$B$153:$B$162,0)),OR($D79&lt;12,$D79&gt;=24)),
Error!$B$9,
IF(AND(_xlpm.baseRow,$E79="Tier 3",COUNTIF(Tables2!$B$153:$B$162,$C79)&gt;0,$D79&lt;12),
Error!$B$46,
IF(AND(_xlpm.baseRow,$E79="Tier 4",OR($D79&lt;6,$D79&gt;=12)),
Error!$B$10,
IF(AND(_xlpm.baseRow,$E79="&lt;6in DSH for Tree Points",OR($D79&gt;=6,$D79="")),
Error!$B$8,
IF(AND(_xlpm.baseRow,$E79="Street Tree for Green Factor",$F79&lt;&gt;"",$F79&lt;&gt;"Retain"),
Error!$B$14,
IF(AND($E79="&lt;6in DSH for Tree Points",$F79="Retain",$H79&lt;&gt;"",ISNA(MATCH($H79,Tables!$B$174:$B$174,0))),
Error!$B$15,
IF(AND($E79="Street Tree for Green Factor",$F79="Retain",$H79&lt;&gt;"",$H79&lt;&gt;"Zoning: Green Factor"),
Error!$B$15,
IF(AND($E79="ECA / Shoreline Tree",$F79="Remove",$H79&lt;&gt;"",ISNA(MATCH($H79,Tables!$B$189:$B$190,0))),
Error!$B$15,
IF(AND($E79="ECA / Shoreline Tree",$F79="Retain",$H79&lt;&gt;"",ISNA(MATCH($H79,Tables!$B$184:$B$186,0))),
Error!$B$15,
IF(AND($E79="Tier 4",$F79="Remove",$H79&lt;&gt;"",ISNA(MATCH($H79,Tables!$B$171,0))),
Error!$B$15,
IF(AND($E79="Tier 4",$F79="Retain",$H79&lt;&gt;"",ISNA(MATCH($H79,Tables!$B$166:$B$168,0))),
Error!$B$15,
IF(AND($E79="Tier 3",$F79="Retain",$H79&lt;&gt;"",ISNA(MATCH($H79,Tables!$B$158:$B$160,0))),
Error!$B$15,
IF(AND($E79="Tier 3",$F79="Remove",$H79&lt;&gt;"",ISNA(MATCH($H79,Tables!$B$163,0))),
Error!$B$15,
IF(AND(OR($E79="Tier 2",$E79="Tier 2 Grove"),$F79="Remove",$H79&lt;&gt;"",ISNA(MATCH($H79,Tables!$B$153:$B$155,0))),
Error!$B$15,
IF(AND(OR($E79="Tier 2",$E79="Tier 2 Grove"),$F79="Retain",$H79&lt;&gt;"",ISNA(MATCH($H79,Tables!$B$147:$B$150,0))),
Error!$B$15,
IF(AND($E79="Tier 1",$F79="Remove",$H79&lt;&gt;"",ISNA(MATCH($H79,Tables!$B$143:$B$144,0))),
Error!$B$15,
IF(AND($E79="Tier 1",$F79="Retain",$H79&lt;&gt;"",ISNA(MATCH($H79,Tables!$B$137:$B$140,0))),
Error!$B$15,
IF(AND($E79&lt;&gt;"Tier 2",$E79&lt;&gt;"Tier 2 Grove",$E79&lt;&gt;"Tier 3",$E79&lt;&gt;"Tier 4",$H79="Zoning: Green Factor",OR($D79="",$D79&lt;6)),
Error!$B$11,
IF(AND(_xlpm.baseRow,$D79&lt;6,$E79="&lt;6in DSH for Tree Points",_xlpm.TreePoints_H=0),
Error!$B$21,
IF(AND(_xlpm.baseRow,$E79&lt;&gt;"",$D79&lt;&gt;"",$F79=""),
Error!$B$4,
IF(AND(_xlpm.baseRow,$F79="Remove",OR($E79="Tier 1",$E79="Tier 2",$E79="Tier 2 Grove"),COUNTBLANK(_xlpm.HRange)&lt;3,_xlpm.uniqueH&gt;=2),
Error!$B$48,
IF(AND(_xlpm.baseRow,$F79="Retain",OR($E79="Tier 1",$E79="Tier 2",$E79="Tier 2 Grove"),COUNTIF(_xlpm.HRange,"Tree Code: Required to Retain Tier 1-2 Tree")=0),
Error!$B$47,
IF(AND(_xlpm.baseRow,$E79&lt;&gt;"",$D79&lt;&gt;"",$F79&lt;&gt;"",COUNTBLANK(_xlpm.HRange)=4),
Error!$B$5,
IF(AND($F79="Remove",$H79&lt;&gt;"",$I79=""),
Error!$B$18,
IF(AND($E79="Tier 4",$F79="Remove",$H79="Tree Protection Code: Tier 3 or Tier 4 Allowance",$H79&lt;&gt;"",ISNA(MATCH($I79,Tables!$B$200,0))),
Error!$B$17,
IF(AND($E79="Tier 3",$F79="Remove",$H79&lt;&gt;"",$H79="Tree Protection Code: Tier 3 or Tier 4 Allowance",OR($I79="",ISNA(MATCH($I79,Tables!$B$193:$B$197,0)))),
Error!$B$17,
IF(AND(OR($E79="Tier 2",$E79="Tier 2 Grove"),$F79="Remove",$H79="Tree Protection Code: Other removal allowance or exemption",$I79&lt;&gt;"",ISNA(MATCH($I79,Tables!$B$215:$B$218,0))),
Error!$B$17,
IF(AND(OR($E79="Tier 2",$E79="Tier 2 Grove"),$F79="Remove",$H79="Tree Protection Code: Development Capacity",$I79&lt;&gt;"",ISNA(MATCH($I79,Tables!$B$193:$B$197,0))),
Error!$B$17,
IF(AND(OR($E79="Tier 2",$E79="Tier 2 Grove"),$F79="Remove",$H79="Tree Protection Code: Necessary for Construction",$I79&lt;&gt;"",ISNA(MATCH($I79,Tables!$B$193:$B$197,0))),
Error!$B$17,
IF(AND($E79="Tier 1",$F79="Remove",$H79="Tree Protection Code: Special Exception",$I79&lt;&gt;"",ISNA(MATCH($I79,Tables!$B$215:$B$218,0))),
Error!$B$17,
IF(AND($E79="Tier 1",$F79="Remove",$H79="Tree Protection Code: Other removal allowance or exemption",$I79&lt;&gt;"",ISNA(MATCH($I79,Tables!$B$215:$B$218,0))),
Error!$B$17,
IF(AND($E79="ECA / Shoreline Tree",$F79="Remove",$H79&lt;&gt;"",OR($H79="Shoreline",$H79="Environmental Critical Area (ECA)"),ISNA(MATCH($I79,Tables!$B$209:$B$212,0))),
Error!$B$17,
IF(AND(_xlpm.baseRow,$F79="Retain",$E79="ECA / Shoreline Tree",_xlpm.ECA_Short=0),
Error!$B$61,
IF(AND($F79="Remove",ISNUMBER(MATCH($E79,{"Tier 1","Tier 2","Tier 3","Tier 4","Tier 2 Grove"},0)),ISNUMBER(MATCH($I79,{"On-site replacement","Off-site replacement"},0)),$J79="",$H79&lt;&gt;""),
Error!$B$19,
IF(AND(_xlpm.baseRow,$E79&lt;&gt;"",$D79&lt;&gt;"",$F79&lt;&gt;"",COUNTBLANK($B79:$C79)&gt;0,COUNTBLANK(_xlpm.HRange)&lt;&gt;4),
Error!$B$22,
IF(AND($H79="Zoning: Tree Points",$K79&lt;&gt;"",ISNA(MATCH($K79,Tables!$B$242:$B$253,0))),
Error!$B$58,
IF(AND($H79="Zoning: Tree Points",$K79="Small",$L79&lt;&gt;"",ISNA(MATCH($L79,Tables!$C$243:$C$244,0))),
Error!$B$59,
IF(AND($H79="Zoning: Tree Points",$K79="Small/Medium",$L79&lt;&gt;"",ISNA(MATCH($L79,Tables!$C$246:$C$247,0))),
Error!$B$59,
IF(AND($H79="Zoning: Tree Points",$K79="Medium/Large",$L79&lt;&gt;"",ISNA(MATCH($L79,Tables!$C$249:$C$250,0))),
Error!$B$59,
IF(AND($H79="Zoning: Tree Points",$K79="Large",$L79&lt;&gt;"",ISNA(MATCH($L79,Tables!$C$252:$C$253,0))),
Error!$B$59,
IF(AND($F79="Retain",$H79="Zoning: Tree Points",$C79&lt;&gt;"",$D79&lt;&gt;"",OR($K79="",$L79="",$M79="")),
Error!$B$20,
""
)))))))))))))))))))))))))))))))))))))))))))))))))))))))),
Error!$B$23))</f>
        <v/>
      </c>
      <c r="O79" s="343" t="str" cm="1">
        <f t="array" aca="1" ref="O79" ca="1">IFERROR(_xlfn.LET(
    _xlpm.txt, $C79,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0" spans="1:15" x14ac:dyDescent="0.3">
      <c r="A80" s="320"/>
      <c r="B80" s="616" t="str">
        <f t="shared" ref="B80:B82" si="43">IF($B79="", "", $B79)</f>
        <v/>
      </c>
      <c r="C80" s="617" t="str">
        <f t="shared" ref="C80:C82" si="44">IF($C79="", "", $C79)</f>
        <v/>
      </c>
      <c r="D80" s="618" t="str">
        <f t="shared" ref="D80:D82" si="45">IF($D79="", "", $D79)</f>
        <v/>
      </c>
      <c r="E80" s="616" t="str">
        <f t="shared" ref="E80:E82" si="46">IF($E79="", "", $E79)</f>
        <v/>
      </c>
      <c r="F80" s="616" t="str">
        <f t="shared" ref="F80:F82" si="47">IF($F79="", "", $F79)</f>
        <v/>
      </c>
      <c r="G80" s="619" t="str">
        <f>IF(Tree_Table1[[#This Row],[Tree Status  &amp;]]="Retain", Tables!$B$237, IF(Tree_Table1[[#This Row],[Tree Status  &amp;]]="Remove", Tables!$B$238, ""))</f>
        <v/>
      </c>
      <c r="H80" s="321"/>
      <c r="I80" s="322"/>
      <c r="J80" s="453"/>
      <c r="K80" s="323" t="str">
        <f>IFERROR(
    IF(
        AND($H80="Zoning: Tree Points", NOT(ISNUMBER(SEARCH("sp.", $C80)))),
        VLOOKUP($C80, 'Tree List'!$C$3:$F$601, 4, FALSE),
        ""
    ),
"")</f>
        <v/>
      </c>
      <c r="L80" s="324" t="str" cm="1">
        <f t="array" ref="L80">IFERROR(
IF(
    AND($H80="Zoning: Tree Points", NOT(ISNUMBER(SEARCH("sp.", $C80)))),
    _xlfn.IFS(
        (COUNTIFS('Tree List'!$C$3:$C$601,$C80,'Tree List'!$D$3:$D$601,"Coniferous")
        + COUNTIFS('Tree List'!$C$3:$C$601,$C80,'Tree List'!$D$3:$D$601,"Deciduous Conifer")) &gt; 0,
            _xlfn.IFS($K80="Small",0.5,$K80="Small/Medium",1,$K80="Medium/Large",1.4,$K80="Large",1.8),
        (COUNTIFS('Tree List'!$C$3:$C$601,$C80,'Tree List'!$D$3:$D$601,"Deciduous")
        + COUNTIFS('Tree List'!$C$3:$C$601,$C80,'Tree List'!$D$3:$D$601,"Broadleaf Evergreen")) &gt; 0,
            _xlfn.IFS($K80="Small",0.4,$K80="Small/Medium",0.8,$K80="Medium/Large",1.2,$K80="Large",1.6)
    ),
    ""
),
"")</f>
        <v/>
      </c>
      <c r="M80" s="475" t="str">
        <f t="shared" si="0"/>
        <v/>
      </c>
      <c r="N80" s="346" t="str" cm="1">
        <f t="array" aca="1" ref="N8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IF(AND(_xlpm.baseRow,ISNA(MATCH($C80,'Tree List'!$C$3:$C$601,0)),SUMPRODUCT(--ISNUMBER(SEARCH(Tables2!$C$677:$C$772,$O80)))&gt;0),
Error!$B$57,
IF(AND(_xlpm.hasDM,$F80="Remove",$H80&lt;&gt;"",OR($I80="On-site replacement",$I80="Off-site replacement",$I80="Payment In Lieu")),
Error!$B$56,
IF(AND(_xlpm.hasDM,$F80="Remove",$H80&lt;&gt;"",$I80="Relocation"),
Error!$B$66,
IF(AND(OR(_xlpm.hasCN,_xlpm.hasPH,_xlpm.hasGR),$H80&lt;&gt;"",COUNTIF(Tables!$B$132:$B$134,$H80)&gt;0,$I80="N/A (No replacement required)"),
Error!$B$62,
IF(AND(_xlpm.baseRow,$E80&lt;&gt;"",ISNA(MATCH($E80,Tables!$B$225:$B$232,0))),
Error!$B$2,
IF(AND(_xlpm.baseRow,$F80&lt;&gt;"",ISNA(MATCH($F80,Tables!$B$234:$B$235,0))),
Error!$B$24,
IF(AND(_xlpm.baseRow,_xlpm.ECA_H&gt;0,_xlpm.Shore_H&gt;0),
Error!$B$16,
IF(AND(_xlpm.baseRow,$E80&lt;&gt;"",$D80=""),
Error!$B$3,
IF(AND(_xlpm.baseRow,OR($E80="Tier 3",$E80="Tier 4"),$C80&lt;&gt;"",$D80&gt;=24,COUNTIF(Tables2!$B$166:$B$674,$C80)&gt;0),
Error!$B$44,
IF(AND(_xlpm.baseRow,OR($E80="Tier 3",$E80="Tier 4"),$C80&lt;&gt;"",$D80&lt;&gt;"",COUNTIF(Tables2!$B$73:$B$152,$C80)&gt;0,
$D80&gt;=IFERROR(INDEX(Tables2!$C$73:$C$152,MATCH($C80,Tables2!$B$73:$B$152,0)),-1)),
Error!$B$44,
IF(AND(_xlpm.baseRow,OR($E80="Tier 2",$E80="Tier 2 Grove"),$C80&lt;&gt;"",$D80&gt;=12,COUNTIF(Tables2!$B$153:$B$162,$C80)&gt;0),
Error!$B$45,
IF(AND(_xlpm.baseRow,$E80="Tier 2 Grove",$D80&lt;12),
Error!$B$41,
IF(AND(_xlpm.baseRow,$E80="Tier 2",$D80&lt;5.88),
Error!$B$40,
IF(AND(_xlpm.baseRow,OR($E80="Tier 2",$E80="Tier 2 Grove"),$C80&lt;&gt;"",$D80&lt;12,$D80&gt;=6,COUNTIF(Tables2!$B$153:$B$162,$C80)&gt;0),
Error!$B$54,
IF(AND(_xlpm.baseRow,$E80="Tier 2",COUNTIF(Tables2!$B$166:$B$674,$C80)&gt;0,$D80&lt;24),
Error!$B$54,
IF(AND(_xlpm.baseRow,$E80="Tier 3",ISNA(MATCH($C80,Tables2!$B$153:$B$162,0)),OR($D80&lt;12,$D80&gt;=24)),
Error!$B$9,
IF(AND(_xlpm.baseRow,$E80="Tier 3",COUNTIF(Tables2!$B$153:$B$162,$C80)&gt;0,$D80&lt;12),
Error!$B$46,
IF(AND(_xlpm.baseRow,$E80="Tier 4",OR($D80&lt;6,$D80&gt;=12)),
Error!$B$10,
IF(AND(_xlpm.baseRow,$E80="&lt;6in DSH for Tree Points",OR($D80&gt;=6,$D80="")),
Error!$B$8,
IF(AND(_xlpm.baseRow,$E80="Street Tree for Green Factor",$F80&lt;&gt;"",$F80&lt;&gt;"Retain"),
Error!$B$14,
IF(AND($E80="&lt;6in DSH for Tree Points",$F80="Retain",$H80&lt;&gt;"",ISNA(MATCH($H80,Tables!$B$174:$B$174,0))),
Error!$B$15,
IF(AND($E80="Street Tree for Green Factor",$F80="Retain",$H80&lt;&gt;"",$H80&lt;&gt;"Zoning: Green Factor"),
Error!$B$15,
IF(AND($E80="ECA / Shoreline Tree",$F80="Remove",$H80&lt;&gt;"",ISNA(MATCH($H80,Tables!$B$189:$B$190,0))),
Error!$B$15,
IF(AND($E80="ECA / Shoreline Tree",$F80="Retain",$H80&lt;&gt;"",ISNA(MATCH($H80,Tables!$B$184:$B$186,0))),
Error!$B$15,
IF(AND($E80="Tier 4",$F80="Remove",$H80&lt;&gt;"",ISNA(MATCH($H80,Tables!$B$171,0))),
Error!$B$15,
IF(AND($E80="Tier 4",$F80="Retain",$H80&lt;&gt;"",ISNA(MATCH($H80,Tables!$B$166:$B$168,0))),
Error!$B$15,
IF(AND($E80="Tier 3",$F80="Retain",$H80&lt;&gt;"",ISNA(MATCH($H80,Tables!$B$158:$B$160,0))),
Error!$B$15,
IF(AND($E80="Tier 3",$F80="Remove",$H80&lt;&gt;"",ISNA(MATCH($H80,Tables!$B$163,0))),
Error!$B$15,
IF(AND(OR($E80="Tier 2",$E80="Tier 2 Grove"),$F80="Remove",$H80&lt;&gt;"",ISNA(MATCH($H80,Tables!$B$153:$B$155,0))),
Error!$B$15,
IF(AND(OR($E80="Tier 2",$E80="Tier 2 Grove"),$F80="Retain",$H80&lt;&gt;"",ISNA(MATCH($H80,Tables!$B$147:$B$150,0))),
Error!$B$15,
IF(AND($E80="Tier 1",$F80="Remove",$H80&lt;&gt;"",ISNA(MATCH($H80,Tables!$B$143:$B$144,0))),
Error!$B$15,
IF(AND($E80="Tier 1",$F80="Retain",$H80&lt;&gt;"",ISNA(MATCH($H80,Tables!$B$137:$B$140,0))),
Error!$B$15,
IF(AND($E80&lt;&gt;"Tier 2",$E80&lt;&gt;"Tier 2 Grove",$E80&lt;&gt;"Tier 3",$E80&lt;&gt;"Tier 4",$H80="Zoning: Green Factor",OR($D80="",$D80&lt;6)),
Error!$B$11,
IF(AND(_xlpm.baseRow,$D80&lt;6,$E80="&lt;6in DSH for Tree Points",_xlpm.TreePoints_H=0),
Error!$B$21,
IF(AND(_xlpm.baseRow,$E80&lt;&gt;"",$D80&lt;&gt;"",$F80=""),
Error!$B$4,
IF(AND(_xlpm.baseRow,$F80="Remove",OR($E80="Tier 1",$E80="Tier 2",$E80="Tier 2 Grove"),COUNTBLANK(_xlpm.HRange)&lt;3,_xlpm.uniqueH&gt;=2),
Error!$B$48,
IF(AND(_xlpm.baseRow,$F80="Retain",OR($E80="Tier 1",$E80="Tier 2",$E80="Tier 2 Grove"),COUNTIF(_xlpm.HRange,"Tree Code: Required to Retain Tier 1-2 Tree")=0),
Error!$B$47,
IF(AND(_xlpm.baseRow,$E80&lt;&gt;"",$D80&lt;&gt;"",$F80&lt;&gt;"",COUNTBLANK(_xlpm.HRange)=4),
Error!$B$5,
IF(AND($F80="Remove",$H80&lt;&gt;"",$I80=""),
Error!$B$18,
IF(AND($E80="Tier 4",$F80="Remove",$H80="Tree Protection Code: Tier 3 or Tier 4 Allowance",$H80&lt;&gt;"",ISNA(MATCH($I80,Tables!$B$200,0))),
Error!$B$17,
IF(AND($E80="Tier 3",$F80="Remove",$H80&lt;&gt;"",$H80="Tree Protection Code: Tier 3 or Tier 4 Allowance",OR($I80="",ISNA(MATCH($I80,Tables!$B$193:$B$197,0)))),
Error!$B$17,
IF(AND(OR($E80="Tier 2",$E80="Tier 2 Grove"),$F80="Remove",$H80="Tree Protection Code: Other removal allowance or exemption",$I80&lt;&gt;"",ISNA(MATCH($I80,Tables!$B$215:$B$218,0))),
Error!$B$17,
IF(AND(OR($E80="Tier 2",$E80="Tier 2 Grove"),$F80="Remove",$H80="Tree Protection Code: Development Capacity",$I80&lt;&gt;"",ISNA(MATCH($I80,Tables!$B$193:$B$197,0))),
Error!$B$17,
IF(AND(OR($E80="Tier 2",$E80="Tier 2 Grove"),$F80="Remove",$H80="Tree Protection Code: Necessary for Construction",$I80&lt;&gt;"",ISNA(MATCH($I80,Tables!$B$193:$B$197,0))),
Error!$B$17,
IF(AND($E80="Tier 1",$F80="Remove",$H80="Tree Protection Code: Special Exception",$I80&lt;&gt;"",ISNA(MATCH($I80,Tables!$B$215:$B$218,0))),
Error!$B$17,
IF(AND($E80="Tier 1",$F80="Remove",$H80="Tree Protection Code: Other removal allowance or exemption",$I80&lt;&gt;"",ISNA(MATCH($I80,Tables!$B$215:$B$218,0))),
Error!$B$17,
IF(AND($E80="ECA / Shoreline Tree",$F80="Remove",$H80&lt;&gt;"",OR($H80="Shoreline",$H80="Environmental Critical Area (ECA)"),ISNA(MATCH($I80,Tables!$B$209:$B$212,0))),
Error!$B$17,
IF(AND(_xlpm.baseRow,$F80="Retain",$E80="ECA / Shoreline Tree",_xlpm.ECA_Short=0),
Error!$B$61,
IF(AND($F80="Remove",ISNUMBER(MATCH($E80,{"Tier 1","Tier 2","Tier 3","Tier 4","Tier 2 Grove"},0)),ISNUMBER(MATCH($I80,{"On-site replacement","Off-site replacement"},0)),$J80="",$H80&lt;&gt;""),
Error!$B$19,
IF(AND(_xlpm.baseRow,$E80&lt;&gt;"",$D80&lt;&gt;"",$F80&lt;&gt;"",COUNTBLANK($B80:$C80)&gt;0,COUNTBLANK(_xlpm.HRange)&lt;&gt;4),
Error!$B$22,
IF(AND($H80="Zoning: Tree Points",$K80&lt;&gt;"",ISNA(MATCH($K80,Tables!$B$242:$B$253,0))),
Error!$B$58,
IF(AND($H80="Zoning: Tree Points",$K80="Small",$L80&lt;&gt;"",ISNA(MATCH($L80,Tables!$C$243:$C$244,0))),
Error!$B$59,
IF(AND($H80="Zoning: Tree Points",$K80="Small/Medium",$L80&lt;&gt;"",ISNA(MATCH($L80,Tables!$C$246:$C$247,0))),
Error!$B$59,
IF(AND($H80="Zoning: Tree Points",$K80="Medium/Large",$L80&lt;&gt;"",ISNA(MATCH($L80,Tables!$C$249:$C$250,0))),
Error!$B$59,
IF(AND($H80="Zoning: Tree Points",$K80="Large",$L80&lt;&gt;"",ISNA(MATCH($L80,Tables!$C$252:$C$253,0))),
Error!$B$59,
IF(AND($F80="Retain",$H80="Zoning: Tree Points",$C80&lt;&gt;"",$D80&lt;&gt;"",OR($K80="",$L80="",$M80="")),
Error!$B$20,
""
)))))))))))))))))))))))))))))))))))))))))))))))))))))))),
Error!$B$23))</f>
        <v/>
      </c>
      <c r="O80" s="343" t="str" cm="1">
        <f t="array" aca="1" ref="O80" ca="1">IFERROR(_xlfn.LET(
    _xlpm.txt, $C80,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1" spans="1:15" x14ac:dyDescent="0.3">
      <c r="A81" s="320"/>
      <c r="B81" s="616" t="str">
        <f t="shared" si="43"/>
        <v/>
      </c>
      <c r="C81" s="617" t="str">
        <f t="shared" si="44"/>
        <v/>
      </c>
      <c r="D81" s="618" t="str">
        <f t="shared" si="45"/>
        <v/>
      </c>
      <c r="E81" s="616" t="str">
        <f t="shared" si="46"/>
        <v/>
      </c>
      <c r="F81" s="616" t="str">
        <f t="shared" si="47"/>
        <v/>
      </c>
      <c r="G81" s="619" t="str">
        <f>IF(Tree_Table1[[#This Row],[Tree Status  &amp;]]="Retain", Tables!$B$237, IF(Tree_Table1[[#This Row],[Tree Status  &amp;]]="Remove", Tables!$B$238, ""))</f>
        <v/>
      </c>
      <c r="H81" s="321"/>
      <c r="I81" s="322"/>
      <c r="J81" s="453"/>
      <c r="K81" s="323" t="str">
        <f>IFERROR(
    IF(
        AND($H81="Zoning: Tree Points", NOT(ISNUMBER(SEARCH("sp.", $C81)))),
        VLOOKUP($C81, 'Tree List'!$C$3:$F$601, 4, FALSE),
        ""
    ),
"")</f>
        <v/>
      </c>
      <c r="L81" s="324" t="str" cm="1">
        <f t="array" ref="L81">IFERROR(
IF(
    AND($H81="Zoning: Tree Points", NOT(ISNUMBER(SEARCH("sp.", $C81)))),
    _xlfn.IFS(
        (COUNTIFS('Tree List'!$C$3:$C$601,$C81,'Tree List'!$D$3:$D$601,"Coniferous")
        + COUNTIFS('Tree List'!$C$3:$C$601,$C81,'Tree List'!$D$3:$D$601,"Deciduous Conifer")) &gt; 0,
            _xlfn.IFS($K81="Small",0.5,$K81="Small/Medium",1,$K81="Medium/Large",1.4,$K81="Large",1.8),
        (COUNTIFS('Tree List'!$C$3:$C$601,$C81,'Tree List'!$D$3:$D$601,"Deciduous")
        + COUNTIFS('Tree List'!$C$3:$C$601,$C81,'Tree List'!$D$3:$D$601,"Broadleaf Evergreen")) &gt; 0,
            _xlfn.IFS($K81="Small",0.4,$K81="Small/Medium",0.8,$K81="Medium/Large",1.2,$K81="Large",1.6)
    ),
    ""
),
"")</f>
        <v/>
      </c>
      <c r="M81" s="475" t="str">
        <f t="shared" si="0"/>
        <v/>
      </c>
      <c r="N81" s="346" t="str" cm="1">
        <f t="array" aca="1" ref="N8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IF(AND(_xlpm.baseRow,ISNA(MATCH($C81,'Tree List'!$C$3:$C$601,0)),SUMPRODUCT(--ISNUMBER(SEARCH(Tables2!$C$677:$C$772,$O81)))&gt;0),
Error!$B$57,
IF(AND(_xlpm.hasDM,$F81="Remove",$H81&lt;&gt;"",OR($I81="On-site replacement",$I81="Off-site replacement",$I81="Payment In Lieu")),
Error!$B$56,
IF(AND(_xlpm.hasDM,$F81="Remove",$H81&lt;&gt;"",$I81="Relocation"),
Error!$B$66,
IF(AND(OR(_xlpm.hasCN,_xlpm.hasPH,_xlpm.hasGR),$H81&lt;&gt;"",COUNTIF(Tables!$B$132:$B$134,$H81)&gt;0,$I81="N/A (No replacement required)"),
Error!$B$62,
IF(AND(_xlpm.baseRow,$E81&lt;&gt;"",ISNA(MATCH($E81,Tables!$B$225:$B$232,0))),
Error!$B$2,
IF(AND(_xlpm.baseRow,$F81&lt;&gt;"",ISNA(MATCH($F81,Tables!$B$234:$B$235,0))),
Error!$B$24,
IF(AND(_xlpm.baseRow,_xlpm.ECA_H&gt;0,_xlpm.Shore_H&gt;0),
Error!$B$16,
IF(AND(_xlpm.baseRow,$E81&lt;&gt;"",$D81=""),
Error!$B$3,
IF(AND(_xlpm.baseRow,OR($E81="Tier 3",$E81="Tier 4"),$C81&lt;&gt;"",$D81&gt;=24,COUNTIF(Tables2!$B$166:$B$674,$C81)&gt;0),
Error!$B$44,
IF(AND(_xlpm.baseRow,OR($E81="Tier 3",$E81="Tier 4"),$C81&lt;&gt;"",$D81&lt;&gt;"",COUNTIF(Tables2!$B$73:$B$152,$C81)&gt;0,
$D81&gt;=IFERROR(INDEX(Tables2!$C$73:$C$152,MATCH($C81,Tables2!$B$73:$B$152,0)),-1)),
Error!$B$44,
IF(AND(_xlpm.baseRow,OR($E81="Tier 2",$E81="Tier 2 Grove"),$C81&lt;&gt;"",$D81&gt;=12,COUNTIF(Tables2!$B$153:$B$162,$C81)&gt;0),
Error!$B$45,
IF(AND(_xlpm.baseRow,$E81="Tier 2 Grove",$D81&lt;12),
Error!$B$41,
IF(AND(_xlpm.baseRow,$E81="Tier 2",$D81&lt;5.88),
Error!$B$40,
IF(AND(_xlpm.baseRow,OR($E81="Tier 2",$E81="Tier 2 Grove"),$C81&lt;&gt;"",$D81&lt;12,$D81&gt;=6,COUNTIF(Tables2!$B$153:$B$162,$C81)&gt;0),
Error!$B$54,
IF(AND(_xlpm.baseRow,$E81="Tier 2",COUNTIF(Tables2!$B$166:$B$674,$C81)&gt;0,$D81&lt;24),
Error!$B$54,
IF(AND(_xlpm.baseRow,$E81="Tier 3",ISNA(MATCH($C81,Tables2!$B$153:$B$162,0)),OR($D81&lt;12,$D81&gt;=24)),
Error!$B$9,
IF(AND(_xlpm.baseRow,$E81="Tier 3",COUNTIF(Tables2!$B$153:$B$162,$C81)&gt;0,$D81&lt;12),
Error!$B$46,
IF(AND(_xlpm.baseRow,$E81="Tier 4",OR($D81&lt;6,$D81&gt;=12)),
Error!$B$10,
IF(AND(_xlpm.baseRow,$E81="&lt;6in DSH for Tree Points",OR($D81&gt;=6,$D81="")),
Error!$B$8,
IF(AND(_xlpm.baseRow,$E81="Street Tree for Green Factor",$F81&lt;&gt;"",$F81&lt;&gt;"Retain"),
Error!$B$14,
IF(AND($E81="&lt;6in DSH for Tree Points",$F81="Retain",$H81&lt;&gt;"",ISNA(MATCH($H81,Tables!$B$174:$B$174,0))),
Error!$B$15,
IF(AND($E81="Street Tree for Green Factor",$F81="Retain",$H81&lt;&gt;"",$H81&lt;&gt;"Zoning: Green Factor"),
Error!$B$15,
IF(AND($E81="ECA / Shoreline Tree",$F81="Remove",$H81&lt;&gt;"",ISNA(MATCH($H81,Tables!$B$189:$B$190,0))),
Error!$B$15,
IF(AND($E81="ECA / Shoreline Tree",$F81="Retain",$H81&lt;&gt;"",ISNA(MATCH($H81,Tables!$B$184:$B$186,0))),
Error!$B$15,
IF(AND($E81="Tier 4",$F81="Remove",$H81&lt;&gt;"",ISNA(MATCH($H81,Tables!$B$171,0))),
Error!$B$15,
IF(AND($E81="Tier 4",$F81="Retain",$H81&lt;&gt;"",ISNA(MATCH($H81,Tables!$B$166:$B$168,0))),
Error!$B$15,
IF(AND($E81="Tier 3",$F81="Retain",$H81&lt;&gt;"",ISNA(MATCH($H81,Tables!$B$158:$B$160,0))),
Error!$B$15,
IF(AND($E81="Tier 3",$F81="Remove",$H81&lt;&gt;"",ISNA(MATCH($H81,Tables!$B$163,0))),
Error!$B$15,
IF(AND(OR($E81="Tier 2",$E81="Tier 2 Grove"),$F81="Remove",$H81&lt;&gt;"",ISNA(MATCH($H81,Tables!$B$153:$B$155,0))),
Error!$B$15,
IF(AND(OR($E81="Tier 2",$E81="Tier 2 Grove"),$F81="Retain",$H81&lt;&gt;"",ISNA(MATCH($H81,Tables!$B$147:$B$150,0))),
Error!$B$15,
IF(AND($E81="Tier 1",$F81="Remove",$H81&lt;&gt;"",ISNA(MATCH($H81,Tables!$B$143:$B$144,0))),
Error!$B$15,
IF(AND($E81="Tier 1",$F81="Retain",$H81&lt;&gt;"",ISNA(MATCH($H81,Tables!$B$137:$B$140,0))),
Error!$B$15,
IF(AND($E81&lt;&gt;"Tier 2",$E81&lt;&gt;"Tier 2 Grove",$E81&lt;&gt;"Tier 3",$E81&lt;&gt;"Tier 4",$H81="Zoning: Green Factor",OR($D81="",$D81&lt;6)),
Error!$B$11,
IF(AND(_xlpm.baseRow,$D81&lt;6,$E81="&lt;6in DSH for Tree Points",_xlpm.TreePoints_H=0),
Error!$B$21,
IF(AND(_xlpm.baseRow,$E81&lt;&gt;"",$D81&lt;&gt;"",$F81=""),
Error!$B$4,
IF(AND(_xlpm.baseRow,$F81="Remove",OR($E81="Tier 1",$E81="Tier 2",$E81="Tier 2 Grove"),COUNTBLANK(_xlpm.HRange)&lt;3,_xlpm.uniqueH&gt;=2),
Error!$B$48,
IF(AND(_xlpm.baseRow,$F81="Retain",OR($E81="Tier 1",$E81="Tier 2",$E81="Tier 2 Grove"),COUNTIF(_xlpm.HRange,"Tree Code: Required to Retain Tier 1-2 Tree")=0),
Error!$B$47,
IF(AND(_xlpm.baseRow,$E81&lt;&gt;"",$D81&lt;&gt;"",$F81&lt;&gt;"",COUNTBLANK(_xlpm.HRange)=4),
Error!$B$5,
IF(AND($F81="Remove",$H81&lt;&gt;"",$I81=""),
Error!$B$18,
IF(AND($E81="Tier 4",$F81="Remove",$H81="Tree Protection Code: Tier 3 or Tier 4 Allowance",$H81&lt;&gt;"",ISNA(MATCH($I81,Tables!$B$200,0))),
Error!$B$17,
IF(AND($E81="Tier 3",$F81="Remove",$H81&lt;&gt;"",$H81="Tree Protection Code: Tier 3 or Tier 4 Allowance",OR($I81="",ISNA(MATCH($I81,Tables!$B$193:$B$197,0)))),
Error!$B$17,
IF(AND(OR($E81="Tier 2",$E81="Tier 2 Grove"),$F81="Remove",$H81="Tree Protection Code: Other removal allowance or exemption",$I81&lt;&gt;"",ISNA(MATCH($I81,Tables!$B$215:$B$218,0))),
Error!$B$17,
IF(AND(OR($E81="Tier 2",$E81="Tier 2 Grove"),$F81="Remove",$H81="Tree Protection Code: Development Capacity",$I81&lt;&gt;"",ISNA(MATCH($I81,Tables!$B$193:$B$197,0))),
Error!$B$17,
IF(AND(OR($E81="Tier 2",$E81="Tier 2 Grove"),$F81="Remove",$H81="Tree Protection Code: Necessary for Construction",$I81&lt;&gt;"",ISNA(MATCH($I81,Tables!$B$193:$B$197,0))),
Error!$B$17,
IF(AND($E81="Tier 1",$F81="Remove",$H81="Tree Protection Code: Special Exception",$I81&lt;&gt;"",ISNA(MATCH($I81,Tables!$B$215:$B$218,0))),
Error!$B$17,
IF(AND($E81="Tier 1",$F81="Remove",$H81="Tree Protection Code: Other removal allowance or exemption",$I81&lt;&gt;"",ISNA(MATCH($I81,Tables!$B$215:$B$218,0))),
Error!$B$17,
IF(AND($E81="ECA / Shoreline Tree",$F81="Remove",$H81&lt;&gt;"",OR($H81="Shoreline",$H81="Environmental Critical Area (ECA)"),ISNA(MATCH($I81,Tables!$B$209:$B$212,0))),
Error!$B$17,
IF(AND(_xlpm.baseRow,$F81="Retain",$E81="ECA / Shoreline Tree",_xlpm.ECA_Short=0),
Error!$B$61,
IF(AND($F81="Remove",ISNUMBER(MATCH($E81,{"Tier 1","Tier 2","Tier 3","Tier 4","Tier 2 Grove"},0)),ISNUMBER(MATCH($I81,{"On-site replacement","Off-site replacement"},0)),$J81="",$H81&lt;&gt;""),
Error!$B$19,
IF(AND(_xlpm.baseRow,$E81&lt;&gt;"",$D81&lt;&gt;"",$F81&lt;&gt;"",COUNTBLANK($B81:$C81)&gt;0,COUNTBLANK(_xlpm.HRange)&lt;&gt;4),
Error!$B$22,
IF(AND($H81="Zoning: Tree Points",$K81&lt;&gt;"",ISNA(MATCH($K81,Tables!$B$242:$B$253,0))),
Error!$B$58,
IF(AND($H81="Zoning: Tree Points",$K81="Small",$L81&lt;&gt;"",ISNA(MATCH($L81,Tables!$C$243:$C$244,0))),
Error!$B$59,
IF(AND($H81="Zoning: Tree Points",$K81="Small/Medium",$L81&lt;&gt;"",ISNA(MATCH($L81,Tables!$C$246:$C$247,0))),
Error!$B$59,
IF(AND($H81="Zoning: Tree Points",$K81="Medium/Large",$L81&lt;&gt;"",ISNA(MATCH($L81,Tables!$C$249:$C$250,0))),
Error!$B$59,
IF(AND($H81="Zoning: Tree Points",$K81="Large",$L81&lt;&gt;"",ISNA(MATCH($L81,Tables!$C$252:$C$253,0))),
Error!$B$59,
IF(AND($F81="Retain",$H81="Zoning: Tree Points",$C81&lt;&gt;"",$D81&lt;&gt;"",OR($K81="",$L81="",$M81="")),
Error!$B$20,
""
)))))))))))))))))))))))))))))))))))))))))))))))))))))))),
Error!$B$23))</f>
        <v/>
      </c>
      <c r="O81" s="343" t="str" cm="1">
        <f t="array" aca="1" ref="O81" ca="1">IFERROR(_xlfn.LET(
    _xlpm.txt, $C81,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2" spans="1:15" ht="15" thickBot="1" x14ac:dyDescent="0.35">
      <c r="A82" s="331"/>
      <c r="B82" s="616" t="str">
        <f t="shared" si="43"/>
        <v/>
      </c>
      <c r="C82" s="617" t="str">
        <f t="shared" si="44"/>
        <v/>
      </c>
      <c r="D82" s="618" t="str">
        <f t="shared" si="45"/>
        <v/>
      </c>
      <c r="E82" s="616" t="str">
        <f t="shared" si="46"/>
        <v/>
      </c>
      <c r="F82" s="616" t="str">
        <f t="shared" si="47"/>
        <v/>
      </c>
      <c r="G82" s="619" t="str">
        <f>IF(Tree_Table1[[#This Row],[Tree Status  &amp;]]="Retain", Tables!$B$237, IF(Tree_Table1[[#This Row],[Tree Status  &amp;]]="Remove", Tables!$B$238, ""))</f>
        <v/>
      </c>
      <c r="H82" s="329"/>
      <c r="I82" s="330"/>
      <c r="J82" s="455"/>
      <c r="K82" s="327" t="str">
        <f>IFERROR(
    IF(
        AND($H82="Zoning: Tree Points", NOT(ISNUMBER(SEARCH("sp.", $C82)))),
        VLOOKUP($C82, 'Tree List'!$C$3:$F$601, 4, FALSE),
        ""
    ),
"")</f>
        <v/>
      </c>
      <c r="L82" s="328" t="str" cm="1">
        <f t="array" ref="L82">IFERROR(
IF(
    AND($H82="Zoning: Tree Points", NOT(ISNUMBER(SEARCH("sp.", $C82)))),
    _xlfn.IFS(
        (COUNTIFS('Tree List'!$C$3:$C$601,$C82,'Tree List'!$D$3:$D$601,"Coniferous")
        + COUNTIFS('Tree List'!$C$3:$C$601,$C82,'Tree List'!$D$3:$D$601,"Deciduous Conifer")) &gt; 0,
            _xlfn.IFS($K82="Small",0.5,$K82="Small/Medium",1,$K82="Medium/Large",1.4,$K82="Large",1.8),
        (COUNTIFS('Tree List'!$C$3:$C$601,$C82,'Tree List'!$D$3:$D$601,"Deciduous")
        + COUNTIFS('Tree List'!$C$3:$C$601,$C82,'Tree List'!$D$3:$D$601,"Broadleaf Evergreen")) &gt; 0,
            _xlfn.IFS($K82="Small",0.4,$K82="Small/Medium",0.8,$K82="Medium/Large",1.2,$K82="Large",1.6)
    ),
    ""
),
"")</f>
        <v/>
      </c>
      <c r="M82" s="476" t="str">
        <f t="shared" si="0"/>
        <v/>
      </c>
      <c r="N82" s="347" t="str" cm="1">
        <f t="array" aca="1" ref="N8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IF(AND(_xlpm.baseRow,ISNA(MATCH($C82,'Tree List'!$C$3:$C$601,0)),SUMPRODUCT(--ISNUMBER(SEARCH(Tables2!$C$677:$C$772,$O82)))&gt;0),
Error!$B$57,
IF(AND(_xlpm.hasDM,$F82="Remove",$H82&lt;&gt;"",OR($I82="On-site replacement",$I82="Off-site replacement",$I82="Payment In Lieu")),
Error!$B$56,
IF(AND(_xlpm.hasDM,$F82="Remove",$H82&lt;&gt;"",$I82="Relocation"),
Error!$B$66,
IF(AND(OR(_xlpm.hasCN,_xlpm.hasPH,_xlpm.hasGR),$H82&lt;&gt;"",COUNTIF(Tables!$B$132:$B$134,$H82)&gt;0,$I82="N/A (No replacement required)"),
Error!$B$62,
IF(AND(_xlpm.baseRow,$E82&lt;&gt;"",ISNA(MATCH($E82,Tables!$B$225:$B$232,0))),
Error!$B$2,
IF(AND(_xlpm.baseRow,$F82&lt;&gt;"",ISNA(MATCH($F82,Tables!$B$234:$B$235,0))),
Error!$B$24,
IF(AND(_xlpm.baseRow,_xlpm.ECA_H&gt;0,_xlpm.Shore_H&gt;0),
Error!$B$16,
IF(AND(_xlpm.baseRow,$E82&lt;&gt;"",$D82=""),
Error!$B$3,
IF(AND(_xlpm.baseRow,OR($E82="Tier 3",$E82="Tier 4"),$C82&lt;&gt;"",$D82&gt;=24,COUNTIF(Tables2!$B$166:$B$674,$C82)&gt;0),
Error!$B$44,
IF(AND(_xlpm.baseRow,OR($E82="Tier 3",$E82="Tier 4"),$C82&lt;&gt;"",$D82&lt;&gt;"",COUNTIF(Tables2!$B$73:$B$152,$C82)&gt;0,
$D82&gt;=IFERROR(INDEX(Tables2!$C$73:$C$152,MATCH($C82,Tables2!$B$73:$B$152,0)),-1)),
Error!$B$44,
IF(AND(_xlpm.baseRow,OR($E82="Tier 2",$E82="Tier 2 Grove"),$C82&lt;&gt;"",$D82&gt;=12,COUNTIF(Tables2!$B$153:$B$162,$C82)&gt;0),
Error!$B$45,
IF(AND(_xlpm.baseRow,$E82="Tier 2 Grove",$D82&lt;12),
Error!$B$41,
IF(AND(_xlpm.baseRow,$E82="Tier 2",$D82&lt;5.88),
Error!$B$40,
IF(AND(_xlpm.baseRow,OR($E82="Tier 2",$E82="Tier 2 Grove"),$C82&lt;&gt;"",$D82&lt;12,$D82&gt;=6,COUNTIF(Tables2!$B$153:$B$162,$C82)&gt;0),
Error!$B$54,
IF(AND(_xlpm.baseRow,$E82="Tier 2",COUNTIF(Tables2!$B$166:$B$674,$C82)&gt;0,$D82&lt;24),
Error!$B$54,
IF(AND(_xlpm.baseRow,$E82="Tier 3",ISNA(MATCH($C82,Tables2!$B$153:$B$162,0)),OR($D82&lt;12,$D82&gt;=24)),
Error!$B$9,
IF(AND(_xlpm.baseRow,$E82="Tier 3",COUNTIF(Tables2!$B$153:$B$162,$C82)&gt;0,$D82&lt;12),
Error!$B$46,
IF(AND(_xlpm.baseRow,$E82="Tier 4",OR($D82&lt;6,$D82&gt;=12)),
Error!$B$10,
IF(AND(_xlpm.baseRow,$E82="&lt;6in DSH for Tree Points",OR($D82&gt;=6,$D82="")),
Error!$B$8,
IF(AND(_xlpm.baseRow,$E82="Street Tree for Green Factor",$F82&lt;&gt;"",$F82&lt;&gt;"Retain"),
Error!$B$14,
IF(AND($E82="&lt;6in DSH for Tree Points",$F82="Retain",$H82&lt;&gt;"",ISNA(MATCH($H82,Tables!$B$174:$B$174,0))),
Error!$B$15,
IF(AND($E82="Street Tree for Green Factor",$F82="Retain",$H82&lt;&gt;"",$H82&lt;&gt;"Zoning: Green Factor"),
Error!$B$15,
IF(AND($E82="ECA / Shoreline Tree",$F82="Remove",$H82&lt;&gt;"",ISNA(MATCH($H82,Tables!$B$189:$B$190,0))),
Error!$B$15,
IF(AND($E82="ECA / Shoreline Tree",$F82="Retain",$H82&lt;&gt;"",ISNA(MATCH($H82,Tables!$B$184:$B$186,0))),
Error!$B$15,
IF(AND($E82="Tier 4",$F82="Remove",$H82&lt;&gt;"",ISNA(MATCH($H82,Tables!$B$171,0))),
Error!$B$15,
IF(AND($E82="Tier 4",$F82="Retain",$H82&lt;&gt;"",ISNA(MATCH($H82,Tables!$B$166:$B$168,0))),
Error!$B$15,
IF(AND($E82="Tier 3",$F82="Retain",$H82&lt;&gt;"",ISNA(MATCH($H82,Tables!$B$158:$B$160,0))),
Error!$B$15,
IF(AND($E82="Tier 3",$F82="Remove",$H82&lt;&gt;"",ISNA(MATCH($H82,Tables!$B$163,0))),
Error!$B$15,
IF(AND(OR($E82="Tier 2",$E82="Tier 2 Grove"),$F82="Remove",$H82&lt;&gt;"",ISNA(MATCH($H82,Tables!$B$153:$B$155,0))),
Error!$B$15,
IF(AND(OR($E82="Tier 2",$E82="Tier 2 Grove"),$F82="Retain",$H82&lt;&gt;"",ISNA(MATCH($H82,Tables!$B$147:$B$150,0))),
Error!$B$15,
IF(AND($E82="Tier 1",$F82="Remove",$H82&lt;&gt;"",ISNA(MATCH($H82,Tables!$B$143:$B$144,0))),
Error!$B$15,
IF(AND($E82="Tier 1",$F82="Retain",$H82&lt;&gt;"",ISNA(MATCH($H82,Tables!$B$137:$B$140,0))),
Error!$B$15,
IF(AND($E82&lt;&gt;"Tier 2",$E82&lt;&gt;"Tier 2 Grove",$E82&lt;&gt;"Tier 3",$E82&lt;&gt;"Tier 4",$H82="Zoning: Green Factor",OR($D82="",$D82&lt;6)),
Error!$B$11,
IF(AND(_xlpm.baseRow,$D82&lt;6,$E82="&lt;6in DSH for Tree Points",_xlpm.TreePoints_H=0),
Error!$B$21,
IF(AND(_xlpm.baseRow,$E82&lt;&gt;"",$D82&lt;&gt;"",$F82=""),
Error!$B$4,
IF(AND(_xlpm.baseRow,$F82="Remove",OR($E82="Tier 1",$E82="Tier 2",$E82="Tier 2 Grove"),COUNTBLANK(_xlpm.HRange)&lt;3,_xlpm.uniqueH&gt;=2),
Error!$B$48,
IF(AND(_xlpm.baseRow,$F82="Retain",OR($E82="Tier 1",$E82="Tier 2",$E82="Tier 2 Grove"),COUNTIF(_xlpm.HRange,"Tree Code: Required to Retain Tier 1-2 Tree")=0),
Error!$B$47,
IF(AND(_xlpm.baseRow,$E82&lt;&gt;"",$D82&lt;&gt;"",$F82&lt;&gt;"",COUNTBLANK(_xlpm.HRange)=4),
Error!$B$5,
IF(AND($F82="Remove",$H82&lt;&gt;"",$I82=""),
Error!$B$18,
IF(AND($E82="Tier 4",$F82="Remove",$H82="Tree Protection Code: Tier 3 or Tier 4 Allowance",$H82&lt;&gt;"",ISNA(MATCH($I82,Tables!$B$200,0))),
Error!$B$17,
IF(AND($E82="Tier 3",$F82="Remove",$H82&lt;&gt;"",$H82="Tree Protection Code: Tier 3 or Tier 4 Allowance",OR($I82="",ISNA(MATCH($I82,Tables!$B$193:$B$197,0)))),
Error!$B$17,
IF(AND(OR($E82="Tier 2",$E82="Tier 2 Grove"),$F82="Remove",$H82="Tree Protection Code: Other removal allowance or exemption",$I82&lt;&gt;"",ISNA(MATCH($I82,Tables!$B$215:$B$218,0))),
Error!$B$17,
IF(AND(OR($E82="Tier 2",$E82="Tier 2 Grove"),$F82="Remove",$H82="Tree Protection Code: Development Capacity",$I82&lt;&gt;"",ISNA(MATCH($I82,Tables!$B$193:$B$197,0))),
Error!$B$17,
IF(AND(OR($E82="Tier 2",$E82="Tier 2 Grove"),$F82="Remove",$H82="Tree Protection Code: Necessary for Construction",$I82&lt;&gt;"",ISNA(MATCH($I82,Tables!$B$193:$B$197,0))),
Error!$B$17,
IF(AND($E82="Tier 1",$F82="Remove",$H82="Tree Protection Code: Special Exception",$I82&lt;&gt;"",ISNA(MATCH($I82,Tables!$B$215:$B$218,0))),
Error!$B$17,
IF(AND($E82="Tier 1",$F82="Remove",$H82="Tree Protection Code: Other removal allowance or exemption",$I82&lt;&gt;"",ISNA(MATCH($I82,Tables!$B$215:$B$218,0))),
Error!$B$17,
IF(AND($E82="ECA / Shoreline Tree",$F82="Remove",$H82&lt;&gt;"",OR($H82="Shoreline",$H82="Environmental Critical Area (ECA)"),ISNA(MATCH($I82,Tables!$B$209:$B$212,0))),
Error!$B$17,
IF(AND(_xlpm.baseRow,$F82="Retain",$E82="ECA / Shoreline Tree",_xlpm.ECA_Short=0),
Error!$B$61,
IF(AND($F82="Remove",ISNUMBER(MATCH($E82,{"Tier 1","Tier 2","Tier 3","Tier 4","Tier 2 Grove"},0)),ISNUMBER(MATCH($I82,{"On-site replacement","Off-site replacement"},0)),$J82="",$H82&lt;&gt;""),
Error!$B$19,
IF(AND(_xlpm.baseRow,$E82&lt;&gt;"",$D82&lt;&gt;"",$F82&lt;&gt;"",COUNTBLANK($B82:$C82)&gt;0,COUNTBLANK(_xlpm.HRange)&lt;&gt;4),
Error!$B$22,
IF(AND($H82="Zoning: Tree Points",$K82&lt;&gt;"",ISNA(MATCH($K82,Tables!$B$242:$B$253,0))),
Error!$B$58,
IF(AND($H82="Zoning: Tree Points",$K82="Small",$L82&lt;&gt;"",ISNA(MATCH($L82,Tables!$C$243:$C$244,0))),
Error!$B$59,
IF(AND($H82="Zoning: Tree Points",$K82="Small/Medium",$L82&lt;&gt;"",ISNA(MATCH($L82,Tables!$C$246:$C$247,0))),
Error!$B$59,
IF(AND($H82="Zoning: Tree Points",$K82="Medium/Large",$L82&lt;&gt;"",ISNA(MATCH($L82,Tables!$C$249:$C$250,0))),
Error!$B$59,
IF(AND($H82="Zoning: Tree Points",$K82="Large",$L82&lt;&gt;"",ISNA(MATCH($L82,Tables!$C$252:$C$253,0))),
Error!$B$59,
IF(AND($F82="Retain",$H82="Zoning: Tree Points",$C82&lt;&gt;"",$D82&lt;&gt;"",OR($K82="",$L82="",$M82="")),
Error!$B$20,
""
)))))))))))))))))))))))))))))))))))))))))))))))))))))))),
Error!$B$23))</f>
        <v/>
      </c>
      <c r="O82" s="343" t="str" cm="1">
        <f t="array" aca="1" ref="O82" ca="1">IFERROR(_xlfn.LET(
    _xlpm.txt, $C82,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3" spans="1:15" ht="15" thickBot="1" x14ac:dyDescent="0.35">
      <c r="A83" s="311">
        <v>19</v>
      </c>
      <c r="B83" s="312"/>
      <c r="C83" s="313"/>
      <c r="D83" s="478"/>
      <c r="E83" s="314"/>
      <c r="F83" s="314"/>
      <c r="G83" s="315" t="str">
        <f>IF(Tree_Table1[[#This Row],[Tree Status  &amp;]]="Retain", Tables!$B$237, IF(Tree_Table1[[#This Row],[Tree Status  &amp;]]="Remove", Tables!$B$238, ""))</f>
        <v/>
      </c>
      <c r="H83" s="316"/>
      <c r="I83" s="317"/>
      <c r="J83" s="452"/>
      <c r="K83" s="318" t="str">
        <f>IFERROR(
    IF(
        AND($H83="Zoning: Tree Points", NOT(ISNUMBER(SEARCH("sp.", $C83)))),
        VLOOKUP($C83, 'Tree List'!$C$3:$F$601, 4, FALSE),
        ""
    ),
"")</f>
        <v/>
      </c>
      <c r="L83" s="319" t="str" cm="1">
        <f t="array" ref="L83">IFERROR(
IF(
    AND($H83="Zoning: Tree Points", NOT(ISNUMBER(SEARCH("sp.", $C83)))),
    _xlfn.IFS(
        (COUNTIFS('Tree List'!$C$3:$C$601,$C83,'Tree List'!$D$3:$D$601,"Coniferous")
        + COUNTIFS('Tree List'!$C$3:$C$601,$C83,'Tree List'!$D$3:$D$601,"Deciduous Conifer")) &gt; 0,
            _xlfn.IFS($K83="Small",0.5,$K83="Small/Medium",1,$K83="Medium/Large",1.4,$K83="Large",1.8),
        (COUNTIFS('Tree List'!$C$3:$C$601,$C83,'Tree List'!$D$3:$D$601,"Deciduous")
        + COUNTIFS('Tree List'!$C$3:$C$601,$C83,'Tree List'!$D$3:$D$601,"Broadleaf Evergreen")) &gt; 0,
            _xlfn.IFS($K83="Small",0.4,$K83="Small/Medium",0.8,$K83="Medium/Large",1.2,$K83="Large",1.6)
    ),
    ""
),
"")</f>
        <v/>
      </c>
      <c r="M83" s="474" t="str">
        <f t="shared" si="0"/>
        <v/>
      </c>
      <c r="N83" s="620" t="str" cm="1">
        <f t="array" aca="1" ref="N8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IF(AND(_xlpm.baseRow,ISNA(MATCH($C83,'Tree List'!$C$3:$C$601,0)),SUMPRODUCT(--ISNUMBER(SEARCH(Tables2!$C$677:$C$772,$O83)))&gt;0),
Error!$B$57,
IF(AND(_xlpm.hasDM,$F83="Remove",$H83&lt;&gt;"",OR($I83="On-site replacement",$I83="Off-site replacement",$I83="Payment In Lieu")),
Error!$B$56,
IF(AND(_xlpm.hasDM,$F83="Remove",$H83&lt;&gt;"",$I83="Relocation"),
Error!$B$66,
IF(AND(OR(_xlpm.hasCN,_xlpm.hasPH,_xlpm.hasGR),$H83&lt;&gt;"",COUNTIF(Tables!$B$132:$B$134,$H83)&gt;0,$I83="N/A (No replacement required)"),
Error!$B$62,
IF(AND(_xlpm.baseRow,$E83&lt;&gt;"",ISNA(MATCH($E83,Tables!$B$225:$B$232,0))),
Error!$B$2,
IF(AND(_xlpm.baseRow,$F83&lt;&gt;"",ISNA(MATCH($F83,Tables!$B$234:$B$235,0))),
Error!$B$24,
IF(AND(_xlpm.baseRow,_xlpm.ECA_H&gt;0,_xlpm.Shore_H&gt;0),
Error!$B$16,
IF(AND(_xlpm.baseRow,$E83&lt;&gt;"",$D83=""),
Error!$B$3,
IF(AND(_xlpm.baseRow,OR($E83="Tier 3",$E83="Tier 4"),$C83&lt;&gt;"",$D83&gt;=24,COUNTIF(Tables2!$B$166:$B$674,$C83)&gt;0),
Error!$B$44,
IF(AND(_xlpm.baseRow,OR($E83="Tier 3",$E83="Tier 4"),$C83&lt;&gt;"",$D83&lt;&gt;"",COUNTIF(Tables2!$B$73:$B$152,$C83)&gt;0,
$D83&gt;=IFERROR(INDEX(Tables2!$C$73:$C$152,MATCH($C83,Tables2!$B$73:$B$152,0)),-1)),
Error!$B$44,
IF(AND(_xlpm.baseRow,OR($E83="Tier 2",$E83="Tier 2 Grove"),$C83&lt;&gt;"",$D83&gt;=12,COUNTIF(Tables2!$B$153:$B$162,$C83)&gt;0),
Error!$B$45,
IF(AND(_xlpm.baseRow,$E83="Tier 2 Grove",$D83&lt;12),
Error!$B$41,
IF(AND(_xlpm.baseRow,$E83="Tier 2",$D83&lt;5.88),
Error!$B$40,
IF(AND(_xlpm.baseRow,OR($E83="Tier 2",$E83="Tier 2 Grove"),$C83&lt;&gt;"",$D83&lt;12,$D83&gt;=6,COUNTIF(Tables2!$B$153:$B$162,$C83)&gt;0),
Error!$B$54,
IF(AND(_xlpm.baseRow,$E83="Tier 2",COUNTIF(Tables2!$B$166:$B$674,$C83)&gt;0,$D83&lt;24),
Error!$B$54,
IF(AND(_xlpm.baseRow,$E83="Tier 3",ISNA(MATCH($C83,Tables2!$B$153:$B$162,0)),OR($D83&lt;12,$D83&gt;=24)),
Error!$B$9,
IF(AND(_xlpm.baseRow,$E83="Tier 3",COUNTIF(Tables2!$B$153:$B$162,$C83)&gt;0,$D83&lt;12),
Error!$B$46,
IF(AND(_xlpm.baseRow,$E83="Tier 4",OR($D83&lt;6,$D83&gt;=12)),
Error!$B$10,
IF(AND(_xlpm.baseRow,$E83="&lt;6in DSH for Tree Points",OR($D83&gt;=6,$D83="")),
Error!$B$8,
IF(AND(_xlpm.baseRow,$E83="Street Tree for Green Factor",$F83&lt;&gt;"",$F83&lt;&gt;"Retain"),
Error!$B$14,
IF(AND($E83="&lt;6in DSH for Tree Points",$F83="Retain",$H83&lt;&gt;"",ISNA(MATCH($H83,Tables!$B$174:$B$174,0))),
Error!$B$15,
IF(AND($E83="Street Tree for Green Factor",$F83="Retain",$H83&lt;&gt;"",$H83&lt;&gt;"Zoning: Green Factor"),
Error!$B$15,
IF(AND($E83="ECA / Shoreline Tree",$F83="Remove",$H83&lt;&gt;"",ISNA(MATCH($H83,Tables!$B$189:$B$190,0))),
Error!$B$15,
IF(AND($E83="ECA / Shoreline Tree",$F83="Retain",$H83&lt;&gt;"",ISNA(MATCH($H83,Tables!$B$184:$B$186,0))),
Error!$B$15,
IF(AND($E83="Tier 4",$F83="Remove",$H83&lt;&gt;"",ISNA(MATCH($H83,Tables!$B$171,0))),
Error!$B$15,
IF(AND($E83="Tier 4",$F83="Retain",$H83&lt;&gt;"",ISNA(MATCH($H83,Tables!$B$166:$B$168,0))),
Error!$B$15,
IF(AND($E83="Tier 3",$F83="Retain",$H83&lt;&gt;"",ISNA(MATCH($H83,Tables!$B$158:$B$160,0))),
Error!$B$15,
IF(AND($E83="Tier 3",$F83="Remove",$H83&lt;&gt;"",ISNA(MATCH($H83,Tables!$B$163,0))),
Error!$B$15,
IF(AND(OR($E83="Tier 2",$E83="Tier 2 Grove"),$F83="Remove",$H83&lt;&gt;"",ISNA(MATCH($H83,Tables!$B$153:$B$155,0))),
Error!$B$15,
IF(AND(OR($E83="Tier 2",$E83="Tier 2 Grove"),$F83="Retain",$H83&lt;&gt;"",ISNA(MATCH($H83,Tables!$B$147:$B$150,0))),
Error!$B$15,
IF(AND($E83="Tier 1",$F83="Remove",$H83&lt;&gt;"",ISNA(MATCH($H83,Tables!$B$143:$B$144,0))),
Error!$B$15,
IF(AND($E83="Tier 1",$F83="Retain",$H83&lt;&gt;"",ISNA(MATCH($H83,Tables!$B$137:$B$140,0))),
Error!$B$15,
IF(AND($E83&lt;&gt;"Tier 2",$E83&lt;&gt;"Tier 2 Grove",$E83&lt;&gt;"Tier 3",$E83&lt;&gt;"Tier 4",$H83="Zoning: Green Factor",OR($D83="",$D83&lt;6)),
Error!$B$11,
IF(AND(_xlpm.baseRow,$D83&lt;6,$E83="&lt;6in DSH for Tree Points",_xlpm.TreePoints_H=0),
Error!$B$21,
IF(AND(_xlpm.baseRow,$E83&lt;&gt;"",$D83&lt;&gt;"",$F83=""),
Error!$B$4,
IF(AND(_xlpm.baseRow,$F83="Remove",OR($E83="Tier 1",$E83="Tier 2",$E83="Tier 2 Grove"),COUNTBLANK(_xlpm.HRange)&lt;3,_xlpm.uniqueH&gt;=2),
Error!$B$48,
IF(AND(_xlpm.baseRow,$F83="Retain",OR($E83="Tier 1",$E83="Tier 2",$E83="Tier 2 Grove"),COUNTIF(_xlpm.HRange,"Tree Code: Required to Retain Tier 1-2 Tree")=0),
Error!$B$47,
IF(AND(_xlpm.baseRow,$E83&lt;&gt;"",$D83&lt;&gt;"",$F83&lt;&gt;"",COUNTBLANK(_xlpm.HRange)=4),
Error!$B$5,
IF(AND($F83="Remove",$H83&lt;&gt;"",$I83=""),
Error!$B$18,
IF(AND($E83="Tier 4",$F83="Remove",$H83="Tree Protection Code: Tier 3 or Tier 4 Allowance",$H83&lt;&gt;"",ISNA(MATCH($I83,Tables!$B$200,0))),
Error!$B$17,
IF(AND($E83="Tier 3",$F83="Remove",$H83&lt;&gt;"",$H83="Tree Protection Code: Tier 3 or Tier 4 Allowance",OR($I83="",ISNA(MATCH($I83,Tables!$B$193:$B$197,0)))),
Error!$B$17,
IF(AND(OR($E83="Tier 2",$E83="Tier 2 Grove"),$F83="Remove",$H83="Tree Protection Code: Other removal allowance or exemption",$I83&lt;&gt;"",ISNA(MATCH($I83,Tables!$B$215:$B$218,0))),
Error!$B$17,
IF(AND(OR($E83="Tier 2",$E83="Tier 2 Grove"),$F83="Remove",$H83="Tree Protection Code: Development Capacity",$I83&lt;&gt;"",ISNA(MATCH($I83,Tables!$B$193:$B$197,0))),
Error!$B$17,
IF(AND(OR($E83="Tier 2",$E83="Tier 2 Grove"),$F83="Remove",$H83="Tree Protection Code: Necessary for Construction",$I83&lt;&gt;"",ISNA(MATCH($I83,Tables!$B$193:$B$197,0))),
Error!$B$17,
IF(AND($E83="Tier 1",$F83="Remove",$H83="Tree Protection Code: Special Exception",$I83&lt;&gt;"",ISNA(MATCH($I83,Tables!$B$215:$B$218,0))),
Error!$B$17,
IF(AND($E83="Tier 1",$F83="Remove",$H83="Tree Protection Code: Other removal allowance or exemption",$I83&lt;&gt;"",ISNA(MATCH($I83,Tables!$B$215:$B$218,0))),
Error!$B$17,
IF(AND($E83="ECA / Shoreline Tree",$F83="Remove",$H83&lt;&gt;"",OR($H83="Shoreline",$H83="Environmental Critical Area (ECA)"),ISNA(MATCH($I83,Tables!$B$209:$B$212,0))),
Error!$B$17,
IF(AND(_xlpm.baseRow,$F83="Retain",$E83="ECA / Shoreline Tree",_xlpm.ECA_Short=0),
Error!$B$61,
IF(AND($F83="Remove",ISNUMBER(MATCH($E83,{"Tier 1","Tier 2","Tier 3","Tier 4","Tier 2 Grove"},0)),ISNUMBER(MATCH($I83,{"On-site replacement","Off-site replacement"},0)),$J83="",$H83&lt;&gt;""),
Error!$B$19,
IF(AND(_xlpm.baseRow,$E83&lt;&gt;"",$D83&lt;&gt;"",$F83&lt;&gt;"",COUNTBLANK($B83:$C83)&gt;0,COUNTBLANK(_xlpm.HRange)&lt;&gt;4),
Error!$B$22,
IF(AND($H83="Zoning: Tree Points",$K83&lt;&gt;"",ISNA(MATCH($K83,Tables!$B$242:$B$253,0))),
Error!$B$58,
IF(AND($H83="Zoning: Tree Points",$K83="Small",$L83&lt;&gt;"",ISNA(MATCH($L83,Tables!$C$243:$C$244,0))),
Error!$B$59,
IF(AND($H83="Zoning: Tree Points",$K83="Small/Medium",$L83&lt;&gt;"",ISNA(MATCH($L83,Tables!$C$246:$C$247,0))),
Error!$B$59,
IF(AND($H83="Zoning: Tree Points",$K83="Medium/Large",$L83&lt;&gt;"",ISNA(MATCH($L83,Tables!$C$249:$C$250,0))),
Error!$B$59,
IF(AND($H83="Zoning: Tree Points",$K83="Large",$L83&lt;&gt;"",ISNA(MATCH($L83,Tables!$C$252:$C$253,0))),
Error!$B$59,
IF(AND($F83="Retain",$H83="Zoning: Tree Points",$C83&lt;&gt;"",$D83&lt;&gt;"",OR($K83="",$L83="",$M83="")),
Error!$B$20,
""
)))))))))))))))))))))))))))))))))))))))))))))))))))))))),
Error!$B$23))</f>
        <v/>
      </c>
      <c r="O83" s="343" t="str" cm="1">
        <f t="array" aca="1" ref="O83" ca="1">IFERROR(_xlfn.LET(
    _xlpm.txt, $C83,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4" spans="1:15" x14ac:dyDescent="0.3">
      <c r="A84" s="320"/>
      <c r="B84" s="616" t="str">
        <f t="shared" ref="B84:B86" si="48">IF($B83="", "", $B83)</f>
        <v/>
      </c>
      <c r="C84" s="617" t="str">
        <f t="shared" ref="C84:C86" si="49">IF($C83="", "", $C83)</f>
        <v/>
      </c>
      <c r="D84" s="618" t="str">
        <f t="shared" ref="D84:D86" si="50">IF($D83="", "", $D83)</f>
        <v/>
      </c>
      <c r="E84" s="616" t="str">
        <f t="shared" ref="E84:E86" si="51">IF($E83="", "", $E83)</f>
        <v/>
      </c>
      <c r="F84" s="616" t="str">
        <f t="shared" ref="F84:F86" si="52">IF($F83="", "", $F83)</f>
        <v/>
      </c>
      <c r="G84" s="619" t="str">
        <f>IF(Tree_Table1[[#This Row],[Tree Status  &amp;]]="Retain", Tables!$B$237, IF(Tree_Table1[[#This Row],[Tree Status  &amp;]]="Remove", Tables!$B$238, ""))</f>
        <v/>
      </c>
      <c r="H84" s="321"/>
      <c r="I84" s="322"/>
      <c r="J84" s="453"/>
      <c r="K84" s="323" t="str">
        <f>IFERROR(
    IF(
        AND($H84="Zoning: Tree Points", NOT(ISNUMBER(SEARCH("sp.", $C84)))),
        VLOOKUP($C84, 'Tree List'!$C$3:$F$601, 4, FALSE),
        ""
    ),
"")</f>
        <v/>
      </c>
      <c r="L84" s="324" t="str" cm="1">
        <f t="array" ref="L84">IFERROR(
IF(
    AND($H84="Zoning: Tree Points", NOT(ISNUMBER(SEARCH("sp.", $C84)))),
    _xlfn.IFS(
        (COUNTIFS('Tree List'!$C$3:$C$601,$C84,'Tree List'!$D$3:$D$601,"Coniferous")
        + COUNTIFS('Tree List'!$C$3:$C$601,$C84,'Tree List'!$D$3:$D$601,"Deciduous Conifer")) &gt; 0,
            _xlfn.IFS($K84="Small",0.5,$K84="Small/Medium",1,$K84="Medium/Large",1.4,$K84="Large",1.8),
        (COUNTIFS('Tree List'!$C$3:$C$601,$C84,'Tree List'!$D$3:$D$601,"Deciduous")
        + COUNTIFS('Tree List'!$C$3:$C$601,$C84,'Tree List'!$D$3:$D$601,"Broadleaf Evergreen")) &gt; 0,
            _xlfn.IFS($K84="Small",0.4,$K84="Small/Medium",0.8,$K84="Medium/Large",1.2,$K84="Large",1.6)
    ),
    ""
),
"")</f>
        <v/>
      </c>
      <c r="M84" s="475" t="str">
        <f t="shared" si="0"/>
        <v/>
      </c>
      <c r="N84" s="346" t="str" cm="1">
        <f t="array" aca="1" ref="N8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IF(AND(_xlpm.baseRow,ISNA(MATCH($C84,'Tree List'!$C$3:$C$601,0)),SUMPRODUCT(--ISNUMBER(SEARCH(Tables2!$C$677:$C$772,$O84)))&gt;0),
Error!$B$57,
IF(AND(_xlpm.hasDM,$F84="Remove",$H84&lt;&gt;"",OR($I84="On-site replacement",$I84="Off-site replacement",$I84="Payment In Lieu")),
Error!$B$56,
IF(AND(_xlpm.hasDM,$F84="Remove",$H84&lt;&gt;"",$I84="Relocation"),
Error!$B$66,
IF(AND(OR(_xlpm.hasCN,_xlpm.hasPH,_xlpm.hasGR),$H84&lt;&gt;"",COUNTIF(Tables!$B$132:$B$134,$H84)&gt;0,$I84="N/A (No replacement required)"),
Error!$B$62,
IF(AND(_xlpm.baseRow,$E84&lt;&gt;"",ISNA(MATCH($E84,Tables!$B$225:$B$232,0))),
Error!$B$2,
IF(AND(_xlpm.baseRow,$F84&lt;&gt;"",ISNA(MATCH($F84,Tables!$B$234:$B$235,0))),
Error!$B$24,
IF(AND(_xlpm.baseRow,_xlpm.ECA_H&gt;0,_xlpm.Shore_H&gt;0),
Error!$B$16,
IF(AND(_xlpm.baseRow,$E84&lt;&gt;"",$D84=""),
Error!$B$3,
IF(AND(_xlpm.baseRow,OR($E84="Tier 3",$E84="Tier 4"),$C84&lt;&gt;"",$D84&gt;=24,COUNTIF(Tables2!$B$166:$B$674,$C84)&gt;0),
Error!$B$44,
IF(AND(_xlpm.baseRow,OR($E84="Tier 3",$E84="Tier 4"),$C84&lt;&gt;"",$D84&lt;&gt;"",COUNTIF(Tables2!$B$73:$B$152,$C84)&gt;0,
$D84&gt;=IFERROR(INDEX(Tables2!$C$73:$C$152,MATCH($C84,Tables2!$B$73:$B$152,0)),-1)),
Error!$B$44,
IF(AND(_xlpm.baseRow,OR($E84="Tier 2",$E84="Tier 2 Grove"),$C84&lt;&gt;"",$D84&gt;=12,COUNTIF(Tables2!$B$153:$B$162,$C84)&gt;0),
Error!$B$45,
IF(AND(_xlpm.baseRow,$E84="Tier 2 Grove",$D84&lt;12),
Error!$B$41,
IF(AND(_xlpm.baseRow,$E84="Tier 2",$D84&lt;5.88),
Error!$B$40,
IF(AND(_xlpm.baseRow,OR($E84="Tier 2",$E84="Tier 2 Grove"),$C84&lt;&gt;"",$D84&lt;12,$D84&gt;=6,COUNTIF(Tables2!$B$153:$B$162,$C84)&gt;0),
Error!$B$54,
IF(AND(_xlpm.baseRow,$E84="Tier 2",COUNTIF(Tables2!$B$166:$B$674,$C84)&gt;0,$D84&lt;24),
Error!$B$54,
IF(AND(_xlpm.baseRow,$E84="Tier 3",ISNA(MATCH($C84,Tables2!$B$153:$B$162,0)),OR($D84&lt;12,$D84&gt;=24)),
Error!$B$9,
IF(AND(_xlpm.baseRow,$E84="Tier 3",COUNTIF(Tables2!$B$153:$B$162,$C84)&gt;0,$D84&lt;12),
Error!$B$46,
IF(AND(_xlpm.baseRow,$E84="Tier 4",OR($D84&lt;6,$D84&gt;=12)),
Error!$B$10,
IF(AND(_xlpm.baseRow,$E84="&lt;6in DSH for Tree Points",OR($D84&gt;=6,$D84="")),
Error!$B$8,
IF(AND(_xlpm.baseRow,$E84="Street Tree for Green Factor",$F84&lt;&gt;"",$F84&lt;&gt;"Retain"),
Error!$B$14,
IF(AND($E84="&lt;6in DSH for Tree Points",$F84="Retain",$H84&lt;&gt;"",ISNA(MATCH($H84,Tables!$B$174:$B$174,0))),
Error!$B$15,
IF(AND($E84="Street Tree for Green Factor",$F84="Retain",$H84&lt;&gt;"",$H84&lt;&gt;"Zoning: Green Factor"),
Error!$B$15,
IF(AND($E84="ECA / Shoreline Tree",$F84="Remove",$H84&lt;&gt;"",ISNA(MATCH($H84,Tables!$B$189:$B$190,0))),
Error!$B$15,
IF(AND($E84="ECA / Shoreline Tree",$F84="Retain",$H84&lt;&gt;"",ISNA(MATCH($H84,Tables!$B$184:$B$186,0))),
Error!$B$15,
IF(AND($E84="Tier 4",$F84="Remove",$H84&lt;&gt;"",ISNA(MATCH($H84,Tables!$B$171,0))),
Error!$B$15,
IF(AND($E84="Tier 4",$F84="Retain",$H84&lt;&gt;"",ISNA(MATCH($H84,Tables!$B$166:$B$168,0))),
Error!$B$15,
IF(AND($E84="Tier 3",$F84="Retain",$H84&lt;&gt;"",ISNA(MATCH($H84,Tables!$B$158:$B$160,0))),
Error!$B$15,
IF(AND($E84="Tier 3",$F84="Remove",$H84&lt;&gt;"",ISNA(MATCH($H84,Tables!$B$163,0))),
Error!$B$15,
IF(AND(OR($E84="Tier 2",$E84="Tier 2 Grove"),$F84="Remove",$H84&lt;&gt;"",ISNA(MATCH($H84,Tables!$B$153:$B$155,0))),
Error!$B$15,
IF(AND(OR($E84="Tier 2",$E84="Tier 2 Grove"),$F84="Retain",$H84&lt;&gt;"",ISNA(MATCH($H84,Tables!$B$147:$B$150,0))),
Error!$B$15,
IF(AND($E84="Tier 1",$F84="Remove",$H84&lt;&gt;"",ISNA(MATCH($H84,Tables!$B$143:$B$144,0))),
Error!$B$15,
IF(AND($E84="Tier 1",$F84="Retain",$H84&lt;&gt;"",ISNA(MATCH($H84,Tables!$B$137:$B$140,0))),
Error!$B$15,
IF(AND($E84&lt;&gt;"Tier 2",$E84&lt;&gt;"Tier 2 Grove",$E84&lt;&gt;"Tier 3",$E84&lt;&gt;"Tier 4",$H84="Zoning: Green Factor",OR($D84="",$D84&lt;6)),
Error!$B$11,
IF(AND(_xlpm.baseRow,$D84&lt;6,$E84="&lt;6in DSH for Tree Points",_xlpm.TreePoints_H=0),
Error!$B$21,
IF(AND(_xlpm.baseRow,$E84&lt;&gt;"",$D84&lt;&gt;"",$F84=""),
Error!$B$4,
IF(AND(_xlpm.baseRow,$F84="Remove",OR($E84="Tier 1",$E84="Tier 2",$E84="Tier 2 Grove"),COUNTBLANK(_xlpm.HRange)&lt;3,_xlpm.uniqueH&gt;=2),
Error!$B$48,
IF(AND(_xlpm.baseRow,$F84="Retain",OR($E84="Tier 1",$E84="Tier 2",$E84="Tier 2 Grove"),COUNTIF(_xlpm.HRange,"Tree Code: Required to Retain Tier 1-2 Tree")=0),
Error!$B$47,
IF(AND(_xlpm.baseRow,$E84&lt;&gt;"",$D84&lt;&gt;"",$F84&lt;&gt;"",COUNTBLANK(_xlpm.HRange)=4),
Error!$B$5,
IF(AND($F84="Remove",$H84&lt;&gt;"",$I84=""),
Error!$B$18,
IF(AND($E84="Tier 4",$F84="Remove",$H84="Tree Protection Code: Tier 3 or Tier 4 Allowance",$H84&lt;&gt;"",ISNA(MATCH($I84,Tables!$B$200,0))),
Error!$B$17,
IF(AND($E84="Tier 3",$F84="Remove",$H84&lt;&gt;"",$H84="Tree Protection Code: Tier 3 or Tier 4 Allowance",OR($I84="",ISNA(MATCH($I84,Tables!$B$193:$B$197,0)))),
Error!$B$17,
IF(AND(OR($E84="Tier 2",$E84="Tier 2 Grove"),$F84="Remove",$H84="Tree Protection Code: Other removal allowance or exemption",$I84&lt;&gt;"",ISNA(MATCH($I84,Tables!$B$215:$B$218,0))),
Error!$B$17,
IF(AND(OR($E84="Tier 2",$E84="Tier 2 Grove"),$F84="Remove",$H84="Tree Protection Code: Development Capacity",$I84&lt;&gt;"",ISNA(MATCH($I84,Tables!$B$193:$B$197,0))),
Error!$B$17,
IF(AND(OR($E84="Tier 2",$E84="Tier 2 Grove"),$F84="Remove",$H84="Tree Protection Code: Necessary for Construction",$I84&lt;&gt;"",ISNA(MATCH($I84,Tables!$B$193:$B$197,0))),
Error!$B$17,
IF(AND($E84="Tier 1",$F84="Remove",$H84="Tree Protection Code: Special Exception",$I84&lt;&gt;"",ISNA(MATCH($I84,Tables!$B$215:$B$218,0))),
Error!$B$17,
IF(AND($E84="Tier 1",$F84="Remove",$H84="Tree Protection Code: Other removal allowance or exemption",$I84&lt;&gt;"",ISNA(MATCH($I84,Tables!$B$215:$B$218,0))),
Error!$B$17,
IF(AND($E84="ECA / Shoreline Tree",$F84="Remove",$H84&lt;&gt;"",OR($H84="Shoreline",$H84="Environmental Critical Area (ECA)"),ISNA(MATCH($I84,Tables!$B$209:$B$212,0))),
Error!$B$17,
IF(AND(_xlpm.baseRow,$F84="Retain",$E84="ECA / Shoreline Tree",_xlpm.ECA_Short=0),
Error!$B$61,
IF(AND($F84="Remove",ISNUMBER(MATCH($E84,{"Tier 1","Tier 2","Tier 3","Tier 4","Tier 2 Grove"},0)),ISNUMBER(MATCH($I84,{"On-site replacement","Off-site replacement"},0)),$J84="",$H84&lt;&gt;""),
Error!$B$19,
IF(AND(_xlpm.baseRow,$E84&lt;&gt;"",$D84&lt;&gt;"",$F84&lt;&gt;"",COUNTBLANK($B84:$C84)&gt;0,COUNTBLANK(_xlpm.HRange)&lt;&gt;4),
Error!$B$22,
IF(AND($H84="Zoning: Tree Points",$K84&lt;&gt;"",ISNA(MATCH($K84,Tables!$B$242:$B$253,0))),
Error!$B$58,
IF(AND($H84="Zoning: Tree Points",$K84="Small",$L84&lt;&gt;"",ISNA(MATCH($L84,Tables!$C$243:$C$244,0))),
Error!$B$59,
IF(AND($H84="Zoning: Tree Points",$K84="Small/Medium",$L84&lt;&gt;"",ISNA(MATCH($L84,Tables!$C$246:$C$247,0))),
Error!$B$59,
IF(AND($H84="Zoning: Tree Points",$K84="Medium/Large",$L84&lt;&gt;"",ISNA(MATCH($L84,Tables!$C$249:$C$250,0))),
Error!$B$59,
IF(AND($H84="Zoning: Tree Points",$K84="Large",$L84&lt;&gt;"",ISNA(MATCH($L84,Tables!$C$252:$C$253,0))),
Error!$B$59,
IF(AND($F84="Retain",$H84="Zoning: Tree Points",$C84&lt;&gt;"",$D84&lt;&gt;"",OR($K84="",$L84="",$M84="")),
Error!$B$20,
""
)))))))))))))))))))))))))))))))))))))))))))))))))))))))),
Error!$B$23))</f>
        <v/>
      </c>
      <c r="O84" s="343" t="str" cm="1">
        <f t="array" aca="1" ref="O84" ca="1">IFERROR(_xlfn.LET(
    _xlpm.txt, $C84,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5" spans="1:15" x14ac:dyDescent="0.3">
      <c r="A85" s="320"/>
      <c r="B85" s="616" t="str">
        <f t="shared" si="48"/>
        <v/>
      </c>
      <c r="C85" s="617" t="str">
        <f t="shared" si="49"/>
        <v/>
      </c>
      <c r="D85" s="618" t="str">
        <f t="shared" si="50"/>
        <v/>
      </c>
      <c r="E85" s="616" t="str">
        <f t="shared" si="51"/>
        <v/>
      </c>
      <c r="F85" s="616" t="str">
        <f t="shared" si="52"/>
        <v/>
      </c>
      <c r="G85" s="619" t="str">
        <f>IF(Tree_Table1[[#This Row],[Tree Status  &amp;]]="Retain", Tables!$B$237, IF(Tree_Table1[[#This Row],[Tree Status  &amp;]]="Remove", Tables!$B$238, ""))</f>
        <v/>
      </c>
      <c r="H85" s="321"/>
      <c r="I85" s="322"/>
      <c r="J85" s="453"/>
      <c r="K85" s="323" t="str">
        <f>IFERROR(
    IF(
        AND($H85="Zoning: Tree Points", NOT(ISNUMBER(SEARCH("sp.", $C85)))),
        VLOOKUP($C85, 'Tree List'!$C$3:$F$601, 4, FALSE),
        ""
    ),
"")</f>
        <v/>
      </c>
      <c r="L85" s="324" t="str" cm="1">
        <f t="array" ref="L85">IFERROR(
IF(
    AND($H85="Zoning: Tree Points", NOT(ISNUMBER(SEARCH("sp.", $C85)))),
    _xlfn.IFS(
        (COUNTIFS('Tree List'!$C$3:$C$601,$C85,'Tree List'!$D$3:$D$601,"Coniferous")
        + COUNTIFS('Tree List'!$C$3:$C$601,$C85,'Tree List'!$D$3:$D$601,"Deciduous Conifer")) &gt; 0,
            _xlfn.IFS($K85="Small",0.5,$K85="Small/Medium",1,$K85="Medium/Large",1.4,$K85="Large",1.8),
        (COUNTIFS('Tree List'!$C$3:$C$601,$C85,'Tree List'!$D$3:$D$601,"Deciduous")
        + COUNTIFS('Tree List'!$C$3:$C$601,$C85,'Tree List'!$D$3:$D$601,"Broadleaf Evergreen")) &gt; 0,
            _xlfn.IFS($K85="Small",0.4,$K85="Small/Medium",0.8,$K85="Medium/Large",1.2,$K85="Large",1.6)
    ),
    ""
),
"")</f>
        <v/>
      </c>
      <c r="M85" s="475" t="str">
        <f t="shared" si="0"/>
        <v/>
      </c>
      <c r="N85" s="346" t="str" cm="1">
        <f t="array" aca="1" ref="N8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IF(AND(_xlpm.baseRow,ISNA(MATCH($C85,'Tree List'!$C$3:$C$601,0)),SUMPRODUCT(--ISNUMBER(SEARCH(Tables2!$C$677:$C$772,$O85)))&gt;0),
Error!$B$57,
IF(AND(_xlpm.hasDM,$F85="Remove",$H85&lt;&gt;"",OR($I85="On-site replacement",$I85="Off-site replacement",$I85="Payment In Lieu")),
Error!$B$56,
IF(AND(_xlpm.hasDM,$F85="Remove",$H85&lt;&gt;"",$I85="Relocation"),
Error!$B$66,
IF(AND(OR(_xlpm.hasCN,_xlpm.hasPH,_xlpm.hasGR),$H85&lt;&gt;"",COUNTIF(Tables!$B$132:$B$134,$H85)&gt;0,$I85="N/A (No replacement required)"),
Error!$B$62,
IF(AND(_xlpm.baseRow,$E85&lt;&gt;"",ISNA(MATCH($E85,Tables!$B$225:$B$232,0))),
Error!$B$2,
IF(AND(_xlpm.baseRow,$F85&lt;&gt;"",ISNA(MATCH($F85,Tables!$B$234:$B$235,0))),
Error!$B$24,
IF(AND(_xlpm.baseRow,_xlpm.ECA_H&gt;0,_xlpm.Shore_H&gt;0),
Error!$B$16,
IF(AND(_xlpm.baseRow,$E85&lt;&gt;"",$D85=""),
Error!$B$3,
IF(AND(_xlpm.baseRow,OR($E85="Tier 3",$E85="Tier 4"),$C85&lt;&gt;"",$D85&gt;=24,COUNTIF(Tables2!$B$166:$B$674,$C85)&gt;0),
Error!$B$44,
IF(AND(_xlpm.baseRow,OR($E85="Tier 3",$E85="Tier 4"),$C85&lt;&gt;"",$D85&lt;&gt;"",COUNTIF(Tables2!$B$73:$B$152,$C85)&gt;0,
$D85&gt;=IFERROR(INDEX(Tables2!$C$73:$C$152,MATCH($C85,Tables2!$B$73:$B$152,0)),-1)),
Error!$B$44,
IF(AND(_xlpm.baseRow,OR($E85="Tier 2",$E85="Tier 2 Grove"),$C85&lt;&gt;"",$D85&gt;=12,COUNTIF(Tables2!$B$153:$B$162,$C85)&gt;0),
Error!$B$45,
IF(AND(_xlpm.baseRow,$E85="Tier 2 Grove",$D85&lt;12),
Error!$B$41,
IF(AND(_xlpm.baseRow,$E85="Tier 2",$D85&lt;5.88),
Error!$B$40,
IF(AND(_xlpm.baseRow,OR($E85="Tier 2",$E85="Tier 2 Grove"),$C85&lt;&gt;"",$D85&lt;12,$D85&gt;=6,COUNTIF(Tables2!$B$153:$B$162,$C85)&gt;0),
Error!$B$54,
IF(AND(_xlpm.baseRow,$E85="Tier 2",COUNTIF(Tables2!$B$166:$B$674,$C85)&gt;0,$D85&lt;24),
Error!$B$54,
IF(AND(_xlpm.baseRow,$E85="Tier 3",ISNA(MATCH($C85,Tables2!$B$153:$B$162,0)),OR($D85&lt;12,$D85&gt;=24)),
Error!$B$9,
IF(AND(_xlpm.baseRow,$E85="Tier 3",COUNTIF(Tables2!$B$153:$B$162,$C85)&gt;0,$D85&lt;12),
Error!$B$46,
IF(AND(_xlpm.baseRow,$E85="Tier 4",OR($D85&lt;6,$D85&gt;=12)),
Error!$B$10,
IF(AND(_xlpm.baseRow,$E85="&lt;6in DSH for Tree Points",OR($D85&gt;=6,$D85="")),
Error!$B$8,
IF(AND(_xlpm.baseRow,$E85="Street Tree for Green Factor",$F85&lt;&gt;"",$F85&lt;&gt;"Retain"),
Error!$B$14,
IF(AND($E85="&lt;6in DSH for Tree Points",$F85="Retain",$H85&lt;&gt;"",ISNA(MATCH($H85,Tables!$B$174:$B$174,0))),
Error!$B$15,
IF(AND($E85="Street Tree for Green Factor",$F85="Retain",$H85&lt;&gt;"",$H85&lt;&gt;"Zoning: Green Factor"),
Error!$B$15,
IF(AND($E85="ECA / Shoreline Tree",$F85="Remove",$H85&lt;&gt;"",ISNA(MATCH($H85,Tables!$B$189:$B$190,0))),
Error!$B$15,
IF(AND($E85="ECA / Shoreline Tree",$F85="Retain",$H85&lt;&gt;"",ISNA(MATCH($H85,Tables!$B$184:$B$186,0))),
Error!$B$15,
IF(AND($E85="Tier 4",$F85="Remove",$H85&lt;&gt;"",ISNA(MATCH($H85,Tables!$B$171,0))),
Error!$B$15,
IF(AND($E85="Tier 4",$F85="Retain",$H85&lt;&gt;"",ISNA(MATCH($H85,Tables!$B$166:$B$168,0))),
Error!$B$15,
IF(AND($E85="Tier 3",$F85="Retain",$H85&lt;&gt;"",ISNA(MATCH($H85,Tables!$B$158:$B$160,0))),
Error!$B$15,
IF(AND($E85="Tier 3",$F85="Remove",$H85&lt;&gt;"",ISNA(MATCH($H85,Tables!$B$163,0))),
Error!$B$15,
IF(AND(OR($E85="Tier 2",$E85="Tier 2 Grove"),$F85="Remove",$H85&lt;&gt;"",ISNA(MATCH($H85,Tables!$B$153:$B$155,0))),
Error!$B$15,
IF(AND(OR($E85="Tier 2",$E85="Tier 2 Grove"),$F85="Retain",$H85&lt;&gt;"",ISNA(MATCH($H85,Tables!$B$147:$B$150,0))),
Error!$B$15,
IF(AND($E85="Tier 1",$F85="Remove",$H85&lt;&gt;"",ISNA(MATCH($H85,Tables!$B$143:$B$144,0))),
Error!$B$15,
IF(AND($E85="Tier 1",$F85="Retain",$H85&lt;&gt;"",ISNA(MATCH($H85,Tables!$B$137:$B$140,0))),
Error!$B$15,
IF(AND($E85&lt;&gt;"Tier 2",$E85&lt;&gt;"Tier 2 Grove",$E85&lt;&gt;"Tier 3",$E85&lt;&gt;"Tier 4",$H85="Zoning: Green Factor",OR($D85="",$D85&lt;6)),
Error!$B$11,
IF(AND(_xlpm.baseRow,$D85&lt;6,$E85="&lt;6in DSH for Tree Points",_xlpm.TreePoints_H=0),
Error!$B$21,
IF(AND(_xlpm.baseRow,$E85&lt;&gt;"",$D85&lt;&gt;"",$F85=""),
Error!$B$4,
IF(AND(_xlpm.baseRow,$F85="Remove",OR($E85="Tier 1",$E85="Tier 2",$E85="Tier 2 Grove"),COUNTBLANK(_xlpm.HRange)&lt;3,_xlpm.uniqueH&gt;=2),
Error!$B$48,
IF(AND(_xlpm.baseRow,$F85="Retain",OR($E85="Tier 1",$E85="Tier 2",$E85="Tier 2 Grove"),COUNTIF(_xlpm.HRange,"Tree Code: Required to Retain Tier 1-2 Tree")=0),
Error!$B$47,
IF(AND(_xlpm.baseRow,$E85&lt;&gt;"",$D85&lt;&gt;"",$F85&lt;&gt;"",COUNTBLANK(_xlpm.HRange)=4),
Error!$B$5,
IF(AND($F85="Remove",$H85&lt;&gt;"",$I85=""),
Error!$B$18,
IF(AND($E85="Tier 4",$F85="Remove",$H85="Tree Protection Code: Tier 3 or Tier 4 Allowance",$H85&lt;&gt;"",ISNA(MATCH($I85,Tables!$B$200,0))),
Error!$B$17,
IF(AND($E85="Tier 3",$F85="Remove",$H85&lt;&gt;"",$H85="Tree Protection Code: Tier 3 or Tier 4 Allowance",OR($I85="",ISNA(MATCH($I85,Tables!$B$193:$B$197,0)))),
Error!$B$17,
IF(AND(OR($E85="Tier 2",$E85="Tier 2 Grove"),$F85="Remove",$H85="Tree Protection Code: Other removal allowance or exemption",$I85&lt;&gt;"",ISNA(MATCH($I85,Tables!$B$215:$B$218,0))),
Error!$B$17,
IF(AND(OR($E85="Tier 2",$E85="Tier 2 Grove"),$F85="Remove",$H85="Tree Protection Code: Development Capacity",$I85&lt;&gt;"",ISNA(MATCH($I85,Tables!$B$193:$B$197,0))),
Error!$B$17,
IF(AND(OR($E85="Tier 2",$E85="Tier 2 Grove"),$F85="Remove",$H85="Tree Protection Code: Necessary for Construction",$I85&lt;&gt;"",ISNA(MATCH($I85,Tables!$B$193:$B$197,0))),
Error!$B$17,
IF(AND($E85="Tier 1",$F85="Remove",$H85="Tree Protection Code: Special Exception",$I85&lt;&gt;"",ISNA(MATCH($I85,Tables!$B$215:$B$218,0))),
Error!$B$17,
IF(AND($E85="Tier 1",$F85="Remove",$H85="Tree Protection Code: Other removal allowance or exemption",$I85&lt;&gt;"",ISNA(MATCH($I85,Tables!$B$215:$B$218,0))),
Error!$B$17,
IF(AND($E85="ECA / Shoreline Tree",$F85="Remove",$H85&lt;&gt;"",OR($H85="Shoreline",$H85="Environmental Critical Area (ECA)"),ISNA(MATCH($I85,Tables!$B$209:$B$212,0))),
Error!$B$17,
IF(AND(_xlpm.baseRow,$F85="Retain",$E85="ECA / Shoreline Tree",_xlpm.ECA_Short=0),
Error!$B$61,
IF(AND($F85="Remove",ISNUMBER(MATCH($E85,{"Tier 1","Tier 2","Tier 3","Tier 4","Tier 2 Grove"},0)),ISNUMBER(MATCH($I85,{"On-site replacement","Off-site replacement"},0)),$J85="",$H85&lt;&gt;""),
Error!$B$19,
IF(AND(_xlpm.baseRow,$E85&lt;&gt;"",$D85&lt;&gt;"",$F85&lt;&gt;"",COUNTBLANK($B85:$C85)&gt;0,COUNTBLANK(_xlpm.HRange)&lt;&gt;4),
Error!$B$22,
IF(AND($H85="Zoning: Tree Points",$K85&lt;&gt;"",ISNA(MATCH($K85,Tables!$B$242:$B$253,0))),
Error!$B$58,
IF(AND($H85="Zoning: Tree Points",$K85="Small",$L85&lt;&gt;"",ISNA(MATCH($L85,Tables!$C$243:$C$244,0))),
Error!$B$59,
IF(AND($H85="Zoning: Tree Points",$K85="Small/Medium",$L85&lt;&gt;"",ISNA(MATCH($L85,Tables!$C$246:$C$247,0))),
Error!$B$59,
IF(AND($H85="Zoning: Tree Points",$K85="Medium/Large",$L85&lt;&gt;"",ISNA(MATCH($L85,Tables!$C$249:$C$250,0))),
Error!$B$59,
IF(AND($H85="Zoning: Tree Points",$K85="Large",$L85&lt;&gt;"",ISNA(MATCH($L85,Tables!$C$252:$C$253,0))),
Error!$B$59,
IF(AND($F85="Retain",$H85="Zoning: Tree Points",$C85&lt;&gt;"",$D85&lt;&gt;"",OR($K85="",$L85="",$M85="")),
Error!$B$20,
""
)))))))))))))))))))))))))))))))))))))))))))))))))))))))),
Error!$B$23))</f>
        <v/>
      </c>
      <c r="O85" s="343" t="str" cm="1">
        <f t="array" aca="1" ref="O85" ca="1">IFERROR(_xlfn.LET(
    _xlpm.txt, $C85,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6" spans="1:15" ht="15" thickBot="1" x14ac:dyDescent="0.35">
      <c r="A86" s="331"/>
      <c r="B86" s="616" t="str">
        <f t="shared" si="48"/>
        <v/>
      </c>
      <c r="C86" s="617" t="str">
        <f t="shared" si="49"/>
        <v/>
      </c>
      <c r="D86" s="618" t="str">
        <f t="shared" si="50"/>
        <v/>
      </c>
      <c r="E86" s="616" t="str">
        <f t="shared" si="51"/>
        <v/>
      </c>
      <c r="F86" s="616" t="str">
        <f t="shared" si="52"/>
        <v/>
      </c>
      <c r="G86" s="619" t="str">
        <f>IF(Tree_Table1[[#This Row],[Tree Status  &amp;]]="Retain", Tables!$B$237, IF(Tree_Table1[[#This Row],[Tree Status  &amp;]]="Remove", Tables!$B$238, ""))</f>
        <v/>
      </c>
      <c r="H86" s="329"/>
      <c r="I86" s="330"/>
      <c r="J86" s="455"/>
      <c r="K86" s="327" t="str">
        <f>IFERROR(
    IF(
        AND($H86="Zoning: Tree Points", NOT(ISNUMBER(SEARCH("sp.", $C86)))),
        VLOOKUP($C86, 'Tree List'!$C$3:$F$601, 4, FALSE),
        ""
    ),
"")</f>
        <v/>
      </c>
      <c r="L86" s="328" t="str" cm="1">
        <f t="array" ref="L86">IFERROR(
IF(
    AND($H86="Zoning: Tree Points", NOT(ISNUMBER(SEARCH("sp.", $C86)))),
    _xlfn.IFS(
        (COUNTIFS('Tree List'!$C$3:$C$601,$C86,'Tree List'!$D$3:$D$601,"Coniferous")
        + COUNTIFS('Tree List'!$C$3:$C$601,$C86,'Tree List'!$D$3:$D$601,"Deciduous Conifer")) &gt; 0,
            _xlfn.IFS($K86="Small",0.5,$K86="Small/Medium",1,$K86="Medium/Large",1.4,$K86="Large",1.8),
        (COUNTIFS('Tree List'!$C$3:$C$601,$C86,'Tree List'!$D$3:$D$601,"Deciduous")
        + COUNTIFS('Tree List'!$C$3:$C$601,$C86,'Tree List'!$D$3:$D$601,"Broadleaf Evergreen")) &gt; 0,
            _xlfn.IFS($K86="Small",0.4,$K86="Small/Medium",0.8,$K86="Medium/Large",1.2,$K86="Large",1.6)
    ),
    ""
),
"")</f>
        <v/>
      </c>
      <c r="M86" s="476" t="str">
        <f t="shared" si="0"/>
        <v/>
      </c>
      <c r="N86" s="347" t="str" cm="1">
        <f t="array" aca="1" ref="N8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IF(AND(_xlpm.baseRow,ISNA(MATCH($C86,'Tree List'!$C$3:$C$601,0)),SUMPRODUCT(--ISNUMBER(SEARCH(Tables2!$C$677:$C$772,$O86)))&gt;0),
Error!$B$57,
IF(AND(_xlpm.hasDM,$F86="Remove",$H86&lt;&gt;"",OR($I86="On-site replacement",$I86="Off-site replacement",$I86="Payment In Lieu")),
Error!$B$56,
IF(AND(_xlpm.hasDM,$F86="Remove",$H86&lt;&gt;"",$I86="Relocation"),
Error!$B$66,
IF(AND(OR(_xlpm.hasCN,_xlpm.hasPH,_xlpm.hasGR),$H86&lt;&gt;"",COUNTIF(Tables!$B$132:$B$134,$H86)&gt;0,$I86="N/A (No replacement required)"),
Error!$B$62,
IF(AND(_xlpm.baseRow,$E86&lt;&gt;"",ISNA(MATCH($E86,Tables!$B$225:$B$232,0))),
Error!$B$2,
IF(AND(_xlpm.baseRow,$F86&lt;&gt;"",ISNA(MATCH($F86,Tables!$B$234:$B$235,0))),
Error!$B$24,
IF(AND(_xlpm.baseRow,_xlpm.ECA_H&gt;0,_xlpm.Shore_H&gt;0),
Error!$B$16,
IF(AND(_xlpm.baseRow,$E86&lt;&gt;"",$D86=""),
Error!$B$3,
IF(AND(_xlpm.baseRow,OR($E86="Tier 3",$E86="Tier 4"),$C86&lt;&gt;"",$D86&gt;=24,COUNTIF(Tables2!$B$166:$B$674,$C86)&gt;0),
Error!$B$44,
IF(AND(_xlpm.baseRow,OR($E86="Tier 3",$E86="Tier 4"),$C86&lt;&gt;"",$D86&lt;&gt;"",COUNTIF(Tables2!$B$73:$B$152,$C86)&gt;0,
$D86&gt;=IFERROR(INDEX(Tables2!$C$73:$C$152,MATCH($C86,Tables2!$B$73:$B$152,0)),-1)),
Error!$B$44,
IF(AND(_xlpm.baseRow,OR($E86="Tier 2",$E86="Tier 2 Grove"),$C86&lt;&gt;"",$D86&gt;=12,COUNTIF(Tables2!$B$153:$B$162,$C86)&gt;0),
Error!$B$45,
IF(AND(_xlpm.baseRow,$E86="Tier 2 Grove",$D86&lt;12),
Error!$B$41,
IF(AND(_xlpm.baseRow,$E86="Tier 2",$D86&lt;5.88),
Error!$B$40,
IF(AND(_xlpm.baseRow,OR($E86="Tier 2",$E86="Tier 2 Grove"),$C86&lt;&gt;"",$D86&lt;12,$D86&gt;=6,COUNTIF(Tables2!$B$153:$B$162,$C86)&gt;0),
Error!$B$54,
IF(AND(_xlpm.baseRow,$E86="Tier 2",COUNTIF(Tables2!$B$166:$B$674,$C86)&gt;0,$D86&lt;24),
Error!$B$54,
IF(AND(_xlpm.baseRow,$E86="Tier 3",ISNA(MATCH($C86,Tables2!$B$153:$B$162,0)),OR($D86&lt;12,$D86&gt;=24)),
Error!$B$9,
IF(AND(_xlpm.baseRow,$E86="Tier 3",COUNTIF(Tables2!$B$153:$B$162,$C86)&gt;0,$D86&lt;12),
Error!$B$46,
IF(AND(_xlpm.baseRow,$E86="Tier 4",OR($D86&lt;6,$D86&gt;=12)),
Error!$B$10,
IF(AND(_xlpm.baseRow,$E86="&lt;6in DSH for Tree Points",OR($D86&gt;=6,$D86="")),
Error!$B$8,
IF(AND(_xlpm.baseRow,$E86="Street Tree for Green Factor",$F86&lt;&gt;"",$F86&lt;&gt;"Retain"),
Error!$B$14,
IF(AND($E86="&lt;6in DSH for Tree Points",$F86="Retain",$H86&lt;&gt;"",ISNA(MATCH($H86,Tables!$B$174:$B$174,0))),
Error!$B$15,
IF(AND($E86="Street Tree for Green Factor",$F86="Retain",$H86&lt;&gt;"",$H86&lt;&gt;"Zoning: Green Factor"),
Error!$B$15,
IF(AND($E86="ECA / Shoreline Tree",$F86="Remove",$H86&lt;&gt;"",ISNA(MATCH($H86,Tables!$B$189:$B$190,0))),
Error!$B$15,
IF(AND($E86="ECA / Shoreline Tree",$F86="Retain",$H86&lt;&gt;"",ISNA(MATCH($H86,Tables!$B$184:$B$186,0))),
Error!$B$15,
IF(AND($E86="Tier 4",$F86="Remove",$H86&lt;&gt;"",ISNA(MATCH($H86,Tables!$B$171,0))),
Error!$B$15,
IF(AND($E86="Tier 4",$F86="Retain",$H86&lt;&gt;"",ISNA(MATCH($H86,Tables!$B$166:$B$168,0))),
Error!$B$15,
IF(AND($E86="Tier 3",$F86="Retain",$H86&lt;&gt;"",ISNA(MATCH($H86,Tables!$B$158:$B$160,0))),
Error!$B$15,
IF(AND($E86="Tier 3",$F86="Remove",$H86&lt;&gt;"",ISNA(MATCH($H86,Tables!$B$163,0))),
Error!$B$15,
IF(AND(OR($E86="Tier 2",$E86="Tier 2 Grove"),$F86="Remove",$H86&lt;&gt;"",ISNA(MATCH($H86,Tables!$B$153:$B$155,0))),
Error!$B$15,
IF(AND(OR($E86="Tier 2",$E86="Tier 2 Grove"),$F86="Retain",$H86&lt;&gt;"",ISNA(MATCH($H86,Tables!$B$147:$B$150,0))),
Error!$B$15,
IF(AND($E86="Tier 1",$F86="Remove",$H86&lt;&gt;"",ISNA(MATCH($H86,Tables!$B$143:$B$144,0))),
Error!$B$15,
IF(AND($E86="Tier 1",$F86="Retain",$H86&lt;&gt;"",ISNA(MATCH($H86,Tables!$B$137:$B$140,0))),
Error!$B$15,
IF(AND($E86&lt;&gt;"Tier 2",$E86&lt;&gt;"Tier 2 Grove",$E86&lt;&gt;"Tier 3",$E86&lt;&gt;"Tier 4",$H86="Zoning: Green Factor",OR($D86="",$D86&lt;6)),
Error!$B$11,
IF(AND(_xlpm.baseRow,$D86&lt;6,$E86="&lt;6in DSH for Tree Points",_xlpm.TreePoints_H=0),
Error!$B$21,
IF(AND(_xlpm.baseRow,$E86&lt;&gt;"",$D86&lt;&gt;"",$F86=""),
Error!$B$4,
IF(AND(_xlpm.baseRow,$F86="Remove",OR($E86="Tier 1",$E86="Tier 2",$E86="Tier 2 Grove"),COUNTBLANK(_xlpm.HRange)&lt;3,_xlpm.uniqueH&gt;=2),
Error!$B$48,
IF(AND(_xlpm.baseRow,$F86="Retain",OR($E86="Tier 1",$E86="Tier 2",$E86="Tier 2 Grove"),COUNTIF(_xlpm.HRange,"Tree Code: Required to Retain Tier 1-2 Tree")=0),
Error!$B$47,
IF(AND(_xlpm.baseRow,$E86&lt;&gt;"",$D86&lt;&gt;"",$F86&lt;&gt;"",COUNTBLANK(_xlpm.HRange)=4),
Error!$B$5,
IF(AND($F86="Remove",$H86&lt;&gt;"",$I86=""),
Error!$B$18,
IF(AND($E86="Tier 4",$F86="Remove",$H86="Tree Protection Code: Tier 3 or Tier 4 Allowance",$H86&lt;&gt;"",ISNA(MATCH($I86,Tables!$B$200,0))),
Error!$B$17,
IF(AND($E86="Tier 3",$F86="Remove",$H86&lt;&gt;"",$H86="Tree Protection Code: Tier 3 or Tier 4 Allowance",OR($I86="",ISNA(MATCH($I86,Tables!$B$193:$B$197,0)))),
Error!$B$17,
IF(AND(OR($E86="Tier 2",$E86="Tier 2 Grove"),$F86="Remove",$H86="Tree Protection Code: Other removal allowance or exemption",$I86&lt;&gt;"",ISNA(MATCH($I86,Tables!$B$215:$B$218,0))),
Error!$B$17,
IF(AND(OR($E86="Tier 2",$E86="Tier 2 Grove"),$F86="Remove",$H86="Tree Protection Code: Development Capacity",$I86&lt;&gt;"",ISNA(MATCH($I86,Tables!$B$193:$B$197,0))),
Error!$B$17,
IF(AND(OR($E86="Tier 2",$E86="Tier 2 Grove"),$F86="Remove",$H86="Tree Protection Code: Necessary for Construction",$I86&lt;&gt;"",ISNA(MATCH($I86,Tables!$B$193:$B$197,0))),
Error!$B$17,
IF(AND($E86="Tier 1",$F86="Remove",$H86="Tree Protection Code: Special Exception",$I86&lt;&gt;"",ISNA(MATCH($I86,Tables!$B$215:$B$218,0))),
Error!$B$17,
IF(AND($E86="Tier 1",$F86="Remove",$H86="Tree Protection Code: Other removal allowance or exemption",$I86&lt;&gt;"",ISNA(MATCH($I86,Tables!$B$215:$B$218,0))),
Error!$B$17,
IF(AND($E86="ECA / Shoreline Tree",$F86="Remove",$H86&lt;&gt;"",OR($H86="Shoreline",$H86="Environmental Critical Area (ECA)"),ISNA(MATCH($I86,Tables!$B$209:$B$212,0))),
Error!$B$17,
IF(AND(_xlpm.baseRow,$F86="Retain",$E86="ECA / Shoreline Tree",_xlpm.ECA_Short=0),
Error!$B$61,
IF(AND($F86="Remove",ISNUMBER(MATCH($E86,{"Tier 1","Tier 2","Tier 3","Tier 4","Tier 2 Grove"},0)),ISNUMBER(MATCH($I86,{"On-site replacement","Off-site replacement"},0)),$J86="",$H86&lt;&gt;""),
Error!$B$19,
IF(AND(_xlpm.baseRow,$E86&lt;&gt;"",$D86&lt;&gt;"",$F86&lt;&gt;"",COUNTBLANK($B86:$C86)&gt;0,COUNTBLANK(_xlpm.HRange)&lt;&gt;4),
Error!$B$22,
IF(AND($H86="Zoning: Tree Points",$K86&lt;&gt;"",ISNA(MATCH($K86,Tables!$B$242:$B$253,0))),
Error!$B$58,
IF(AND($H86="Zoning: Tree Points",$K86="Small",$L86&lt;&gt;"",ISNA(MATCH($L86,Tables!$C$243:$C$244,0))),
Error!$B$59,
IF(AND($H86="Zoning: Tree Points",$K86="Small/Medium",$L86&lt;&gt;"",ISNA(MATCH($L86,Tables!$C$246:$C$247,0))),
Error!$B$59,
IF(AND($H86="Zoning: Tree Points",$K86="Medium/Large",$L86&lt;&gt;"",ISNA(MATCH($L86,Tables!$C$249:$C$250,0))),
Error!$B$59,
IF(AND($H86="Zoning: Tree Points",$K86="Large",$L86&lt;&gt;"",ISNA(MATCH($L86,Tables!$C$252:$C$253,0))),
Error!$B$59,
IF(AND($F86="Retain",$H86="Zoning: Tree Points",$C86&lt;&gt;"",$D86&lt;&gt;"",OR($K86="",$L86="",$M86="")),
Error!$B$20,
""
)))))))))))))))))))))))))))))))))))))))))))))))))))))))),
Error!$B$23))</f>
        <v/>
      </c>
      <c r="O86" s="343" t="str" cm="1">
        <f t="array" aca="1" ref="O86" ca="1">IFERROR(_xlfn.LET(
    _xlpm.txt, $C86,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7" spans="1:15" ht="15" thickBot="1" x14ac:dyDescent="0.35">
      <c r="A87" s="311">
        <v>20</v>
      </c>
      <c r="B87" s="312"/>
      <c r="C87" s="313"/>
      <c r="D87" s="478"/>
      <c r="E87" s="314"/>
      <c r="F87" s="314"/>
      <c r="G87" s="315" t="str">
        <f>IF(Tree_Table1[[#This Row],[Tree Status  &amp;]]="Retain", Tables!$B$237, IF(Tree_Table1[[#This Row],[Tree Status  &amp;]]="Remove", Tables!$B$238, ""))</f>
        <v/>
      </c>
      <c r="H87" s="316"/>
      <c r="I87" s="317"/>
      <c r="J87" s="452"/>
      <c r="K87" s="318" t="str">
        <f>IFERROR(
    IF(
        AND($H87="Zoning: Tree Points", NOT(ISNUMBER(SEARCH("sp.", $C87)))),
        VLOOKUP($C87, 'Tree List'!$C$3:$F$601, 4, FALSE),
        ""
    ),
"")</f>
        <v/>
      </c>
      <c r="L87" s="319" t="str" cm="1">
        <f t="array" ref="L87">IFERROR(
IF(
    AND($H87="Zoning: Tree Points", NOT(ISNUMBER(SEARCH("sp.", $C87)))),
    _xlfn.IFS(
        (COUNTIFS('Tree List'!$C$3:$C$601,$C87,'Tree List'!$D$3:$D$601,"Coniferous")
        + COUNTIFS('Tree List'!$C$3:$C$601,$C87,'Tree List'!$D$3:$D$601,"Deciduous Conifer")) &gt; 0,
            _xlfn.IFS($K87="Small",0.5,$K87="Small/Medium",1,$K87="Medium/Large",1.4,$K87="Large",1.8),
        (COUNTIFS('Tree List'!$C$3:$C$601,$C87,'Tree List'!$D$3:$D$601,"Deciduous")
        + COUNTIFS('Tree List'!$C$3:$C$601,$C87,'Tree List'!$D$3:$D$601,"Broadleaf Evergreen")) &gt; 0,
            _xlfn.IFS($K87="Small",0.4,$K87="Small/Medium",0.8,$K87="Medium/Large",1.2,$K87="Large",1.6)
    ),
    ""
),
"")</f>
        <v/>
      </c>
      <c r="M87" s="474" t="str">
        <f t="shared" si="0"/>
        <v/>
      </c>
      <c r="N87" s="620" t="str" cm="1">
        <f t="array" aca="1" ref="N8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IF(AND(_xlpm.baseRow,ISNA(MATCH($C87,'Tree List'!$C$3:$C$601,0)),SUMPRODUCT(--ISNUMBER(SEARCH(Tables2!$C$677:$C$772,$O87)))&gt;0),
Error!$B$57,
IF(AND(_xlpm.hasDM,$F87="Remove",$H87&lt;&gt;"",OR($I87="On-site replacement",$I87="Off-site replacement",$I87="Payment In Lieu")),
Error!$B$56,
IF(AND(_xlpm.hasDM,$F87="Remove",$H87&lt;&gt;"",$I87="Relocation"),
Error!$B$66,
IF(AND(OR(_xlpm.hasCN,_xlpm.hasPH,_xlpm.hasGR),$H87&lt;&gt;"",COUNTIF(Tables!$B$132:$B$134,$H87)&gt;0,$I87="N/A (No replacement required)"),
Error!$B$62,
IF(AND(_xlpm.baseRow,$E87&lt;&gt;"",ISNA(MATCH($E87,Tables!$B$225:$B$232,0))),
Error!$B$2,
IF(AND(_xlpm.baseRow,$F87&lt;&gt;"",ISNA(MATCH($F87,Tables!$B$234:$B$235,0))),
Error!$B$24,
IF(AND(_xlpm.baseRow,_xlpm.ECA_H&gt;0,_xlpm.Shore_H&gt;0),
Error!$B$16,
IF(AND(_xlpm.baseRow,$E87&lt;&gt;"",$D87=""),
Error!$B$3,
IF(AND(_xlpm.baseRow,OR($E87="Tier 3",$E87="Tier 4"),$C87&lt;&gt;"",$D87&gt;=24,COUNTIF(Tables2!$B$166:$B$674,$C87)&gt;0),
Error!$B$44,
IF(AND(_xlpm.baseRow,OR($E87="Tier 3",$E87="Tier 4"),$C87&lt;&gt;"",$D87&lt;&gt;"",COUNTIF(Tables2!$B$73:$B$152,$C87)&gt;0,
$D87&gt;=IFERROR(INDEX(Tables2!$C$73:$C$152,MATCH($C87,Tables2!$B$73:$B$152,0)),-1)),
Error!$B$44,
IF(AND(_xlpm.baseRow,OR($E87="Tier 2",$E87="Tier 2 Grove"),$C87&lt;&gt;"",$D87&gt;=12,COUNTIF(Tables2!$B$153:$B$162,$C87)&gt;0),
Error!$B$45,
IF(AND(_xlpm.baseRow,$E87="Tier 2 Grove",$D87&lt;12),
Error!$B$41,
IF(AND(_xlpm.baseRow,$E87="Tier 2",$D87&lt;5.88),
Error!$B$40,
IF(AND(_xlpm.baseRow,OR($E87="Tier 2",$E87="Tier 2 Grove"),$C87&lt;&gt;"",$D87&lt;12,$D87&gt;=6,COUNTIF(Tables2!$B$153:$B$162,$C87)&gt;0),
Error!$B$54,
IF(AND(_xlpm.baseRow,$E87="Tier 2",COUNTIF(Tables2!$B$166:$B$674,$C87)&gt;0,$D87&lt;24),
Error!$B$54,
IF(AND(_xlpm.baseRow,$E87="Tier 3",ISNA(MATCH($C87,Tables2!$B$153:$B$162,0)),OR($D87&lt;12,$D87&gt;=24)),
Error!$B$9,
IF(AND(_xlpm.baseRow,$E87="Tier 3",COUNTIF(Tables2!$B$153:$B$162,$C87)&gt;0,$D87&lt;12),
Error!$B$46,
IF(AND(_xlpm.baseRow,$E87="Tier 4",OR($D87&lt;6,$D87&gt;=12)),
Error!$B$10,
IF(AND(_xlpm.baseRow,$E87="&lt;6in DSH for Tree Points",OR($D87&gt;=6,$D87="")),
Error!$B$8,
IF(AND(_xlpm.baseRow,$E87="Street Tree for Green Factor",$F87&lt;&gt;"",$F87&lt;&gt;"Retain"),
Error!$B$14,
IF(AND($E87="&lt;6in DSH for Tree Points",$F87="Retain",$H87&lt;&gt;"",ISNA(MATCH($H87,Tables!$B$174:$B$174,0))),
Error!$B$15,
IF(AND($E87="Street Tree for Green Factor",$F87="Retain",$H87&lt;&gt;"",$H87&lt;&gt;"Zoning: Green Factor"),
Error!$B$15,
IF(AND($E87="ECA / Shoreline Tree",$F87="Remove",$H87&lt;&gt;"",ISNA(MATCH($H87,Tables!$B$189:$B$190,0))),
Error!$B$15,
IF(AND($E87="ECA / Shoreline Tree",$F87="Retain",$H87&lt;&gt;"",ISNA(MATCH($H87,Tables!$B$184:$B$186,0))),
Error!$B$15,
IF(AND($E87="Tier 4",$F87="Remove",$H87&lt;&gt;"",ISNA(MATCH($H87,Tables!$B$171,0))),
Error!$B$15,
IF(AND($E87="Tier 4",$F87="Retain",$H87&lt;&gt;"",ISNA(MATCH($H87,Tables!$B$166:$B$168,0))),
Error!$B$15,
IF(AND($E87="Tier 3",$F87="Retain",$H87&lt;&gt;"",ISNA(MATCH($H87,Tables!$B$158:$B$160,0))),
Error!$B$15,
IF(AND($E87="Tier 3",$F87="Remove",$H87&lt;&gt;"",ISNA(MATCH($H87,Tables!$B$163,0))),
Error!$B$15,
IF(AND(OR($E87="Tier 2",$E87="Tier 2 Grove"),$F87="Remove",$H87&lt;&gt;"",ISNA(MATCH($H87,Tables!$B$153:$B$155,0))),
Error!$B$15,
IF(AND(OR($E87="Tier 2",$E87="Tier 2 Grove"),$F87="Retain",$H87&lt;&gt;"",ISNA(MATCH($H87,Tables!$B$147:$B$150,0))),
Error!$B$15,
IF(AND($E87="Tier 1",$F87="Remove",$H87&lt;&gt;"",ISNA(MATCH($H87,Tables!$B$143:$B$144,0))),
Error!$B$15,
IF(AND($E87="Tier 1",$F87="Retain",$H87&lt;&gt;"",ISNA(MATCH($H87,Tables!$B$137:$B$140,0))),
Error!$B$15,
IF(AND($E87&lt;&gt;"Tier 2",$E87&lt;&gt;"Tier 2 Grove",$E87&lt;&gt;"Tier 3",$E87&lt;&gt;"Tier 4",$H87="Zoning: Green Factor",OR($D87="",$D87&lt;6)),
Error!$B$11,
IF(AND(_xlpm.baseRow,$D87&lt;6,$E87="&lt;6in DSH for Tree Points",_xlpm.TreePoints_H=0),
Error!$B$21,
IF(AND(_xlpm.baseRow,$E87&lt;&gt;"",$D87&lt;&gt;"",$F87=""),
Error!$B$4,
IF(AND(_xlpm.baseRow,$F87="Remove",OR($E87="Tier 1",$E87="Tier 2",$E87="Tier 2 Grove"),COUNTBLANK(_xlpm.HRange)&lt;3,_xlpm.uniqueH&gt;=2),
Error!$B$48,
IF(AND(_xlpm.baseRow,$F87="Retain",OR($E87="Tier 1",$E87="Tier 2",$E87="Tier 2 Grove"),COUNTIF(_xlpm.HRange,"Tree Code: Required to Retain Tier 1-2 Tree")=0),
Error!$B$47,
IF(AND(_xlpm.baseRow,$E87&lt;&gt;"",$D87&lt;&gt;"",$F87&lt;&gt;"",COUNTBLANK(_xlpm.HRange)=4),
Error!$B$5,
IF(AND($F87="Remove",$H87&lt;&gt;"",$I87=""),
Error!$B$18,
IF(AND($E87="Tier 4",$F87="Remove",$H87="Tree Protection Code: Tier 3 or Tier 4 Allowance",$H87&lt;&gt;"",ISNA(MATCH($I87,Tables!$B$200,0))),
Error!$B$17,
IF(AND($E87="Tier 3",$F87="Remove",$H87&lt;&gt;"",$H87="Tree Protection Code: Tier 3 or Tier 4 Allowance",OR($I87="",ISNA(MATCH($I87,Tables!$B$193:$B$197,0)))),
Error!$B$17,
IF(AND(OR($E87="Tier 2",$E87="Tier 2 Grove"),$F87="Remove",$H87="Tree Protection Code: Other removal allowance or exemption",$I87&lt;&gt;"",ISNA(MATCH($I87,Tables!$B$215:$B$218,0))),
Error!$B$17,
IF(AND(OR($E87="Tier 2",$E87="Tier 2 Grove"),$F87="Remove",$H87="Tree Protection Code: Development Capacity",$I87&lt;&gt;"",ISNA(MATCH($I87,Tables!$B$193:$B$197,0))),
Error!$B$17,
IF(AND(OR($E87="Tier 2",$E87="Tier 2 Grove"),$F87="Remove",$H87="Tree Protection Code: Necessary for Construction",$I87&lt;&gt;"",ISNA(MATCH($I87,Tables!$B$193:$B$197,0))),
Error!$B$17,
IF(AND($E87="Tier 1",$F87="Remove",$H87="Tree Protection Code: Special Exception",$I87&lt;&gt;"",ISNA(MATCH($I87,Tables!$B$215:$B$218,0))),
Error!$B$17,
IF(AND($E87="Tier 1",$F87="Remove",$H87="Tree Protection Code: Other removal allowance or exemption",$I87&lt;&gt;"",ISNA(MATCH($I87,Tables!$B$215:$B$218,0))),
Error!$B$17,
IF(AND($E87="ECA / Shoreline Tree",$F87="Remove",$H87&lt;&gt;"",OR($H87="Shoreline",$H87="Environmental Critical Area (ECA)"),ISNA(MATCH($I87,Tables!$B$209:$B$212,0))),
Error!$B$17,
IF(AND(_xlpm.baseRow,$F87="Retain",$E87="ECA / Shoreline Tree",_xlpm.ECA_Short=0),
Error!$B$61,
IF(AND($F87="Remove",ISNUMBER(MATCH($E87,{"Tier 1","Tier 2","Tier 3","Tier 4","Tier 2 Grove"},0)),ISNUMBER(MATCH($I87,{"On-site replacement","Off-site replacement"},0)),$J87="",$H87&lt;&gt;""),
Error!$B$19,
IF(AND(_xlpm.baseRow,$E87&lt;&gt;"",$D87&lt;&gt;"",$F87&lt;&gt;"",COUNTBLANK($B87:$C87)&gt;0,COUNTBLANK(_xlpm.HRange)&lt;&gt;4),
Error!$B$22,
IF(AND($H87="Zoning: Tree Points",$K87&lt;&gt;"",ISNA(MATCH($K87,Tables!$B$242:$B$253,0))),
Error!$B$58,
IF(AND($H87="Zoning: Tree Points",$K87="Small",$L87&lt;&gt;"",ISNA(MATCH($L87,Tables!$C$243:$C$244,0))),
Error!$B$59,
IF(AND($H87="Zoning: Tree Points",$K87="Small/Medium",$L87&lt;&gt;"",ISNA(MATCH($L87,Tables!$C$246:$C$247,0))),
Error!$B$59,
IF(AND($H87="Zoning: Tree Points",$K87="Medium/Large",$L87&lt;&gt;"",ISNA(MATCH($L87,Tables!$C$249:$C$250,0))),
Error!$B$59,
IF(AND($H87="Zoning: Tree Points",$K87="Large",$L87&lt;&gt;"",ISNA(MATCH($L87,Tables!$C$252:$C$253,0))),
Error!$B$59,
IF(AND($F87="Retain",$H87="Zoning: Tree Points",$C87&lt;&gt;"",$D87&lt;&gt;"",OR($K87="",$L87="",$M87="")),
Error!$B$20,
""
)))))))))))))))))))))))))))))))))))))))))))))))))))))))),
Error!$B$23))</f>
        <v/>
      </c>
      <c r="O87" s="343" t="str" cm="1">
        <f t="array" aca="1" ref="O87" ca="1">IFERROR(_xlfn.LET(
    _xlpm.txt, $C87,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8" spans="1:15" x14ac:dyDescent="0.3">
      <c r="A88" s="320"/>
      <c r="B88" s="616" t="str">
        <f t="shared" ref="B88:B90" si="53">IF($B87="", "", $B87)</f>
        <v/>
      </c>
      <c r="C88" s="617" t="str">
        <f t="shared" ref="C88:C90" si="54">IF($C87="", "", $C87)</f>
        <v/>
      </c>
      <c r="D88" s="618" t="str">
        <f t="shared" ref="D88:D90" si="55">IF($D87="", "", $D87)</f>
        <v/>
      </c>
      <c r="E88" s="616" t="str">
        <f t="shared" ref="E88:E90" si="56">IF($E87="", "", $E87)</f>
        <v/>
      </c>
      <c r="F88" s="616" t="str">
        <f t="shared" ref="F88:F90" si="57">IF($F87="", "", $F87)</f>
        <v/>
      </c>
      <c r="G88" s="619" t="str">
        <f>IF(Tree_Table1[[#This Row],[Tree Status  &amp;]]="Retain", Tables!$B$237, IF(Tree_Table1[[#This Row],[Tree Status  &amp;]]="Remove", Tables!$B$238, ""))</f>
        <v/>
      </c>
      <c r="H88" s="321"/>
      <c r="I88" s="322"/>
      <c r="J88" s="453"/>
      <c r="K88" s="323" t="str">
        <f>IFERROR(
    IF(
        AND($H88="Zoning: Tree Points", NOT(ISNUMBER(SEARCH("sp.", $C88)))),
        VLOOKUP($C88, 'Tree List'!$C$3:$F$601, 4, FALSE),
        ""
    ),
"")</f>
        <v/>
      </c>
      <c r="L88" s="324" t="str" cm="1">
        <f t="array" ref="L88">IFERROR(
IF(
    AND($H88="Zoning: Tree Points", NOT(ISNUMBER(SEARCH("sp.", $C88)))),
    _xlfn.IFS(
        (COUNTIFS('Tree List'!$C$3:$C$601,$C88,'Tree List'!$D$3:$D$601,"Coniferous")
        + COUNTIFS('Tree List'!$C$3:$C$601,$C88,'Tree List'!$D$3:$D$601,"Deciduous Conifer")) &gt; 0,
            _xlfn.IFS($K88="Small",0.5,$K88="Small/Medium",1,$K88="Medium/Large",1.4,$K88="Large",1.8),
        (COUNTIFS('Tree List'!$C$3:$C$601,$C88,'Tree List'!$D$3:$D$601,"Deciduous")
        + COUNTIFS('Tree List'!$C$3:$C$601,$C88,'Tree List'!$D$3:$D$601,"Broadleaf Evergreen")) &gt; 0,
            _xlfn.IFS($K88="Small",0.4,$K88="Small/Medium",0.8,$K88="Medium/Large",1.2,$K88="Large",1.6)
    ),
    ""
),
"")</f>
        <v/>
      </c>
      <c r="M88" s="475" t="str">
        <f t="shared" si="0"/>
        <v/>
      </c>
      <c r="N88" s="346" t="str" cm="1">
        <f t="array" aca="1" ref="N8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IF(AND(_xlpm.baseRow,ISNA(MATCH($C88,'Tree List'!$C$3:$C$601,0)),SUMPRODUCT(--ISNUMBER(SEARCH(Tables2!$C$677:$C$772,$O88)))&gt;0),
Error!$B$57,
IF(AND(_xlpm.hasDM,$F88="Remove",$H88&lt;&gt;"",OR($I88="On-site replacement",$I88="Off-site replacement",$I88="Payment In Lieu")),
Error!$B$56,
IF(AND(_xlpm.hasDM,$F88="Remove",$H88&lt;&gt;"",$I88="Relocation"),
Error!$B$66,
IF(AND(OR(_xlpm.hasCN,_xlpm.hasPH,_xlpm.hasGR),$H88&lt;&gt;"",COUNTIF(Tables!$B$132:$B$134,$H88)&gt;0,$I88="N/A (No replacement required)"),
Error!$B$62,
IF(AND(_xlpm.baseRow,$E88&lt;&gt;"",ISNA(MATCH($E88,Tables!$B$225:$B$232,0))),
Error!$B$2,
IF(AND(_xlpm.baseRow,$F88&lt;&gt;"",ISNA(MATCH($F88,Tables!$B$234:$B$235,0))),
Error!$B$24,
IF(AND(_xlpm.baseRow,_xlpm.ECA_H&gt;0,_xlpm.Shore_H&gt;0),
Error!$B$16,
IF(AND(_xlpm.baseRow,$E88&lt;&gt;"",$D88=""),
Error!$B$3,
IF(AND(_xlpm.baseRow,OR($E88="Tier 3",$E88="Tier 4"),$C88&lt;&gt;"",$D88&gt;=24,COUNTIF(Tables2!$B$166:$B$674,$C88)&gt;0),
Error!$B$44,
IF(AND(_xlpm.baseRow,OR($E88="Tier 3",$E88="Tier 4"),$C88&lt;&gt;"",$D88&lt;&gt;"",COUNTIF(Tables2!$B$73:$B$152,$C88)&gt;0,
$D88&gt;=IFERROR(INDEX(Tables2!$C$73:$C$152,MATCH($C88,Tables2!$B$73:$B$152,0)),-1)),
Error!$B$44,
IF(AND(_xlpm.baseRow,OR($E88="Tier 2",$E88="Tier 2 Grove"),$C88&lt;&gt;"",$D88&gt;=12,COUNTIF(Tables2!$B$153:$B$162,$C88)&gt;0),
Error!$B$45,
IF(AND(_xlpm.baseRow,$E88="Tier 2 Grove",$D88&lt;12),
Error!$B$41,
IF(AND(_xlpm.baseRow,$E88="Tier 2",$D88&lt;5.88),
Error!$B$40,
IF(AND(_xlpm.baseRow,OR($E88="Tier 2",$E88="Tier 2 Grove"),$C88&lt;&gt;"",$D88&lt;12,$D88&gt;=6,COUNTIF(Tables2!$B$153:$B$162,$C88)&gt;0),
Error!$B$54,
IF(AND(_xlpm.baseRow,$E88="Tier 2",COUNTIF(Tables2!$B$166:$B$674,$C88)&gt;0,$D88&lt;24),
Error!$B$54,
IF(AND(_xlpm.baseRow,$E88="Tier 3",ISNA(MATCH($C88,Tables2!$B$153:$B$162,0)),OR($D88&lt;12,$D88&gt;=24)),
Error!$B$9,
IF(AND(_xlpm.baseRow,$E88="Tier 3",COUNTIF(Tables2!$B$153:$B$162,$C88)&gt;0,$D88&lt;12),
Error!$B$46,
IF(AND(_xlpm.baseRow,$E88="Tier 4",OR($D88&lt;6,$D88&gt;=12)),
Error!$B$10,
IF(AND(_xlpm.baseRow,$E88="&lt;6in DSH for Tree Points",OR($D88&gt;=6,$D88="")),
Error!$B$8,
IF(AND(_xlpm.baseRow,$E88="Street Tree for Green Factor",$F88&lt;&gt;"",$F88&lt;&gt;"Retain"),
Error!$B$14,
IF(AND($E88="&lt;6in DSH for Tree Points",$F88="Retain",$H88&lt;&gt;"",ISNA(MATCH($H88,Tables!$B$174:$B$174,0))),
Error!$B$15,
IF(AND($E88="Street Tree for Green Factor",$F88="Retain",$H88&lt;&gt;"",$H88&lt;&gt;"Zoning: Green Factor"),
Error!$B$15,
IF(AND($E88="ECA / Shoreline Tree",$F88="Remove",$H88&lt;&gt;"",ISNA(MATCH($H88,Tables!$B$189:$B$190,0))),
Error!$B$15,
IF(AND($E88="ECA / Shoreline Tree",$F88="Retain",$H88&lt;&gt;"",ISNA(MATCH($H88,Tables!$B$184:$B$186,0))),
Error!$B$15,
IF(AND($E88="Tier 4",$F88="Remove",$H88&lt;&gt;"",ISNA(MATCH($H88,Tables!$B$171,0))),
Error!$B$15,
IF(AND($E88="Tier 4",$F88="Retain",$H88&lt;&gt;"",ISNA(MATCH($H88,Tables!$B$166:$B$168,0))),
Error!$B$15,
IF(AND($E88="Tier 3",$F88="Retain",$H88&lt;&gt;"",ISNA(MATCH($H88,Tables!$B$158:$B$160,0))),
Error!$B$15,
IF(AND($E88="Tier 3",$F88="Remove",$H88&lt;&gt;"",ISNA(MATCH($H88,Tables!$B$163,0))),
Error!$B$15,
IF(AND(OR($E88="Tier 2",$E88="Tier 2 Grove"),$F88="Remove",$H88&lt;&gt;"",ISNA(MATCH($H88,Tables!$B$153:$B$155,0))),
Error!$B$15,
IF(AND(OR($E88="Tier 2",$E88="Tier 2 Grove"),$F88="Retain",$H88&lt;&gt;"",ISNA(MATCH($H88,Tables!$B$147:$B$150,0))),
Error!$B$15,
IF(AND($E88="Tier 1",$F88="Remove",$H88&lt;&gt;"",ISNA(MATCH($H88,Tables!$B$143:$B$144,0))),
Error!$B$15,
IF(AND($E88="Tier 1",$F88="Retain",$H88&lt;&gt;"",ISNA(MATCH($H88,Tables!$B$137:$B$140,0))),
Error!$B$15,
IF(AND($E88&lt;&gt;"Tier 2",$E88&lt;&gt;"Tier 2 Grove",$E88&lt;&gt;"Tier 3",$E88&lt;&gt;"Tier 4",$H88="Zoning: Green Factor",OR($D88="",$D88&lt;6)),
Error!$B$11,
IF(AND(_xlpm.baseRow,$D88&lt;6,$E88="&lt;6in DSH for Tree Points",_xlpm.TreePoints_H=0),
Error!$B$21,
IF(AND(_xlpm.baseRow,$E88&lt;&gt;"",$D88&lt;&gt;"",$F88=""),
Error!$B$4,
IF(AND(_xlpm.baseRow,$F88="Remove",OR($E88="Tier 1",$E88="Tier 2",$E88="Tier 2 Grove"),COUNTBLANK(_xlpm.HRange)&lt;3,_xlpm.uniqueH&gt;=2),
Error!$B$48,
IF(AND(_xlpm.baseRow,$F88="Retain",OR($E88="Tier 1",$E88="Tier 2",$E88="Tier 2 Grove"),COUNTIF(_xlpm.HRange,"Tree Code: Required to Retain Tier 1-2 Tree")=0),
Error!$B$47,
IF(AND(_xlpm.baseRow,$E88&lt;&gt;"",$D88&lt;&gt;"",$F88&lt;&gt;"",COUNTBLANK(_xlpm.HRange)=4),
Error!$B$5,
IF(AND($F88="Remove",$H88&lt;&gt;"",$I88=""),
Error!$B$18,
IF(AND($E88="Tier 4",$F88="Remove",$H88="Tree Protection Code: Tier 3 or Tier 4 Allowance",$H88&lt;&gt;"",ISNA(MATCH($I88,Tables!$B$200,0))),
Error!$B$17,
IF(AND($E88="Tier 3",$F88="Remove",$H88&lt;&gt;"",$H88="Tree Protection Code: Tier 3 or Tier 4 Allowance",OR($I88="",ISNA(MATCH($I88,Tables!$B$193:$B$197,0)))),
Error!$B$17,
IF(AND(OR($E88="Tier 2",$E88="Tier 2 Grove"),$F88="Remove",$H88="Tree Protection Code: Other removal allowance or exemption",$I88&lt;&gt;"",ISNA(MATCH($I88,Tables!$B$215:$B$218,0))),
Error!$B$17,
IF(AND(OR($E88="Tier 2",$E88="Tier 2 Grove"),$F88="Remove",$H88="Tree Protection Code: Development Capacity",$I88&lt;&gt;"",ISNA(MATCH($I88,Tables!$B$193:$B$197,0))),
Error!$B$17,
IF(AND(OR($E88="Tier 2",$E88="Tier 2 Grove"),$F88="Remove",$H88="Tree Protection Code: Necessary for Construction",$I88&lt;&gt;"",ISNA(MATCH($I88,Tables!$B$193:$B$197,0))),
Error!$B$17,
IF(AND($E88="Tier 1",$F88="Remove",$H88="Tree Protection Code: Special Exception",$I88&lt;&gt;"",ISNA(MATCH($I88,Tables!$B$215:$B$218,0))),
Error!$B$17,
IF(AND($E88="Tier 1",$F88="Remove",$H88="Tree Protection Code: Other removal allowance or exemption",$I88&lt;&gt;"",ISNA(MATCH($I88,Tables!$B$215:$B$218,0))),
Error!$B$17,
IF(AND($E88="ECA / Shoreline Tree",$F88="Remove",$H88&lt;&gt;"",OR($H88="Shoreline",$H88="Environmental Critical Area (ECA)"),ISNA(MATCH($I88,Tables!$B$209:$B$212,0))),
Error!$B$17,
IF(AND(_xlpm.baseRow,$F88="Retain",$E88="ECA / Shoreline Tree",_xlpm.ECA_Short=0),
Error!$B$61,
IF(AND($F88="Remove",ISNUMBER(MATCH($E88,{"Tier 1","Tier 2","Tier 3","Tier 4","Tier 2 Grove"},0)),ISNUMBER(MATCH($I88,{"On-site replacement","Off-site replacement"},0)),$J88="",$H88&lt;&gt;""),
Error!$B$19,
IF(AND(_xlpm.baseRow,$E88&lt;&gt;"",$D88&lt;&gt;"",$F88&lt;&gt;"",COUNTBLANK($B88:$C88)&gt;0,COUNTBLANK(_xlpm.HRange)&lt;&gt;4),
Error!$B$22,
IF(AND($H88="Zoning: Tree Points",$K88&lt;&gt;"",ISNA(MATCH($K88,Tables!$B$242:$B$253,0))),
Error!$B$58,
IF(AND($H88="Zoning: Tree Points",$K88="Small",$L88&lt;&gt;"",ISNA(MATCH($L88,Tables!$C$243:$C$244,0))),
Error!$B$59,
IF(AND($H88="Zoning: Tree Points",$K88="Small/Medium",$L88&lt;&gt;"",ISNA(MATCH($L88,Tables!$C$246:$C$247,0))),
Error!$B$59,
IF(AND($H88="Zoning: Tree Points",$K88="Medium/Large",$L88&lt;&gt;"",ISNA(MATCH($L88,Tables!$C$249:$C$250,0))),
Error!$B$59,
IF(AND($H88="Zoning: Tree Points",$K88="Large",$L88&lt;&gt;"",ISNA(MATCH($L88,Tables!$C$252:$C$253,0))),
Error!$B$59,
IF(AND($F88="Retain",$H88="Zoning: Tree Points",$C88&lt;&gt;"",$D88&lt;&gt;"",OR($K88="",$L88="",$M88="")),
Error!$B$20,
""
)))))))))))))))))))))))))))))))))))))))))))))))))))))))),
Error!$B$23))</f>
        <v/>
      </c>
      <c r="O88" s="343" t="str" cm="1">
        <f t="array" aca="1" ref="O88" ca="1">IFERROR(_xlfn.LET(
    _xlpm.txt, $C88,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9" spans="1:15" x14ac:dyDescent="0.3">
      <c r="A89" s="320"/>
      <c r="B89" s="616" t="str">
        <f t="shared" si="53"/>
        <v/>
      </c>
      <c r="C89" s="617" t="str">
        <f t="shared" si="54"/>
        <v/>
      </c>
      <c r="D89" s="618" t="str">
        <f t="shared" si="55"/>
        <v/>
      </c>
      <c r="E89" s="616" t="str">
        <f t="shared" si="56"/>
        <v/>
      </c>
      <c r="F89" s="616" t="str">
        <f t="shared" si="57"/>
        <v/>
      </c>
      <c r="G89" s="619" t="str">
        <f>IF(Tree_Table1[[#This Row],[Tree Status  &amp;]]="Retain", Tables!$B$237, IF(Tree_Table1[[#This Row],[Tree Status  &amp;]]="Remove", Tables!$B$238, ""))</f>
        <v/>
      </c>
      <c r="H89" s="321"/>
      <c r="I89" s="322"/>
      <c r="J89" s="453"/>
      <c r="K89" s="323" t="str">
        <f>IFERROR(
    IF(
        AND($H89="Zoning: Tree Points", NOT(ISNUMBER(SEARCH("sp.", $C89)))),
        VLOOKUP($C89, 'Tree List'!$C$3:$F$601, 4, FALSE),
        ""
    ),
"")</f>
        <v/>
      </c>
      <c r="L89" s="324" t="str" cm="1">
        <f t="array" ref="L89">IFERROR(
IF(
    AND($H89="Zoning: Tree Points", NOT(ISNUMBER(SEARCH("sp.", $C89)))),
    _xlfn.IFS(
        (COUNTIFS('Tree List'!$C$3:$C$601,$C89,'Tree List'!$D$3:$D$601,"Coniferous")
        + COUNTIFS('Tree List'!$C$3:$C$601,$C89,'Tree List'!$D$3:$D$601,"Deciduous Conifer")) &gt; 0,
            _xlfn.IFS($K89="Small",0.5,$K89="Small/Medium",1,$K89="Medium/Large",1.4,$K89="Large",1.8),
        (COUNTIFS('Tree List'!$C$3:$C$601,$C89,'Tree List'!$D$3:$D$601,"Deciduous")
        + COUNTIFS('Tree List'!$C$3:$C$601,$C89,'Tree List'!$D$3:$D$601,"Broadleaf Evergreen")) &gt; 0,
            _xlfn.IFS($K89="Small",0.4,$K89="Small/Medium",0.8,$K89="Medium/Large",1.2,$K89="Large",1.6)
    ),
    ""
),
"")</f>
        <v/>
      </c>
      <c r="M89" s="475" t="str">
        <f t="shared" si="0"/>
        <v/>
      </c>
      <c r="N89" s="346" t="str" cm="1">
        <f t="array" aca="1" ref="N8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IF(AND(_xlpm.baseRow,ISNA(MATCH($C89,'Tree List'!$C$3:$C$601,0)),SUMPRODUCT(--ISNUMBER(SEARCH(Tables2!$C$677:$C$772,$O89)))&gt;0),
Error!$B$57,
IF(AND(_xlpm.hasDM,$F89="Remove",$H89&lt;&gt;"",OR($I89="On-site replacement",$I89="Off-site replacement",$I89="Payment In Lieu")),
Error!$B$56,
IF(AND(_xlpm.hasDM,$F89="Remove",$H89&lt;&gt;"",$I89="Relocation"),
Error!$B$66,
IF(AND(OR(_xlpm.hasCN,_xlpm.hasPH,_xlpm.hasGR),$H89&lt;&gt;"",COUNTIF(Tables!$B$132:$B$134,$H89)&gt;0,$I89="N/A (No replacement required)"),
Error!$B$62,
IF(AND(_xlpm.baseRow,$E89&lt;&gt;"",ISNA(MATCH($E89,Tables!$B$225:$B$232,0))),
Error!$B$2,
IF(AND(_xlpm.baseRow,$F89&lt;&gt;"",ISNA(MATCH($F89,Tables!$B$234:$B$235,0))),
Error!$B$24,
IF(AND(_xlpm.baseRow,_xlpm.ECA_H&gt;0,_xlpm.Shore_H&gt;0),
Error!$B$16,
IF(AND(_xlpm.baseRow,$E89&lt;&gt;"",$D89=""),
Error!$B$3,
IF(AND(_xlpm.baseRow,OR($E89="Tier 3",$E89="Tier 4"),$C89&lt;&gt;"",$D89&gt;=24,COUNTIF(Tables2!$B$166:$B$674,$C89)&gt;0),
Error!$B$44,
IF(AND(_xlpm.baseRow,OR($E89="Tier 3",$E89="Tier 4"),$C89&lt;&gt;"",$D89&lt;&gt;"",COUNTIF(Tables2!$B$73:$B$152,$C89)&gt;0,
$D89&gt;=IFERROR(INDEX(Tables2!$C$73:$C$152,MATCH($C89,Tables2!$B$73:$B$152,0)),-1)),
Error!$B$44,
IF(AND(_xlpm.baseRow,OR($E89="Tier 2",$E89="Tier 2 Grove"),$C89&lt;&gt;"",$D89&gt;=12,COUNTIF(Tables2!$B$153:$B$162,$C89)&gt;0),
Error!$B$45,
IF(AND(_xlpm.baseRow,$E89="Tier 2 Grove",$D89&lt;12),
Error!$B$41,
IF(AND(_xlpm.baseRow,$E89="Tier 2",$D89&lt;5.88),
Error!$B$40,
IF(AND(_xlpm.baseRow,OR($E89="Tier 2",$E89="Tier 2 Grove"),$C89&lt;&gt;"",$D89&lt;12,$D89&gt;=6,COUNTIF(Tables2!$B$153:$B$162,$C89)&gt;0),
Error!$B$54,
IF(AND(_xlpm.baseRow,$E89="Tier 2",COUNTIF(Tables2!$B$166:$B$674,$C89)&gt;0,$D89&lt;24),
Error!$B$54,
IF(AND(_xlpm.baseRow,$E89="Tier 3",ISNA(MATCH($C89,Tables2!$B$153:$B$162,0)),OR($D89&lt;12,$D89&gt;=24)),
Error!$B$9,
IF(AND(_xlpm.baseRow,$E89="Tier 3",COUNTIF(Tables2!$B$153:$B$162,$C89)&gt;0,$D89&lt;12),
Error!$B$46,
IF(AND(_xlpm.baseRow,$E89="Tier 4",OR($D89&lt;6,$D89&gt;=12)),
Error!$B$10,
IF(AND(_xlpm.baseRow,$E89="&lt;6in DSH for Tree Points",OR($D89&gt;=6,$D89="")),
Error!$B$8,
IF(AND(_xlpm.baseRow,$E89="Street Tree for Green Factor",$F89&lt;&gt;"",$F89&lt;&gt;"Retain"),
Error!$B$14,
IF(AND($E89="&lt;6in DSH for Tree Points",$F89="Retain",$H89&lt;&gt;"",ISNA(MATCH($H89,Tables!$B$174:$B$174,0))),
Error!$B$15,
IF(AND($E89="Street Tree for Green Factor",$F89="Retain",$H89&lt;&gt;"",$H89&lt;&gt;"Zoning: Green Factor"),
Error!$B$15,
IF(AND($E89="ECA / Shoreline Tree",$F89="Remove",$H89&lt;&gt;"",ISNA(MATCH($H89,Tables!$B$189:$B$190,0))),
Error!$B$15,
IF(AND($E89="ECA / Shoreline Tree",$F89="Retain",$H89&lt;&gt;"",ISNA(MATCH($H89,Tables!$B$184:$B$186,0))),
Error!$B$15,
IF(AND($E89="Tier 4",$F89="Remove",$H89&lt;&gt;"",ISNA(MATCH($H89,Tables!$B$171,0))),
Error!$B$15,
IF(AND($E89="Tier 4",$F89="Retain",$H89&lt;&gt;"",ISNA(MATCH($H89,Tables!$B$166:$B$168,0))),
Error!$B$15,
IF(AND($E89="Tier 3",$F89="Retain",$H89&lt;&gt;"",ISNA(MATCH($H89,Tables!$B$158:$B$160,0))),
Error!$B$15,
IF(AND($E89="Tier 3",$F89="Remove",$H89&lt;&gt;"",ISNA(MATCH($H89,Tables!$B$163,0))),
Error!$B$15,
IF(AND(OR($E89="Tier 2",$E89="Tier 2 Grove"),$F89="Remove",$H89&lt;&gt;"",ISNA(MATCH($H89,Tables!$B$153:$B$155,0))),
Error!$B$15,
IF(AND(OR($E89="Tier 2",$E89="Tier 2 Grove"),$F89="Retain",$H89&lt;&gt;"",ISNA(MATCH($H89,Tables!$B$147:$B$150,0))),
Error!$B$15,
IF(AND($E89="Tier 1",$F89="Remove",$H89&lt;&gt;"",ISNA(MATCH($H89,Tables!$B$143:$B$144,0))),
Error!$B$15,
IF(AND($E89="Tier 1",$F89="Retain",$H89&lt;&gt;"",ISNA(MATCH($H89,Tables!$B$137:$B$140,0))),
Error!$B$15,
IF(AND($E89&lt;&gt;"Tier 2",$E89&lt;&gt;"Tier 2 Grove",$E89&lt;&gt;"Tier 3",$E89&lt;&gt;"Tier 4",$H89="Zoning: Green Factor",OR($D89="",$D89&lt;6)),
Error!$B$11,
IF(AND(_xlpm.baseRow,$D89&lt;6,$E89="&lt;6in DSH for Tree Points",_xlpm.TreePoints_H=0),
Error!$B$21,
IF(AND(_xlpm.baseRow,$E89&lt;&gt;"",$D89&lt;&gt;"",$F89=""),
Error!$B$4,
IF(AND(_xlpm.baseRow,$F89="Remove",OR($E89="Tier 1",$E89="Tier 2",$E89="Tier 2 Grove"),COUNTBLANK(_xlpm.HRange)&lt;3,_xlpm.uniqueH&gt;=2),
Error!$B$48,
IF(AND(_xlpm.baseRow,$F89="Retain",OR($E89="Tier 1",$E89="Tier 2",$E89="Tier 2 Grove"),COUNTIF(_xlpm.HRange,"Tree Code: Required to Retain Tier 1-2 Tree")=0),
Error!$B$47,
IF(AND(_xlpm.baseRow,$E89&lt;&gt;"",$D89&lt;&gt;"",$F89&lt;&gt;"",COUNTBLANK(_xlpm.HRange)=4),
Error!$B$5,
IF(AND($F89="Remove",$H89&lt;&gt;"",$I89=""),
Error!$B$18,
IF(AND($E89="Tier 4",$F89="Remove",$H89="Tree Protection Code: Tier 3 or Tier 4 Allowance",$H89&lt;&gt;"",ISNA(MATCH($I89,Tables!$B$200,0))),
Error!$B$17,
IF(AND($E89="Tier 3",$F89="Remove",$H89&lt;&gt;"",$H89="Tree Protection Code: Tier 3 or Tier 4 Allowance",OR($I89="",ISNA(MATCH($I89,Tables!$B$193:$B$197,0)))),
Error!$B$17,
IF(AND(OR($E89="Tier 2",$E89="Tier 2 Grove"),$F89="Remove",$H89="Tree Protection Code: Other removal allowance or exemption",$I89&lt;&gt;"",ISNA(MATCH($I89,Tables!$B$215:$B$218,0))),
Error!$B$17,
IF(AND(OR($E89="Tier 2",$E89="Tier 2 Grove"),$F89="Remove",$H89="Tree Protection Code: Development Capacity",$I89&lt;&gt;"",ISNA(MATCH($I89,Tables!$B$193:$B$197,0))),
Error!$B$17,
IF(AND(OR($E89="Tier 2",$E89="Tier 2 Grove"),$F89="Remove",$H89="Tree Protection Code: Necessary for Construction",$I89&lt;&gt;"",ISNA(MATCH($I89,Tables!$B$193:$B$197,0))),
Error!$B$17,
IF(AND($E89="Tier 1",$F89="Remove",$H89="Tree Protection Code: Special Exception",$I89&lt;&gt;"",ISNA(MATCH($I89,Tables!$B$215:$B$218,0))),
Error!$B$17,
IF(AND($E89="Tier 1",$F89="Remove",$H89="Tree Protection Code: Other removal allowance or exemption",$I89&lt;&gt;"",ISNA(MATCH($I89,Tables!$B$215:$B$218,0))),
Error!$B$17,
IF(AND($E89="ECA / Shoreline Tree",$F89="Remove",$H89&lt;&gt;"",OR($H89="Shoreline",$H89="Environmental Critical Area (ECA)"),ISNA(MATCH($I89,Tables!$B$209:$B$212,0))),
Error!$B$17,
IF(AND(_xlpm.baseRow,$F89="Retain",$E89="ECA / Shoreline Tree",_xlpm.ECA_Short=0),
Error!$B$61,
IF(AND($F89="Remove",ISNUMBER(MATCH($E89,{"Tier 1","Tier 2","Tier 3","Tier 4","Tier 2 Grove"},0)),ISNUMBER(MATCH($I89,{"On-site replacement","Off-site replacement"},0)),$J89="",$H89&lt;&gt;""),
Error!$B$19,
IF(AND(_xlpm.baseRow,$E89&lt;&gt;"",$D89&lt;&gt;"",$F89&lt;&gt;"",COUNTBLANK($B89:$C89)&gt;0,COUNTBLANK(_xlpm.HRange)&lt;&gt;4),
Error!$B$22,
IF(AND($H89="Zoning: Tree Points",$K89&lt;&gt;"",ISNA(MATCH($K89,Tables!$B$242:$B$253,0))),
Error!$B$58,
IF(AND($H89="Zoning: Tree Points",$K89="Small",$L89&lt;&gt;"",ISNA(MATCH($L89,Tables!$C$243:$C$244,0))),
Error!$B$59,
IF(AND($H89="Zoning: Tree Points",$K89="Small/Medium",$L89&lt;&gt;"",ISNA(MATCH($L89,Tables!$C$246:$C$247,0))),
Error!$B$59,
IF(AND($H89="Zoning: Tree Points",$K89="Medium/Large",$L89&lt;&gt;"",ISNA(MATCH($L89,Tables!$C$249:$C$250,0))),
Error!$B$59,
IF(AND($H89="Zoning: Tree Points",$K89="Large",$L89&lt;&gt;"",ISNA(MATCH($L89,Tables!$C$252:$C$253,0))),
Error!$B$59,
IF(AND($F89="Retain",$H89="Zoning: Tree Points",$C89&lt;&gt;"",$D89&lt;&gt;"",OR($K89="",$L89="",$M89="")),
Error!$B$20,
""
)))))))))))))))))))))))))))))))))))))))))))))))))))))))),
Error!$B$23))</f>
        <v/>
      </c>
      <c r="O89" s="343" t="str" cm="1">
        <f t="array" aca="1" ref="O89" ca="1">IFERROR(_xlfn.LET(
    _xlpm.txt, $C89,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0" spans="1:15" ht="15" thickBot="1" x14ac:dyDescent="0.35">
      <c r="A90" s="331"/>
      <c r="B90" s="616" t="str">
        <f t="shared" si="53"/>
        <v/>
      </c>
      <c r="C90" s="617" t="str">
        <f t="shared" si="54"/>
        <v/>
      </c>
      <c r="D90" s="618" t="str">
        <f t="shared" si="55"/>
        <v/>
      </c>
      <c r="E90" s="616" t="str">
        <f t="shared" si="56"/>
        <v/>
      </c>
      <c r="F90" s="616" t="str">
        <f t="shared" si="57"/>
        <v/>
      </c>
      <c r="G90" s="619" t="str">
        <f>IF(Tree_Table1[[#This Row],[Tree Status  &amp;]]="Retain", Tables!$B$237, IF(Tree_Table1[[#This Row],[Tree Status  &amp;]]="Remove", Tables!$B$238, ""))</f>
        <v/>
      </c>
      <c r="H90" s="329"/>
      <c r="I90" s="330"/>
      <c r="J90" s="455"/>
      <c r="K90" s="327" t="str">
        <f>IFERROR(
    IF(
        AND($H90="Zoning: Tree Points", NOT(ISNUMBER(SEARCH("sp.", $C90)))),
        VLOOKUP($C90, 'Tree List'!$C$3:$F$601, 4, FALSE),
        ""
    ),
"")</f>
        <v/>
      </c>
      <c r="L90" s="328" t="str" cm="1">
        <f t="array" ref="L90">IFERROR(
IF(
    AND($H90="Zoning: Tree Points", NOT(ISNUMBER(SEARCH("sp.", $C90)))),
    _xlfn.IFS(
        (COUNTIFS('Tree List'!$C$3:$C$601,$C90,'Tree List'!$D$3:$D$601,"Coniferous")
        + COUNTIFS('Tree List'!$C$3:$C$601,$C90,'Tree List'!$D$3:$D$601,"Deciduous Conifer")) &gt; 0,
            _xlfn.IFS($K90="Small",0.5,$K90="Small/Medium",1,$K90="Medium/Large",1.4,$K90="Large",1.8),
        (COUNTIFS('Tree List'!$C$3:$C$601,$C90,'Tree List'!$D$3:$D$601,"Deciduous")
        + COUNTIFS('Tree List'!$C$3:$C$601,$C90,'Tree List'!$D$3:$D$601,"Broadleaf Evergreen")) &gt; 0,
            _xlfn.IFS($K90="Small",0.4,$K90="Small/Medium",0.8,$K90="Medium/Large",1.2,$K90="Large",1.6)
    ),
    ""
),
"")</f>
        <v/>
      </c>
      <c r="M90" s="476" t="str">
        <f t="shared" si="0"/>
        <v/>
      </c>
      <c r="N90" s="347" t="str" cm="1">
        <f t="array" aca="1" ref="N9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IF(AND(_xlpm.baseRow,ISNA(MATCH($C90,'Tree List'!$C$3:$C$601,0)),SUMPRODUCT(--ISNUMBER(SEARCH(Tables2!$C$677:$C$772,$O90)))&gt;0),
Error!$B$57,
IF(AND(_xlpm.hasDM,$F90="Remove",$H90&lt;&gt;"",OR($I90="On-site replacement",$I90="Off-site replacement",$I90="Payment In Lieu")),
Error!$B$56,
IF(AND(_xlpm.hasDM,$F90="Remove",$H90&lt;&gt;"",$I90="Relocation"),
Error!$B$66,
IF(AND(OR(_xlpm.hasCN,_xlpm.hasPH,_xlpm.hasGR),$H90&lt;&gt;"",COUNTIF(Tables!$B$132:$B$134,$H90)&gt;0,$I90="N/A (No replacement required)"),
Error!$B$62,
IF(AND(_xlpm.baseRow,$E90&lt;&gt;"",ISNA(MATCH($E90,Tables!$B$225:$B$232,0))),
Error!$B$2,
IF(AND(_xlpm.baseRow,$F90&lt;&gt;"",ISNA(MATCH($F90,Tables!$B$234:$B$235,0))),
Error!$B$24,
IF(AND(_xlpm.baseRow,_xlpm.ECA_H&gt;0,_xlpm.Shore_H&gt;0),
Error!$B$16,
IF(AND(_xlpm.baseRow,$E90&lt;&gt;"",$D90=""),
Error!$B$3,
IF(AND(_xlpm.baseRow,OR($E90="Tier 3",$E90="Tier 4"),$C90&lt;&gt;"",$D90&gt;=24,COUNTIF(Tables2!$B$166:$B$674,$C90)&gt;0),
Error!$B$44,
IF(AND(_xlpm.baseRow,OR($E90="Tier 3",$E90="Tier 4"),$C90&lt;&gt;"",$D90&lt;&gt;"",COUNTIF(Tables2!$B$73:$B$152,$C90)&gt;0,
$D90&gt;=IFERROR(INDEX(Tables2!$C$73:$C$152,MATCH($C90,Tables2!$B$73:$B$152,0)),-1)),
Error!$B$44,
IF(AND(_xlpm.baseRow,OR($E90="Tier 2",$E90="Tier 2 Grove"),$C90&lt;&gt;"",$D90&gt;=12,COUNTIF(Tables2!$B$153:$B$162,$C90)&gt;0),
Error!$B$45,
IF(AND(_xlpm.baseRow,$E90="Tier 2 Grove",$D90&lt;12),
Error!$B$41,
IF(AND(_xlpm.baseRow,$E90="Tier 2",$D90&lt;5.88),
Error!$B$40,
IF(AND(_xlpm.baseRow,OR($E90="Tier 2",$E90="Tier 2 Grove"),$C90&lt;&gt;"",$D90&lt;12,$D90&gt;=6,COUNTIF(Tables2!$B$153:$B$162,$C90)&gt;0),
Error!$B$54,
IF(AND(_xlpm.baseRow,$E90="Tier 2",COUNTIF(Tables2!$B$166:$B$674,$C90)&gt;0,$D90&lt;24),
Error!$B$54,
IF(AND(_xlpm.baseRow,$E90="Tier 3",ISNA(MATCH($C90,Tables2!$B$153:$B$162,0)),OR($D90&lt;12,$D90&gt;=24)),
Error!$B$9,
IF(AND(_xlpm.baseRow,$E90="Tier 3",COUNTIF(Tables2!$B$153:$B$162,$C90)&gt;0,$D90&lt;12),
Error!$B$46,
IF(AND(_xlpm.baseRow,$E90="Tier 4",OR($D90&lt;6,$D90&gt;=12)),
Error!$B$10,
IF(AND(_xlpm.baseRow,$E90="&lt;6in DSH for Tree Points",OR($D90&gt;=6,$D90="")),
Error!$B$8,
IF(AND(_xlpm.baseRow,$E90="Street Tree for Green Factor",$F90&lt;&gt;"",$F90&lt;&gt;"Retain"),
Error!$B$14,
IF(AND($E90="&lt;6in DSH for Tree Points",$F90="Retain",$H90&lt;&gt;"",ISNA(MATCH($H90,Tables!$B$174:$B$174,0))),
Error!$B$15,
IF(AND($E90="Street Tree for Green Factor",$F90="Retain",$H90&lt;&gt;"",$H90&lt;&gt;"Zoning: Green Factor"),
Error!$B$15,
IF(AND($E90="ECA / Shoreline Tree",$F90="Remove",$H90&lt;&gt;"",ISNA(MATCH($H90,Tables!$B$189:$B$190,0))),
Error!$B$15,
IF(AND($E90="ECA / Shoreline Tree",$F90="Retain",$H90&lt;&gt;"",ISNA(MATCH($H90,Tables!$B$184:$B$186,0))),
Error!$B$15,
IF(AND($E90="Tier 4",$F90="Remove",$H90&lt;&gt;"",ISNA(MATCH($H90,Tables!$B$171,0))),
Error!$B$15,
IF(AND($E90="Tier 4",$F90="Retain",$H90&lt;&gt;"",ISNA(MATCH($H90,Tables!$B$166:$B$168,0))),
Error!$B$15,
IF(AND($E90="Tier 3",$F90="Retain",$H90&lt;&gt;"",ISNA(MATCH($H90,Tables!$B$158:$B$160,0))),
Error!$B$15,
IF(AND($E90="Tier 3",$F90="Remove",$H90&lt;&gt;"",ISNA(MATCH($H90,Tables!$B$163,0))),
Error!$B$15,
IF(AND(OR($E90="Tier 2",$E90="Tier 2 Grove"),$F90="Remove",$H90&lt;&gt;"",ISNA(MATCH($H90,Tables!$B$153:$B$155,0))),
Error!$B$15,
IF(AND(OR($E90="Tier 2",$E90="Tier 2 Grove"),$F90="Retain",$H90&lt;&gt;"",ISNA(MATCH($H90,Tables!$B$147:$B$150,0))),
Error!$B$15,
IF(AND($E90="Tier 1",$F90="Remove",$H90&lt;&gt;"",ISNA(MATCH($H90,Tables!$B$143:$B$144,0))),
Error!$B$15,
IF(AND($E90="Tier 1",$F90="Retain",$H90&lt;&gt;"",ISNA(MATCH($H90,Tables!$B$137:$B$140,0))),
Error!$B$15,
IF(AND($E90&lt;&gt;"Tier 2",$E90&lt;&gt;"Tier 2 Grove",$E90&lt;&gt;"Tier 3",$E90&lt;&gt;"Tier 4",$H90="Zoning: Green Factor",OR($D90="",$D90&lt;6)),
Error!$B$11,
IF(AND(_xlpm.baseRow,$D90&lt;6,$E90="&lt;6in DSH for Tree Points",_xlpm.TreePoints_H=0),
Error!$B$21,
IF(AND(_xlpm.baseRow,$E90&lt;&gt;"",$D90&lt;&gt;"",$F90=""),
Error!$B$4,
IF(AND(_xlpm.baseRow,$F90="Remove",OR($E90="Tier 1",$E90="Tier 2",$E90="Tier 2 Grove"),COUNTBLANK(_xlpm.HRange)&lt;3,_xlpm.uniqueH&gt;=2),
Error!$B$48,
IF(AND(_xlpm.baseRow,$F90="Retain",OR($E90="Tier 1",$E90="Tier 2",$E90="Tier 2 Grove"),COUNTIF(_xlpm.HRange,"Tree Code: Required to Retain Tier 1-2 Tree")=0),
Error!$B$47,
IF(AND(_xlpm.baseRow,$E90&lt;&gt;"",$D90&lt;&gt;"",$F90&lt;&gt;"",COUNTBLANK(_xlpm.HRange)=4),
Error!$B$5,
IF(AND($F90="Remove",$H90&lt;&gt;"",$I90=""),
Error!$B$18,
IF(AND($E90="Tier 4",$F90="Remove",$H90="Tree Protection Code: Tier 3 or Tier 4 Allowance",$H90&lt;&gt;"",ISNA(MATCH($I90,Tables!$B$200,0))),
Error!$B$17,
IF(AND($E90="Tier 3",$F90="Remove",$H90&lt;&gt;"",$H90="Tree Protection Code: Tier 3 or Tier 4 Allowance",OR($I90="",ISNA(MATCH($I90,Tables!$B$193:$B$197,0)))),
Error!$B$17,
IF(AND(OR($E90="Tier 2",$E90="Tier 2 Grove"),$F90="Remove",$H90="Tree Protection Code: Other removal allowance or exemption",$I90&lt;&gt;"",ISNA(MATCH($I90,Tables!$B$215:$B$218,0))),
Error!$B$17,
IF(AND(OR($E90="Tier 2",$E90="Tier 2 Grove"),$F90="Remove",$H90="Tree Protection Code: Development Capacity",$I90&lt;&gt;"",ISNA(MATCH($I90,Tables!$B$193:$B$197,0))),
Error!$B$17,
IF(AND(OR($E90="Tier 2",$E90="Tier 2 Grove"),$F90="Remove",$H90="Tree Protection Code: Necessary for Construction",$I90&lt;&gt;"",ISNA(MATCH($I90,Tables!$B$193:$B$197,0))),
Error!$B$17,
IF(AND($E90="Tier 1",$F90="Remove",$H90="Tree Protection Code: Special Exception",$I90&lt;&gt;"",ISNA(MATCH($I90,Tables!$B$215:$B$218,0))),
Error!$B$17,
IF(AND($E90="Tier 1",$F90="Remove",$H90="Tree Protection Code: Other removal allowance or exemption",$I90&lt;&gt;"",ISNA(MATCH($I90,Tables!$B$215:$B$218,0))),
Error!$B$17,
IF(AND($E90="ECA / Shoreline Tree",$F90="Remove",$H90&lt;&gt;"",OR($H90="Shoreline",$H90="Environmental Critical Area (ECA)"),ISNA(MATCH($I90,Tables!$B$209:$B$212,0))),
Error!$B$17,
IF(AND(_xlpm.baseRow,$F90="Retain",$E90="ECA / Shoreline Tree",_xlpm.ECA_Short=0),
Error!$B$61,
IF(AND($F90="Remove",ISNUMBER(MATCH($E90,{"Tier 1","Tier 2","Tier 3","Tier 4","Tier 2 Grove"},0)),ISNUMBER(MATCH($I90,{"On-site replacement","Off-site replacement"},0)),$J90="",$H90&lt;&gt;""),
Error!$B$19,
IF(AND(_xlpm.baseRow,$E90&lt;&gt;"",$D90&lt;&gt;"",$F90&lt;&gt;"",COUNTBLANK($B90:$C90)&gt;0,COUNTBLANK(_xlpm.HRange)&lt;&gt;4),
Error!$B$22,
IF(AND($H90="Zoning: Tree Points",$K90&lt;&gt;"",ISNA(MATCH($K90,Tables!$B$242:$B$253,0))),
Error!$B$58,
IF(AND($H90="Zoning: Tree Points",$K90="Small",$L90&lt;&gt;"",ISNA(MATCH($L90,Tables!$C$243:$C$244,0))),
Error!$B$59,
IF(AND($H90="Zoning: Tree Points",$K90="Small/Medium",$L90&lt;&gt;"",ISNA(MATCH($L90,Tables!$C$246:$C$247,0))),
Error!$B$59,
IF(AND($H90="Zoning: Tree Points",$K90="Medium/Large",$L90&lt;&gt;"",ISNA(MATCH($L90,Tables!$C$249:$C$250,0))),
Error!$B$59,
IF(AND($H90="Zoning: Tree Points",$K90="Large",$L90&lt;&gt;"",ISNA(MATCH($L90,Tables!$C$252:$C$253,0))),
Error!$B$59,
IF(AND($F90="Retain",$H90="Zoning: Tree Points",$C90&lt;&gt;"",$D90&lt;&gt;"",OR($K90="",$L90="",$M90="")),
Error!$B$20,
""
)))))))))))))))))))))))))))))))))))))))))))))))))))))))),
Error!$B$23))</f>
        <v/>
      </c>
      <c r="O90" s="343" t="str" cm="1">
        <f t="array" aca="1" ref="O90" ca="1">IFERROR(_xlfn.LET(
    _xlpm.txt, $C90,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1" spans="1:15" ht="15" thickBot="1" x14ac:dyDescent="0.35">
      <c r="A91" s="311">
        <v>21</v>
      </c>
      <c r="B91" s="312"/>
      <c r="C91" s="313"/>
      <c r="D91" s="478"/>
      <c r="E91" s="314"/>
      <c r="F91" s="314"/>
      <c r="G91" s="315" t="str">
        <f>IF(Tree_Table1[[#This Row],[Tree Status  &amp;]]="Retain", Tables!$B$237, IF(Tree_Table1[[#This Row],[Tree Status  &amp;]]="Remove", Tables!$B$238, ""))</f>
        <v/>
      </c>
      <c r="H91" s="316"/>
      <c r="I91" s="317"/>
      <c r="J91" s="452"/>
      <c r="K91" s="318" t="str">
        <f>IFERROR(
    IF(
        AND($H91="Zoning: Tree Points", NOT(ISNUMBER(SEARCH("sp.", $C91)))),
        VLOOKUP($C91, 'Tree List'!$C$3:$F$601, 4, FALSE),
        ""
    ),
"")</f>
        <v/>
      </c>
      <c r="L91" s="319" t="str" cm="1">
        <f t="array" ref="L91">IFERROR(
IF(
    AND($H91="Zoning: Tree Points", NOT(ISNUMBER(SEARCH("sp.", $C91)))),
    _xlfn.IFS(
        (COUNTIFS('Tree List'!$C$3:$C$601,$C91,'Tree List'!$D$3:$D$601,"Coniferous")
        + COUNTIFS('Tree List'!$C$3:$C$601,$C91,'Tree List'!$D$3:$D$601,"Deciduous Conifer")) &gt; 0,
            _xlfn.IFS($K91="Small",0.5,$K91="Small/Medium",1,$K91="Medium/Large",1.4,$K91="Large",1.8),
        (COUNTIFS('Tree List'!$C$3:$C$601,$C91,'Tree List'!$D$3:$D$601,"Deciduous")
        + COUNTIFS('Tree List'!$C$3:$C$601,$C91,'Tree List'!$D$3:$D$601,"Broadleaf Evergreen")) &gt; 0,
            _xlfn.IFS($K91="Small",0.4,$K91="Small/Medium",0.8,$K91="Medium/Large",1.2,$K91="Large",1.6)
    ),
    ""
),
"")</f>
        <v/>
      </c>
      <c r="M91" s="474" t="str">
        <f t="shared" si="0"/>
        <v/>
      </c>
      <c r="N91" s="620" t="str" cm="1">
        <f t="array" aca="1" ref="N9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IF(AND(_xlpm.baseRow,ISNA(MATCH($C91,'Tree List'!$C$3:$C$601,0)),SUMPRODUCT(--ISNUMBER(SEARCH(Tables2!$C$677:$C$772,$O91)))&gt;0),
Error!$B$57,
IF(AND(_xlpm.hasDM,$F91="Remove",$H91&lt;&gt;"",OR($I91="On-site replacement",$I91="Off-site replacement",$I91="Payment In Lieu")),
Error!$B$56,
IF(AND(_xlpm.hasDM,$F91="Remove",$H91&lt;&gt;"",$I91="Relocation"),
Error!$B$66,
IF(AND(OR(_xlpm.hasCN,_xlpm.hasPH,_xlpm.hasGR),$H91&lt;&gt;"",COUNTIF(Tables!$B$132:$B$134,$H91)&gt;0,$I91="N/A (No replacement required)"),
Error!$B$62,
IF(AND(_xlpm.baseRow,$E91&lt;&gt;"",ISNA(MATCH($E91,Tables!$B$225:$B$232,0))),
Error!$B$2,
IF(AND(_xlpm.baseRow,$F91&lt;&gt;"",ISNA(MATCH($F91,Tables!$B$234:$B$235,0))),
Error!$B$24,
IF(AND(_xlpm.baseRow,_xlpm.ECA_H&gt;0,_xlpm.Shore_H&gt;0),
Error!$B$16,
IF(AND(_xlpm.baseRow,$E91&lt;&gt;"",$D91=""),
Error!$B$3,
IF(AND(_xlpm.baseRow,OR($E91="Tier 3",$E91="Tier 4"),$C91&lt;&gt;"",$D91&gt;=24,COUNTIF(Tables2!$B$166:$B$674,$C91)&gt;0),
Error!$B$44,
IF(AND(_xlpm.baseRow,OR($E91="Tier 3",$E91="Tier 4"),$C91&lt;&gt;"",$D91&lt;&gt;"",COUNTIF(Tables2!$B$73:$B$152,$C91)&gt;0,
$D91&gt;=IFERROR(INDEX(Tables2!$C$73:$C$152,MATCH($C91,Tables2!$B$73:$B$152,0)),-1)),
Error!$B$44,
IF(AND(_xlpm.baseRow,OR($E91="Tier 2",$E91="Tier 2 Grove"),$C91&lt;&gt;"",$D91&gt;=12,COUNTIF(Tables2!$B$153:$B$162,$C91)&gt;0),
Error!$B$45,
IF(AND(_xlpm.baseRow,$E91="Tier 2 Grove",$D91&lt;12),
Error!$B$41,
IF(AND(_xlpm.baseRow,$E91="Tier 2",$D91&lt;5.88),
Error!$B$40,
IF(AND(_xlpm.baseRow,OR($E91="Tier 2",$E91="Tier 2 Grove"),$C91&lt;&gt;"",$D91&lt;12,$D91&gt;=6,COUNTIF(Tables2!$B$153:$B$162,$C91)&gt;0),
Error!$B$54,
IF(AND(_xlpm.baseRow,$E91="Tier 2",COUNTIF(Tables2!$B$166:$B$674,$C91)&gt;0,$D91&lt;24),
Error!$B$54,
IF(AND(_xlpm.baseRow,$E91="Tier 3",ISNA(MATCH($C91,Tables2!$B$153:$B$162,0)),OR($D91&lt;12,$D91&gt;=24)),
Error!$B$9,
IF(AND(_xlpm.baseRow,$E91="Tier 3",COUNTIF(Tables2!$B$153:$B$162,$C91)&gt;0,$D91&lt;12),
Error!$B$46,
IF(AND(_xlpm.baseRow,$E91="Tier 4",OR($D91&lt;6,$D91&gt;=12)),
Error!$B$10,
IF(AND(_xlpm.baseRow,$E91="&lt;6in DSH for Tree Points",OR($D91&gt;=6,$D91="")),
Error!$B$8,
IF(AND(_xlpm.baseRow,$E91="Street Tree for Green Factor",$F91&lt;&gt;"",$F91&lt;&gt;"Retain"),
Error!$B$14,
IF(AND($E91="&lt;6in DSH for Tree Points",$F91="Retain",$H91&lt;&gt;"",ISNA(MATCH($H91,Tables!$B$174:$B$174,0))),
Error!$B$15,
IF(AND($E91="Street Tree for Green Factor",$F91="Retain",$H91&lt;&gt;"",$H91&lt;&gt;"Zoning: Green Factor"),
Error!$B$15,
IF(AND($E91="ECA / Shoreline Tree",$F91="Remove",$H91&lt;&gt;"",ISNA(MATCH($H91,Tables!$B$189:$B$190,0))),
Error!$B$15,
IF(AND($E91="ECA / Shoreline Tree",$F91="Retain",$H91&lt;&gt;"",ISNA(MATCH($H91,Tables!$B$184:$B$186,0))),
Error!$B$15,
IF(AND($E91="Tier 4",$F91="Remove",$H91&lt;&gt;"",ISNA(MATCH($H91,Tables!$B$171,0))),
Error!$B$15,
IF(AND($E91="Tier 4",$F91="Retain",$H91&lt;&gt;"",ISNA(MATCH($H91,Tables!$B$166:$B$168,0))),
Error!$B$15,
IF(AND($E91="Tier 3",$F91="Retain",$H91&lt;&gt;"",ISNA(MATCH($H91,Tables!$B$158:$B$160,0))),
Error!$B$15,
IF(AND($E91="Tier 3",$F91="Remove",$H91&lt;&gt;"",ISNA(MATCH($H91,Tables!$B$163,0))),
Error!$B$15,
IF(AND(OR($E91="Tier 2",$E91="Tier 2 Grove"),$F91="Remove",$H91&lt;&gt;"",ISNA(MATCH($H91,Tables!$B$153:$B$155,0))),
Error!$B$15,
IF(AND(OR($E91="Tier 2",$E91="Tier 2 Grove"),$F91="Retain",$H91&lt;&gt;"",ISNA(MATCH($H91,Tables!$B$147:$B$150,0))),
Error!$B$15,
IF(AND($E91="Tier 1",$F91="Remove",$H91&lt;&gt;"",ISNA(MATCH($H91,Tables!$B$143:$B$144,0))),
Error!$B$15,
IF(AND($E91="Tier 1",$F91="Retain",$H91&lt;&gt;"",ISNA(MATCH($H91,Tables!$B$137:$B$140,0))),
Error!$B$15,
IF(AND($E91&lt;&gt;"Tier 2",$E91&lt;&gt;"Tier 2 Grove",$E91&lt;&gt;"Tier 3",$E91&lt;&gt;"Tier 4",$H91="Zoning: Green Factor",OR($D91="",$D91&lt;6)),
Error!$B$11,
IF(AND(_xlpm.baseRow,$D91&lt;6,$E91="&lt;6in DSH for Tree Points",_xlpm.TreePoints_H=0),
Error!$B$21,
IF(AND(_xlpm.baseRow,$E91&lt;&gt;"",$D91&lt;&gt;"",$F91=""),
Error!$B$4,
IF(AND(_xlpm.baseRow,$F91="Remove",OR($E91="Tier 1",$E91="Tier 2",$E91="Tier 2 Grove"),COUNTBLANK(_xlpm.HRange)&lt;3,_xlpm.uniqueH&gt;=2),
Error!$B$48,
IF(AND(_xlpm.baseRow,$F91="Retain",OR($E91="Tier 1",$E91="Tier 2",$E91="Tier 2 Grove"),COUNTIF(_xlpm.HRange,"Tree Code: Required to Retain Tier 1-2 Tree")=0),
Error!$B$47,
IF(AND(_xlpm.baseRow,$E91&lt;&gt;"",$D91&lt;&gt;"",$F91&lt;&gt;"",COUNTBLANK(_xlpm.HRange)=4),
Error!$B$5,
IF(AND($F91="Remove",$H91&lt;&gt;"",$I91=""),
Error!$B$18,
IF(AND($E91="Tier 4",$F91="Remove",$H91="Tree Protection Code: Tier 3 or Tier 4 Allowance",$H91&lt;&gt;"",ISNA(MATCH($I91,Tables!$B$200,0))),
Error!$B$17,
IF(AND($E91="Tier 3",$F91="Remove",$H91&lt;&gt;"",$H91="Tree Protection Code: Tier 3 or Tier 4 Allowance",OR($I91="",ISNA(MATCH($I91,Tables!$B$193:$B$197,0)))),
Error!$B$17,
IF(AND(OR($E91="Tier 2",$E91="Tier 2 Grove"),$F91="Remove",$H91="Tree Protection Code: Other removal allowance or exemption",$I91&lt;&gt;"",ISNA(MATCH($I91,Tables!$B$215:$B$218,0))),
Error!$B$17,
IF(AND(OR($E91="Tier 2",$E91="Tier 2 Grove"),$F91="Remove",$H91="Tree Protection Code: Development Capacity",$I91&lt;&gt;"",ISNA(MATCH($I91,Tables!$B$193:$B$197,0))),
Error!$B$17,
IF(AND(OR($E91="Tier 2",$E91="Tier 2 Grove"),$F91="Remove",$H91="Tree Protection Code: Necessary for Construction",$I91&lt;&gt;"",ISNA(MATCH($I91,Tables!$B$193:$B$197,0))),
Error!$B$17,
IF(AND($E91="Tier 1",$F91="Remove",$H91="Tree Protection Code: Special Exception",$I91&lt;&gt;"",ISNA(MATCH($I91,Tables!$B$215:$B$218,0))),
Error!$B$17,
IF(AND($E91="Tier 1",$F91="Remove",$H91="Tree Protection Code: Other removal allowance or exemption",$I91&lt;&gt;"",ISNA(MATCH($I91,Tables!$B$215:$B$218,0))),
Error!$B$17,
IF(AND($E91="ECA / Shoreline Tree",$F91="Remove",$H91&lt;&gt;"",OR($H91="Shoreline",$H91="Environmental Critical Area (ECA)"),ISNA(MATCH($I91,Tables!$B$209:$B$212,0))),
Error!$B$17,
IF(AND(_xlpm.baseRow,$F91="Retain",$E91="ECA / Shoreline Tree",_xlpm.ECA_Short=0),
Error!$B$61,
IF(AND($F91="Remove",ISNUMBER(MATCH($E91,{"Tier 1","Tier 2","Tier 3","Tier 4","Tier 2 Grove"},0)),ISNUMBER(MATCH($I91,{"On-site replacement","Off-site replacement"},0)),$J91="",$H91&lt;&gt;""),
Error!$B$19,
IF(AND(_xlpm.baseRow,$E91&lt;&gt;"",$D91&lt;&gt;"",$F91&lt;&gt;"",COUNTBLANK($B91:$C91)&gt;0,COUNTBLANK(_xlpm.HRange)&lt;&gt;4),
Error!$B$22,
IF(AND($H91="Zoning: Tree Points",$K91&lt;&gt;"",ISNA(MATCH($K91,Tables!$B$242:$B$253,0))),
Error!$B$58,
IF(AND($H91="Zoning: Tree Points",$K91="Small",$L91&lt;&gt;"",ISNA(MATCH($L91,Tables!$C$243:$C$244,0))),
Error!$B$59,
IF(AND($H91="Zoning: Tree Points",$K91="Small/Medium",$L91&lt;&gt;"",ISNA(MATCH($L91,Tables!$C$246:$C$247,0))),
Error!$B$59,
IF(AND($H91="Zoning: Tree Points",$K91="Medium/Large",$L91&lt;&gt;"",ISNA(MATCH($L91,Tables!$C$249:$C$250,0))),
Error!$B$59,
IF(AND($H91="Zoning: Tree Points",$K91="Large",$L91&lt;&gt;"",ISNA(MATCH($L91,Tables!$C$252:$C$253,0))),
Error!$B$59,
IF(AND($F91="Retain",$H91="Zoning: Tree Points",$C91&lt;&gt;"",$D91&lt;&gt;"",OR($K91="",$L91="",$M91="")),
Error!$B$20,
""
)))))))))))))))))))))))))))))))))))))))))))))))))))))))),
Error!$B$23))</f>
        <v/>
      </c>
      <c r="O91" s="343" t="str" cm="1">
        <f t="array" aca="1" ref="O91" ca="1">IFERROR(_xlfn.LET(
    _xlpm.txt, $C91,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2" spans="1:15" x14ac:dyDescent="0.3">
      <c r="A92" s="332"/>
      <c r="B92" s="616" t="str">
        <f t="shared" ref="B92:B94" si="58">IF($B91="", "", $B91)</f>
        <v/>
      </c>
      <c r="C92" s="617" t="str">
        <f t="shared" ref="C92:C94" si="59">IF($C91="", "", $C91)</f>
        <v/>
      </c>
      <c r="D92" s="618" t="str">
        <f t="shared" ref="D92:D94" si="60">IF($D91="", "", $D91)</f>
        <v/>
      </c>
      <c r="E92" s="616" t="str">
        <f t="shared" ref="E92:E94" si="61">IF($E91="", "", $E91)</f>
        <v/>
      </c>
      <c r="F92" s="616" t="str">
        <f t="shared" ref="F92:F94" si="62">IF($F91="", "", $F91)</f>
        <v/>
      </c>
      <c r="G92" s="619" t="str">
        <f>IF(Tree_Table1[[#This Row],[Tree Status  &amp;]]="Retain", Tables!$B$237, IF(Tree_Table1[[#This Row],[Tree Status  &amp;]]="Remove", Tables!$B$238, ""))</f>
        <v/>
      </c>
      <c r="H92" s="321"/>
      <c r="I92" s="322"/>
      <c r="J92" s="453"/>
      <c r="K92" s="323" t="str">
        <f>IFERROR(
    IF(
        AND($H92="Zoning: Tree Points", NOT(ISNUMBER(SEARCH("sp.", $C92)))),
        VLOOKUP($C92, 'Tree List'!$C$3:$F$601, 4, FALSE),
        ""
    ),
"")</f>
        <v/>
      </c>
      <c r="L92" s="324" t="str" cm="1">
        <f t="array" ref="L92">IFERROR(
IF(
    AND($H92="Zoning: Tree Points", NOT(ISNUMBER(SEARCH("sp.", $C92)))),
    _xlfn.IFS(
        (COUNTIFS('Tree List'!$C$3:$C$601,$C92,'Tree List'!$D$3:$D$601,"Coniferous")
        + COUNTIFS('Tree List'!$C$3:$C$601,$C92,'Tree List'!$D$3:$D$601,"Deciduous Conifer")) &gt; 0,
            _xlfn.IFS($K92="Small",0.5,$K92="Small/Medium",1,$K92="Medium/Large",1.4,$K92="Large",1.8),
        (COUNTIFS('Tree List'!$C$3:$C$601,$C92,'Tree List'!$D$3:$D$601,"Deciduous")
        + COUNTIFS('Tree List'!$C$3:$C$601,$C92,'Tree List'!$D$3:$D$601,"Broadleaf Evergreen")) &gt; 0,
            _xlfn.IFS($K92="Small",0.4,$K92="Small/Medium",0.8,$K92="Medium/Large",1.2,$K92="Large",1.6)
    ),
    ""
),
"")</f>
        <v/>
      </c>
      <c r="M92" s="475" t="str">
        <f t="shared" si="0"/>
        <v/>
      </c>
      <c r="N92" s="346" t="str" cm="1">
        <f t="array" aca="1" ref="N9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IF(AND(_xlpm.baseRow,ISNA(MATCH($C92,'Tree List'!$C$3:$C$601,0)),SUMPRODUCT(--ISNUMBER(SEARCH(Tables2!$C$677:$C$772,$O92)))&gt;0),
Error!$B$57,
IF(AND(_xlpm.hasDM,$F92="Remove",$H92&lt;&gt;"",OR($I92="On-site replacement",$I92="Off-site replacement",$I92="Payment In Lieu")),
Error!$B$56,
IF(AND(_xlpm.hasDM,$F92="Remove",$H92&lt;&gt;"",$I92="Relocation"),
Error!$B$66,
IF(AND(OR(_xlpm.hasCN,_xlpm.hasPH,_xlpm.hasGR),$H92&lt;&gt;"",COUNTIF(Tables!$B$132:$B$134,$H92)&gt;0,$I92="N/A (No replacement required)"),
Error!$B$62,
IF(AND(_xlpm.baseRow,$E92&lt;&gt;"",ISNA(MATCH($E92,Tables!$B$225:$B$232,0))),
Error!$B$2,
IF(AND(_xlpm.baseRow,$F92&lt;&gt;"",ISNA(MATCH($F92,Tables!$B$234:$B$235,0))),
Error!$B$24,
IF(AND(_xlpm.baseRow,_xlpm.ECA_H&gt;0,_xlpm.Shore_H&gt;0),
Error!$B$16,
IF(AND(_xlpm.baseRow,$E92&lt;&gt;"",$D92=""),
Error!$B$3,
IF(AND(_xlpm.baseRow,OR($E92="Tier 3",$E92="Tier 4"),$C92&lt;&gt;"",$D92&gt;=24,COUNTIF(Tables2!$B$166:$B$674,$C92)&gt;0),
Error!$B$44,
IF(AND(_xlpm.baseRow,OR($E92="Tier 3",$E92="Tier 4"),$C92&lt;&gt;"",$D92&lt;&gt;"",COUNTIF(Tables2!$B$73:$B$152,$C92)&gt;0,
$D92&gt;=IFERROR(INDEX(Tables2!$C$73:$C$152,MATCH($C92,Tables2!$B$73:$B$152,0)),-1)),
Error!$B$44,
IF(AND(_xlpm.baseRow,OR($E92="Tier 2",$E92="Tier 2 Grove"),$C92&lt;&gt;"",$D92&gt;=12,COUNTIF(Tables2!$B$153:$B$162,$C92)&gt;0),
Error!$B$45,
IF(AND(_xlpm.baseRow,$E92="Tier 2 Grove",$D92&lt;12),
Error!$B$41,
IF(AND(_xlpm.baseRow,$E92="Tier 2",$D92&lt;5.88),
Error!$B$40,
IF(AND(_xlpm.baseRow,OR($E92="Tier 2",$E92="Tier 2 Grove"),$C92&lt;&gt;"",$D92&lt;12,$D92&gt;=6,COUNTIF(Tables2!$B$153:$B$162,$C92)&gt;0),
Error!$B$54,
IF(AND(_xlpm.baseRow,$E92="Tier 2",COUNTIF(Tables2!$B$166:$B$674,$C92)&gt;0,$D92&lt;24),
Error!$B$54,
IF(AND(_xlpm.baseRow,$E92="Tier 3",ISNA(MATCH($C92,Tables2!$B$153:$B$162,0)),OR($D92&lt;12,$D92&gt;=24)),
Error!$B$9,
IF(AND(_xlpm.baseRow,$E92="Tier 3",COUNTIF(Tables2!$B$153:$B$162,$C92)&gt;0,$D92&lt;12),
Error!$B$46,
IF(AND(_xlpm.baseRow,$E92="Tier 4",OR($D92&lt;6,$D92&gt;=12)),
Error!$B$10,
IF(AND(_xlpm.baseRow,$E92="&lt;6in DSH for Tree Points",OR($D92&gt;=6,$D92="")),
Error!$B$8,
IF(AND(_xlpm.baseRow,$E92="Street Tree for Green Factor",$F92&lt;&gt;"",$F92&lt;&gt;"Retain"),
Error!$B$14,
IF(AND($E92="&lt;6in DSH for Tree Points",$F92="Retain",$H92&lt;&gt;"",ISNA(MATCH($H92,Tables!$B$174:$B$174,0))),
Error!$B$15,
IF(AND($E92="Street Tree for Green Factor",$F92="Retain",$H92&lt;&gt;"",$H92&lt;&gt;"Zoning: Green Factor"),
Error!$B$15,
IF(AND($E92="ECA / Shoreline Tree",$F92="Remove",$H92&lt;&gt;"",ISNA(MATCH($H92,Tables!$B$189:$B$190,0))),
Error!$B$15,
IF(AND($E92="ECA / Shoreline Tree",$F92="Retain",$H92&lt;&gt;"",ISNA(MATCH($H92,Tables!$B$184:$B$186,0))),
Error!$B$15,
IF(AND($E92="Tier 4",$F92="Remove",$H92&lt;&gt;"",ISNA(MATCH($H92,Tables!$B$171,0))),
Error!$B$15,
IF(AND($E92="Tier 4",$F92="Retain",$H92&lt;&gt;"",ISNA(MATCH($H92,Tables!$B$166:$B$168,0))),
Error!$B$15,
IF(AND($E92="Tier 3",$F92="Retain",$H92&lt;&gt;"",ISNA(MATCH($H92,Tables!$B$158:$B$160,0))),
Error!$B$15,
IF(AND($E92="Tier 3",$F92="Remove",$H92&lt;&gt;"",ISNA(MATCH($H92,Tables!$B$163,0))),
Error!$B$15,
IF(AND(OR($E92="Tier 2",$E92="Tier 2 Grove"),$F92="Remove",$H92&lt;&gt;"",ISNA(MATCH($H92,Tables!$B$153:$B$155,0))),
Error!$B$15,
IF(AND(OR($E92="Tier 2",$E92="Tier 2 Grove"),$F92="Retain",$H92&lt;&gt;"",ISNA(MATCH($H92,Tables!$B$147:$B$150,0))),
Error!$B$15,
IF(AND($E92="Tier 1",$F92="Remove",$H92&lt;&gt;"",ISNA(MATCH($H92,Tables!$B$143:$B$144,0))),
Error!$B$15,
IF(AND($E92="Tier 1",$F92="Retain",$H92&lt;&gt;"",ISNA(MATCH($H92,Tables!$B$137:$B$140,0))),
Error!$B$15,
IF(AND($E92&lt;&gt;"Tier 2",$E92&lt;&gt;"Tier 2 Grove",$E92&lt;&gt;"Tier 3",$E92&lt;&gt;"Tier 4",$H92="Zoning: Green Factor",OR($D92="",$D92&lt;6)),
Error!$B$11,
IF(AND(_xlpm.baseRow,$D92&lt;6,$E92="&lt;6in DSH for Tree Points",_xlpm.TreePoints_H=0),
Error!$B$21,
IF(AND(_xlpm.baseRow,$E92&lt;&gt;"",$D92&lt;&gt;"",$F92=""),
Error!$B$4,
IF(AND(_xlpm.baseRow,$F92="Remove",OR($E92="Tier 1",$E92="Tier 2",$E92="Tier 2 Grove"),COUNTBLANK(_xlpm.HRange)&lt;3,_xlpm.uniqueH&gt;=2),
Error!$B$48,
IF(AND(_xlpm.baseRow,$F92="Retain",OR($E92="Tier 1",$E92="Tier 2",$E92="Tier 2 Grove"),COUNTIF(_xlpm.HRange,"Tree Code: Required to Retain Tier 1-2 Tree")=0),
Error!$B$47,
IF(AND(_xlpm.baseRow,$E92&lt;&gt;"",$D92&lt;&gt;"",$F92&lt;&gt;"",COUNTBLANK(_xlpm.HRange)=4),
Error!$B$5,
IF(AND($F92="Remove",$H92&lt;&gt;"",$I92=""),
Error!$B$18,
IF(AND($E92="Tier 4",$F92="Remove",$H92="Tree Protection Code: Tier 3 or Tier 4 Allowance",$H92&lt;&gt;"",ISNA(MATCH($I92,Tables!$B$200,0))),
Error!$B$17,
IF(AND($E92="Tier 3",$F92="Remove",$H92&lt;&gt;"",$H92="Tree Protection Code: Tier 3 or Tier 4 Allowance",OR($I92="",ISNA(MATCH($I92,Tables!$B$193:$B$197,0)))),
Error!$B$17,
IF(AND(OR($E92="Tier 2",$E92="Tier 2 Grove"),$F92="Remove",$H92="Tree Protection Code: Other removal allowance or exemption",$I92&lt;&gt;"",ISNA(MATCH($I92,Tables!$B$215:$B$218,0))),
Error!$B$17,
IF(AND(OR($E92="Tier 2",$E92="Tier 2 Grove"),$F92="Remove",$H92="Tree Protection Code: Development Capacity",$I92&lt;&gt;"",ISNA(MATCH($I92,Tables!$B$193:$B$197,0))),
Error!$B$17,
IF(AND(OR($E92="Tier 2",$E92="Tier 2 Grove"),$F92="Remove",$H92="Tree Protection Code: Necessary for Construction",$I92&lt;&gt;"",ISNA(MATCH($I92,Tables!$B$193:$B$197,0))),
Error!$B$17,
IF(AND($E92="Tier 1",$F92="Remove",$H92="Tree Protection Code: Special Exception",$I92&lt;&gt;"",ISNA(MATCH($I92,Tables!$B$215:$B$218,0))),
Error!$B$17,
IF(AND($E92="Tier 1",$F92="Remove",$H92="Tree Protection Code: Other removal allowance or exemption",$I92&lt;&gt;"",ISNA(MATCH($I92,Tables!$B$215:$B$218,0))),
Error!$B$17,
IF(AND($E92="ECA / Shoreline Tree",$F92="Remove",$H92&lt;&gt;"",OR($H92="Shoreline",$H92="Environmental Critical Area (ECA)"),ISNA(MATCH($I92,Tables!$B$209:$B$212,0))),
Error!$B$17,
IF(AND(_xlpm.baseRow,$F92="Retain",$E92="ECA / Shoreline Tree",_xlpm.ECA_Short=0),
Error!$B$61,
IF(AND($F92="Remove",ISNUMBER(MATCH($E92,{"Tier 1","Tier 2","Tier 3","Tier 4","Tier 2 Grove"},0)),ISNUMBER(MATCH($I92,{"On-site replacement","Off-site replacement"},0)),$J92="",$H92&lt;&gt;""),
Error!$B$19,
IF(AND(_xlpm.baseRow,$E92&lt;&gt;"",$D92&lt;&gt;"",$F92&lt;&gt;"",COUNTBLANK($B92:$C92)&gt;0,COUNTBLANK(_xlpm.HRange)&lt;&gt;4),
Error!$B$22,
IF(AND($H92="Zoning: Tree Points",$K92&lt;&gt;"",ISNA(MATCH($K92,Tables!$B$242:$B$253,0))),
Error!$B$58,
IF(AND($H92="Zoning: Tree Points",$K92="Small",$L92&lt;&gt;"",ISNA(MATCH($L92,Tables!$C$243:$C$244,0))),
Error!$B$59,
IF(AND($H92="Zoning: Tree Points",$K92="Small/Medium",$L92&lt;&gt;"",ISNA(MATCH($L92,Tables!$C$246:$C$247,0))),
Error!$B$59,
IF(AND($H92="Zoning: Tree Points",$K92="Medium/Large",$L92&lt;&gt;"",ISNA(MATCH($L92,Tables!$C$249:$C$250,0))),
Error!$B$59,
IF(AND($H92="Zoning: Tree Points",$K92="Large",$L92&lt;&gt;"",ISNA(MATCH($L92,Tables!$C$252:$C$253,0))),
Error!$B$59,
IF(AND($F92="Retain",$H92="Zoning: Tree Points",$C92&lt;&gt;"",$D92&lt;&gt;"",OR($K92="",$L92="",$M92="")),
Error!$B$20,
""
)))))))))))))))))))))))))))))))))))))))))))))))))))))))),
Error!$B$23))</f>
        <v/>
      </c>
      <c r="O92" s="343" t="str" cm="1">
        <f t="array" aca="1" ref="O92" ca="1">IFERROR(_xlfn.LET(
    _xlpm.txt, $C92,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3" spans="1:15" x14ac:dyDescent="0.3">
      <c r="A93" s="332"/>
      <c r="B93" s="616" t="str">
        <f t="shared" si="58"/>
        <v/>
      </c>
      <c r="C93" s="617" t="str">
        <f t="shared" si="59"/>
        <v/>
      </c>
      <c r="D93" s="618" t="str">
        <f t="shared" si="60"/>
        <v/>
      </c>
      <c r="E93" s="616" t="str">
        <f t="shared" si="61"/>
        <v/>
      </c>
      <c r="F93" s="616" t="str">
        <f t="shared" si="62"/>
        <v/>
      </c>
      <c r="G93" s="619" t="str">
        <f>IF(Tree_Table1[[#This Row],[Tree Status  &amp;]]="Retain", Tables!$B$237, IF(Tree_Table1[[#This Row],[Tree Status  &amp;]]="Remove", Tables!$B$238, ""))</f>
        <v/>
      </c>
      <c r="H93" s="321"/>
      <c r="I93" s="322"/>
      <c r="J93" s="453"/>
      <c r="K93" s="323" t="str">
        <f>IFERROR(
    IF(
        AND($H93="Zoning: Tree Points", NOT(ISNUMBER(SEARCH("sp.", $C93)))),
        VLOOKUP($C93, 'Tree List'!$C$3:$F$601, 4, FALSE),
        ""
    ),
"")</f>
        <v/>
      </c>
      <c r="L93" s="324" t="str" cm="1">
        <f t="array" ref="L93">IFERROR(
IF(
    AND($H93="Zoning: Tree Points", NOT(ISNUMBER(SEARCH("sp.", $C93)))),
    _xlfn.IFS(
        (COUNTIFS('Tree List'!$C$3:$C$601,$C93,'Tree List'!$D$3:$D$601,"Coniferous")
        + COUNTIFS('Tree List'!$C$3:$C$601,$C93,'Tree List'!$D$3:$D$601,"Deciduous Conifer")) &gt; 0,
            _xlfn.IFS($K93="Small",0.5,$K93="Small/Medium",1,$K93="Medium/Large",1.4,$K93="Large",1.8),
        (COUNTIFS('Tree List'!$C$3:$C$601,$C93,'Tree List'!$D$3:$D$601,"Deciduous")
        + COUNTIFS('Tree List'!$C$3:$C$601,$C93,'Tree List'!$D$3:$D$601,"Broadleaf Evergreen")) &gt; 0,
            _xlfn.IFS($K93="Small",0.4,$K93="Small/Medium",0.8,$K93="Medium/Large",1.2,$K93="Large",1.6)
    ),
    ""
),
"")</f>
        <v/>
      </c>
      <c r="M93" s="475" t="str">
        <f t="shared" si="0"/>
        <v/>
      </c>
      <c r="N93" s="346" t="str" cm="1">
        <f t="array" aca="1" ref="N9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IF(AND(_xlpm.baseRow,ISNA(MATCH($C93,'Tree List'!$C$3:$C$601,0)),SUMPRODUCT(--ISNUMBER(SEARCH(Tables2!$C$677:$C$772,$O93)))&gt;0),
Error!$B$57,
IF(AND(_xlpm.hasDM,$F93="Remove",$H93&lt;&gt;"",OR($I93="On-site replacement",$I93="Off-site replacement",$I93="Payment In Lieu")),
Error!$B$56,
IF(AND(_xlpm.hasDM,$F93="Remove",$H93&lt;&gt;"",$I93="Relocation"),
Error!$B$66,
IF(AND(OR(_xlpm.hasCN,_xlpm.hasPH,_xlpm.hasGR),$H93&lt;&gt;"",COUNTIF(Tables!$B$132:$B$134,$H93)&gt;0,$I93="N/A (No replacement required)"),
Error!$B$62,
IF(AND(_xlpm.baseRow,$E93&lt;&gt;"",ISNA(MATCH($E93,Tables!$B$225:$B$232,0))),
Error!$B$2,
IF(AND(_xlpm.baseRow,$F93&lt;&gt;"",ISNA(MATCH($F93,Tables!$B$234:$B$235,0))),
Error!$B$24,
IF(AND(_xlpm.baseRow,_xlpm.ECA_H&gt;0,_xlpm.Shore_H&gt;0),
Error!$B$16,
IF(AND(_xlpm.baseRow,$E93&lt;&gt;"",$D93=""),
Error!$B$3,
IF(AND(_xlpm.baseRow,OR($E93="Tier 3",$E93="Tier 4"),$C93&lt;&gt;"",$D93&gt;=24,COUNTIF(Tables2!$B$166:$B$674,$C93)&gt;0),
Error!$B$44,
IF(AND(_xlpm.baseRow,OR($E93="Tier 3",$E93="Tier 4"),$C93&lt;&gt;"",$D93&lt;&gt;"",COUNTIF(Tables2!$B$73:$B$152,$C93)&gt;0,
$D93&gt;=IFERROR(INDEX(Tables2!$C$73:$C$152,MATCH($C93,Tables2!$B$73:$B$152,0)),-1)),
Error!$B$44,
IF(AND(_xlpm.baseRow,OR($E93="Tier 2",$E93="Tier 2 Grove"),$C93&lt;&gt;"",$D93&gt;=12,COUNTIF(Tables2!$B$153:$B$162,$C93)&gt;0),
Error!$B$45,
IF(AND(_xlpm.baseRow,$E93="Tier 2 Grove",$D93&lt;12),
Error!$B$41,
IF(AND(_xlpm.baseRow,$E93="Tier 2",$D93&lt;5.88),
Error!$B$40,
IF(AND(_xlpm.baseRow,OR($E93="Tier 2",$E93="Tier 2 Grove"),$C93&lt;&gt;"",$D93&lt;12,$D93&gt;=6,COUNTIF(Tables2!$B$153:$B$162,$C93)&gt;0),
Error!$B$54,
IF(AND(_xlpm.baseRow,$E93="Tier 2",COUNTIF(Tables2!$B$166:$B$674,$C93)&gt;0,$D93&lt;24),
Error!$B$54,
IF(AND(_xlpm.baseRow,$E93="Tier 3",ISNA(MATCH($C93,Tables2!$B$153:$B$162,0)),OR($D93&lt;12,$D93&gt;=24)),
Error!$B$9,
IF(AND(_xlpm.baseRow,$E93="Tier 3",COUNTIF(Tables2!$B$153:$B$162,$C93)&gt;0,$D93&lt;12),
Error!$B$46,
IF(AND(_xlpm.baseRow,$E93="Tier 4",OR($D93&lt;6,$D93&gt;=12)),
Error!$B$10,
IF(AND(_xlpm.baseRow,$E93="&lt;6in DSH for Tree Points",OR($D93&gt;=6,$D93="")),
Error!$B$8,
IF(AND(_xlpm.baseRow,$E93="Street Tree for Green Factor",$F93&lt;&gt;"",$F93&lt;&gt;"Retain"),
Error!$B$14,
IF(AND($E93="&lt;6in DSH for Tree Points",$F93="Retain",$H93&lt;&gt;"",ISNA(MATCH($H93,Tables!$B$174:$B$174,0))),
Error!$B$15,
IF(AND($E93="Street Tree for Green Factor",$F93="Retain",$H93&lt;&gt;"",$H93&lt;&gt;"Zoning: Green Factor"),
Error!$B$15,
IF(AND($E93="ECA / Shoreline Tree",$F93="Remove",$H93&lt;&gt;"",ISNA(MATCH($H93,Tables!$B$189:$B$190,0))),
Error!$B$15,
IF(AND($E93="ECA / Shoreline Tree",$F93="Retain",$H93&lt;&gt;"",ISNA(MATCH($H93,Tables!$B$184:$B$186,0))),
Error!$B$15,
IF(AND($E93="Tier 4",$F93="Remove",$H93&lt;&gt;"",ISNA(MATCH($H93,Tables!$B$171,0))),
Error!$B$15,
IF(AND($E93="Tier 4",$F93="Retain",$H93&lt;&gt;"",ISNA(MATCH($H93,Tables!$B$166:$B$168,0))),
Error!$B$15,
IF(AND($E93="Tier 3",$F93="Retain",$H93&lt;&gt;"",ISNA(MATCH($H93,Tables!$B$158:$B$160,0))),
Error!$B$15,
IF(AND($E93="Tier 3",$F93="Remove",$H93&lt;&gt;"",ISNA(MATCH($H93,Tables!$B$163,0))),
Error!$B$15,
IF(AND(OR($E93="Tier 2",$E93="Tier 2 Grove"),$F93="Remove",$H93&lt;&gt;"",ISNA(MATCH($H93,Tables!$B$153:$B$155,0))),
Error!$B$15,
IF(AND(OR($E93="Tier 2",$E93="Tier 2 Grove"),$F93="Retain",$H93&lt;&gt;"",ISNA(MATCH($H93,Tables!$B$147:$B$150,0))),
Error!$B$15,
IF(AND($E93="Tier 1",$F93="Remove",$H93&lt;&gt;"",ISNA(MATCH($H93,Tables!$B$143:$B$144,0))),
Error!$B$15,
IF(AND($E93="Tier 1",$F93="Retain",$H93&lt;&gt;"",ISNA(MATCH($H93,Tables!$B$137:$B$140,0))),
Error!$B$15,
IF(AND($E93&lt;&gt;"Tier 2",$E93&lt;&gt;"Tier 2 Grove",$E93&lt;&gt;"Tier 3",$E93&lt;&gt;"Tier 4",$H93="Zoning: Green Factor",OR($D93="",$D93&lt;6)),
Error!$B$11,
IF(AND(_xlpm.baseRow,$D93&lt;6,$E93="&lt;6in DSH for Tree Points",_xlpm.TreePoints_H=0),
Error!$B$21,
IF(AND(_xlpm.baseRow,$E93&lt;&gt;"",$D93&lt;&gt;"",$F93=""),
Error!$B$4,
IF(AND(_xlpm.baseRow,$F93="Remove",OR($E93="Tier 1",$E93="Tier 2",$E93="Tier 2 Grove"),COUNTBLANK(_xlpm.HRange)&lt;3,_xlpm.uniqueH&gt;=2),
Error!$B$48,
IF(AND(_xlpm.baseRow,$F93="Retain",OR($E93="Tier 1",$E93="Tier 2",$E93="Tier 2 Grove"),COUNTIF(_xlpm.HRange,"Tree Code: Required to Retain Tier 1-2 Tree")=0),
Error!$B$47,
IF(AND(_xlpm.baseRow,$E93&lt;&gt;"",$D93&lt;&gt;"",$F93&lt;&gt;"",COUNTBLANK(_xlpm.HRange)=4),
Error!$B$5,
IF(AND($F93="Remove",$H93&lt;&gt;"",$I93=""),
Error!$B$18,
IF(AND($E93="Tier 4",$F93="Remove",$H93="Tree Protection Code: Tier 3 or Tier 4 Allowance",$H93&lt;&gt;"",ISNA(MATCH($I93,Tables!$B$200,0))),
Error!$B$17,
IF(AND($E93="Tier 3",$F93="Remove",$H93&lt;&gt;"",$H93="Tree Protection Code: Tier 3 or Tier 4 Allowance",OR($I93="",ISNA(MATCH($I93,Tables!$B$193:$B$197,0)))),
Error!$B$17,
IF(AND(OR($E93="Tier 2",$E93="Tier 2 Grove"),$F93="Remove",$H93="Tree Protection Code: Other removal allowance or exemption",$I93&lt;&gt;"",ISNA(MATCH($I93,Tables!$B$215:$B$218,0))),
Error!$B$17,
IF(AND(OR($E93="Tier 2",$E93="Tier 2 Grove"),$F93="Remove",$H93="Tree Protection Code: Development Capacity",$I93&lt;&gt;"",ISNA(MATCH($I93,Tables!$B$193:$B$197,0))),
Error!$B$17,
IF(AND(OR($E93="Tier 2",$E93="Tier 2 Grove"),$F93="Remove",$H93="Tree Protection Code: Necessary for Construction",$I93&lt;&gt;"",ISNA(MATCH($I93,Tables!$B$193:$B$197,0))),
Error!$B$17,
IF(AND($E93="Tier 1",$F93="Remove",$H93="Tree Protection Code: Special Exception",$I93&lt;&gt;"",ISNA(MATCH($I93,Tables!$B$215:$B$218,0))),
Error!$B$17,
IF(AND($E93="Tier 1",$F93="Remove",$H93="Tree Protection Code: Other removal allowance or exemption",$I93&lt;&gt;"",ISNA(MATCH($I93,Tables!$B$215:$B$218,0))),
Error!$B$17,
IF(AND($E93="ECA / Shoreline Tree",$F93="Remove",$H93&lt;&gt;"",OR($H93="Shoreline",$H93="Environmental Critical Area (ECA)"),ISNA(MATCH($I93,Tables!$B$209:$B$212,0))),
Error!$B$17,
IF(AND(_xlpm.baseRow,$F93="Retain",$E93="ECA / Shoreline Tree",_xlpm.ECA_Short=0),
Error!$B$61,
IF(AND($F93="Remove",ISNUMBER(MATCH($E93,{"Tier 1","Tier 2","Tier 3","Tier 4","Tier 2 Grove"},0)),ISNUMBER(MATCH($I93,{"On-site replacement","Off-site replacement"},0)),$J93="",$H93&lt;&gt;""),
Error!$B$19,
IF(AND(_xlpm.baseRow,$E93&lt;&gt;"",$D93&lt;&gt;"",$F93&lt;&gt;"",COUNTBLANK($B93:$C93)&gt;0,COUNTBLANK(_xlpm.HRange)&lt;&gt;4),
Error!$B$22,
IF(AND($H93="Zoning: Tree Points",$K93&lt;&gt;"",ISNA(MATCH($K93,Tables!$B$242:$B$253,0))),
Error!$B$58,
IF(AND($H93="Zoning: Tree Points",$K93="Small",$L93&lt;&gt;"",ISNA(MATCH($L93,Tables!$C$243:$C$244,0))),
Error!$B$59,
IF(AND($H93="Zoning: Tree Points",$K93="Small/Medium",$L93&lt;&gt;"",ISNA(MATCH($L93,Tables!$C$246:$C$247,0))),
Error!$B$59,
IF(AND($H93="Zoning: Tree Points",$K93="Medium/Large",$L93&lt;&gt;"",ISNA(MATCH($L93,Tables!$C$249:$C$250,0))),
Error!$B$59,
IF(AND($H93="Zoning: Tree Points",$K93="Large",$L93&lt;&gt;"",ISNA(MATCH($L93,Tables!$C$252:$C$253,0))),
Error!$B$59,
IF(AND($F93="Retain",$H93="Zoning: Tree Points",$C93&lt;&gt;"",$D93&lt;&gt;"",OR($K93="",$L93="",$M93="")),
Error!$B$20,
""
)))))))))))))))))))))))))))))))))))))))))))))))))))))))),
Error!$B$23))</f>
        <v/>
      </c>
      <c r="O93" s="343" t="str" cm="1">
        <f t="array" aca="1" ref="O93" ca="1">IFERROR(_xlfn.LET(
    _xlpm.txt, $C93,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4" spans="1:15" ht="15" thickBot="1" x14ac:dyDescent="0.35">
      <c r="A94" s="333"/>
      <c r="B94" s="616" t="str">
        <f t="shared" si="58"/>
        <v/>
      </c>
      <c r="C94" s="617" t="str">
        <f t="shared" si="59"/>
        <v/>
      </c>
      <c r="D94" s="618" t="str">
        <f t="shared" si="60"/>
        <v/>
      </c>
      <c r="E94" s="616" t="str">
        <f t="shared" si="61"/>
        <v/>
      </c>
      <c r="F94" s="616" t="str">
        <f t="shared" si="62"/>
        <v/>
      </c>
      <c r="G94" s="619" t="str">
        <f>IF(Tree_Table1[[#This Row],[Tree Status  &amp;]]="Retain", Tables!$B$237, IF(Tree_Table1[[#This Row],[Tree Status  &amp;]]="Remove", Tables!$B$238, ""))</f>
        <v/>
      </c>
      <c r="H94" s="329"/>
      <c r="I94" s="330"/>
      <c r="J94" s="455"/>
      <c r="K94" s="327" t="str">
        <f>IFERROR(
    IF(
        AND($H94="Zoning: Tree Points", NOT(ISNUMBER(SEARCH("sp.", $C94)))),
        VLOOKUP($C94, 'Tree List'!$C$3:$F$601, 4, FALSE),
        ""
    ),
"")</f>
        <v/>
      </c>
      <c r="L94" s="328" t="str" cm="1">
        <f t="array" ref="L94">IFERROR(
IF(
    AND($H94="Zoning: Tree Points", NOT(ISNUMBER(SEARCH("sp.", $C94)))),
    _xlfn.IFS(
        (COUNTIFS('Tree List'!$C$3:$C$601,$C94,'Tree List'!$D$3:$D$601,"Coniferous")
        + COUNTIFS('Tree List'!$C$3:$C$601,$C94,'Tree List'!$D$3:$D$601,"Deciduous Conifer")) &gt; 0,
            _xlfn.IFS($K94="Small",0.5,$K94="Small/Medium",1,$K94="Medium/Large",1.4,$K94="Large",1.8),
        (COUNTIFS('Tree List'!$C$3:$C$601,$C94,'Tree List'!$D$3:$D$601,"Deciduous")
        + COUNTIFS('Tree List'!$C$3:$C$601,$C94,'Tree List'!$D$3:$D$601,"Broadleaf Evergreen")) &gt; 0,
            _xlfn.IFS($K94="Small",0.4,$K94="Small/Medium",0.8,$K94="Medium/Large",1.2,$K94="Large",1.6)
    ),
    ""
),
"")</f>
        <v/>
      </c>
      <c r="M94" s="476" t="str">
        <f t="shared" si="0"/>
        <v/>
      </c>
      <c r="N94" s="347" t="str" cm="1">
        <f t="array" aca="1" ref="N9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IF(AND(_xlpm.baseRow,ISNA(MATCH($C94,'Tree List'!$C$3:$C$601,0)),SUMPRODUCT(--ISNUMBER(SEARCH(Tables2!$C$677:$C$772,$O94)))&gt;0),
Error!$B$57,
IF(AND(_xlpm.hasDM,$F94="Remove",$H94&lt;&gt;"",OR($I94="On-site replacement",$I94="Off-site replacement",$I94="Payment In Lieu")),
Error!$B$56,
IF(AND(_xlpm.hasDM,$F94="Remove",$H94&lt;&gt;"",$I94="Relocation"),
Error!$B$66,
IF(AND(OR(_xlpm.hasCN,_xlpm.hasPH,_xlpm.hasGR),$H94&lt;&gt;"",COUNTIF(Tables!$B$132:$B$134,$H94)&gt;0,$I94="N/A (No replacement required)"),
Error!$B$62,
IF(AND(_xlpm.baseRow,$E94&lt;&gt;"",ISNA(MATCH($E94,Tables!$B$225:$B$232,0))),
Error!$B$2,
IF(AND(_xlpm.baseRow,$F94&lt;&gt;"",ISNA(MATCH($F94,Tables!$B$234:$B$235,0))),
Error!$B$24,
IF(AND(_xlpm.baseRow,_xlpm.ECA_H&gt;0,_xlpm.Shore_H&gt;0),
Error!$B$16,
IF(AND(_xlpm.baseRow,$E94&lt;&gt;"",$D94=""),
Error!$B$3,
IF(AND(_xlpm.baseRow,OR($E94="Tier 3",$E94="Tier 4"),$C94&lt;&gt;"",$D94&gt;=24,COUNTIF(Tables2!$B$166:$B$674,$C94)&gt;0),
Error!$B$44,
IF(AND(_xlpm.baseRow,OR($E94="Tier 3",$E94="Tier 4"),$C94&lt;&gt;"",$D94&lt;&gt;"",COUNTIF(Tables2!$B$73:$B$152,$C94)&gt;0,
$D94&gt;=IFERROR(INDEX(Tables2!$C$73:$C$152,MATCH($C94,Tables2!$B$73:$B$152,0)),-1)),
Error!$B$44,
IF(AND(_xlpm.baseRow,OR($E94="Tier 2",$E94="Tier 2 Grove"),$C94&lt;&gt;"",$D94&gt;=12,COUNTIF(Tables2!$B$153:$B$162,$C94)&gt;0),
Error!$B$45,
IF(AND(_xlpm.baseRow,$E94="Tier 2 Grove",$D94&lt;12),
Error!$B$41,
IF(AND(_xlpm.baseRow,$E94="Tier 2",$D94&lt;5.88),
Error!$B$40,
IF(AND(_xlpm.baseRow,OR($E94="Tier 2",$E94="Tier 2 Grove"),$C94&lt;&gt;"",$D94&lt;12,$D94&gt;=6,COUNTIF(Tables2!$B$153:$B$162,$C94)&gt;0),
Error!$B$54,
IF(AND(_xlpm.baseRow,$E94="Tier 2",COUNTIF(Tables2!$B$166:$B$674,$C94)&gt;0,$D94&lt;24),
Error!$B$54,
IF(AND(_xlpm.baseRow,$E94="Tier 3",ISNA(MATCH($C94,Tables2!$B$153:$B$162,0)),OR($D94&lt;12,$D94&gt;=24)),
Error!$B$9,
IF(AND(_xlpm.baseRow,$E94="Tier 3",COUNTIF(Tables2!$B$153:$B$162,$C94)&gt;0,$D94&lt;12),
Error!$B$46,
IF(AND(_xlpm.baseRow,$E94="Tier 4",OR($D94&lt;6,$D94&gt;=12)),
Error!$B$10,
IF(AND(_xlpm.baseRow,$E94="&lt;6in DSH for Tree Points",OR($D94&gt;=6,$D94="")),
Error!$B$8,
IF(AND(_xlpm.baseRow,$E94="Street Tree for Green Factor",$F94&lt;&gt;"",$F94&lt;&gt;"Retain"),
Error!$B$14,
IF(AND($E94="&lt;6in DSH for Tree Points",$F94="Retain",$H94&lt;&gt;"",ISNA(MATCH($H94,Tables!$B$174:$B$174,0))),
Error!$B$15,
IF(AND($E94="Street Tree for Green Factor",$F94="Retain",$H94&lt;&gt;"",$H94&lt;&gt;"Zoning: Green Factor"),
Error!$B$15,
IF(AND($E94="ECA / Shoreline Tree",$F94="Remove",$H94&lt;&gt;"",ISNA(MATCH($H94,Tables!$B$189:$B$190,0))),
Error!$B$15,
IF(AND($E94="ECA / Shoreline Tree",$F94="Retain",$H94&lt;&gt;"",ISNA(MATCH($H94,Tables!$B$184:$B$186,0))),
Error!$B$15,
IF(AND($E94="Tier 4",$F94="Remove",$H94&lt;&gt;"",ISNA(MATCH($H94,Tables!$B$171,0))),
Error!$B$15,
IF(AND($E94="Tier 4",$F94="Retain",$H94&lt;&gt;"",ISNA(MATCH($H94,Tables!$B$166:$B$168,0))),
Error!$B$15,
IF(AND($E94="Tier 3",$F94="Retain",$H94&lt;&gt;"",ISNA(MATCH($H94,Tables!$B$158:$B$160,0))),
Error!$B$15,
IF(AND($E94="Tier 3",$F94="Remove",$H94&lt;&gt;"",ISNA(MATCH($H94,Tables!$B$163,0))),
Error!$B$15,
IF(AND(OR($E94="Tier 2",$E94="Tier 2 Grove"),$F94="Remove",$H94&lt;&gt;"",ISNA(MATCH($H94,Tables!$B$153:$B$155,0))),
Error!$B$15,
IF(AND(OR($E94="Tier 2",$E94="Tier 2 Grove"),$F94="Retain",$H94&lt;&gt;"",ISNA(MATCH($H94,Tables!$B$147:$B$150,0))),
Error!$B$15,
IF(AND($E94="Tier 1",$F94="Remove",$H94&lt;&gt;"",ISNA(MATCH($H94,Tables!$B$143:$B$144,0))),
Error!$B$15,
IF(AND($E94="Tier 1",$F94="Retain",$H94&lt;&gt;"",ISNA(MATCH($H94,Tables!$B$137:$B$140,0))),
Error!$B$15,
IF(AND($E94&lt;&gt;"Tier 2",$E94&lt;&gt;"Tier 2 Grove",$E94&lt;&gt;"Tier 3",$E94&lt;&gt;"Tier 4",$H94="Zoning: Green Factor",OR($D94="",$D94&lt;6)),
Error!$B$11,
IF(AND(_xlpm.baseRow,$D94&lt;6,$E94="&lt;6in DSH for Tree Points",_xlpm.TreePoints_H=0),
Error!$B$21,
IF(AND(_xlpm.baseRow,$E94&lt;&gt;"",$D94&lt;&gt;"",$F94=""),
Error!$B$4,
IF(AND(_xlpm.baseRow,$F94="Remove",OR($E94="Tier 1",$E94="Tier 2",$E94="Tier 2 Grove"),COUNTBLANK(_xlpm.HRange)&lt;3,_xlpm.uniqueH&gt;=2),
Error!$B$48,
IF(AND(_xlpm.baseRow,$F94="Retain",OR($E94="Tier 1",$E94="Tier 2",$E94="Tier 2 Grove"),COUNTIF(_xlpm.HRange,"Tree Code: Required to Retain Tier 1-2 Tree")=0),
Error!$B$47,
IF(AND(_xlpm.baseRow,$E94&lt;&gt;"",$D94&lt;&gt;"",$F94&lt;&gt;"",COUNTBLANK(_xlpm.HRange)=4),
Error!$B$5,
IF(AND($F94="Remove",$H94&lt;&gt;"",$I94=""),
Error!$B$18,
IF(AND($E94="Tier 4",$F94="Remove",$H94="Tree Protection Code: Tier 3 or Tier 4 Allowance",$H94&lt;&gt;"",ISNA(MATCH($I94,Tables!$B$200,0))),
Error!$B$17,
IF(AND($E94="Tier 3",$F94="Remove",$H94&lt;&gt;"",$H94="Tree Protection Code: Tier 3 or Tier 4 Allowance",OR($I94="",ISNA(MATCH($I94,Tables!$B$193:$B$197,0)))),
Error!$B$17,
IF(AND(OR($E94="Tier 2",$E94="Tier 2 Grove"),$F94="Remove",$H94="Tree Protection Code: Other removal allowance or exemption",$I94&lt;&gt;"",ISNA(MATCH($I94,Tables!$B$215:$B$218,0))),
Error!$B$17,
IF(AND(OR($E94="Tier 2",$E94="Tier 2 Grove"),$F94="Remove",$H94="Tree Protection Code: Development Capacity",$I94&lt;&gt;"",ISNA(MATCH($I94,Tables!$B$193:$B$197,0))),
Error!$B$17,
IF(AND(OR($E94="Tier 2",$E94="Tier 2 Grove"),$F94="Remove",$H94="Tree Protection Code: Necessary for Construction",$I94&lt;&gt;"",ISNA(MATCH($I94,Tables!$B$193:$B$197,0))),
Error!$B$17,
IF(AND($E94="Tier 1",$F94="Remove",$H94="Tree Protection Code: Special Exception",$I94&lt;&gt;"",ISNA(MATCH($I94,Tables!$B$215:$B$218,0))),
Error!$B$17,
IF(AND($E94="Tier 1",$F94="Remove",$H94="Tree Protection Code: Other removal allowance or exemption",$I94&lt;&gt;"",ISNA(MATCH($I94,Tables!$B$215:$B$218,0))),
Error!$B$17,
IF(AND($E94="ECA / Shoreline Tree",$F94="Remove",$H94&lt;&gt;"",OR($H94="Shoreline",$H94="Environmental Critical Area (ECA)"),ISNA(MATCH($I94,Tables!$B$209:$B$212,0))),
Error!$B$17,
IF(AND(_xlpm.baseRow,$F94="Retain",$E94="ECA / Shoreline Tree",_xlpm.ECA_Short=0),
Error!$B$61,
IF(AND($F94="Remove",ISNUMBER(MATCH($E94,{"Tier 1","Tier 2","Tier 3","Tier 4","Tier 2 Grove"},0)),ISNUMBER(MATCH($I94,{"On-site replacement","Off-site replacement"},0)),$J94="",$H94&lt;&gt;""),
Error!$B$19,
IF(AND(_xlpm.baseRow,$E94&lt;&gt;"",$D94&lt;&gt;"",$F94&lt;&gt;"",COUNTBLANK($B94:$C94)&gt;0,COUNTBLANK(_xlpm.HRange)&lt;&gt;4),
Error!$B$22,
IF(AND($H94="Zoning: Tree Points",$K94&lt;&gt;"",ISNA(MATCH($K94,Tables!$B$242:$B$253,0))),
Error!$B$58,
IF(AND($H94="Zoning: Tree Points",$K94="Small",$L94&lt;&gt;"",ISNA(MATCH($L94,Tables!$C$243:$C$244,0))),
Error!$B$59,
IF(AND($H94="Zoning: Tree Points",$K94="Small/Medium",$L94&lt;&gt;"",ISNA(MATCH($L94,Tables!$C$246:$C$247,0))),
Error!$B$59,
IF(AND($H94="Zoning: Tree Points",$K94="Medium/Large",$L94&lt;&gt;"",ISNA(MATCH($L94,Tables!$C$249:$C$250,0))),
Error!$B$59,
IF(AND($H94="Zoning: Tree Points",$K94="Large",$L94&lt;&gt;"",ISNA(MATCH($L94,Tables!$C$252:$C$253,0))),
Error!$B$59,
IF(AND($F94="Retain",$H94="Zoning: Tree Points",$C94&lt;&gt;"",$D94&lt;&gt;"",OR($K94="",$L94="",$M94="")),
Error!$B$20,
""
)))))))))))))))))))))))))))))))))))))))))))))))))))))))),
Error!$B$23))</f>
        <v/>
      </c>
      <c r="O94" s="343" t="str" cm="1">
        <f t="array" aca="1" ref="O94" ca="1">IFERROR(_xlfn.LET(
    _xlpm.txt, $C94,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5" spans="1:15" ht="15" thickBot="1" x14ac:dyDescent="0.35">
      <c r="A95" s="311">
        <v>22</v>
      </c>
      <c r="B95" s="312"/>
      <c r="C95" s="313"/>
      <c r="D95" s="478"/>
      <c r="E95" s="314"/>
      <c r="F95" s="314"/>
      <c r="G95" s="315" t="str">
        <f>IF(Tree_Table1[[#This Row],[Tree Status  &amp;]]="Retain", Tables!$B$237, IF(Tree_Table1[[#This Row],[Tree Status  &amp;]]="Remove", Tables!$B$238, ""))</f>
        <v/>
      </c>
      <c r="H95" s="316"/>
      <c r="I95" s="317"/>
      <c r="J95" s="452"/>
      <c r="K95" s="318" t="str">
        <f>IFERROR(
    IF(
        AND($H95="Zoning: Tree Points", NOT(ISNUMBER(SEARCH("sp.", $C95)))),
        VLOOKUP($C95, 'Tree List'!$C$3:$F$601, 4, FALSE),
        ""
    ),
"")</f>
        <v/>
      </c>
      <c r="L95" s="319" t="str" cm="1">
        <f t="array" ref="L95">IFERROR(
IF(
    AND($H95="Zoning: Tree Points", NOT(ISNUMBER(SEARCH("sp.", $C95)))),
    _xlfn.IFS(
        (COUNTIFS('Tree List'!$C$3:$C$601,$C95,'Tree List'!$D$3:$D$601,"Coniferous")
        + COUNTIFS('Tree List'!$C$3:$C$601,$C95,'Tree List'!$D$3:$D$601,"Deciduous Conifer")) &gt; 0,
            _xlfn.IFS($K95="Small",0.5,$K95="Small/Medium",1,$K95="Medium/Large",1.4,$K95="Large",1.8),
        (COUNTIFS('Tree List'!$C$3:$C$601,$C95,'Tree List'!$D$3:$D$601,"Deciduous")
        + COUNTIFS('Tree List'!$C$3:$C$601,$C95,'Tree List'!$D$3:$D$601,"Broadleaf Evergreen")) &gt; 0,
            _xlfn.IFS($K95="Small",0.4,$K95="Small/Medium",0.8,$K95="Medium/Large",1.2,$K95="Large",1.6)
    ),
    ""
),
"")</f>
        <v/>
      </c>
      <c r="M95" s="474" t="str">
        <f t="shared" si="0"/>
        <v/>
      </c>
      <c r="N95" s="620" t="str" cm="1">
        <f t="array" aca="1" ref="N9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IF(AND(_xlpm.baseRow,ISNA(MATCH($C95,'Tree List'!$C$3:$C$601,0)),SUMPRODUCT(--ISNUMBER(SEARCH(Tables2!$C$677:$C$772,$O95)))&gt;0),
Error!$B$57,
IF(AND(_xlpm.hasDM,$F95="Remove",$H95&lt;&gt;"",OR($I95="On-site replacement",$I95="Off-site replacement",$I95="Payment In Lieu")),
Error!$B$56,
IF(AND(_xlpm.hasDM,$F95="Remove",$H95&lt;&gt;"",$I95="Relocation"),
Error!$B$66,
IF(AND(OR(_xlpm.hasCN,_xlpm.hasPH,_xlpm.hasGR),$H95&lt;&gt;"",COUNTIF(Tables!$B$132:$B$134,$H95)&gt;0,$I95="N/A (No replacement required)"),
Error!$B$62,
IF(AND(_xlpm.baseRow,$E95&lt;&gt;"",ISNA(MATCH($E95,Tables!$B$225:$B$232,0))),
Error!$B$2,
IF(AND(_xlpm.baseRow,$F95&lt;&gt;"",ISNA(MATCH($F95,Tables!$B$234:$B$235,0))),
Error!$B$24,
IF(AND(_xlpm.baseRow,_xlpm.ECA_H&gt;0,_xlpm.Shore_H&gt;0),
Error!$B$16,
IF(AND(_xlpm.baseRow,$E95&lt;&gt;"",$D95=""),
Error!$B$3,
IF(AND(_xlpm.baseRow,OR($E95="Tier 3",$E95="Tier 4"),$C95&lt;&gt;"",$D95&gt;=24,COUNTIF(Tables2!$B$166:$B$674,$C95)&gt;0),
Error!$B$44,
IF(AND(_xlpm.baseRow,OR($E95="Tier 3",$E95="Tier 4"),$C95&lt;&gt;"",$D95&lt;&gt;"",COUNTIF(Tables2!$B$73:$B$152,$C95)&gt;0,
$D95&gt;=IFERROR(INDEX(Tables2!$C$73:$C$152,MATCH($C95,Tables2!$B$73:$B$152,0)),-1)),
Error!$B$44,
IF(AND(_xlpm.baseRow,OR($E95="Tier 2",$E95="Tier 2 Grove"),$C95&lt;&gt;"",$D95&gt;=12,COUNTIF(Tables2!$B$153:$B$162,$C95)&gt;0),
Error!$B$45,
IF(AND(_xlpm.baseRow,$E95="Tier 2 Grove",$D95&lt;12),
Error!$B$41,
IF(AND(_xlpm.baseRow,$E95="Tier 2",$D95&lt;5.88),
Error!$B$40,
IF(AND(_xlpm.baseRow,OR($E95="Tier 2",$E95="Tier 2 Grove"),$C95&lt;&gt;"",$D95&lt;12,$D95&gt;=6,COUNTIF(Tables2!$B$153:$B$162,$C95)&gt;0),
Error!$B$54,
IF(AND(_xlpm.baseRow,$E95="Tier 2",COUNTIF(Tables2!$B$166:$B$674,$C95)&gt;0,$D95&lt;24),
Error!$B$54,
IF(AND(_xlpm.baseRow,$E95="Tier 3",ISNA(MATCH($C95,Tables2!$B$153:$B$162,0)),OR($D95&lt;12,$D95&gt;=24)),
Error!$B$9,
IF(AND(_xlpm.baseRow,$E95="Tier 3",COUNTIF(Tables2!$B$153:$B$162,$C95)&gt;0,$D95&lt;12),
Error!$B$46,
IF(AND(_xlpm.baseRow,$E95="Tier 4",OR($D95&lt;6,$D95&gt;=12)),
Error!$B$10,
IF(AND(_xlpm.baseRow,$E95="&lt;6in DSH for Tree Points",OR($D95&gt;=6,$D95="")),
Error!$B$8,
IF(AND(_xlpm.baseRow,$E95="Street Tree for Green Factor",$F95&lt;&gt;"",$F95&lt;&gt;"Retain"),
Error!$B$14,
IF(AND($E95="&lt;6in DSH for Tree Points",$F95="Retain",$H95&lt;&gt;"",ISNA(MATCH($H95,Tables!$B$174:$B$174,0))),
Error!$B$15,
IF(AND($E95="Street Tree for Green Factor",$F95="Retain",$H95&lt;&gt;"",$H95&lt;&gt;"Zoning: Green Factor"),
Error!$B$15,
IF(AND($E95="ECA / Shoreline Tree",$F95="Remove",$H95&lt;&gt;"",ISNA(MATCH($H95,Tables!$B$189:$B$190,0))),
Error!$B$15,
IF(AND($E95="ECA / Shoreline Tree",$F95="Retain",$H95&lt;&gt;"",ISNA(MATCH($H95,Tables!$B$184:$B$186,0))),
Error!$B$15,
IF(AND($E95="Tier 4",$F95="Remove",$H95&lt;&gt;"",ISNA(MATCH($H95,Tables!$B$171,0))),
Error!$B$15,
IF(AND($E95="Tier 4",$F95="Retain",$H95&lt;&gt;"",ISNA(MATCH($H95,Tables!$B$166:$B$168,0))),
Error!$B$15,
IF(AND($E95="Tier 3",$F95="Retain",$H95&lt;&gt;"",ISNA(MATCH($H95,Tables!$B$158:$B$160,0))),
Error!$B$15,
IF(AND($E95="Tier 3",$F95="Remove",$H95&lt;&gt;"",ISNA(MATCH($H95,Tables!$B$163,0))),
Error!$B$15,
IF(AND(OR($E95="Tier 2",$E95="Tier 2 Grove"),$F95="Remove",$H95&lt;&gt;"",ISNA(MATCH($H95,Tables!$B$153:$B$155,0))),
Error!$B$15,
IF(AND(OR($E95="Tier 2",$E95="Tier 2 Grove"),$F95="Retain",$H95&lt;&gt;"",ISNA(MATCH($H95,Tables!$B$147:$B$150,0))),
Error!$B$15,
IF(AND($E95="Tier 1",$F95="Remove",$H95&lt;&gt;"",ISNA(MATCH($H95,Tables!$B$143:$B$144,0))),
Error!$B$15,
IF(AND($E95="Tier 1",$F95="Retain",$H95&lt;&gt;"",ISNA(MATCH($H95,Tables!$B$137:$B$140,0))),
Error!$B$15,
IF(AND($E95&lt;&gt;"Tier 2",$E95&lt;&gt;"Tier 2 Grove",$E95&lt;&gt;"Tier 3",$E95&lt;&gt;"Tier 4",$H95="Zoning: Green Factor",OR($D95="",$D95&lt;6)),
Error!$B$11,
IF(AND(_xlpm.baseRow,$D95&lt;6,$E95="&lt;6in DSH for Tree Points",_xlpm.TreePoints_H=0),
Error!$B$21,
IF(AND(_xlpm.baseRow,$E95&lt;&gt;"",$D95&lt;&gt;"",$F95=""),
Error!$B$4,
IF(AND(_xlpm.baseRow,$F95="Remove",OR($E95="Tier 1",$E95="Tier 2",$E95="Tier 2 Grove"),COUNTBLANK(_xlpm.HRange)&lt;3,_xlpm.uniqueH&gt;=2),
Error!$B$48,
IF(AND(_xlpm.baseRow,$F95="Retain",OR($E95="Tier 1",$E95="Tier 2",$E95="Tier 2 Grove"),COUNTIF(_xlpm.HRange,"Tree Code: Required to Retain Tier 1-2 Tree")=0),
Error!$B$47,
IF(AND(_xlpm.baseRow,$E95&lt;&gt;"",$D95&lt;&gt;"",$F95&lt;&gt;"",COUNTBLANK(_xlpm.HRange)=4),
Error!$B$5,
IF(AND($F95="Remove",$H95&lt;&gt;"",$I95=""),
Error!$B$18,
IF(AND($E95="Tier 4",$F95="Remove",$H95="Tree Protection Code: Tier 3 or Tier 4 Allowance",$H95&lt;&gt;"",ISNA(MATCH($I95,Tables!$B$200,0))),
Error!$B$17,
IF(AND($E95="Tier 3",$F95="Remove",$H95&lt;&gt;"",$H95="Tree Protection Code: Tier 3 or Tier 4 Allowance",OR($I95="",ISNA(MATCH($I95,Tables!$B$193:$B$197,0)))),
Error!$B$17,
IF(AND(OR($E95="Tier 2",$E95="Tier 2 Grove"),$F95="Remove",$H95="Tree Protection Code: Other removal allowance or exemption",$I95&lt;&gt;"",ISNA(MATCH($I95,Tables!$B$215:$B$218,0))),
Error!$B$17,
IF(AND(OR($E95="Tier 2",$E95="Tier 2 Grove"),$F95="Remove",$H95="Tree Protection Code: Development Capacity",$I95&lt;&gt;"",ISNA(MATCH($I95,Tables!$B$193:$B$197,0))),
Error!$B$17,
IF(AND(OR($E95="Tier 2",$E95="Tier 2 Grove"),$F95="Remove",$H95="Tree Protection Code: Necessary for Construction",$I95&lt;&gt;"",ISNA(MATCH($I95,Tables!$B$193:$B$197,0))),
Error!$B$17,
IF(AND($E95="Tier 1",$F95="Remove",$H95="Tree Protection Code: Special Exception",$I95&lt;&gt;"",ISNA(MATCH($I95,Tables!$B$215:$B$218,0))),
Error!$B$17,
IF(AND($E95="Tier 1",$F95="Remove",$H95="Tree Protection Code: Other removal allowance or exemption",$I95&lt;&gt;"",ISNA(MATCH($I95,Tables!$B$215:$B$218,0))),
Error!$B$17,
IF(AND($E95="ECA / Shoreline Tree",$F95="Remove",$H95&lt;&gt;"",OR($H95="Shoreline",$H95="Environmental Critical Area (ECA)"),ISNA(MATCH($I95,Tables!$B$209:$B$212,0))),
Error!$B$17,
IF(AND(_xlpm.baseRow,$F95="Retain",$E95="ECA / Shoreline Tree",_xlpm.ECA_Short=0),
Error!$B$61,
IF(AND($F95="Remove",ISNUMBER(MATCH($E95,{"Tier 1","Tier 2","Tier 3","Tier 4","Tier 2 Grove"},0)),ISNUMBER(MATCH($I95,{"On-site replacement","Off-site replacement"},0)),$J95="",$H95&lt;&gt;""),
Error!$B$19,
IF(AND(_xlpm.baseRow,$E95&lt;&gt;"",$D95&lt;&gt;"",$F95&lt;&gt;"",COUNTBLANK($B95:$C95)&gt;0,COUNTBLANK(_xlpm.HRange)&lt;&gt;4),
Error!$B$22,
IF(AND($H95="Zoning: Tree Points",$K95&lt;&gt;"",ISNA(MATCH($K95,Tables!$B$242:$B$253,0))),
Error!$B$58,
IF(AND($H95="Zoning: Tree Points",$K95="Small",$L95&lt;&gt;"",ISNA(MATCH($L95,Tables!$C$243:$C$244,0))),
Error!$B$59,
IF(AND($H95="Zoning: Tree Points",$K95="Small/Medium",$L95&lt;&gt;"",ISNA(MATCH($L95,Tables!$C$246:$C$247,0))),
Error!$B$59,
IF(AND($H95="Zoning: Tree Points",$K95="Medium/Large",$L95&lt;&gt;"",ISNA(MATCH($L95,Tables!$C$249:$C$250,0))),
Error!$B$59,
IF(AND($H95="Zoning: Tree Points",$K95="Large",$L95&lt;&gt;"",ISNA(MATCH($L95,Tables!$C$252:$C$253,0))),
Error!$B$59,
IF(AND($F95="Retain",$H95="Zoning: Tree Points",$C95&lt;&gt;"",$D95&lt;&gt;"",OR($K95="",$L95="",$M95="")),
Error!$B$20,
""
)))))))))))))))))))))))))))))))))))))))))))))))))))))))),
Error!$B$23))</f>
        <v/>
      </c>
      <c r="O95" s="343" t="str" cm="1">
        <f t="array" aca="1" ref="O95" ca="1">IFERROR(_xlfn.LET(
    _xlpm.txt, $C95,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6" spans="1:15" x14ac:dyDescent="0.3">
      <c r="A96" s="320"/>
      <c r="B96" s="616" t="str">
        <f t="shared" ref="B96:B98" si="63">IF($B95="", "", $B95)</f>
        <v/>
      </c>
      <c r="C96" s="617" t="str">
        <f t="shared" ref="C96:C98" si="64">IF($C95="", "", $C95)</f>
        <v/>
      </c>
      <c r="D96" s="618" t="str">
        <f t="shared" ref="D96:D98" si="65">IF($D95="", "", $D95)</f>
        <v/>
      </c>
      <c r="E96" s="616" t="str">
        <f t="shared" ref="E96:E98" si="66">IF($E95="", "", $E95)</f>
        <v/>
      </c>
      <c r="F96" s="616" t="str">
        <f t="shared" ref="F96:F98" si="67">IF($F95="", "", $F95)</f>
        <v/>
      </c>
      <c r="G96" s="619" t="str">
        <f>IF(Tree_Table1[[#This Row],[Tree Status  &amp;]]="Retain", Tables!$B$237, IF(Tree_Table1[[#This Row],[Tree Status  &amp;]]="Remove", Tables!$B$238, ""))</f>
        <v/>
      </c>
      <c r="H96" s="321"/>
      <c r="I96" s="322"/>
      <c r="J96" s="453"/>
      <c r="K96" s="323" t="str">
        <f>IFERROR(
    IF(
        AND($H96="Zoning: Tree Points", NOT(ISNUMBER(SEARCH("sp.", $C96)))),
        VLOOKUP($C96, 'Tree List'!$C$3:$F$601, 4, FALSE),
        ""
    ),
"")</f>
        <v/>
      </c>
      <c r="L96" s="324" t="str" cm="1">
        <f t="array" ref="L96">IFERROR(
IF(
    AND($H96="Zoning: Tree Points", NOT(ISNUMBER(SEARCH("sp.", $C96)))),
    _xlfn.IFS(
        (COUNTIFS('Tree List'!$C$3:$C$601,$C96,'Tree List'!$D$3:$D$601,"Coniferous")
        + COUNTIFS('Tree List'!$C$3:$C$601,$C96,'Tree List'!$D$3:$D$601,"Deciduous Conifer")) &gt; 0,
            _xlfn.IFS($K96="Small",0.5,$K96="Small/Medium",1,$K96="Medium/Large",1.4,$K96="Large",1.8),
        (COUNTIFS('Tree List'!$C$3:$C$601,$C96,'Tree List'!$D$3:$D$601,"Deciduous")
        + COUNTIFS('Tree List'!$C$3:$C$601,$C96,'Tree List'!$D$3:$D$601,"Broadleaf Evergreen")) &gt; 0,
            _xlfn.IFS($K96="Small",0.4,$K96="Small/Medium",0.8,$K96="Medium/Large",1.2,$K96="Large",1.6)
    ),
    ""
),
"")</f>
        <v/>
      </c>
      <c r="M96" s="475" t="str">
        <f t="shared" si="0"/>
        <v/>
      </c>
      <c r="N96" s="346" t="str" cm="1">
        <f t="array" aca="1" ref="N9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IF(AND(_xlpm.baseRow,ISNA(MATCH($C96,'Tree List'!$C$3:$C$601,0)),SUMPRODUCT(--ISNUMBER(SEARCH(Tables2!$C$677:$C$772,$O96)))&gt;0),
Error!$B$57,
IF(AND(_xlpm.hasDM,$F96="Remove",$H96&lt;&gt;"",OR($I96="On-site replacement",$I96="Off-site replacement",$I96="Payment In Lieu")),
Error!$B$56,
IF(AND(_xlpm.hasDM,$F96="Remove",$H96&lt;&gt;"",$I96="Relocation"),
Error!$B$66,
IF(AND(OR(_xlpm.hasCN,_xlpm.hasPH,_xlpm.hasGR),$H96&lt;&gt;"",COUNTIF(Tables!$B$132:$B$134,$H96)&gt;0,$I96="N/A (No replacement required)"),
Error!$B$62,
IF(AND(_xlpm.baseRow,$E96&lt;&gt;"",ISNA(MATCH($E96,Tables!$B$225:$B$232,0))),
Error!$B$2,
IF(AND(_xlpm.baseRow,$F96&lt;&gt;"",ISNA(MATCH($F96,Tables!$B$234:$B$235,0))),
Error!$B$24,
IF(AND(_xlpm.baseRow,_xlpm.ECA_H&gt;0,_xlpm.Shore_H&gt;0),
Error!$B$16,
IF(AND(_xlpm.baseRow,$E96&lt;&gt;"",$D96=""),
Error!$B$3,
IF(AND(_xlpm.baseRow,OR($E96="Tier 3",$E96="Tier 4"),$C96&lt;&gt;"",$D96&gt;=24,COUNTIF(Tables2!$B$166:$B$674,$C96)&gt;0),
Error!$B$44,
IF(AND(_xlpm.baseRow,OR($E96="Tier 3",$E96="Tier 4"),$C96&lt;&gt;"",$D96&lt;&gt;"",COUNTIF(Tables2!$B$73:$B$152,$C96)&gt;0,
$D96&gt;=IFERROR(INDEX(Tables2!$C$73:$C$152,MATCH($C96,Tables2!$B$73:$B$152,0)),-1)),
Error!$B$44,
IF(AND(_xlpm.baseRow,OR($E96="Tier 2",$E96="Tier 2 Grove"),$C96&lt;&gt;"",$D96&gt;=12,COUNTIF(Tables2!$B$153:$B$162,$C96)&gt;0),
Error!$B$45,
IF(AND(_xlpm.baseRow,$E96="Tier 2 Grove",$D96&lt;12),
Error!$B$41,
IF(AND(_xlpm.baseRow,$E96="Tier 2",$D96&lt;5.88),
Error!$B$40,
IF(AND(_xlpm.baseRow,OR($E96="Tier 2",$E96="Tier 2 Grove"),$C96&lt;&gt;"",$D96&lt;12,$D96&gt;=6,COUNTIF(Tables2!$B$153:$B$162,$C96)&gt;0),
Error!$B$54,
IF(AND(_xlpm.baseRow,$E96="Tier 2",COUNTIF(Tables2!$B$166:$B$674,$C96)&gt;0,$D96&lt;24),
Error!$B$54,
IF(AND(_xlpm.baseRow,$E96="Tier 3",ISNA(MATCH($C96,Tables2!$B$153:$B$162,0)),OR($D96&lt;12,$D96&gt;=24)),
Error!$B$9,
IF(AND(_xlpm.baseRow,$E96="Tier 3",COUNTIF(Tables2!$B$153:$B$162,$C96)&gt;0,$D96&lt;12),
Error!$B$46,
IF(AND(_xlpm.baseRow,$E96="Tier 4",OR($D96&lt;6,$D96&gt;=12)),
Error!$B$10,
IF(AND(_xlpm.baseRow,$E96="&lt;6in DSH for Tree Points",OR($D96&gt;=6,$D96="")),
Error!$B$8,
IF(AND(_xlpm.baseRow,$E96="Street Tree for Green Factor",$F96&lt;&gt;"",$F96&lt;&gt;"Retain"),
Error!$B$14,
IF(AND($E96="&lt;6in DSH for Tree Points",$F96="Retain",$H96&lt;&gt;"",ISNA(MATCH($H96,Tables!$B$174:$B$174,0))),
Error!$B$15,
IF(AND($E96="Street Tree for Green Factor",$F96="Retain",$H96&lt;&gt;"",$H96&lt;&gt;"Zoning: Green Factor"),
Error!$B$15,
IF(AND($E96="ECA / Shoreline Tree",$F96="Remove",$H96&lt;&gt;"",ISNA(MATCH($H96,Tables!$B$189:$B$190,0))),
Error!$B$15,
IF(AND($E96="ECA / Shoreline Tree",$F96="Retain",$H96&lt;&gt;"",ISNA(MATCH($H96,Tables!$B$184:$B$186,0))),
Error!$B$15,
IF(AND($E96="Tier 4",$F96="Remove",$H96&lt;&gt;"",ISNA(MATCH($H96,Tables!$B$171,0))),
Error!$B$15,
IF(AND($E96="Tier 4",$F96="Retain",$H96&lt;&gt;"",ISNA(MATCH($H96,Tables!$B$166:$B$168,0))),
Error!$B$15,
IF(AND($E96="Tier 3",$F96="Retain",$H96&lt;&gt;"",ISNA(MATCH($H96,Tables!$B$158:$B$160,0))),
Error!$B$15,
IF(AND($E96="Tier 3",$F96="Remove",$H96&lt;&gt;"",ISNA(MATCH($H96,Tables!$B$163,0))),
Error!$B$15,
IF(AND(OR($E96="Tier 2",$E96="Tier 2 Grove"),$F96="Remove",$H96&lt;&gt;"",ISNA(MATCH($H96,Tables!$B$153:$B$155,0))),
Error!$B$15,
IF(AND(OR($E96="Tier 2",$E96="Tier 2 Grove"),$F96="Retain",$H96&lt;&gt;"",ISNA(MATCH($H96,Tables!$B$147:$B$150,0))),
Error!$B$15,
IF(AND($E96="Tier 1",$F96="Remove",$H96&lt;&gt;"",ISNA(MATCH($H96,Tables!$B$143:$B$144,0))),
Error!$B$15,
IF(AND($E96="Tier 1",$F96="Retain",$H96&lt;&gt;"",ISNA(MATCH($H96,Tables!$B$137:$B$140,0))),
Error!$B$15,
IF(AND($E96&lt;&gt;"Tier 2",$E96&lt;&gt;"Tier 2 Grove",$E96&lt;&gt;"Tier 3",$E96&lt;&gt;"Tier 4",$H96="Zoning: Green Factor",OR($D96="",$D96&lt;6)),
Error!$B$11,
IF(AND(_xlpm.baseRow,$D96&lt;6,$E96="&lt;6in DSH for Tree Points",_xlpm.TreePoints_H=0),
Error!$B$21,
IF(AND(_xlpm.baseRow,$E96&lt;&gt;"",$D96&lt;&gt;"",$F96=""),
Error!$B$4,
IF(AND(_xlpm.baseRow,$F96="Remove",OR($E96="Tier 1",$E96="Tier 2",$E96="Tier 2 Grove"),COUNTBLANK(_xlpm.HRange)&lt;3,_xlpm.uniqueH&gt;=2),
Error!$B$48,
IF(AND(_xlpm.baseRow,$F96="Retain",OR($E96="Tier 1",$E96="Tier 2",$E96="Tier 2 Grove"),COUNTIF(_xlpm.HRange,"Tree Code: Required to Retain Tier 1-2 Tree")=0),
Error!$B$47,
IF(AND(_xlpm.baseRow,$E96&lt;&gt;"",$D96&lt;&gt;"",$F96&lt;&gt;"",COUNTBLANK(_xlpm.HRange)=4),
Error!$B$5,
IF(AND($F96="Remove",$H96&lt;&gt;"",$I96=""),
Error!$B$18,
IF(AND($E96="Tier 4",$F96="Remove",$H96="Tree Protection Code: Tier 3 or Tier 4 Allowance",$H96&lt;&gt;"",ISNA(MATCH($I96,Tables!$B$200,0))),
Error!$B$17,
IF(AND($E96="Tier 3",$F96="Remove",$H96&lt;&gt;"",$H96="Tree Protection Code: Tier 3 or Tier 4 Allowance",OR($I96="",ISNA(MATCH($I96,Tables!$B$193:$B$197,0)))),
Error!$B$17,
IF(AND(OR($E96="Tier 2",$E96="Tier 2 Grove"),$F96="Remove",$H96="Tree Protection Code: Other removal allowance or exemption",$I96&lt;&gt;"",ISNA(MATCH($I96,Tables!$B$215:$B$218,0))),
Error!$B$17,
IF(AND(OR($E96="Tier 2",$E96="Tier 2 Grove"),$F96="Remove",$H96="Tree Protection Code: Development Capacity",$I96&lt;&gt;"",ISNA(MATCH($I96,Tables!$B$193:$B$197,0))),
Error!$B$17,
IF(AND(OR($E96="Tier 2",$E96="Tier 2 Grove"),$F96="Remove",$H96="Tree Protection Code: Necessary for Construction",$I96&lt;&gt;"",ISNA(MATCH($I96,Tables!$B$193:$B$197,0))),
Error!$B$17,
IF(AND($E96="Tier 1",$F96="Remove",$H96="Tree Protection Code: Special Exception",$I96&lt;&gt;"",ISNA(MATCH($I96,Tables!$B$215:$B$218,0))),
Error!$B$17,
IF(AND($E96="Tier 1",$F96="Remove",$H96="Tree Protection Code: Other removal allowance or exemption",$I96&lt;&gt;"",ISNA(MATCH($I96,Tables!$B$215:$B$218,0))),
Error!$B$17,
IF(AND($E96="ECA / Shoreline Tree",$F96="Remove",$H96&lt;&gt;"",OR($H96="Shoreline",$H96="Environmental Critical Area (ECA)"),ISNA(MATCH($I96,Tables!$B$209:$B$212,0))),
Error!$B$17,
IF(AND(_xlpm.baseRow,$F96="Retain",$E96="ECA / Shoreline Tree",_xlpm.ECA_Short=0),
Error!$B$61,
IF(AND($F96="Remove",ISNUMBER(MATCH($E96,{"Tier 1","Tier 2","Tier 3","Tier 4","Tier 2 Grove"},0)),ISNUMBER(MATCH($I96,{"On-site replacement","Off-site replacement"},0)),$J96="",$H96&lt;&gt;""),
Error!$B$19,
IF(AND(_xlpm.baseRow,$E96&lt;&gt;"",$D96&lt;&gt;"",$F96&lt;&gt;"",COUNTBLANK($B96:$C96)&gt;0,COUNTBLANK(_xlpm.HRange)&lt;&gt;4),
Error!$B$22,
IF(AND($H96="Zoning: Tree Points",$K96&lt;&gt;"",ISNA(MATCH($K96,Tables!$B$242:$B$253,0))),
Error!$B$58,
IF(AND($H96="Zoning: Tree Points",$K96="Small",$L96&lt;&gt;"",ISNA(MATCH($L96,Tables!$C$243:$C$244,0))),
Error!$B$59,
IF(AND($H96="Zoning: Tree Points",$K96="Small/Medium",$L96&lt;&gt;"",ISNA(MATCH($L96,Tables!$C$246:$C$247,0))),
Error!$B$59,
IF(AND($H96="Zoning: Tree Points",$K96="Medium/Large",$L96&lt;&gt;"",ISNA(MATCH($L96,Tables!$C$249:$C$250,0))),
Error!$B$59,
IF(AND($H96="Zoning: Tree Points",$K96="Large",$L96&lt;&gt;"",ISNA(MATCH($L96,Tables!$C$252:$C$253,0))),
Error!$B$59,
IF(AND($F96="Retain",$H96="Zoning: Tree Points",$C96&lt;&gt;"",$D96&lt;&gt;"",OR($K96="",$L96="",$M96="")),
Error!$B$20,
""
)))))))))))))))))))))))))))))))))))))))))))))))))))))))),
Error!$B$23))</f>
        <v/>
      </c>
      <c r="O96" s="343" t="str" cm="1">
        <f t="array" aca="1" ref="O96" ca="1">IFERROR(_xlfn.LET(
    _xlpm.txt, $C96,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7" spans="1:15" x14ac:dyDescent="0.3">
      <c r="A97" s="320"/>
      <c r="B97" s="616" t="str">
        <f t="shared" si="63"/>
        <v/>
      </c>
      <c r="C97" s="617" t="str">
        <f t="shared" si="64"/>
        <v/>
      </c>
      <c r="D97" s="618" t="str">
        <f t="shared" si="65"/>
        <v/>
      </c>
      <c r="E97" s="616" t="str">
        <f t="shared" si="66"/>
        <v/>
      </c>
      <c r="F97" s="616" t="str">
        <f t="shared" si="67"/>
        <v/>
      </c>
      <c r="G97" s="619" t="str">
        <f>IF(Tree_Table1[[#This Row],[Tree Status  &amp;]]="Retain", Tables!$B$237, IF(Tree_Table1[[#This Row],[Tree Status  &amp;]]="Remove", Tables!$B$238, ""))</f>
        <v/>
      </c>
      <c r="H97" s="321"/>
      <c r="I97" s="322"/>
      <c r="J97" s="453"/>
      <c r="K97" s="323" t="str">
        <f>IFERROR(
    IF(
        AND($H97="Zoning: Tree Points", NOT(ISNUMBER(SEARCH("sp.", $C97)))),
        VLOOKUP($C97, 'Tree List'!$C$3:$F$601, 4, FALSE),
        ""
    ),
"")</f>
        <v/>
      </c>
      <c r="L97" s="324" t="str" cm="1">
        <f t="array" ref="L97">IFERROR(
IF(
    AND($H97="Zoning: Tree Points", NOT(ISNUMBER(SEARCH("sp.", $C97)))),
    _xlfn.IFS(
        (COUNTIFS('Tree List'!$C$3:$C$601,$C97,'Tree List'!$D$3:$D$601,"Coniferous")
        + COUNTIFS('Tree List'!$C$3:$C$601,$C97,'Tree List'!$D$3:$D$601,"Deciduous Conifer")) &gt; 0,
            _xlfn.IFS($K97="Small",0.5,$K97="Small/Medium",1,$K97="Medium/Large",1.4,$K97="Large",1.8),
        (COUNTIFS('Tree List'!$C$3:$C$601,$C97,'Tree List'!$D$3:$D$601,"Deciduous")
        + COUNTIFS('Tree List'!$C$3:$C$601,$C97,'Tree List'!$D$3:$D$601,"Broadleaf Evergreen")) &gt; 0,
            _xlfn.IFS($K97="Small",0.4,$K97="Small/Medium",0.8,$K97="Medium/Large",1.2,$K97="Large",1.6)
    ),
    ""
),
"")</f>
        <v/>
      </c>
      <c r="M97" s="475" t="str">
        <f t="shared" si="0"/>
        <v/>
      </c>
      <c r="N97" s="346" t="str" cm="1">
        <f t="array" aca="1" ref="N9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IF(AND(_xlpm.baseRow,ISNA(MATCH($C97,'Tree List'!$C$3:$C$601,0)),SUMPRODUCT(--ISNUMBER(SEARCH(Tables2!$C$677:$C$772,$O97)))&gt;0),
Error!$B$57,
IF(AND(_xlpm.hasDM,$F97="Remove",$H97&lt;&gt;"",OR($I97="On-site replacement",$I97="Off-site replacement",$I97="Payment In Lieu")),
Error!$B$56,
IF(AND(_xlpm.hasDM,$F97="Remove",$H97&lt;&gt;"",$I97="Relocation"),
Error!$B$66,
IF(AND(OR(_xlpm.hasCN,_xlpm.hasPH,_xlpm.hasGR),$H97&lt;&gt;"",COUNTIF(Tables!$B$132:$B$134,$H97)&gt;0,$I97="N/A (No replacement required)"),
Error!$B$62,
IF(AND(_xlpm.baseRow,$E97&lt;&gt;"",ISNA(MATCH($E97,Tables!$B$225:$B$232,0))),
Error!$B$2,
IF(AND(_xlpm.baseRow,$F97&lt;&gt;"",ISNA(MATCH($F97,Tables!$B$234:$B$235,0))),
Error!$B$24,
IF(AND(_xlpm.baseRow,_xlpm.ECA_H&gt;0,_xlpm.Shore_H&gt;0),
Error!$B$16,
IF(AND(_xlpm.baseRow,$E97&lt;&gt;"",$D97=""),
Error!$B$3,
IF(AND(_xlpm.baseRow,OR($E97="Tier 3",$E97="Tier 4"),$C97&lt;&gt;"",$D97&gt;=24,COUNTIF(Tables2!$B$166:$B$674,$C97)&gt;0),
Error!$B$44,
IF(AND(_xlpm.baseRow,OR($E97="Tier 3",$E97="Tier 4"),$C97&lt;&gt;"",$D97&lt;&gt;"",COUNTIF(Tables2!$B$73:$B$152,$C97)&gt;0,
$D97&gt;=IFERROR(INDEX(Tables2!$C$73:$C$152,MATCH($C97,Tables2!$B$73:$B$152,0)),-1)),
Error!$B$44,
IF(AND(_xlpm.baseRow,OR($E97="Tier 2",$E97="Tier 2 Grove"),$C97&lt;&gt;"",$D97&gt;=12,COUNTIF(Tables2!$B$153:$B$162,$C97)&gt;0),
Error!$B$45,
IF(AND(_xlpm.baseRow,$E97="Tier 2 Grove",$D97&lt;12),
Error!$B$41,
IF(AND(_xlpm.baseRow,$E97="Tier 2",$D97&lt;5.88),
Error!$B$40,
IF(AND(_xlpm.baseRow,OR($E97="Tier 2",$E97="Tier 2 Grove"),$C97&lt;&gt;"",$D97&lt;12,$D97&gt;=6,COUNTIF(Tables2!$B$153:$B$162,$C97)&gt;0),
Error!$B$54,
IF(AND(_xlpm.baseRow,$E97="Tier 2",COUNTIF(Tables2!$B$166:$B$674,$C97)&gt;0,$D97&lt;24),
Error!$B$54,
IF(AND(_xlpm.baseRow,$E97="Tier 3",ISNA(MATCH($C97,Tables2!$B$153:$B$162,0)),OR($D97&lt;12,$D97&gt;=24)),
Error!$B$9,
IF(AND(_xlpm.baseRow,$E97="Tier 3",COUNTIF(Tables2!$B$153:$B$162,$C97)&gt;0,$D97&lt;12),
Error!$B$46,
IF(AND(_xlpm.baseRow,$E97="Tier 4",OR($D97&lt;6,$D97&gt;=12)),
Error!$B$10,
IF(AND(_xlpm.baseRow,$E97="&lt;6in DSH for Tree Points",OR($D97&gt;=6,$D97="")),
Error!$B$8,
IF(AND(_xlpm.baseRow,$E97="Street Tree for Green Factor",$F97&lt;&gt;"",$F97&lt;&gt;"Retain"),
Error!$B$14,
IF(AND($E97="&lt;6in DSH for Tree Points",$F97="Retain",$H97&lt;&gt;"",ISNA(MATCH($H97,Tables!$B$174:$B$174,0))),
Error!$B$15,
IF(AND($E97="Street Tree for Green Factor",$F97="Retain",$H97&lt;&gt;"",$H97&lt;&gt;"Zoning: Green Factor"),
Error!$B$15,
IF(AND($E97="ECA / Shoreline Tree",$F97="Remove",$H97&lt;&gt;"",ISNA(MATCH($H97,Tables!$B$189:$B$190,0))),
Error!$B$15,
IF(AND($E97="ECA / Shoreline Tree",$F97="Retain",$H97&lt;&gt;"",ISNA(MATCH($H97,Tables!$B$184:$B$186,0))),
Error!$B$15,
IF(AND($E97="Tier 4",$F97="Remove",$H97&lt;&gt;"",ISNA(MATCH($H97,Tables!$B$171,0))),
Error!$B$15,
IF(AND($E97="Tier 4",$F97="Retain",$H97&lt;&gt;"",ISNA(MATCH($H97,Tables!$B$166:$B$168,0))),
Error!$B$15,
IF(AND($E97="Tier 3",$F97="Retain",$H97&lt;&gt;"",ISNA(MATCH($H97,Tables!$B$158:$B$160,0))),
Error!$B$15,
IF(AND($E97="Tier 3",$F97="Remove",$H97&lt;&gt;"",ISNA(MATCH($H97,Tables!$B$163,0))),
Error!$B$15,
IF(AND(OR($E97="Tier 2",$E97="Tier 2 Grove"),$F97="Remove",$H97&lt;&gt;"",ISNA(MATCH($H97,Tables!$B$153:$B$155,0))),
Error!$B$15,
IF(AND(OR($E97="Tier 2",$E97="Tier 2 Grove"),$F97="Retain",$H97&lt;&gt;"",ISNA(MATCH($H97,Tables!$B$147:$B$150,0))),
Error!$B$15,
IF(AND($E97="Tier 1",$F97="Remove",$H97&lt;&gt;"",ISNA(MATCH($H97,Tables!$B$143:$B$144,0))),
Error!$B$15,
IF(AND($E97="Tier 1",$F97="Retain",$H97&lt;&gt;"",ISNA(MATCH($H97,Tables!$B$137:$B$140,0))),
Error!$B$15,
IF(AND($E97&lt;&gt;"Tier 2",$E97&lt;&gt;"Tier 2 Grove",$E97&lt;&gt;"Tier 3",$E97&lt;&gt;"Tier 4",$H97="Zoning: Green Factor",OR($D97="",$D97&lt;6)),
Error!$B$11,
IF(AND(_xlpm.baseRow,$D97&lt;6,$E97="&lt;6in DSH for Tree Points",_xlpm.TreePoints_H=0),
Error!$B$21,
IF(AND(_xlpm.baseRow,$E97&lt;&gt;"",$D97&lt;&gt;"",$F97=""),
Error!$B$4,
IF(AND(_xlpm.baseRow,$F97="Remove",OR($E97="Tier 1",$E97="Tier 2",$E97="Tier 2 Grove"),COUNTBLANK(_xlpm.HRange)&lt;3,_xlpm.uniqueH&gt;=2),
Error!$B$48,
IF(AND(_xlpm.baseRow,$F97="Retain",OR($E97="Tier 1",$E97="Tier 2",$E97="Tier 2 Grove"),COUNTIF(_xlpm.HRange,"Tree Code: Required to Retain Tier 1-2 Tree")=0),
Error!$B$47,
IF(AND(_xlpm.baseRow,$E97&lt;&gt;"",$D97&lt;&gt;"",$F97&lt;&gt;"",COUNTBLANK(_xlpm.HRange)=4),
Error!$B$5,
IF(AND($F97="Remove",$H97&lt;&gt;"",$I97=""),
Error!$B$18,
IF(AND($E97="Tier 4",$F97="Remove",$H97="Tree Protection Code: Tier 3 or Tier 4 Allowance",$H97&lt;&gt;"",ISNA(MATCH($I97,Tables!$B$200,0))),
Error!$B$17,
IF(AND($E97="Tier 3",$F97="Remove",$H97&lt;&gt;"",$H97="Tree Protection Code: Tier 3 or Tier 4 Allowance",OR($I97="",ISNA(MATCH($I97,Tables!$B$193:$B$197,0)))),
Error!$B$17,
IF(AND(OR($E97="Tier 2",$E97="Tier 2 Grove"),$F97="Remove",$H97="Tree Protection Code: Other removal allowance or exemption",$I97&lt;&gt;"",ISNA(MATCH($I97,Tables!$B$215:$B$218,0))),
Error!$B$17,
IF(AND(OR($E97="Tier 2",$E97="Tier 2 Grove"),$F97="Remove",$H97="Tree Protection Code: Development Capacity",$I97&lt;&gt;"",ISNA(MATCH($I97,Tables!$B$193:$B$197,0))),
Error!$B$17,
IF(AND(OR($E97="Tier 2",$E97="Tier 2 Grove"),$F97="Remove",$H97="Tree Protection Code: Necessary for Construction",$I97&lt;&gt;"",ISNA(MATCH($I97,Tables!$B$193:$B$197,0))),
Error!$B$17,
IF(AND($E97="Tier 1",$F97="Remove",$H97="Tree Protection Code: Special Exception",$I97&lt;&gt;"",ISNA(MATCH($I97,Tables!$B$215:$B$218,0))),
Error!$B$17,
IF(AND($E97="Tier 1",$F97="Remove",$H97="Tree Protection Code: Other removal allowance or exemption",$I97&lt;&gt;"",ISNA(MATCH($I97,Tables!$B$215:$B$218,0))),
Error!$B$17,
IF(AND($E97="ECA / Shoreline Tree",$F97="Remove",$H97&lt;&gt;"",OR($H97="Shoreline",$H97="Environmental Critical Area (ECA)"),ISNA(MATCH($I97,Tables!$B$209:$B$212,0))),
Error!$B$17,
IF(AND(_xlpm.baseRow,$F97="Retain",$E97="ECA / Shoreline Tree",_xlpm.ECA_Short=0),
Error!$B$61,
IF(AND($F97="Remove",ISNUMBER(MATCH($E97,{"Tier 1","Tier 2","Tier 3","Tier 4","Tier 2 Grove"},0)),ISNUMBER(MATCH($I97,{"On-site replacement","Off-site replacement"},0)),$J97="",$H97&lt;&gt;""),
Error!$B$19,
IF(AND(_xlpm.baseRow,$E97&lt;&gt;"",$D97&lt;&gt;"",$F97&lt;&gt;"",COUNTBLANK($B97:$C97)&gt;0,COUNTBLANK(_xlpm.HRange)&lt;&gt;4),
Error!$B$22,
IF(AND($H97="Zoning: Tree Points",$K97&lt;&gt;"",ISNA(MATCH($K97,Tables!$B$242:$B$253,0))),
Error!$B$58,
IF(AND($H97="Zoning: Tree Points",$K97="Small",$L97&lt;&gt;"",ISNA(MATCH($L97,Tables!$C$243:$C$244,0))),
Error!$B$59,
IF(AND($H97="Zoning: Tree Points",$K97="Small/Medium",$L97&lt;&gt;"",ISNA(MATCH($L97,Tables!$C$246:$C$247,0))),
Error!$B$59,
IF(AND($H97="Zoning: Tree Points",$K97="Medium/Large",$L97&lt;&gt;"",ISNA(MATCH($L97,Tables!$C$249:$C$250,0))),
Error!$B$59,
IF(AND($H97="Zoning: Tree Points",$K97="Large",$L97&lt;&gt;"",ISNA(MATCH($L97,Tables!$C$252:$C$253,0))),
Error!$B$59,
IF(AND($F97="Retain",$H97="Zoning: Tree Points",$C97&lt;&gt;"",$D97&lt;&gt;"",OR($K97="",$L97="",$M97="")),
Error!$B$20,
""
)))))))))))))))))))))))))))))))))))))))))))))))))))))))),
Error!$B$23))</f>
        <v/>
      </c>
      <c r="O97" s="343" t="str" cm="1">
        <f t="array" aca="1" ref="O97" ca="1">IFERROR(_xlfn.LET(
    _xlpm.txt, $C97,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8" spans="1:15" ht="15" thickBot="1" x14ac:dyDescent="0.35">
      <c r="A98" s="320"/>
      <c r="B98" s="616" t="str">
        <f t="shared" si="63"/>
        <v/>
      </c>
      <c r="C98" s="617" t="str">
        <f t="shared" si="64"/>
        <v/>
      </c>
      <c r="D98" s="618" t="str">
        <f t="shared" si="65"/>
        <v/>
      </c>
      <c r="E98" s="616" t="str">
        <f t="shared" si="66"/>
        <v/>
      </c>
      <c r="F98" s="616" t="str">
        <f t="shared" si="67"/>
        <v/>
      </c>
      <c r="G98" s="619" t="str">
        <f>IF(Tree_Table1[[#This Row],[Tree Status  &amp;]]="Retain", Tables!$B$237, IF(Tree_Table1[[#This Row],[Tree Status  &amp;]]="Remove", Tables!$B$238, ""))</f>
        <v/>
      </c>
      <c r="H98" s="329"/>
      <c r="I98" s="330"/>
      <c r="J98" s="455"/>
      <c r="K98" s="327" t="str">
        <f>IFERROR(
    IF(
        AND($H98="Zoning: Tree Points", NOT(ISNUMBER(SEARCH("sp.", $C98)))),
        VLOOKUP($C98, 'Tree List'!$C$3:$F$601, 4, FALSE),
        ""
    ),
"")</f>
        <v/>
      </c>
      <c r="L98" s="328" t="str" cm="1">
        <f t="array" ref="L98">IFERROR(
IF(
    AND($H98="Zoning: Tree Points", NOT(ISNUMBER(SEARCH("sp.", $C98)))),
    _xlfn.IFS(
        (COUNTIFS('Tree List'!$C$3:$C$601,$C98,'Tree List'!$D$3:$D$601,"Coniferous")
        + COUNTIFS('Tree List'!$C$3:$C$601,$C98,'Tree List'!$D$3:$D$601,"Deciduous Conifer")) &gt; 0,
            _xlfn.IFS($K98="Small",0.5,$K98="Small/Medium",1,$K98="Medium/Large",1.4,$K98="Large",1.8),
        (COUNTIFS('Tree List'!$C$3:$C$601,$C98,'Tree List'!$D$3:$D$601,"Deciduous")
        + COUNTIFS('Tree List'!$C$3:$C$601,$C98,'Tree List'!$D$3:$D$601,"Broadleaf Evergreen")) &gt; 0,
            _xlfn.IFS($K98="Small",0.4,$K98="Small/Medium",0.8,$K98="Medium/Large",1.2,$K98="Large",1.6)
    ),
    ""
),
"")</f>
        <v/>
      </c>
      <c r="M98" s="476" t="str">
        <f t="shared" si="0"/>
        <v/>
      </c>
      <c r="N98" s="347" t="str" cm="1">
        <f t="array" aca="1" ref="N9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IF(AND(_xlpm.baseRow,ISNA(MATCH($C98,'Tree List'!$C$3:$C$601,0)),SUMPRODUCT(--ISNUMBER(SEARCH(Tables2!$C$677:$C$772,$O98)))&gt;0),
Error!$B$57,
IF(AND(_xlpm.hasDM,$F98="Remove",$H98&lt;&gt;"",OR($I98="On-site replacement",$I98="Off-site replacement",$I98="Payment In Lieu")),
Error!$B$56,
IF(AND(_xlpm.hasDM,$F98="Remove",$H98&lt;&gt;"",$I98="Relocation"),
Error!$B$66,
IF(AND(OR(_xlpm.hasCN,_xlpm.hasPH,_xlpm.hasGR),$H98&lt;&gt;"",COUNTIF(Tables!$B$132:$B$134,$H98)&gt;0,$I98="N/A (No replacement required)"),
Error!$B$62,
IF(AND(_xlpm.baseRow,$E98&lt;&gt;"",ISNA(MATCH($E98,Tables!$B$225:$B$232,0))),
Error!$B$2,
IF(AND(_xlpm.baseRow,$F98&lt;&gt;"",ISNA(MATCH($F98,Tables!$B$234:$B$235,0))),
Error!$B$24,
IF(AND(_xlpm.baseRow,_xlpm.ECA_H&gt;0,_xlpm.Shore_H&gt;0),
Error!$B$16,
IF(AND(_xlpm.baseRow,$E98&lt;&gt;"",$D98=""),
Error!$B$3,
IF(AND(_xlpm.baseRow,OR($E98="Tier 3",$E98="Tier 4"),$C98&lt;&gt;"",$D98&gt;=24,COUNTIF(Tables2!$B$166:$B$674,$C98)&gt;0),
Error!$B$44,
IF(AND(_xlpm.baseRow,OR($E98="Tier 3",$E98="Tier 4"),$C98&lt;&gt;"",$D98&lt;&gt;"",COUNTIF(Tables2!$B$73:$B$152,$C98)&gt;0,
$D98&gt;=IFERROR(INDEX(Tables2!$C$73:$C$152,MATCH($C98,Tables2!$B$73:$B$152,0)),-1)),
Error!$B$44,
IF(AND(_xlpm.baseRow,OR($E98="Tier 2",$E98="Tier 2 Grove"),$C98&lt;&gt;"",$D98&gt;=12,COUNTIF(Tables2!$B$153:$B$162,$C98)&gt;0),
Error!$B$45,
IF(AND(_xlpm.baseRow,$E98="Tier 2 Grove",$D98&lt;12),
Error!$B$41,
IF(AND(_xlpm.baseRow,$E98="Tier 2",$D98&lt;5.88),
Error!$B$40,
IF(AND(_xlpm.baseRow,OR($E98="Tier 2",$E98="Tier 2 Grove"),$C98&lt;&gt;"",$D98&lt;12,$D98&gt;=6,COUNTIF(Tables2!$B$153:$B$162,$C98)&gt;0),
Error!$B$54,
IF(AND(_xlpm.baseRow,$E98="Tier 2",COUNTIF(Tables2!$B$166:$B$674,$C98)&gt;0,$D98&lt;24),
Error!$B$54,
IF(AND(_xlpm.baseRow,$E98="Tier 3",ISNA(MATCH($C98,Tables2!$B$153:$B$162,0)),OR($D98&lt;12,$D98&gt;=24)),
Error!$B$9,
IF(AND(_xlpm.baseRow,$E98="Tier 3",COUNTIF(Tables2!$B$153:$B$162,$C98)&gt;0,$D98&lt;12),
Error!$B$46,
IF(AND(_xlpm.baseRow,$E98="Tier 4",OR($D98&lt;6,$D98&gt;=12)),
Error!$B$10,
IF(AND(_xlpm.baseRow,$E98="&lt;6in DSH for Tree Points",OR($D98&gt;=6,$D98="")),
Error!$B$8,
IF(AND(_xlpm.baseRow,$E98="Street Tree for Green Factor",$F98&lt;&gt;"",$F98&lt;&gt;"Retain"),
Error!$B$14,
IF(AND($E98="&lt;6in DSH for Tree Points",$F98="Retain",$H98&lt;&gt;"",ISNA(MATCH($H98,Tables!$B$174:$B$174,0))),
Error!$B$15,
IF(AND($E98="Street Tree for Green Factor",$F98="Retain",$H98&lt;&gt;"",$H98&lt;&gt;"Zoning: Green Factor"),
Error!$B$15,
IF(AND($E98="ECA / Shoreline Tree",$F98="Remove",$H98&lt;&gt;"",ISNA(MATCH($H98,Tables!$B$189:$B$190,0))),
Error!$B$15,
IF(AND($E98="ECA / Shoreline Tree",$F98="Retain",$H98&lt;&gt;"",ISNA(MATCH($H98,Tables!$B$184:$B$186,0))),
Error!$B$15,
IF(AND($E98="Tier 4",$F98="Remove",$H98&lt;&gt;"",ISNA(MATCH($H98,Tables!$B$171,0))),
Error!$B$15,
IF(AND($E98="Tier 4",$F98="Retain",$H98&lt;&gt;"",ISNA(MATCH($H98,Tables!$B$166:$B$168,0))),
Error!$B$15,
IF(AND($E98="Tier 3",$F98="Retain",$H98&lt;&gt;"",ISNA(MATCH($H98,Tables!$B$158:$B$160,0))),
Error!$B$15,
IF(AND($E98="Tier 3",$F98="Remove",$H98&lt;&gt;"",ISNA(MATCH($H98,Tables!$B$163,0))),
Error!$B$15,
IF(AND(OR($E98="Tier 2",$E98="Tier 2 Grove"),$F98="Remove",$H98&lt;&gt;"",ISNA(MATCH($H98,Tables!$B$153:$B$155,0))),
Error!$B$15,
IF(AND(OR($E98="Tier 2",$E98="Tier 2 Grove"),$F98="Retain",$H98&lt;&gt;"",ISNA(MATCH($H98,Tables!$B$147:$B$150,0))),
Error!$B$15,
IF(AND($E98="Tier 1",$F98="Remove",$H98&lt;&gt;"",ISNA(MATCH($H98,Tables!$B$143:$B$144,0))),
Error!$B$15,
IF(AND($E98="Tier 1",$F98="Retain",$H98&lt;&gt;"",ISNA(MATCH($H98,Tables!$B$137:$B$140,0))),
Error!$B$15,
IF(AND($E98&lt;&gt;"Tier 2",$E98&lt;&gt;"Tier 2 Grove",$E98&lt;&gt;"Tier 3",$E98&lt;&gt;"Tier 4",$H98="Zoning: Green Factor",OR($D98="",$D98&lt;6)),
Error!$B$11,
IF(AND(_xlpm.baseRow,$D98&lt;6,$E98="&lt;6in DSH for Tree Points",_xlpm.TreePoints_H=0),
Error!$B$21,
IF(AND(_xlpm.baseRow,$E98&lt;&gt;"",$D98&lt;&gt;"",$F98=""),
Error!$B$4,
IF(AND(_xlpm.baseRow,$F98="Remove",OR($E98="Tier 1",$E98="Tier 2",$E98="Tier 2 Grove"),COUNTBLANK(_xlpm.HRange)&lt;3,_xlpm.uniqueH&gt;=2),
Error!$B$48,
IF(AND(_xlpm.baseRow,$F98="Retain",OR($E98="Tier 1",$E98="Tier 2",$E98="Tier 2 Grove"),COUNTIF(_xlpm.HRange,"Tree Code: Required to Retain Tier 1-2 Tree")=0),
Error!$B$47,
IF(AND(_xlpm.baseRow,$E98&lt;&gt;"",$D98&lt;&gt;"",$F98&lt;&gt;"",COUNTBLANK(_xlpm.HRange)=4),
Error!$B$5,
IF(AND($F98="Remove",$H98&lt;&gt;"",$I98=""),
Error!$B$18,
IF(AND($E98="Tier 4",$F98="Remove",$H98="Tree Protection Code: Tier 3 or Tier 4 Allowance",$H98&lt;&gt;"",ISNA(MATCH($I98,Tables!$B$200,0))),
Error!$B$17,
IF(AND($E98="Tier 3",$F98="Remove",$H98&lt;&gt;"",$H98="Tree Protection Code: Tier 3 or Tier 4 Allowance",OR($I98="",ISNA(MATCH($I98,Tables!$B$193:$B$197,0)))),
Error!$B$17,
IF(AND(OR($E98="Tier 2",$E98="Tier 2 Grove"),$F98="Remove",$H98="Tree Protection Code: Other removal allowance or exemption",$I98&lt;&gt;"",ISNA(MATCH($I98,Tables!$B$215:$B$218,0))),
Error!$B$17,
IF(AND(OR($E98="Tier 2",$E98="Tier 2 Grove"),$F98="Remove",$H98="Tree Protection Code: Development Capacity",$I98&lt;&gt;"",ISNA(MATCH($I98,Tables!$B$193:$B$197,0))),
Error!$B$17,
IF(AND(OR($E98="Tier 2",$E98="Tier 2 Grove"),$F98="Remove",$H98="Tree Protection Code: Necessary for Construction",$I98&lt;&gt;"",ISNA(MATCH($I98,Tables!$B$193:$B$197,0))),
Error!$B$17,
IF(AND($E98="Tier 1",$F98="Remove",$H98="Tree Protection Code: Special Exception",$I98&lt;&gt;"",ISNA(MATCH($I98,Tables!$B$215:$B$218,0))),
Error!$B$17,
IF(AND($E98="Tier 1",$F98="Remove",$H98="Tree Protection Code: Other removal allowance or exemption",$I98&lt;&gt;"",ISNA(MATCH($I98,Tables!$B$215:$B$218,0))),
Error!$B$17,
IF(AND($E98="ECA / Shoreline Tree",$F98="Remove",$H98&lt;&gt;"",OR($H98="Shoreline",$H98="Environmental Critical Area (ECA)"),ISNA(MATCH($I98,Tables!$B$209:$B$212,0))),
Error!$B$17,
IF(AND(_xlpm.baseRow,$F98="Retain",$E98="ECA / Shoreline Tree",_xlpm.ECA_Short=0),
Error!$B$61,
IF(AND($F98="Remove",ISNUMBER(MATCH($E98,{"Tier 1","Tier 2","Tier 3","Tier 4","Tier 2 Grove"},0)),ISNUMBER(MATCH($I98,{"On-site replacement","Off-site replacement"},0)),$J98="",$H98&lt;&gt;""),
Error!$B$19,
IF(AND(_xlpm.baseRow,$E98&lt;&gt;"",$D98&lt;&gt;"",$F98&lt;&gt;"",COUNTBLANK($B98:$C98)&gt;0,COUNTBLANK(_xlpm.HRange)&lt;&gt;4),
Error!$B$22,
IF(AND($H98="Zoning: Tree Points",$K98&lt;&gt;"",ISNA(MATCH($K98,Tables!$B$242:$B$253,0))),
Error!$B$58,
IF(AND($H98="Zoning: Tree Points",$K98="Small",$L98&lt;&gt;"",ISNA(MATCH($L98,Tables!$C$243:$C$244,0))),
Error!$B$59,
IF(AND($H98="Zoning: Tree Points",$K98="Small/Medium",$L98&lt;&gt;"",ISNA(MATCH($L98,Tables!$C$246:$C$247,0))),
Error!$B$59,
IF(AND($H98="Zoning: Tree Points",$K98="Medium/Large",$L98&lt;&gt;"",ISNA(MATCH($L98,Tables!$C$249:$C$250,0))),
Error!$B$59,
IF(AND($H98="Zoning: Tree Points",$K98="Large",$L98&lt;&gt;"",ISNA(MATCH($L98,Tables!$C$252:$C$253,0))),
Error!$B$59,
IF(AND($F98="Retain",$H98="Zoning: Tree Points",$C98&lt;&gt;"",$D98&lt;&gt;"",OR($K98="",$L98="",$M98="")),
Error!$B$20,
""
)))))))))))))))))))))))))))))))))))))))))))))))))))))))),
Error!$B$23))</f>
        <v/>
      </c>
      <c r="O98" s="343" t="str" cm="1">
        <f t="array" aca="1" ref="O98" ca="1">IFERROR(_xlfn.LET(
    _xlpm.txt, $C98,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9" spans="1:15" ht="15" thickBot="1" x14ac:dyDescent="0.35">
      <c r="A99" s="311">
        <v>23</v>
      </c>
      <c r="B99" s="312"/>
      <c r="C99" s="313"/>
      <c r="D99" s="478"/>
      <c r="E99" s="314"/>
      <c r="F99" s="314"/>
      <c r="G99" s="315" t="str">
        <f>IF(Tree_Table1[[#This Row],[Tree Status  &amp;]]="Retain", Tables!$B$237, IF(Tree_Table1[[#This Row],[Tree Status  &amp;]]="Remove", Tables!$B$238, ""))</f>
        <v/>
      </c>
      <c r="H99" s="316"/>
      <c r="I99" s="317"/>
      <c r="J99" s="452"/>
      <c r="K99" s="318" t="str">
        <f>IFERROR(
    IF(
        AND($H99="Zoning: Tree Points", NOT(ISNUMBER(SEARCH("sp.", $C99)))),
        VLOOKUP($C99, 'Tree List'!$C$3:$F$601, 4, FALSE),
        ""
    ),
"")</f>
        <v/>
      </c>
      <c r="L99" s="319" t="str" cm="1">
        <f t="array" ref="L99">IFERROR(
IF(
    AND($H99="Zoning: Tree Points", NOT(ISNUMBER(SEARCH("sp.", $C99)))),
    _xlfn.IFS(
        (COUNTIFS('Tree List'!$C$3:$C$601,$C99,'Tree List'!$D$3:$D$601,"Coniferous")
        + COUNTIFS('Tree List'!$C$3:$C$601,$C99,'Tree List'!$D$3:$D$601,"Deciduous Conifer")) &gt; 0,
            _xlfn.IFS($K99="Small",0.5,$K99="Small/Medium",1,$K99="Medium/Large",1.4,$K99="Large",1.8),
        (COUNTIFS('Tree List'!$C$3:$C$601,$C99,'Tree List'!$D$3:$D$601,"Deciduous")
        + COUNTIFS('Tree List'!$C$3:$C$601,$C99,'Tree List'!$D$3:$D$601,"Broadleaf Evergreen")) &gt; 0,
            _xlfn.IFS($K99="Small",0.4,$K99="Small/Medium",0.8,$K99="Medium/Large",1.2,$K99="Large",1.6)
    ),
    ""
),
"")</f>
        <v/>
      </c>
      <c r="M99" s="474" t="str">
        <f t="shared" si="0"/>
        <v/>
      </c>
      <c r="N99" s="620" t="str" cm="1">
        <f t="array" aca="1" ref="N9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IF(AND(_xlpm.baseRow,ISNA(MATCH($C99,'Tree List'!$C$3:$C$601,0)),SUMPRODUCT(--ISNUMBER(SEARCH(Tables2!$C$677:$C$772,$O99)))&gt;0),
Error!$B$57,
IF(AND(_xlpm.hasDM,$F99="Remove",$H99&lt;&gt;"",OR($I99="On-site replacement",$I99="Off-site replacement",$I99="Payment In Lieu")),
Error!$B$56,
IF(AND(_xlpm.hasDM,$F99="Remove",$H99&lt;&gt;"",$I99="Relocation"),
Error!$B$66,
IF(AND(OR(_xlpm.hasCN,_xlpm.hasPH,_xlpm.hasGR),$H99&lt;&gt;"",COUNTIF(Tables!$B$132:$B$134,$H99)&gt;0,$I99="N/A (No replacement required)"),
Error!$B$62,
IF(AND(_xlpm.baseRow,$E99&lt;&gt;"",ISNA(MATCH($E99,Tables!$B$225:$B$232,0))),
Error!$B$2,
IF(AND(_xlpm.baseRow,$F99&lt;&gt;"",ISNA(MATCH($F99,Tables!$B$234:$B$235,0))),
Error!$B$24,
IF(AND(_xlpm.baseRow,_xlpm.ECA_H&gt;0,_xlpm.Shore_H&gt;0),
Error!$B$16,
IF(AND(_xlpm.baseRow,$E99&lt;&gt;"",$D99=""),
Error!$B$3,
IF(AND(_xlpm.baseRow,OR($E99="Tier 3",$E99="Tier 4"),$C99&lt;&gt;"",$D99&gt;=24,COUNTIF(Tables2!$B$166:$B$674,$C99)&gt;0),
Error!$B$44,
IF(AND(_xlpm.baseRow,OR($E99="Tier 3",$E99="Tier 4"),$C99&lt;&gt;"",$D99&lt;&gt;"",COUNTIF(Tables2!$B$73:$B$152,$C99)&gt;0,
$D99&gt;=IFERROR(INDEX(Tables2!$C$73:$C$152,MATCH($C99,Tables2!$B$73:$B$152,0)),-1)),
Error!$B$44,
IF(AND(_xlpm.baseRow,OR($E99="Tier 2",$E99="Tier 2 Grove"),$C99&lt;&gt;"",$D99&gt;=12,COUNTIF(Tables2!$B$153:$B$162,$C99)&gt;0),
Error!$B$45,
IF(AND(_xlpm.baseRow,$E99="Tier 2 Grove",$D99&lt;12),
Error!$B$41,
IF(AND(_xlpm.baseRow,$E99="Tier 2",$D99&lt;5.88),
Error!$B$40,
IF(AND(_xlpm.baseRow,OR($E99="Tier 2",$E99="Tier 2 Grove"),$C99&lt;&gt;"",$D99&lt;12,$D99&gt;=6,COUNTIF(Tables2!$B$153:$B$162,$C99)&gt;0),
Error!$B$54,
IF(AND(_xlpm.baseRow,$E99="Tier 2",COUNTIF(Tables2!$B$166:$B$674,$C99)&gt;0,$D99&lt;24),
Error!$B$54,
IF(AND(_xlpm.baseRow,$E99="Tier 3",ISNA(MATCH($C99,Tables2!$B$153:$B$162,0)),OR($D99&lt;12,$D99&gt;=24)),
Error!$B$9,
IF(AND(_xlpm.baseRow,$E99="Tier 3",COUNTIF(Tables2!$B$153:$B$162,$C99)&gt;0,$D99&lt;12),
Error!$B$46,
IF(AND(_xlpm.baseRow,$E99="Tier 4",OR($D99&lt;6,$D99&gt;=12)),
Error!$B$10,
IF(AND(_xlpm.baseRow,$E99="&lt;6in DSH for Tree Points",OR($D99&gt;=6,$D99="")),
Error!$B$8,
IF(AND(_xlpm.baseRow,$E99="Street Tree for Green Factor",$F99&lt;&gt;"",$F99&lt;&gt;"Retain"),
Error!$B$14,
IF(AND($E99="&lt;6in DSH for Tree Points",$F99="Retain",$H99&lt;&gt;"",ISNA(MATCH($H99,Tables!$B$174:$B$174,0))),
Error!$B$15,
IF(AND($E99="Street Tree for Green Factor",$F99="Retain",$H99&lt;&gt;"",$H99&lt;&gt;"Zoning: Green Factor"),
Error!$B$15,
IF(AND($E99="ECA / Shoreline Tree",$F99="Remove",$H99&lt;&gt;"",ISNA(MATCH($H99,Tables!$B$189:$B$190,0))),
Error!$B$15,
IF(AND($E99="ECA / Shoreline Tree",$F99="Retain",$H99&lt;&gt;"",ISNA(MATCH($H99,Tables!$B$184:$B$186,0))),
Error!$B$15,
IF(AND($E99="Tier 4",$F99="Remove",$H99&lt;&gt;"",ISNA(MATCH($H99,Tables!$B$171,0))),
Error!$B$15,
IF(AND($E99="Tier 4",$F99="Retain",$H99&lt;&gt;"",ISNA(MATCH($H99,Tables!$B$166:$B$168,0))),
Error!$B$15,
IF(AND($E99="Tier 3",$F99="Retain",$H99&lt;&gt;"",ISNA(MATCH($H99,Tables!$B$158:$B$160,0))),
Error!$B$15,
IF(AND($E99="Tier 3",$F99="Remove",$H99&lt;&gt;"",ISNA(MATCH($H99,Tables!$B$163,0))),
Error!$B$15,
IF(AND(OR($E99="Tier 2",$E99="Tier 2 Grove"),$F99="Remove",$H99&lt;&gt;"",ISNA(MATCH($H99,Tables!$B$153:$B$155,0))),
Error!$B$15,
IF(AND(OR($E99="Tier 2",$E99="Tier 2 Grove"),$F99="Retain",$H99&lt;&gt;"",ISNA(MATCH($H99,Tables!$B$147:$B$150,0))),
Error!$B$15,
IF(AND($E99="Tier 1",$F99="Remove",$H99&lt;&gt;"",ISNA(MATCH($H99,Tables!$B$143:$B$144,0))),
Error!$B$15,
IF(AND($E99="Tier 1",$F99="Retain",$H99&lt;&gt;"",ISNA(MATCH($H99,Tables!$B$137:$B$140,0))),
Error!$B$15,
IF(AND($E99&lt;&gt;"Tier 2",$E99&lt;&gt;"Tier 2 Grove",$E99&lt;&gt;"Tier 3",$E99&lt;&gt;"Tier 4",$H99="Zoning: Green Factor",OR($D99="",$D99&lt;6)),
Error!$B$11,
IF(AND(_xlpm.baseRow,$D99&lt;6,$E99="&lt;6in DSH for Tree Points",_xlpm.TreePoints_H=0),
Error!$B$21,
IF(AND(_xlpm.baseRow,$E99&lt;&gt;"",$D99&lt;&gt;"",$F99=""),
Error!$B$4,
IF(AND(_xlpm.baseRow,$F99="Remove",OR($E99="Tier 1",$E99="Tier 2",$E99="Tier 2 Grove"),COUNTBLANK(_xlpm.HRange)&lt;3,_xlpm.uniqueH&gt;=2),
Error!$B$48,
IF(AND(_xlpm.baseRow,$F99="Retain",OR($E99="Tier 1",$E99="Tier 2",$E99="Tier 2 Grove"),COUNTIF(_xlpm.HRange,"Tree Code: Required to Retain Tier 1-2 Tree")=0),
Error!$B$47,
IF(AND(_xlpm.baseRow,$E99&lt;&gt;"",$D99&lt;&gt;"",$F99&lt;&gt;"",COUNTBLANK(_xlpm.HRange)=4),
Error!$B$5,
IF(AND($F99="Remove",$H99&lt;&gt;"",$I99=""),
Error!$B$18,
IF(AND($E99="Tier 4",$F99="Remove",$H99="Tree Protection Code: Tier 3 or Tier 4 Allowance",$H99&lt;&gt;"",ISNA(MATCH($I99,Tables!$B$200,0))),
Error!$B$17,
IF(AND($E99="Tier 3",$F99="Remove",$H99&lt;&gt;"",$H99="Tree Protection Code: Tier 3 or Tier 4 Allowance",OR($I99="",ISNA(MATCH($I99,Tables!$B$193:$B$197,0)))),
Error!$B$17,
IF(AND(OR($E99="Tier 2",$E99="Tier 2 Grove"),$F99="Remove",$H99="Tree Protection Code: Other removal allowance or exemption",$I99&lt;&gt;"",ISNA(MATCH($I99,Tables!$B$215:$B$218,0))),
Error!$B$17,
IF(AND(OR($E99="Tier 2",$E99="Tier 2 Grove"),$F99="Remove",$H99="Tree Protection Code: Development Capacity",$I99&lt;&gt;"",ISNA(MATCH($I99,Tables!$B$193:$B$197,0))),
Error!$B$17,
IF(AND(OR($E99="Tier 2",$E99="Tier 2 Grove"),$F99="Remove",$H99="Tree Protection Code: Necessary for Construction",$I99&lt;&gt;"",ISNA(MATCH($I99,Tables!$B$193:$B$197,0))),
Error!$B$17,
IF(AND($E99="Tier 1",$F99="Remove",$H99="Tree Protection Code: Special Exception",$I99&lt;&gt;"",ISNA(MATCH($I99,Tables!$B$215:$B$218,0))),
Error!$B$17,
IF(AND($E99="Tier 1",$F99="Remove",$H99="Tree Protection Code: Other removal allowance or exemption",$I99&lt;&gt;"",ISNA(MATCH($I99,Tables!$B$215:$B$218,0))),
Error!$B$17,
IF(AND($E99="ECA / Shoreline Tree",$F99="Remove",$H99&lt;&gt;"",OR($H99="Shoreline",$H99="Environmental Critical Area (ECA)"),ISNA(MATCH($I99,Tables!$B$209:$B$212,0))),
Error!$B$17,
IF(AND(_xlpm.baseRow,$F99="Retain",$E99="ECA / Shoreline Tree",_xlpm.ECA_Short=0),
Error!$B$61,
IF(AND($F99="Remove",ISNUMBER(MATCH($E99,{"Tier 1","Tier 2","Tier 3","Tier 4","Tier 2 Grove"},0)),ISNUMBER(MATCH($I99,{"On-site replacement","Off-site replacement"},0)),$J99="",$H99&lt;&gt;""),
Error!$B$19,
IF(AND(_xlpm.baseRow,$E99&lt;&gt;"",$D99&lt;&gt;"",$F99&lt;&gt;"",COUNTBLANK($B99:$C99)&gt;0,COUNTBLANK(_xlpm.HRange)&lt;&gt;4),
Error!$B$22,
IF(AND($H99="Zoning: Tree Points",$K99&lt;&gt;"",ISNA(MATCH($K99,Tables!$B$242:$B$253,0))),
Error!$B$58,
IF(AND($H99="Zoning: Tree Points",$K99="Small",$L99&lt;&gt;"",ISNA(MATCH($L99,Tables!$C$243:$C$244,0))),
Error!$B$59,
IF(AND($H99="Zoning: Tree Points",$K99="Small/Medium",$L99&lt;&gt;"",ISNA(MATCH($L99,Tables!$C$246:$C$247,0))),
Error!$B$59,
IF(AND($H99="Zoning: Tree Points",$K99="Medium/Large",$L99&lt;&gt;"",ISNA(MATCH($L99,Tables!$C$249:$C$250,0))),
Error!$B$59,
IF(AND($H99="Zoning: Tree Points",$K99="Large",$L99&lt;&gt;"",ISNA(MATCH($L99,Tables!$C$252:$C$253,0))),
Error!$B$59,
IF(AND($F99="Retain",$H99="Zoning: Tree Points",$C99&lt;&gt;"",$D99&lt;&gt;"",OR($K99="",$L99="",$M99="")),
Error!$B$20,
""
)))))))))))))))))))))))))))))))))))))))))))))))))))))))),
Error!$B$23))</f>
        <v/>
      </c>
      <c r="O99" s="343" t="str" cm="1">
        <f t="array" aca="1" ref="O99" ca="1">IFERROR(_xlfn.LET(
    _xlpm.txt, $C99,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0" spans="1:15" x14ac:dyDescent="0.3">
      <c r="A100" s="320"/>
      <c r="B100" s="616" t="str">
        <f t="shared" ref="B100:B102" si="68">IF($B99="", "", $B99)</f>
        <v/>
      </c>
      <c r="C100" s="617" t="str">
        <f t="shared" ref="C100:C102" si="69">IF($C99="", "", $C99)</f>
        <v/>
      </c>
      <c r="D100" s="618" t="str">
        <f t="shared" ref="D100:D102" si="70">IF($D99="", "", $D99)</f>
        <v/>
      </c>
      <c r="E100" s="616" t="str">
        <f t="shared" ref="E100:E102" si="71">IF($E99="", "", $E99)</f>
        <v/>
      </c>
      <c r="F100" s="616" t="str">
        <f t="shared" ref="F100:F102" si="72">IF($F99="", "", $F99)</f>
        <v/>
      </c>
      <c r="G100" s="619" t="str">
        <f>IF(Tree_Table1[[#This Row],[Tree Status  &amp;]]="Retain", Tables!$B$237, IF(Tree_Table1[[#This Row],[Tree Status  &amp;]]="Remove", Tables!$B$238, ""))</f>
        <v/>
      </c>
      <c r="H100" s="321"/>
      <c r="I100" s="322"/>
      <c r="J100" s="453"/>
      <c r="K100" s="323" t="str">
        <f>IFERROR(
    IF(
        AND($H100="Zoning: Tree Points", NOT(ISNUMBER(SEARCH("sp.", $C100)))),
        VLOOKUP($C100, 'Tree List'!$C$3:$F$601, 4, FALSE),
        ""
    ),
"")</f>
        <v/>
      </c>
      <c r="L100" s="324" t="str" cm="1">
        <f t="array" ref="L100">IFERROR(
IF(
    AND($H100="Zoning: Tree Points", NOT(ISNUMBER(SEARCH("sp.", $C100)))),
    _xlfn.IFS(
        (COUNTIFS('Tree List'!$C$3:$C$601,$C100,'Tree List'!$D$3:$D$601,"Coniferous")
        + COUNTIFS('Tree List'!$C$3:$C$601,$C100,'Tree List'!$D$3:$D$601,"Deciduous Conifer")) &gt; 0,
            _xlfn.IFS($K100="Small",0.5,$K100="Small/Medium",1,$K100="Medium/Large",1.4,$K100="Large",1.8),
        (COUNTIFS('Tree List'!$C$3:$C$601,$C100,'Tree List'!$D$3:$D$601,"Deciduous")
        + COUNTIFS('Tree List'!$C$3:$C$601,$C100,'Tree List'!$D$3:$D$601,"Broadleaf Evergreen")) &gt; 0,
            _xlfn.IFS($K100="Small",0.4,$K100="Small/Medium",0.8,$K100="Medium/Large",1.2,$K100="Large",1.6)
    ),
    ""
),
"")</f>
        <v/>
      </c>
      <c r="M100" s="475" t="str">
        <f t="shared" si="0"/>
        <v/>
      </c>
      <c r="N100" s="346" t="str" cm="1">
        <f t="array" aca="1" ref="N10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IF(AND(_xlpm.baseRow,ISNA(MATCH($C100,'Tree List'!$C$3:$C$601,0)),SUMPRODUCT(--ISNUMBER(SEARCH(Tables2!$C$677:$C$772,$O100)))&gt;0),
Error!$B$57,
IF(AND(_xlpm.hasDM,$F100="Remove",$H100&lt;&gt;"",OR($I100="On-site replacement",$I100="Off-site replacement",$I100="Payment In Lieu")),
Error!$B$56,
IF(AND(_xlpm.hasDM,$F100="Remove",$H100&lt;&gt;"",$I100="Relocation"),
Error!$B$66,
IF(AND(OR(_xlpm.hasCN,_xlpm.hasPH,_xlpm.hasGR),$H100&lt;&gt;"",COUNTIF(Tables!$B$132:$B$134,$H100)&gt;0,$I100="N/A (No replacement required)"),
Error!$B$62,
IF(AND(_xlpm.baseRow,$E100&lt;&gt;"",ISNA(MATCH($E100,Tables!$B$225:$B$232,0))),
Error!$B$2,
IF(AND(_xlpm.baseRow,$F100&lt;&gt;"",ISNA(MATCH($F100,Tables!$B$234:$B$235,0))),
Error!$B$24,
IF(AND(_xlpm.baseRow,_xlpm.ECA_H&gt;0,_xlpm.Shore_H&gt;0),
Error!$B$16,
IF(AND(_xlpm.baseRow,$E100&lt;&gt;"",$D100=""),
Error!$B$3,
IF(AND(_xlpm.baseRow,OR($E100="Tier 3",$E100="Tier 4"),$C100&lt;&gt;"",$D100&gt;=24,COUNTIF(Tables2!$B$166:$B$674,$C100)&gt;0),
Error!$B$44,
IF(AND(_xlpm.baseRow,OR($E100="Tier 3",$E100="Tier 4"),$C100&lt;&gt;"",$D100&lt;&gt;"",COUNTIF(Tables2!$B$73:$B$152,$C100)&gt;0,
$D100&gt;=IFERROR(INDEX(Tables2!$C$73:$C$152,MATCH($C100,Tables2!$B$73:$B$152,0)),-1)),
Error!$B$44,
IF(AND(_xlpm.baseRow,OR($E100="Tier 2",$E100="Tier 2 Grove"),$C100&lt;&gt;"",$D100&gt;=12,COUNTIF(Tables2!$B$153:$B$162,$C100)&gt;0),
Error!$B$45,
IF(AND(_xlpm.baseRow,$E100="Tier 2 Grove",$D100&lt;12),
Error!$B$41,
IF(AND(_xlpm.baseRow,$E100="Tier 2",$D100&lt;5.88),
Error!$B$40,
IF(AND(_xlpm.baseRow,OR($E100="Tier 2",$E100="Tier 2 Grove"),$C100&lt;&gt;"",$D100&lt;12,$D100&gt;=6,COUNTIF(Tables2!$B$153:$B$162,$C100)&gt;0),
Error!$B$54,
IF(AND(_xlpm.baseRow,$E100="Tier 2",COUNTIF(Tables2!$B$166:$B$674,$C100)&gt;0,$D100&lt;24),
Error!$B$54,
IF(AND(_xlpm.baseRow,$E100="Tier 3",ISNA(MATCH($C100,Tables2!$B$153:$B$162,0)),OR($D100&lt;12,$D100&gt;=24)),
Error!$B$9,
IF(AND(_xlpm.baseRow,$E100="Tier 3",COUNTIF(Tables2!$B$153:$B$162,$C100)&gt;0,$D100&lt;12),
Error!$B$46,
IF(AND(_xlpm.baseRow,$E100="Tier 4",OR($D100&lt;6,$D100&gt;=12)),
Error!$B$10,
IF(AND(_xlpm.baseRow,$E100="&lt;6in DSH for Tree Points",OR($D100&gt;=6,$D100="")),
Error!$B$8,
IF(AND(_xlpm.baseRow,$E100="Street Tree for Green Factor",$F100&lt;&gt;"",$F100&lt;&gt;"Retain"),
Error!$B$14,
IF(AND($E100="&lt;6in DSH for Tree Points",$F100="Retain",$H100&lt;&gt;"",ISNA(MATCH($H100,Tables!$B$174:$B$174,0))),
Error!$B$15,
IF(AND($E100="Street Tree for Green Factor",$F100="Retain",$H100&lt;&gt;"",$H100&lt;&gt;"Zoning: Green Factor"),
Error!$B$15,
IF(AND($E100="ECA / Shoreline Tree",$F100="Remove",$H100&lt;&gt;"",ISNA(MATCH($H100,Tables!$B$189:$B$190,0))),
Error!$B$15,
IF(AND($E100="ECA / Shoreline Tree",$F100="Retain",$H100&lt;&gt;"",ISNA(MATCH($H100,Tables!$B$184:$B$186,0))),
Error!$B$15,
IF(AND($E100="Tier 4",$F100="Remove",$H100&lt;&gt;"",ISNA(MATCH($H100,Tables!$B$171,0))),
Error!$B$15,
IF(AND($E100="Tier 4",$F100="Retain",$H100&lt;&gt;"",ISNA(MATCH($H100,Tables!$B$166:$B$168,0))),
Error!$B$15,
IF(AND($E100="Tier 3",$F100="Retain",$H100&lt;&gt;"",ISNA(MATCH($H100,Tables!$B$158:$B$160,0))),
Error!$B$15,
IF(AND($E100="Tier 3",$F100="Remove",$H100&lt;&gt;"",ISNA(MATCH($H100,Tables!$B$163,0))),
Error!$B$15,
IF(AND(OR($E100="Tier 2",$E100="Tier 2 Grove"),$F100="Remove",$H100&lt;&gt;"",ISNA(MATCH($H100,Tables!$B$153:$B$155,0))),
Error!$B$15,
IF(AND(OR($E100="Tier 2",$E100="Tier 2 Grove"),$F100="Retain",$H100&lt;&gt;"",ISNA(MATCH($H100,Tables!$B$147:$B$150,0))),
Error!$B$15,
IF(AND($E100="Tier 1",$F100="Remove",$H100&lt;&gt;"",ISNA(MATCH($H100,Tables!$B$143:$B$144,0))),
Error!$B$15,
IF(AND($E100="Tier 1",$F100="Retain",$H100&lt;&gt;"",ISNA(MATCH($H100,Tables!$B$137:$B$140,0))),
Error!$B$15,
IF(AND($E100&lt;&gt;"Tier 2",$E100&lt;&gt;"Tier 2 Grove",$E100&lt;&gt;"Tier 3",$E100&lt;&gt;"Tier 4",$H100="Zoning: Green Factor",OR($D100="",$D100&lt;6)),
Error!$B$11,
IF(AND(_xlpm.baseRow,$D100&lt;6,$E100="&lt;6in DSH for Tree Points",_xlpm.TreePoints_H=0),
Error!$B$21,
IF(AND(_xlpm.baseRow,$E100&lt;&gt;"",$D100&lt;&gt;"",$F100=""),
Error!$B$4,
IF(AND(_xlpm.baseRow,$F100="Remove",OR($E100="Tier 1",$E100="Tier 2",$E100="Tier 2 Grove"),COUNTBLANK(_xlpm.HRange)&lt;3,_xlpm.uniqueH&gt;=2),
Error!$B$48,
IF(AND(_xlpm.baseRow,$F100="Retain",OR($E100="Tier 1",$E100="Tier 2",$E100="Tier 2 Grove"),COUNTIF(_xlpm.HRange,"Tree Code: Required to Retain Tier 1-2 Tree")=0),
Error!$B$47,
IF(AND(_xlpm.baseRow,$E100&lt;&gt;"",$D100&lt;&gt;"",$F100&lt;&gt;"",COUNTBLANK(_xlpm.HRange)=4),
Error!$B$5,
IF(AND($F100="Remove",$H100&lt;&gt;"",$I100=""),
Error!$B$18,
IF(AND($E100="Tier 4",$F100="Remove",$H100="Tree Protection Code: Tier 3 or Tier 4 Allowance",$H100&lt;&gt;"",ISNA(MATCH($I100,Tables!$B$200,0))),
Error!$B$17,
IF(AND($E100="Tier 3",$F100="Remove",$H100&lt;&gt;"",$H100="Tree Protection Code: Tier 3 or Tier 4 Allowance",OR($I100="",ISNA(MATCH($I100,Tables!$B$193:$B$197,0)))),
Error!$B$17,
IF(AND(OR($E100="Tier 2",$E100="Tier 2 Grove"),$F100="Remove",$H100="Tree Protection Code: Other removal allowance or exemption",$I100&lt;&gt;"",ISNA(MATCH($I100,Tables!$B$215:$B$218,0))),
Error!$B$17,
IF(AND(OR($E100="Tier 2",$E100="Tier 2 Grove"),$F100="Remove",$H100="Tree Protection Code: Development Capacity",$I100&lt;&gt;"",ISNA(MATCH($I100,Tables!$B$193:$B$197,0))),
Error!$B$17,
IF(AND(OR($E100="Tier 2",$E100="Tier 2 Grove"),$F100="Remove",$H100="Tree Protection Code: Necessary for Construction",$I100&lt;&gt;"",ISNA(MATCH($I100,Tables!$B$193:$B$197,0))),
Error!$B$17,
IF(AND($E100="Tier 1",$F100="Remove",$H100="Tree Protection Code: Special Exception",$I100&lt;&gt;"",ISNA(MATCH($I100,Tables!$B$215:$B$218,0))),
Error!$B$17,
IF(AND($E100="Tier 1",$F100="Remove",$H100="Tree Protection Code: Other removal allowance or exemption",$I100&lt;&gt;"",ISNA(MATCH($I100,Tables!$B$215:$B$218,0))),
Error!$B$17,
IF(AND($E100="ECA / Shoreline Tree",$F100="Remove",$H100&lt;&gt;"",OR($H100="Shoreline",$H100="Environmental Critical Area (ECA)"),ISNA(MATCH($I100,Tables!$B$209:$B$212,0))),
Error!$B$17,
IF(AND(_xlpm.baseRow,$F100="Retain",$E100="ECA / Shoreline Tree",_xlpm.ECA_Short=0),
Error!$B$61,
IF(AND($F100="Remove",ISNUMBER(MATCH($E100,{"Tier 1","Tier 2","Tier 3","Tier 4","Tier 2 Grove"},0)),ISNUMBER(MATCH($I100,{"On-site replacement","Off-site replacement"},0)),$J100="",$H100&lt;&gt;""),
Error!$B$19,
IF(AND(_xlpm.baseRow,$E100&lt;&gt;"",$D100&lt;&gt;"",$F100&lt;&gt;"",COUNTBLANK($B100:$C100)&gt;0,COUNTBLANK(_xlpm.HRange)&lt;&gt;4),
Error!$B$22,
IF(AND($H100="Zoning: Tree Points",$K100&lt;&gt;"",ISNA(MATCH($K100,Tables!$B$242:$B$253,0))),
Error!$B$58,
IF(AND($H100="Zoning: Tree Points",$K100="Small",$L100&lt;&gt;"",ISNA(MATCH($L100,Tables!$C$243:$C$244,0))),
Error!$B$59,
IF(AND($H100="Zoning: Tree Points",$K100="Small/Medium",$L100&lt;&gt;"",ISNA(MATCH($L100,Tables!$C$246:$C$247,0))),
Error!$B$59,
IF(AND($H100="Zoning: Tree Points",$K100="Medium/Large",$L100&lt;&gt;"",ISNA(MATCH($L100,Tables!$C$249:$C$250,0))),
Error!$B$59,
IF(AND($H100="Zoning: Tree Points",$K100="Large",$L100&lt;&gt;"",ISNA(MATCH($L100,Tables!$C$252:$C$253,0))),
Error!$B$59,
IF(AND($F100="Retain",$H100="Zoning: Tree Points",$C100&lt;&gt;"",$D100&lt;&gt;"",OR($K100="",$L100="",$M100="")),
Error!$B$20,
""
)))))))))))))))))))))))))))))))))))))))))))))))))))))))),
Error!$B$23))</f>
        <v/>
      </c>
      <c r="O100" s="343" t="str" cm="1">
        <f t="array" aca="1" ref="O100" ca="1">IFERROR(_xlfn.LET(
    _xlpm.txt, $C100,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1" spans="1:15" x14ac:dyDescent="0.3">
      <c r="A101" s="320"/>
      <c r="B101" s="616" t="str">
        <f t="shared" si="68"/>
        <v/>
      </c>
      <c r="C101" s="617" t="str">
        <f t="shared" si="69"/>
        <v/>
      </c>
      <c r="D101" s="618" t="str">
        <f t="shared" si="70"/>
        <v/>
      </c>
      <c r="E101" s="616" t="str">
        <f t="shared" si="71"/>
        <v/>
      </c>
      <c r="F101" s="616" t="str">
        <f t="shared" si="72"/>
        <v/>
      </c>
      <c r="G101" s="619" t="str">
        <f>IF(Tree_Table1[[#This Row],[Tree Status  &amp;]]="Retain", Tables!$B$237, IF(Tree_Table1[[#This Row],[Tree Status  &amp;]]="Remove", Tables!$B$238, ""))</f>
        <v/>
      </c>
      <c r="H101" s="321"/>
      <c r="I101" s="322"/>
      <c r="J101" s="453"/>
      <c r="K101" s="323" t="str">
        <f>IFERROR(
    IF(
        AND($H101="Zoning: Tree Points", NOT(ISNUMBER(SEARCH("sp.", $C101)))),
        VLOOKUP($C101, 'Tree List'!$C$3:$F$601, 4, FALSE),
        ""
    ),
"")</f>
        <v/>
      </c>
      <c r="L101" s="324" t="str" cm="1">
        <f t="array" ref="L101">IFERROR(
IF(
    AND($H101="Zoning: Tree Points", NOT(ISNUMBER(SEARCH("sp.", $C101)))),
    _xlfn.IFS(
        (COUNTIFS('Tree List'!$C$3:$C$601,$C101,'Tree List'!$D$3:$D$601,"Coniferous")
        + COUNTIFS('Tree List'!$C$3:$C$601,$C101,'Tree List'!$D$3:$D$601,"Deciduous Conifer")) &gt; 0,
            _xlfn.IFS($K101="Small",0.5,$K101="Small/Medium",1,$K101="Medium/Large",1.4,$K101="Large",1.8),
        (COUNTIFS('Tree List'!$C$3:$C$601,$C101,'Tree List'!$D$3:$D$601,"Deciduous")
        + COUNTIFS('Tree List'!$C$3:$C$601,$C101,'Tree List'!$D$3:$D$601,"Broadleaf Evergreen")) &gt; 0,
            _xlfn.IFS($K101="Small",0.4,$K101="Small/Medium",0.8,$K101="Medium/Large",1.2,$K101="Large",1.6)
    ),
    ""
),
"")</f>
        <v/>
      </c>
      <c r="M101" s="475" t="str">
        <f t="shared" si="0"/>
        <v/>
      </c>
      <c r="N101" s="346" t="str" cm="1">
        <f t="array" aca="1" ref="N10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IF(AND(_xlpm.baseRow,ISNA(MATCH($C101,'Tree List'!$C$3:$C$601,0)),SUMPRODUCT(--ISNUMBER(SEARCH(Tables2!$C$677:$C$772,$O101)))&gt;0),
Error!$B$57,
IF(AND(_xlpm.hasDM,$F101="Remove",$H101&lt;&gt;"",OR($I101="On-site replacement",$I101="Off-site replacement",$I101="Payment In Lieu")),
Error!$B$56,
IF(AND(_xlpm.hasDM,$F101="Remove",$H101&lt;&gt;"",$I101="Relocation"),
Error!$B$66,
IF(AND(OR(_xlpm.hasCN,_xlpm.hasPH,_xlpm.hasGR),$H101&lt;&gt;"",COUNTIF(Tables!$B$132:$B$134,$H101)&gt;0,$I101="N/A (No replacement required)"),
Error!$B$62,
IF(AND(_xlpm.baseRow,$E101&lt;&gt;"",ISNA(MATCH($E101,Tables!$B$225:$B$232,0))),
Error!$B$2,
IF(AND(_xlpm.baseRow,$F101&lt;&gt;"",ISNA(MATCH($F101,Tables!$B$234:$B$235,0))),
Error!$B$24,
IF(AND(_xlpm.baseRow,_xlpm.ECA_H&gt;0,_xlpm.Shore_H&gt;0),
Error!$B$16,
IF(AND(_xlpm.baseRow,$E101&lt;&gt;"",$D101=""),
Error!$B$3,
IF(AND(_xlpm.baseRow,OR($E101="Tier 3",$E101="Tier 4"),$C101&lt;&gt;"",$D101&gt;=24,COUNTIF(Tables2!$B$166:$B$674,$C101)&gt;0),
Error!$B$44,
IF(AND(_xlpm.baseRow,OR($E101="Tier 3",$E101="Tier 4"),$C101&lt;&gt;"",$D101&lt;&gt;"",COUNTIF(Tables2!$B$73:$B$152,$C101)&gt;0,
$D101&gt;=IFERROR(INDEX(Tables2!$C$73:$C$152,MATCH($C101,Tables2!$B$73:$B$152,0)),-1)),
Error!$B$44,
IF(AND(_xlpm.baseRow,OR($E101="Tier 2",$E101="Tier 2 Grove"),$C101&lt;&gt;"",$D101&gt;=12,COUNTIF(Tables2!$B$153:$B$162,$C101)&gt;0),
Error!$B$45,
IF(AND(_xlpm.baseRow,$E101="Tier 2 Grove",$D101&lt;12),
Error!$B$41,
IF(AND(_xlpm.baseRow,$E101="Tier 2",$D101&lt;5.88),
Error!$B$40,
IF(AND(_xlpm.baseRow,OR($E101="Tier 2",$E101="Tier 2 Grove"),$C101&lt;&gt;"",$D101&lt;12,$D101&gt;=6,COUNTIF(Tables2!$B$153:$B$162,$C101)&gt;0),
Error!$B$54,
IF(AND(_xlpm.baseRow,$E101="Tier 2",COUNTIF(Tables2!$B$166:$B$674,$C101)&gt;0,$D101&lt;24),
Error!$B$54,
IF(AND(_xlpm.baseRow,$E101="Tier 3",ISNA(MATCH($C101,Tables2!$B$153:$B$162,0)),OR($D101&lt;12,$D101&gt;=24)),
Error!$B$9,
IF(AND(_xlpm.baseRow,$E101="Tier 3",COUNTIF(Tables2!$B$153:$B$162,$C101)&gt;0,$D101&lt;12),
Error!$B$46,
IF(AND(_xlpm.baseRow,$E101="Tier 4",OR($D101&lt;6,$D101&gt;=12)),
Error!$B$10,
IF(AND(_xlpm.baseRow,$E101="&lt;6in DSH for Tree Points",OR($D101&gt;=6,$D101="")),
Error!$B$8,
IF(AND(_xlpm.baseRow,$E101="Street Tree for Green Factor",$F101&lt;&gt;"",$F101&lt;&gt;"Retain"),
Error!$B$14,
IF(AND($E101="&lt;6in DSH for Tree Points",$F101="Retain",$H101&lt;&gt;"",ISNA(MATCH($H101,Tables!$B$174:$B$174,0))),
Error!$B$15,
IF(AND($E101="Street Tree for Green Factor",$F101="Retain",$H101&lt;&gt;"",$H101&lt;&gt;"Zoning: Green Factor"),
Error!$B$15,
IF(AND($E101="ECA / Shoreline Tree",$F101="Remove",$H101&lt;&gt;"",ISNA(MATCH($H101,Tables!$B$189:$B$190,0))),
Error!$B$15,
IF(AND($E101="ECA / Shoreline Tree",$F101="Retain",$H101&lt;&gt;"",ISNA(MATCH($H101,Tables!$B$184:$B$186,0))),
Error!$B$15,
IF(AND($E101="Tier 4",$F101="Remove",$H101&lt;&gt;"",ISNA(MATCH($H101,Tables!$B$171,0))),
Error!$B$15,
IF(AND($E101="Tier 4",$F101="Retain",$H101&lt;&gt;"",ISNA(MATCH($H101,Tables!$B$166:$B$168,0))),
Error!$B$15,
IF(AND($E101="Tier 3",$F101="Retain",$H101&lt;&gt;"",ISNA(MATCH($H101,Tables!$B$158:$B$160,0))),
Error!$B$15,
IF(AND($E101="Tier 3",$F101="Remove",$H101&lt;&gt;"",ISNA(MATCH($H101,Tables!$B$163,0))),
Error!$B$15,
IF(AND(OR($E101="Tier 2",$E101="Tier 2 Grove"),$F101="Remove",$H101&lt;&gt;"",ISNA(MATCH($H101,Tables!$B$153:$B$155,0))),
Error!$B$15,
IF(AND(OR($E101="Tier 2",$E101="Tier 2 Grove"),$F101="Retain",$H101&lt;&gt;"",ISNA(MATCH($H101,Tables!$B$147:$B$150,0))),
Error!$B$15,
IF(AND($E101="Tier 1",$F101="Remove",$H101&lt;&gt;"",ISNA(MATCH($H101,Tables!$B$143:$B$144,0))),
Error!$B$15,
IF(AND($E101="Tier 1",$F101="Retain",$H101&lt;&gt;"",ISNA(MATCH($H101,Tables!$B$137:$B$140,0))),
Error!$B$15,
IF(AND($E101&lt;&gt;"Tier 2",$E101&lt;&gt;"Tier 2 Grove",$E101&lt;&gt;"Tier 3",$E101&lt;&gt;"Tier 4",$H101="Zoning: Green Factor",OR($D101="",$D101&lt;6)),
Error!$B$11,
IF(AND(_xlpm.baseRow,$D101&lt;6,$E101="&lt;6in DSH for Tree Points",_xlpm.TreePoints_H=0),
Error!$B$21,
IF(AND(_xlpm.baseRow,$E101&lt;&gt;"",$D101&lt;&gt;"",$F101=""),
Error!$B$4,
IF(AND(_xlpm.baseRow,$F101="Remove",OR($E101="Tier 1",$E101="Tier 2",$E101="Tier 2 Grove"),COUNTBLANK(_xlpm.HRange)&lt;3,_xlpm.uniqueH&gt;=2),
Error!$B$48,
IF(AND(_xlpm.baseRow,$F101="Retain",OR($E101="Tier 1",$E101="Tier 2",$E101="Tier 2 Grove"),COUNTIF(_xlpm.HRange,"Tree Code: Required to Retain Tier 1-2 Tree")=0),
Error!$B$47,
IF(AND(_xlpm.baseRow,$E101&lt;&gt;"",$D101&lt;&gt;"",$F101&lt;&gt;"",COUNTBLANK(_xlpm.HRange)=4),
Error!$B$5,
IF(AND($F101="Remove",$H101&lt;&gt;"",$I101=""),
Error!$B$18,
IF(AND($E101="Tier 4",$F101="Remove",$H101="Tree Protection Code: Tier 3 or Tier 4 Allowance",$H101&lt;&gt;"",ISNA(MATCH($I101,Tables!$B$200,0))),
Error!$B$17,
IF(AND($E101="Tier 3",$F101="Remove",$H101&lt;&gt;"",$H101="Tree Protection Code: Tier 3 or Tier 4 Allowance",OR($I101="",ISNA(MATCH($I101,Tables!$B$193:$B$197,0)))),
Error!$B$17,
IF(AND(OR($E101="Tier 2",$E101="Tier 2 Grove"),$F101="Remove",$H101="Tree Protection Code: Other removal allowance or exemption",$I101&lt;&gt;"",ISNA(MATCH($I101,Tables!$B$215:$B$218,0))),
Error!$B$17,
IF(AND(OR($E101="Tier 2",$E101="Tier 2 Grove"),$F101="Remove",$H101="Tree Protection Code: Development Capacity",$I101&lt;&gt;"",ISNA(MATCH($I101,Tables!$B$193:$B$197,0))),
Error!$B$17,
IF(AND(OR($E101="Tier 2",$E101="Tier 2 Grove"),$F101="Remove",$H101="Tree Protection Code: Necessary for Construction",$I101&lt;&gt;"",ISNA(MATCH($I101,Tables!$B$193:$B$197,0))),
Error!$B$17,
IF(AND($E101="Tier 1",$F101="Remove",$H101="Tree Protection Code: Special Exception",$I101&lt;&gt;"",ISNA(MATCH($I101,Tables!$B$215:$B$218,0))),
Error!$B$17,
IF(AND($E101="Tier 1",$F101="Remove",$H101="Tree Protection Code: Other removal allowance or exemption",$I101&lt;&gt;"",ISNA(MATCH($I101,Tables!$B$215:$B$218,0))),
Error!$B$17,
IF(AND($E101="ECA / Shoreline Tree",$F101="Remove",$H101&lt;&gt;"",OR($H101="Shoreline",$H101="Environmental Critical Area (ECA)"),ISNA(MATCH($I101,Tables!$B$209:$B$212,0))),
Error!$B$17,
IF(AND(_xlpm.baseRow,$F101="Retain",$E101="ECA / Shoreline Tree",_xlpm.ECA_Short=0),
Error!$B$61,
IF(AND($F101="Remove",ISNUMBER(MATCH($E101,{"Tier 1","Tier 2","Tier 3","Tier 4","Tier 2 Grove"},0)),ISNUMBER(MATCH($I101,{"On-site replacement","Off-site replacement"},0)),$J101="",$H101&lt;&gt;""),
Error!$B$19,
IF(AND(_xlpm.baseRow,$E101&lt;&gt;"",$D101&lt;&gt;"",$F101&lt;&gt;"",COUNTBLANK($B101:$C101)&gt;0,COUNTBLANK(_xlpm.HRange)&lt;&gt;4),
Error!$B$22,
IF(AND($H101="Zoning: Tree Points",$K101&lt;&gt;"",ISNA(MATCH($K101,Tables!$B$242:$B$253,0))),
Error!$B$58,
IF(AND($H101="Zoning: Tree Points",$K101="Small",$L101&lt;&gt;"",ISNA(MATCH($L101,Tables!$C$243:$C$244,0))),
Error!$B$59,
IF(AND($H101="Zoning: Tree Points",$K101="Small/Medium",$L101&lt;&gt;"",ISNA(MATCH($L101,Tables!$C$246:$C$247,0))),
Error!$B$59,
IF(AND($H101="Zoning: Tree Points",$K101="Medium/Large",$L101&lt;&gt;"",ISNA(MATCH($L101,Tables!$C$249:$C$250,0))),
Error!$B$59,
IF(AND($H101="Zoning: Tree Points",$K101="Large",$L101&lt;&gt;"",ISNA(MATCH($L101,Tables!$C$252:$C$253,0))),
Error!$B$59,
IF(AND($F101="Retain",$H101="Zoning: Tree Points",$C101&lt;&gt;"",$D101&lt;&gt;"",OR($K101="",$L101="",$M101="")),
Error!$B$20,
""
)))))))))))))))))))))))))))))))))))))))))))))))))))))))),
Error!$B$23))</f>
        <v/>
      </c>
      <c r="O101" s="343" t="str" cm="1">
        <f t="array" aca="1" ref="O101" ca="1">IFERROR(_xlfn.LET(
    _xlpm.txt, $C101,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2" spans="1:15" ht="15" thickBot="1" x14ac:dyDescent="0.35">
      <c r="A102" s="320"/>
      <c r="B102" s="616" t="str">
        <f t="shared" si="68"/>
        <v/>
      </c>
      <c r="C102" s="617" t="str">
        <f t="shared" si="69"/>
        <v/>
      </c>
      <c r="D102" s="618" t="str">
        <f t="shared" si="70"/>
        <v/>
      </c>
      <c r="E102" s="616" t="str">
        <f t="shared" si="71"/>
        <v/>
      </c>
      <c r="F102" s="616" t="str">
        <f t="shared" si="72"/>
        <v/>
      </c>
      <c r="G102" s="619" t="str">
        <f>IF(Tree_Table1[[#This Row],[Tree Status  &amp;]]="Retain", Tables!$B$237, IF(Tree_Table1[[#This Row],[Tree Status  &amp;]]="Remove", Tables!$B$238, ""))</f>
        <v/>
      </c>
      <c r="H102" s="329"/>
      <c r="I102" s="330"/>
      <c r="J102" s="455"/>
      <c r="K102" s="327" t="str">
        <f>IFERROR(
    IF(
        AND($H102="Zoning: Tree Points", NOT(ISNUMBER(SEARCH("sp.", $C102)))),
        VLOOKUP($C102, 'Tree List'!$C$3:$F$601, 4, FALSE),
        ""
    ),
"")</f>
        <v/>
      </c>
      <c r="L102" s="328" t="str" cm="1">
        <f t="array" ref="L102">IFERROR(
IF(
    AND($H102="Zoning: Tree Points", NOT(ISNUMBER(SEARCH("sp.", $C102)))),
    _xlfn.IFS(
        (COUNTIFS('Tree List'!$C$3:$C$601,$C102,'Tree List'!$D$3:$D$601,"Coniferous")
        + COUNTIFS('Tree List'!$C$3:$C$601,$C102,'Tree List'!$D$3:$D$601,"Deciduous Conifer")) &gt; 0,
            _xlfn.IFS($K102="Small",0.5,$K102="Small/Medium",1,$K102="Medium/Large",1.4,$K102="Large",1.8),
        (COUNTIFS('Tree List'!$C$3:$C$601,$C102,'Tree List'!$D$3:$D$601,"Deciduous")
        + COUNTIFS('Tree List'!$C$3:$C$601,$C102,'Tree List'!$D$3:$D$601,"Broadleaf Evergreen")) &gt; 0,
            _xlfn.IFS($K102="Small",0.4,$K102="Small/Medium",0.8,$K102="Medium/Large",1.2,$K102="Large",1.6)
    ),
    ""
),
"")</f>
        <v/>
      </c>
      <c r="M102" s="476" t="str">
        <f t="shared" si="0"/>
        <v/>
      </c>
      <c r="N102" s="347" t="str" cm="1">
        <f t="array" aca="1" ref="N10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IF(AND(_xlpm.baseRow,ISNA(MATCH($C102,'Tree List'!$C$3:$C$601,0)),SUMPRODUCT(--ISNUMBER(SEARCH(Tables2!$C$677:$C$772,$O102)))&gt;0),
Error!$B$57,
IF(AND(_xlpm.hasDM,$F102="Remove",$H102&lt;&gt;"",OR($I102="On-site replacement",$I102="Off-site replacement",$I102="Payment In Lieu")),
Error!$B$56,
IF(AND(_xlpm.hasDM,$F102="Remove",$H102&lt;&gt;"",$I102="Relocation"),
Error!$B$66,
IF(AND(OR(_xlpm.hasCN,_xlpm.hasPH,_xlpm.hasGR),$H102&lt;&gt;"",COUNTIF(Tables!$B$132:$B$134,$H102)&gt;0,$I102="N/A (No replacement required)"),
Error!$B$62,
IF(AND(_xlpm.baseRow,$E102&lt;&gt;"",ISNA(MATCH($E102,Tables!$B$225:$B$232,0))),
Error!$B$2,
IF(AND(_xlpm.baseRow,$F102&lt;&gt;"",ISNA(MATCH($F102,Tables!$B$234:$B$235,0))),
Error!$B$24,
IF(AND(_xlpm.baseRow,_xlpm.ECA_H&gt;0,_xlpm.Shore_H&gt;0),
Error!$B$16,
IF(AND(_xlpm.baseRow,$E102&lt;&gt;"",$D102=""),
Error!$B$3,
IF(AND(_xlpm.baseRow,OR($E102="Tier 3",$E102="Tier 4"),$C102&lt;&gt;"",$D102&gt;=24,COUNTIF(Tables2!$B$166:$B$674,$C102)&gt;0),
Error!$B$44,
IF(AND(_xlpm.baseRow,OR($E102="Tier 3",$E102="Tier 4"),$C102&lt;&gt;"",$D102&lt;&gt;"",COUNTIF(Tables2!$B$73:$B$152,$C102)&gt;0,
$D102&gt;=IFERROR(INDEX(Tables2!$C$73:$C$152,MATCH($C102,Tables2!$B$73:$B$152,0)),-1)),
Error!$B$44,
IF(AND(_xlpm.baseRow,OR($E102="Tier 2",$E102="Tier 2 Grove"),$C102&lt;&gt;"",$D102&gt;=12,COUNTIF(Tables2!$B$153:$B$162,$C102)&gt;0),
Error!$B$45,
IF(AND(_xlpm.baseRow,$E102="Tier 2 Grove",$D102&lt;12),
Error!$B$41,
IF(AND(_xlpm.baseRow,$E102="Tier 2",$D102&lt;5.88),
Error!$B$40,
IF(AND(_xlpm.baseRow,OR($E102="Tier 2",$E102="Tier 2 Grove"),$C102&lt;&gt;"",$D102&lt;12,$D102&gt;=6,COUNTIF(Tables2!$B$153:$B$162,$C102)&gt;0),
Error!$B$54,
IF(AND(_xlpm.baseRow,$E102="Tier 2",COUNTIF(Tables2!$B$166:$B$674,$C102)&gt;0,$D102&lt;24),
Error!$B$54,
IF(AND(_xlpm.baseRow,$E102="Tier 3",ISNA(MATCH($C102,Tables2!$B$153:$B$162,0)),OR($D102&lt;12,$D102&gt;=24)),
Error!$B$9,
IF(AND(_xlpm.baseRow,$E102="Tier 3",COUNTIF(Tables2!$B$153:$B$162,$C102)&gt;0,$D102&lt;12),
Error!$B$46,
IF(AND(_xlpm.baseRow,$E102="Tier 4",OR($D102&lt;6,$D102&gt;=12)),
Error!$B$10,
IF(AND(_xlpm.baseRow,$E102="&lt;6in DSH for Tree Points",OR($D102&gt;=6,$D102="")),
Error!$B$8,
IF(AND(_xlpm.baseRow,$E102="Street Tree for Green Factor",$F102&lt;&gt;"",$F102&lt;&gt;"Retain"),
Error!$B$14,
IF(AND($E102="&lt;6in DSH for Tree Points",$F102="Retain",$H102&lt;&gt;"",ISNA(MATCH($H102,Tables!$B$174:$B$174,0))),
Error!$B$15,
IF(AND($E102="Street Tree for Green Factor",$F102="Retain",$H102&lt;&gt;"",$H102&lt;&gt;"Zoning: Green Factor"),
Error!$B$15,
IF(AND($E102="ECA / Shoreline Tree",$F102="Remove",$H102&lt;&gt;"",ISNA(MATCH($H102,Tables!$B$189:$B$190,0))),
Error!$B$15,
IF(AND($E102="ECA / Shoreline Tree",$F102="Retain",$H102&lt;&gt;"",ISNA(MATCH($H102,Tables!$B$184:$B$186,0))),
Error!$B$15,
IF(AND($E102="Tier 4",$F102="Remove",$H102&lt;&gt;"",ISNA(MATCH($H102,Tables!$B$171,0))),
Error!$B$15,
IF(AND($E102="Tier 4",$F102="Retain",$H102&lt;&gt;"",ISNA(MATCH($H102,Tables!$B$166:$B$168,0))),
Error!$B$15,
IF(AND($E102="Tier 3",$F102="Retain",$H102&lt;&gt;"",ISNA(MATCH($H102,Tables!$B$158:$B$160,0))),
Error!$B$15,
IF(AND($E102="Tier 3",$F102="Remove",$H102&lt;&gt;"",ISNA(MATCH($H102,Tables!$B$163,0))),
Error!$B$15,
IF(AND(OR($E102="Tier 2",$E102="Tier 2 Grove"),$F102="Remove",$H102&lt;&gt;"",ISNA(MATCH($H102,Tables!$B$153:$B$155,0))),
Error!$B$15,
IF(AND(OR($E102="Tier 2",$E102="Tier 2 Grove"),$F102="Retain",$H102&lt;&gt;"",ISNA(MATCH($H102,Tables!$B$147:$B$150,0))),
Error!$B$15,
IF(AND($E102="Tier 1",$F102="Remove",$H102&lt;&gt;"",ISNA(MATCH($H102,Tables!$B$143:$B$144,0))),
Error!$B$15,
IF(AND($E102="Tier 1",$F102="Retain",$H102&lt;&gt;"",ISNA(MATCH($H102,Tables!$B$137:$B$140,0))),
Error!$B$15,
IF(AND($E102&lt;&gt;"Tier 2",$E102&lt;&gt;"Tier 2 Grove",$E102&lt;&gt;"Tier 3",$E102&lt;&gt;"Tier 4",$H102="Zoning: Green Factor",OR($D102="",$D102&lt;6)),
Error!$B$11,
IF(AND(_xlpm.baseRow,$D102&lt;6,$E102="&lt;6in DSH for Tree Points",_xlpm.TreePoints_H=0),
Error!$B$21,
IF(AND(_xlpm.baseRow,$E102&lt;&gt;"",$D102&lt;&gt;"",$F102=""),
Error!$B$4,
IF(AND(_xlpm.baseRow,$F102="Remove",OR($E102="Tier 1",$E102="Tier 2",$E102="Tier 2 Grove"),COUNTBLANK(_xlpm.HRange)&lt;3,_xlpm.uniqueH&gt;=2),
Error!$B$48,
IF(AND(_xlpm.baseRow,$F102="Retain",OR($E102="Tier 1",$E102="Tier 2",$E102="Tier 2 Grove"),COUNTIF(_xlpm.HRange,"Tree Code: Required to Retain Tier 1-2 Tree")=0),
Error!$B$47,
IF(AND(_xlpm.baseRow,$E102&lt;&gt;"",$D102&lt;&gt;"",$F102&lt;&gt;"",COUNTBLANK(_xlpm.HRange)=4),
Error!$B$5,
IF(AND($F102="Remove",$H102&lt;&gt;"",$I102=""),
Error!$B$18,
IF(AND($E102="Tier 4",$F102="Remove",$H102="Tree Protection Code: Tier 3 or Tier 4 Allowance",$H102&lt;&gt;"",ISNA(MATCH($I102,Tables!$B$200,0))),
Error!$B$17,
IF(AND($E102="Tier 3",$F102="Remove",$H102&lt;&gt;"",$H102="Tree Protection Code: Tier 3 or Tier 4 Allowance",OR($I102="",ISNA(MATCH($I102,Tables!$B$193:$B$197,0)))),
Error!$B$17,
IF(AND(OR($E102="Tier 2",$E102="Tier 2 Grove"),$F102="Remove",$H102="Tree Protection Code: Other removal allowance or exemption",$I102&lt;&gt;"",ISNA(MATCH($I102,Tables!$B$215:$B$218,0))),
Error!$B$17,
IF(AND(OR($E102="Tier 2",$E102="Tier 2 Grove"),$F102="Remove",$H102="Tree Protection Code: Development Capacity",$I102&lt;&gt;"",ISNA(MATCH($I102,Tables!$B$193:$B$197,0))),
Error!$B$17,
IF(AND(OR($E102="Tier 2",$E102="Tier 2 Grove"),$F102="Remove",$H102="Tree Protection Code: Necessary for Construction",$I102&lt;&gt;"",ISNA(MATCH($I102,Tables!$B$193:$B$197,0))),
Error!$B$17,
IF(AND($E102="Tier 1",$F102="Remove",$H102="Tree Protection Code: Special Exception",$I102&lt;&gt;"",ISNA(MATCH($I102,Tables!$B$215:$B$218,0))),
Error!$B$17,
IF(AND($E102="Tier 1",$F102="Remove",$H102="Tree Protection Code: Other removal allowance or exemption",$I102&lt;&gt;"",ISNA(MATCH($I102,Tables!$B$215:$B$218,0))),
Error!$B$17,
IF(AND($E102="ECA / Shoreline Tree",$F102="Remove",$H102&lt;&gt;"",OR($H102="Shoreline",$H102="Environmental Critical Area (ECA)"),ISNA(MATCH($I102,Tables!$B$209:$B$212,0))),
Error!$B$17,
IF(AND(_xlpm.baseRow,$F102="Retain",$E102="ECA / Shoreline Tree",_xlpm.ECA_Short=0),
Error!$B$61,
IF(AND($F102="Remove",ISNUMBER(MATCH($E102,{"Tier 1","Tier 2","Tier 3","Tier 4","Tier 2 Grove"},0)),ISNUMBER(MATCH($I102,{"On-site replacement","Off-site replacement"},0)),$J102="",$H102&lt;&gt;""),
Error!$B$19,
IF(AND(_xlpm.baseRow,$E102&lt;&gt;"",$D102&lt;&gt;"",$F102&lt;&gt;"",COUNTBLANK($B102:$C102)&gt;0,COUNTBLANK(_xlpm.HRange)&lt;&gt;4),
Error!$B$22,
IF(AND($H102="Zoning: Tree Points",$K102&lt;&gt;"",ISNA(MATCH($K102,Tables!$B$242:$B$253,0))),
Error!$B$58,
IF(AND($H102="Zoning: Tree Points",$K102="Small",$L102&lt;&gt;"",ISNA(MATCH($L102,Tables!$C$243:$C$244,0))),
Error!$B$59,
IF(AND($H102="Zoning: Tree Points",$K102="Small/Medium",$L102&lt;&gt;"",ISNA(MATCH($L102,Tables!$C$246:$C$247,0))),
Error!$B$59,
IF(AND($H102="Zoning: Tree Points",$K102="Medium/Large",$L102&lt;&gt;"",ISNA(MATCH($L102,Tables!$C$249:$C$250,0))),
Error!$B$59,
IF(AND($H102="Zoning: Tree Points",$K102="Large",$L102&lt;&gt;"",ISNA(MATCH($L102,Tables!$C$252:$C$253,0))),
Error!$B$59,
IF(AND($F102="Retain",$H102="Zoning: Tree Points",$C102&lt;&gt;"",$D102&lt;&gt;"",OR($K102="",$L102="",$M102="")),
Error!$B$20,
""
)))))))))))))))))))))))))))))))))))))))))))))))))))))))),
Error!$B$23))</f>
        <v/>
      </c>
      <c r="O102" s="343" t="str" cm="1">
        <f t="array" aca="1" ref="O102" ca="1">IFERROR(_xlfn.LET(
    _xlpm.txt, $C102,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3" spans="1:15" ht="15" thickBot="1" x14ac:dyDescent="0.35">
      <c r="A103" s="311">
        <v>24</v>
      </c>
      <c r="B103" s="312"/>
      <c r="C103" s="313"/>
      <c r="D103" s="478"/>
      <c r="E103" s="314"/>
      <c r="F103" s="314"/>
      <c r="G103" s="315" t="str">
        <f>IF(Tree_Table1[[#This Row],[Tree Status  &amp;]]="Retain", Tables!$B$237, IF(Tree_Table1[[#This Row],[Tree Status  &amp;]]="Remove", Tables!$B$238, ""))</f>
        <v/>
      </c>
      <c r="H103" s="316"/>
      <c r="I103" s="317"/>
      <c r="J103" s="452"/>
      <c r="K103" s="318" t="str">
        <f>IFERROR(
    IF(
        AND($H103="Zoning: Tree Points", NOT(ISNUMBER(SEARCH("sp.", $C103)))),
        VLOOKUP($C103, 'Tree List'!$C$3:$F$601, 4, FALSE),
        ""
    ),
"")</f>
        <v/>
      </c>
      <c r="L103" s="319" t="str" cm="1">
        <f t="array" ref="L103">IFERROR(
IF(
    AND($H103="Zoning: Tree Points", NOT(ISNUMBER(SEARCH("sp.", $C103)))),
    _xlfn.IFS(
        (COUNTIFS('Tree List'!$C$3:$C$601,$C103,'Tree List'!$D$3:$D$601,"Coniferous")
        + COUNTIFS('Tree List'!$C$3:$C$601,$C103,'Tree List'!$D$3:$D$601,"Deciduous Conifer")) &gt; 0,
            _xlfn.IFS($K103="Small",0.5,$K103="Small/Medium",1,$K103="Medium/Large",1.4,$K103="Large",1.8),
        (COUNTIFS('Tree List'!$C$3:$C$601,$C103,'Tree List'!$D$3:$D$601,"Deciduous")
        + COUNTIFS('Tree List'!$C$3:$C$601,$C103,'Tree List'!$D$3:$D$601,"Broadleaf Evergreen")) &gt; 0,
            _xlfn.IFS($K103="Small",0.4,$K103="Small/Medium",0.8,$K103="Medium/Large",1.2,$K103="Large",1.6)
    ),
    ""
),
"")</f>
        <v/>
      </c>
      <c r="M103" s="474" t="str">
        <f t="shared" si="0"/>
        <v/>
      </c>
      <c r="N103" s="620" t="str" cm="1">
        <f t="array" aca="1" ref="N10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IF(AND(_xlpm.baseRow,ISNA(MATCH($C103,'Tree List'!$C$3:$C$601,0)),SUMPRODUCT(--ISNUMBER(SEARCH(Tables2!$C$677:$C$772,$O103)))&gt;0),
Error!$B$57,
IF(AND(_xlpm.hasDM,$F103="Remove",$H103&lt;&gt;"",OR($I103="On-site replacement",$I103="Off-site replacement",$I103="Payment In Lieu")),
Error!$B$56,
IF(AND(_xlpm.hasDM,$F103="Remove",$H103&lt;&gt;"",$I103="Relocation"),
Error!$B$66,
IF(AND(OR(_xlpm.hasCN,_xlpm.hasPH,_xlpm.hasGR),$H103&lt;&gt;"",COUNTIF(Tables!$B$132:$B$134,$H103)&gt;0,$I103="N/A (No replacement required)"),
Error!$B$62,
IF(AND(_xlpm.baseRow,$E103&lt;&gt;"",ISNA(MATCH($E103,Tables!$B$225:$B$232,0))),
Error!$B$2,
IF(AND(_xlpm.baseRow,$F103&lt;&gt;"",ISNA(MATCH($F103,Tables!$B$234:$B$235,0))),
Error!$B$24,
IF(AND(_xlpm.baseRow,_xlpm.ECA_H&gt;0,_xlpm.Shore_H&gt;0),
Error!$B$16,
IF(AND(_xlpm.baseRow,$E103&lt;&gt;"",$D103=""),
Error!$B$3,
IF(AND(_xlpm.baseRow,OR($E103="Tier 3",$E103="Tier 4"),$C103&lt;&gt;"",$D103&gt;=24,COUNTIF(Tables2!$B$166:$B$674,$C103)&gt;0),
Error!$B$44,
IF(AND(_xlpm.baseRow,OR($E103="Tier 3",$E103="Tier 4"),$C103&lt;&gt;"",$D103&lt;&gt;"",COUNTIF(Tables2!$B$73:$B$152,$C103)&gt;0,
$D103&gt;=IFERROR(INDEX(Tables2!$C$73:$C$152,MATCH($C103,Tables2!$B$73:$B$152,0)),-1)),
Error!$B$44,
IF(AND(_xlpm.baseRow,OR($E103="Tier 2",$E103="Tier 2 Grove"),$C103&lt;&gt;"",$D103&gt;=12,COUNTIF(Tables2!$B$153:$B$162,$C103)&gt;0),
Error!$B$45,
IF(AND(_xlpm.baseRow,$E103="Tier 2 Grove",$D103&lt;12),
Error!$B$41,
IF(AND(_xlpm.baseRow,$E103="Tier 2",$D103&lt;5.88),
Error!$B$40,
IF(AND(_xlpm.baseRow,OR($E103="Tier 2",$E103="Tier 2 Grove"),$C103&lt;&gt;"",$D103&lt;12,$D103&gt;=6,COUNTIF(Tables2!$B$153:$B$162,$C103)&gt;0),
Error!$B$54,
IF(AND(_xlpm.baseRow,$E103="Tier 2",COUNTIF(Tables2!$B$166:$B$674,$C103)&gt;0,$D103&lt;24),
Error!$B$54,
IF(AND(_xlpm.baseRow,$E103="Tier 3",ISNA(MATCH($C103,Tables2!$B$153:$B$162,0)),OR($D103&lt;12,$D103&gt;=24)),
Error!$B$9,
IF(AND(_xlpm.baseRow,$E103="Tier 3",COUNTIF(Tables2!$B$153:$B$162,$C103)&gt;0,$D103&lt;12),
Error!$B$46,
IF(AND(_xlpm.baseRow,$E103="Tier 4",OR($D103&lt;6,$D103&gt;=12)),
Error!$B$10,
IF(AND(_xlpm.baseRow,$E103="&lt;6in DSH for Tree Points",OR($D103&gt;=6,$D103="")),
Error!$B$8,
IF(AND(_xlpm.baseRow,$E103="Street Tree for Green Factor",$F103&lt;&gt;"",$F103&lt;&gt;"Retain"),
Error!$B$14,
IF(AND($E103="&lt;6in DSH for Tree Points",$F103="Retain",$H103&lt;&gt;"",ISNA(MATCH($H103,Tables!$B$174:$B$174,0))),
Error!$B$15,
IF(AND($E103="Street Tree for Green Factor",$F103="Retain",$H103&lt;&gt;"",$H103&lt;&gt;"Zoning: Green Factor"),
Error!$B$15,
IF(AND($E103="ECA / Shoreline Tree",$F103="Remove",$H103&lt;&gt;"",ISNA(MATCH($H103,Tables!$B$189:$B$190,0))),
Error!$B$15,
IF(AND($E103="ECA / Shoreline Tree",$F103="Retain",$H103&lt;&gt;"",ISNA(MATCH($H103,Tables!$B$184:$B$186,0))),
Error!$B$15,
IF(AND($E103="Tier 4",$F103="Remove",$H103&lt;&gt;"",ISNA(MATCH($H103,Tables!$B$171,0))),
Error!$B$15,
IF(AND($E103="Tier 4",$F103="Retain",$H103&lt;&gt;"",ISNA(MATCH($H103,Tables!$B$166:$B$168,0))),
Error!$B$15,
IF(AND($E103="Tier 3",$F103="Retain",$H103&lt;&gt;"",ISNA(MATCH($H103,Tables!$B$158:$B$160,0))),
Error!$B$15,
IF(AND($E103="Tier 3",$F103="Remove",$H103&lt;&gt;"",ISNA(MATCH($H103,Tables!$B$163,0))),
Error!$B$15,
IF(AND(OR($E103="Tier 2",$E103="Tier 2 Grove"),$F103="Remove",$H103&lt;&gt;"",ISNA(MATCH($H103,Tables!$B$153:$B$155,0))),
Error!$B$15,
IF(AND(OR($E103="Tier 2",$E103="Tier 2 Grove"),$F103="Retain",$H103&lt;&gt;"",ISNA(MATCH($H103,Tables!$B$147:$B$150,0))),
Error!$B$15,
IF(AND($E103="Tier 1",$F103="Remove",$H103&lt;&gt;"",ISNA(MATCH($H103,Tables!$B$143:$B$144,0))),
Error!$B$15,
IF(AND($E103="Tier 1",$F103="Retain",$H103&lt;&gt;"",ISNA(MATCH($H103,Tables!$B$137:$B$140,0))),
Error!$B$15,
IF(AND($E103&lt;&gt;"Tier 2",$E103&lt;&gt;"Tier 2 Grove",$E103&lt;&gt;"Tier 3",$E103&lt;&gt;"Tier 4",$H103="Zoning: Green Factor",OR($D103="",$D103&lt;6)),
Error!$B$11,
IF(AND(_xlpm.baseRow,$D103&lt;6,$E103="&lt;6in DSH for Tree Points",_xlpm.TreePoints_H=0),
Error!$B$21,
IF(AND(_xlpm.baseRow,$E103&lt;&gt;"",$D103&lt;&gt;"",$F103=""),
Error!$B$4,
IF(AND(_xlpm.baseRow,$F103="Remove",OR($E103="Tier 1",$E103="Tier 2",$E103="Tier 2 Grove"),COUNTBLANK(_xlpm.HRange)&lt;3,_xlpm.uniqueH&gt;=2),
Error!$B$48,
IF(AND(_xlpm.baseRow,$F103="Retain",OR($E103="Tier 1",$E103="Tier 2",$E103="Tier 2 Grove"),COUNTIF(_xlpm.HRange,"Tree Code: Required to Retain Tier 1-2 Tree")=0),
Error!$B$47,
IF(AND(_xlpm.baseRow,$E103&lt;&gt;"",$D103&lt;&gt;"",$F103&lt;&gt;"",COUNTBLANK(_xlpm.HRange)=4),
Error!$B$5,
IF(AND($F103="Remove",$H103&lt;&gt;"",$I103=""),
Error!$B$18,
IF(AND($E103="Tier 4",$F103="Remove",$H103="Tree Protection Code: Tier 3 or Tier 4 Allowance",$H103&lt;&gt;"",ISNA(MATCH($I103,Tables!$B$200,0))),
Error!$B$17,
IF(AND($E103="Tier 3",$F103="Remove",$H103&lt;&gt;"",$H103="Tree Protection Code: Tier 3 or Tier 4 Allowance",OR($I103="",ISNA(MATCH($I103,Tables!$B$193:$B$197,0)))),
Error!$B$17,
IF(AND(OR($E103="Tier 2",$E103="Tier 2 Grove"),$F103="Remove",$H103="Tree Protection Code: Other removal allowance or exemption",$I103&lt;&gt;"",ISNA(MATCH($I103,Tables!$B$215:$B$218,0))),
Error!$B$17,
IF(AND(OR($E103="Tier 2",$E103="Tier 2 Grove"),$F103="Remove",$H103="Tree Protection Code: Development Capacity",$I103&lt;&gt;"",ISNA(MATCH($I103,Tables!$B$193:$B$197,0))),
Error!$B$17,
IF(AND(OR($E103="Tier 2",$E103="Tier 2 Grove"),$F103="Remove",$H103="Tree Protection Code: Necessary for Construction",$I103&lt;&gt;"",ISNA(MATCH($I103,Tables!$B$193:$B$197,0))),
Error!$B$17,
IF(AND($E103="Tier 1",$F103="Remove",$H103="Tree Protection Code: Special Exception",$I103&lt;&gt;"",ISNA(MATCH($I103,Tables!$B$215:$B$218,0))),
Error!$B$17,
IF(AND($E103="Tier 1",$F103="Remove",$H103="Tree Protection Code: Other removal allowance or exemption",$I103&lt;&gt;"",ISNA(MATCH($I103,Tables!$B$215:$B$218,0))),
Error!$B$17,
IF(AND($E103="ECA / Shoreline Tree",$F103="Remove",$H103&lt;&gt;"",OR($H103="Shoreline",$H103="Environmental Critical Area (ECA)"),ISNA(MATCH($I103,Tables!$B$209:$B$212,0))),
Error!$B$17,
IF(AND(_xlpm.baseRow,$F103="Retain",$E103="ECA / Shoreline Tree",_xlpm.ECA_Short=0),
Error!$B$61,
IF(AND($F103="Remove",ISNUMBER(MATCH($E103,{"Tier 1","Tier 2","Tier 3","Tier 4","Tier 2 Grove"},0)),ISNUMBER(MATCH($I103,{"On-site replacement","Off-site replacement"},0)),$J103="",$H103&lt;&gt;""),
Error!$B$19,
IF(AND(_xlpm.baseRow,$E103&lt;&gt;"",$D103&lt;&gt;"",$F103&lt;&gt;"",COUNTBLANK($B103:$C103)&gt;0,COUNTBLANK(_xlpm.HRange)&lt;&gt;4),
Error!$B$22,
IF(AND($H103="Zoning: Tree Points",$K103&lt;&gt;"",ISNA(MATCH($K103,Tables!$B$242:$B$253,0))),
Error!$B$58,
IF(AND($H103="Zoning: Tree Points",$K103="Small",$L103&lt;&gt;"",ISNA(MATCH($L103,Tables!$C$243:$C$244,0))),
Error!$B$59,
IF(AND($H103="Zoning: Tree Points",$K103="Small/Medium",$L103&lt;&gt;"",ISNA(MATCH($L103,Tables!$C$246:$C$247,0))),
Error!$B$59,
IF(AND($H103="Zoning: Tree Points",$K103="Medium/Large",$L103&lt;&gt;"",ISNA(MATCH($L103,Tables!$C$249:$C$250,0))),
Error!$B$59,
IF(AND($H103="Zoning: Tree Points",$K103="Large",$L103&lt;&gt;"",ISNA(MATCH($L103,Tables!$C$252:$C$253,0))),
Error!$B$59,
IF(AND($F103="Retain",$H103="Zoning: Tree Points",$C103&lt;&gt;"",$D103&lt;&gt;"",OR($K103="",$L103="",$M103="")),
Error!$B$20,
""
)))))))))))))))))))))))))))))))))))))))))))))))))))))))),
Error!$B$23))</f>
        <v/>
      </c>
      <c r="O103" s="343" t="str" cm="1">
        <f t="array" aca="1" ref="O103" ca="1">IFERROR(_xlfn.LET(
    _xlpm.txt, $C103,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4" spans="1:15" x14ac:dyDescent="0.3">
      <c r="A104" s="320"/>
      <c r="B104" s="616" t="str">
        <f t="shared" ref="B104:B106" si="73">IF($B103="", "", $B103)</f>
        <v/>
      </c>
      <c r="C104" s="617" t="str">
        <f t="shared" ref="C104:C106" si="74">IF($C103="", "", $C103)</f>
        <v/>
      </c>
      <c r="D104" s="618" t="str">
        <f t="shared" ref="D104:D106" si="75">IF($D103="", "", $D103)</f>
        <v/>
      </c>
      <c r="E104" s="616" t="str">
        <f t="shared" ref="E104:E106" si="76">IF($E103="", "", $E103)</f>
        <v/>
      </c>
      <c r="F104" s="616" t="str">
        <f t="shared" ref="F104:F106" si="77">IF($F103="", "", $F103)</f>
        <v/>
      </c>
      <c r="G104" s="619" t="str">
        <f>IF(Tree_Table1[[#This Row],[Tree Status  &amp;]]="Retain", Tables!$B$237, IF(Tree_Table1[[#This Row],[Tree Status  &amp;]]="Remove", Tables!$B$238, ""))</f>
        <v/>
      </c>
      <c r="H104" s="321"/>
      <c r="I104" s="322"/>
      <c r="J104" s="453"/>
      <c r="K104" s="323" t="str">
        <f>IFERROR(
    IF(
        AND($H104="Zoning: Tree Points", NOT(ISNUMBER(SEARCH("sp.", $C104)))),
        VLOOKUP($C104, 'Tree List'!$C$3:$F$601, 4, FALSE),
        ""
    ),
"")</f>
        <v/>
      </c>
      <c r="L104" s="324" t="str" cm="1">
        <f t="array" ref="L104">IFERROR(
IF(
    AND($H104="Zoning: Tree Points", NOT(ISNUMBER(SEARCH("sp.", $C104)))),
    _xlfn.IFS(
        (COUNTIFS('Tree List'!$C$3:$C$601,$C104,'Tree List'!$D$3:$D$601,"Coniferous")
        + COUNTIFS('Tree List'!$C$3:$C$601,$C104,'Tree List'!$D$3:$D$601,"Deciduous Conifer")) &gt; 0,
            _xlfn.IFS($K104="Small",0.5,$K104="Small/Medium",1,$K104="Medium/Large",1.4,$K104="Large",1.8),
        (COUNTIFS('Tree List'!$C$3:$C$601,$C104,'Tree List'!$D$3:$D$601,"Deciduous")
        + COUNTIFS('Tree List'!$C$3:$C$601,$C104,'Tree List'!$D$3:$D$601,"Broadleaf Evergreen")) &gt; 0,
            _xlfn.IFS($K104="Small",0.4,$K104="Small/Medium",0.8,$K104="Medium/Large",1.2,$K104="Large",1.6)
    ),
    ""
),
"")</f>
        <v/>
      </c>
      <c r="M104" s="475" t="str">
        <f t="shared" si="0"/>
        <v/>
      </c>
      <c r="N104" s="346" t="str" cm="1">
        <f t="array" aca="1" ref="N10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IF(AND(_xlpm.baseRow,ISNA(MATCH($C104,'Tree List'!$C$3:$C$601,0)),SUMPRODUCT(--ISNUMBER(SEARCH(Tables2!$C$677:$C$772,$O104)))&gt;0),
Error!$B$57,
IF(AND(_xlpm.hasDM,$F104="Remove",$H104&lt;&gt;"",OR($I104="On-site replacement",$I104="Off-site replacement",$I104="Payment In Lieu")),
Error!$B$56,
IF(AND(_xlpm.hasDM,$F104="Remove",$H104&lt;&gt;"",$I104="Relocation"),
Error!$B$66,
IF(AND(OR(_xlpm.hasCN,_xlpm.hasPH,_xlpm.hasGR),$H104&lt;&gt;"",COUNTIF(Tables!$B$132:$B$134,$H104)&gt;0,$I104="N/A (No replacement required)"),
Error!$B$62,
IF(AND(_xlpm.baseRow,$E104&lt;&gt;"",ISNA(MATCH($E104,Tables!$B$225:$B$232,0))),
Error!$B$2,
IF(AND(_xlpm.baseRow,$F104&lt;&gt;"",ISNA(MATCH($F104,Tables!$B$234:$B$235,0))),
Error!$B$24,
IF(AND(_xlpm.baseRow,_xlpm.ECA_H&gt;0,_xlpm.Shore_H&gt;0),
Error!$B$16,
IF(AND(_xlpm.baseRow,$E104&lt;&gt;"",$D104=""),
Error!$B$3,
IF(AND(_xlpm.baseRow,OR($E104="Tier 3",$E104="Tier 4"),$C104&lt;&gt;"",$D104&gt;=24,COUNTIF(Tables2!$B$166:$B$674,$C104)&gt;0),
Error!$B$44,
IF(AND(_xlpm.baseRow,OR($E104="Tier 3",$E104="Tier 4"),$C104&lt;&gt;"",$D104&lt;&gt;"",COUNTIF(Tables2!$B$73:$B$152,$C104)&gt;0,
$D104&gt;=IFERROR(INDEX(Tables2!$C$73:$C$152,MATCH($C104,Tables2!$B$73:$B$152,0)),-1)),
Error!$B$44,
IF(AND(_xlpm.baseRow,OR($E104="Tier 2",$E104="Tier 2 Grove"),$C104&lt;&gt;"",$D104&gt;=12,COUNTIF(Tables2!$B$153:$B$162,$C104)&gt;0),
Error!$B$45,
IF(AND(_xlpm.baseRow,$E104="Tier 2 Grove",$D104&lt;12),
Error!$B$41,
IF(AND(_xlpm.baseRow,$E104="Tier 2",$D104&lt;5.88),
Error!$B$40,
IF(AND(_xlpm.baseRow,OR($E104="Tier 2",$E104="Tier 2 Grove"),$C104&lt;&gt;"",$D104&lt;12,$D104&gt;=6,COUNTIF(Tables2!$B$153:$B$162,$C104)&gt;0),
Error!$B$54,
IF(AND(_xlpm.baseRow,$E104="Tier 2",COUNTIF(Tables2!$B$166:$B$674,$C104)&gt;0,$D104&lt;24),
Error!$B$54,
IF(AND(_xlpm.baseRow,$E104="Tier 3",ISNA(MATCH($C104,Tables2!$B$153:$B$162,0)),OR($D104&lt;12,$D104&gt;=24)),
Error!$B$9,
IF(AND(_xlpm.baseRow,$E104="Tier 3",COUNTIF(Tables2!$B$153:$B$162,$C104)&gt;0,$D104&lt;12),
Error!$B$46,
IF(AND(_xlpm.baseRow,$E104="Tier 4",OR($D104&lt;6,$D104&gt;=12)),
Error!$B$10,
IF(AND(_xlpm.baseRow,$E104="&lt;6in DSH for Tree Points",OR($D104&gt;=6,$D104="")),
Error!$B$8,
IF(AND(_xlpm.baseRow,$E104="Street Tree for Green Factor",$F104&lt;&gt;"",$F104&lt;&gt;"Retain"),
Error!$B$14,
IF(AND($E104="&lt;6in DSH for Tree Points",$F104="Retain",$H104&lt;&gt;"",ISNA(MATCH($H104,Tables!$B$174:$B$174,0))),
Error!$B$15,
IF(AND($E104="Street Tree for Green Factor",$F104="Retain",$H104&lt;&gt;"",$H104&lt;&gt;"Zoning: Green Factor"),
Error!$B$15,
IF(AND($E104="ECA / Shoreline Tree",$F104="Remove",$H104&lt;&gt;"",ISNA(MATCH($H104,Tables!$B$189:$B$190,0))),
Error!$B$15,
IF(AND($E104="ECA / Shoreline Tree",$F104="Retain",$H104&lt;&gt;"",ISNA(MATCH($H104,Tables!$B$184:$B$186,0))),
Error!$B$15,
IF(AND($E104="Tier 4",$F104="Remove",$H104&lt;&gt;"",ISNA(MATCH($H104,Tables!$B$171,0))),
Error!$B$15,
IF(AND($E104="Tier 4",$F104="Retain",$H104&lt;&gt;"",ISNA(MATCH($H104,Tables!$B$166:$B$168,0))),
Error!$B$15,
IF(AND($E104="Tier 3",$F104="Retain",$H104&lt;&gt;"",ISNA(MATCH($H104,Tables!$B$158:$B$160,0))),
Error!$B$15,
IF(AND($E104="Tier 3",$F104="Remove",$H104&lt;&gt;"",ISNA(MATCH($H104,Tables!$B$163,0))),
Error!$B$15,
IF(AND(OR($E104="Tier 2",$E104="Tier 2 Grove"),$F104="Remove",$H104&lt;&gt;"",ISNA(MATCH($H104,Tables!$B$153:$B$155,0))),
Error!$B$15,
IF(AND(OR($E104="Tier 2",$E104="Tier 2 Grove"),$F104="Retain",$H104&lt;&gt;"",ISNA(MATCH($H104,Tables!$B$147:$B$150,0))),
Error!$B$15,
IF(AND($E104="Tier 1",$F104="Remove",$H104&lt;&gt;"",ISNA(MATCH($H104,Tables!$B$143:$B$144,0))),
Error!$B$15,
IF(AND($E104="Tier 1",$F104="Retain",$H104&lt;&gt;"",ISNA(MATCH($H104,Tables!$B$137:$B$140,0))),
Error!$B$15,
IF(AND($E104&lt;&gt;"Tier 2",$E104&lt;&gt;"Tier 2 Grove",$E104&lt;&gt;"Tier 3",$E104&lt;&gt;"Tier 4",$H104="Zoning: Green Factor",OR($D104="",$D104&lt;6)),
Error!$B$11,
IF(AND(_xlpm.baseRow,$D104&lt;6,$E104="&lt;6in DSH for Tree Points",_xlpm.TreePoints_H=0),
Error!$B$21,
IF(AND(_xlpm.baseRow,$E104&lt;&gt;"",$D104&lt;&gt;"",$F104=""),
Error!$B$4,
IF(AND(_xlpm.baseRow,$F104="Remove",OR($E104="Tier 1",$E104="Tier 2",$E104="Tier 2 Grove"),COUNTBLANK(_xlpm.HRange)&lt;3,_xlpm.uniqueH&gt;=2),
Error!$B$48,
IF(AND(_xlpm.baseRow,$F104="Retain",OR($E104="Tier 1",$E104="Tier 2",$E104="Tier 2 Grove"),COUNTIF(_xlpm.HRange,"Tree Code: Required to Retain Tier 1-2 Tree")=0),
Error!$B$47,
IF(AND(_xlpm.baseRow,$E104&lt;&gt;"",$D104&lt;&gt;"",$F104&lt;&gt;"",COUNTBLANK(_xlpm.HRange)=4),
Error!$B$5,
IF(AND($F104="Remove",$H104&lt;&gt;"",$I104=""),
Error!$B$18,
IF(AND($E104="Tier 4",$F104="Remove",$H104="Tree Protection Code: Tier 3 or Tier 4 Allowance",$H104&lt;&gt;"",ISNA(MATCH($I104,Tables!$B$200,0))),
Error!$B$17,
IF(AND($E104="Tier 3",$F104="Remove",$H104&lt;&gt;"",$H104="Tree Protection Code: Tier 3 or Tier 4 Allowance",OR($I104="",ISNA(MATCH($I104,Tables!$B$193:$B$197,0)))),
Error!$B$17,
IF(AND(OR($E104="Tier 2",$E104="Tier 2 Grove"),$F104="Remove",$H104="Tree Protection Code: Other removal allowance or exemption",$I104&lt;&gt;"",ISNA(MATCH($I104,Tables!$B$215:$B$218,0))),
Error!$B$17,
IF(AND(OR($E104="Tier 2",$E104="Tier 2 Grove"),$F104="Remove",$H104="Tree Protection Code: Development Capacity",$I104&lt;&gt;"",ISNA(MATCH($I104,Tables!$B$193:$B$197,0))),
Error!$B$17,
IF(AND(OR($E104="Tier 2",$E104="Tier 2 Grove"),$F104="Remove",$H104="Tree Protection Code: Necessary for Construction",$I104&lt;&gt;"",ISNA(MATCH($I104,Tables!$B$193:$B$197,0))),
Error!$B$17,
IF(AND($E104="Tier 1",$F104="Remove",$H104="Tree Protection Code: Special Exception",$I104&lt;&gt;"",ISNA(MATCH($I104,Tables!$B$215:$B$218,0))),
Error!$B$17,
IF(AND($E104="Tier 1",$F104="Remove",$H104="Tree Protection Code: Other removal allowance or exemption",$I104&lt;&gt;"",ISNA(MATCH($I104,Tables!$B$215:$B$218,0))),
Error!$B$17,
IF(AND($E104="ECA / Shoreline Tree",$F104="Remove",$H104&lt;&gt;"",OR($H104="Shoreline",$H104="Environmental Critical Area (ECA)"),ISNA(MATCH($I104,Tables!$B$209:$B$212,0))),
Error!$B$17,
IF(AND(_xlpm.baseRow,$F104="Retain",$E104="ECA / Shoreline Tree",_xlpm.ECA_Short=0),
Error!$B$61,
IF(AND($F104="Remove",ISNUMBER(MATCH($E104,{"Tier 1","Tier 2","Tier 3","Tier 4","Tier 2 Grove"},0)),ISNUMBER(MATCH($I104,{"On-site replacement","Off-site replacement"},0)),$J104="",$H104&lt;&gt;""),
Error!$B$19,
IF(AND(_xlpm.baseRow,$E104&lt;&gt;"",$D104&lt;&gt;"",$F104&lt;&gt;"",COUNTBLANK($B104:$C104)&gt;0,COUNTBLANK(_xlpm.HRange)&lt;&gt;4),
Error!$B$22,
IF(AND($H104="Zoning: Tree Points",$K104&lt;&gt;"",ISNA(MATCH($K104,Tables!$B$242:$B$253,0))),
Error!$B$58,
IF(AND($H104="Zoning: Tree Points",$K104="Small",$L104&lt;&gt;"",ISNA(MATCH($L104,Tables!$C$243:$C$244,0))),
Error!$B$59,
IF(AND($H104="Zoning: Tree Points",$K104="Small/Medium",$L104&lt;&gt;"",ISNA(MATCH($L104,Tables!$C$246:$C$247,0))),
Error!$B$59,
IF(AND($H104="Zoning: Tree Points",$K104="Medium/Large",$L104&lt;&gt;"",ISNA(MATCH($L104,Tables!$C$249:$C$250,0))),
Error!$B$59,
IF(AND($H104="Zoning: Tree Points",$K104="Large",$L104&lt;&gt;"",ISNA(MATCH($L104,Tables!$C$252:$C$253,0))),
Error!$B$59,
IF(AND($F104="Retain",$H104="Zoning: Tree Points",$C104&lt;&gt;"",$D104&lt;&gt;"",OR($K104="",$L104="",$M104="")),
Error!$B$20,
""
)))))))))))))))))))))))))))))))))))))))))))))))))))))))),
Error!$B$23))</f>
        <v/>
      </c>
      <c r="O104" s="343" t="str" cm="1">
        <f t="array" aca="1" ref="O104" ca="1">IFERROR(_xlfn.LET(
    _xlpm.txt, $C104,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5" spans="1:15" x14ac:dyDescent="0.3">
      <c r="A105" s="320"/>
      <c r="B105" s="616" t="str">
        <f t="shared" si="73"/>
        <v/>
      </c>
      <c r="C105" s="617" t="str">
        <f t="shared" si="74"/>
        <v/>
      </c>
      <c r="D105" s="618" t="str">
        <f t="shared" si="75"/>
        <v/>
      </c>
      <c r="E105" s="616" t="str">
        <f t="shared" si="76"/>
        <v/>
      </c>
      <c r="F105" s="616" t="str">
        <f t="shared" si="77"/>
        <v/>
      </c>
      <c r="G105" s="619" t="str">
        <f>IF(Tree_Table1[[#This Row],[Tree Status  &amp;]]="Retain", Tables!$B$237, IF(Tree_Table1[[#This Row],[Tree Status  &amp;]]="Remove", Tables!$B$238, ""))</f>
        <v/>
      </c>
      <c r="H105" s="321"/>
      <c r="I105" s="322"/>
      <c r="J105" s="453"/>
      <c r="K105" s="323" t="str">
        <f>IFERROR(
    IF(
        AND($H105="Zoning: Tree Points", NOT(ISNUMBER(SEARCH("sp.", $C105)))),
        VLOOKUP($C105, 'Tree List'!$C$3:$F$601, 4, FALSE),
        ""
    ),
"")</f>
        <v/>
      </c>
      <c r="L105" s="324" t="str" cm="1">
        <f t="array" ref="L105">IFERROR(
IF(
    AND($H105="Zoning: Tree Points", NOT(ISNUMBER(SEARCH("sp.", $C105)))),
    _xlfn.IFS(
        (COUNTIFS('Tree List'!$C$3:$C$601,$C105,'Tree List'!$D$3:$D$601,"Coniferous")
        + COUNTIFS('Tree List'!$C$3:$C$601,$C105,'Tree List'!$D$3:$D$601,"Deciduous Conifer")) &gt; 0,
            _xlfn.IFS($K105="Small",0.5,$K105="Small/Medium",1,$K105="Medium/Large",1.4,$K105="Large",1.8),
        (COUNTIFS('Tree List'!$C$3:$C$601,$C105,'Tree List'!$D$3:$D$601,"Deciduous")
        + COUNTIFS('Tree List'!$C$3:$C$601,$C105,'Tree List'!$D$3:$D$601,"Broadleaf Evergreen")) &gt; 0,
            _xlfn.IFS($K105="Small",0.4,$K105="Small/Medium",0.8,$K105="Medium/Large",1.2,$K105="Large",1.6)
    ),
    ""
),
"")</f>
        <v/>
      </c>
      <c r="M105" s="475" t="str">
        <f t="shared" si="0"/>
        <v/>
      </c>
      <c r="N105" s="346" t="str" cm="1">
        <f t="array" aca="1" ref="N10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IF(AND(_xlpm.baseRow,ISNA(MATCH($C105,'Tree List'!$C$3:$C$601,0)),SUMPRODUCT(--ISNUMBER(SEARCH(Tables2!$C$677:$C$772,$O105)))&gt;0),
Error!$B$57,
IF(AND(_xlpm.hasDM,$F105="Remove",$H105&lt;&gt;"",OR($I105="On-site replacement",$I105="Off-site replacement",$I105="Payment In Lieu")),
Error!$B$56,
IF(AND(_xlpm.hasDM,$F105="Remove",$H105&lt;&gt;"",$I105="Relocation"),
Error!$B$66,
IF(AND(OR(_xlpm.hasCN,_xlpm.hasPH,_xlpm.hasGR),$H105&lt;&gt;"",COUNTIF(Tables!$B$132:$B$134,$H105)&gt;0,$I105="N/A (No replacement required)"),
Error!$B$62,
IF(AND(_xlpm.baseRow,$E105&lt;&gt;"",ISNA(MATCH($E105,Tables!$B$225:$B$232,0))),
Error!$B$2,
IF(AND(_xlpm.baseRow,$F105&lt;&gt;"",ISNA(MATCH($F105,Tables!$B$234:$B$235,0))),
Error!$B$24,
IF(AND(_xlpm.baseRow,_xlpm.ECA_H&gt;0,_xlpm.Shore_H&gt;0),
Error!$B$16,
IF(AND(_xlpm.baseRow,$E105&lt;&gt;"",$D105=""),
Error!$B$3,
IF(AND(_xlpm.baseRow,OR($E105="Tier 3",$E105="Tier 4"),$C105&lt;&gt;"",$D105&gt;=24,COUNTIF(Tables2!$B$166:$B$674,$C105)&gt;0),
Error!$B$44,
IF(AND(_xlpm.baseRow,OR($E105="Tier 3",$E105="Tier 4"),$C105&lt;&gt;"",$D105&lt;&gt;"",COUNTIF(Tables2!$B$73:$B$152,$C105)&gt;0,
$D105&gt;=IFERROR(INDEX(Tables2!$C$73:$C$152,MATCH($C105,Tables2!$B$73:$B$152,0)),-1)),
Error!$B$44,
IF(AND(_xlpm.baseRow,OR($E105="Tier 2",$E105="Tier 2 Grove"),$C105&lt;&gt;"",$D105&gt;=12,COUNTIF(Tables2!$B$153:$B$162,$C105)&gt;0),
Error!$B$45,
IF(AND(_xlpm.baseRow,$E105="Tier 2 Grove",$D105&lt;12),
Error!$B$41,
IF(AND(_xlpm.baseRow,$E105="Tier 2",$D105&lt;5.88),
Error!$B$40,
IF(AND(_xlpm.baseRow,OR($E105="Tier 2",$E105="Tier 2 Grove"),$C105&lt;&gt;"",$D105&lt;12,$D105&gt;=6,COUNTIF(Tables2!$B$153:$B$162,$C105)&gt;0),
Error!$B$54,
IF(AND(_xlpm.baseRow,$E105="Tier 2",COUNTIF(Tables2!$B$166:$B$674,$C105)&gt;0,$D105&lt;24),
Error!$B$54,
IF(AND(_xlpm.baseRow,$E105="Tier 3",ISNA(MATCH($C105,Tables2!$B$153:$B$162,0)),OR($D105&lt;12,$D105&gt;=24)),
Error!$B$9,
IF(AND(_xlpm.baseRow,$E105="Tier 3",COUNTIF(Tables2!$B$153:$B$162,$C105)&gt;0,$D105&lt;12),
Error!$B$46,
IF(AND(_xlpm.baseRow,$E105="Tier 4",OR($D105&lt;6,$D105&gt;=12)),
Error!$B$10,
IF(AND(_xlpm.baseRow,$E105="&lt;6in DSH for Tree Points",OR($D105&gt;=6,$D105="")),
Error!$B$8,
IF(AND(_xlpm.baseRow,$E105="Street Tree for Green Factor",$F105&lt;&gt;"",$F105&lt;&gt;"Retain"),
Error!$B$14,
IF(AND($E105="&lt;6in DSH for Tree Points",$F105="Retain",$H105&lt;&gt;"",ISNA(MATCH($H105,Tables!$B$174:$B$174,0))),
Error!$B$15,
IF(AND($E105="Street Tree for Green Factor",$F105="Retain",$H105&lt;&gt;"",$H105&lt;&gt;"Zoning: Green Factor"),
Error!$B$15,
IF(AND($E105="ECA / Shoreline Tree",$F105="Remove",$H105&lt;&gt;"",ISNA(MATCH($H105,Tables!$B$189:$B$190,0))),
Error!$B$15,
IF(AND($E105="ECA / Shoreline Tree",$F105="Retain",$H105&lt;&gt;"",ISNA(MATCH($H105,Tables!$B$184:$B$186,0))),
Error!$B$15,
IF(AND($E105="Tier 4",$F105="Remove",$H105&lt;&gt;"",ISNA(MATCH($H105,Tables!$B$171,0))),
Error!$B$15,
IF(AND($E105="Tier 4",$F105="Retain",$H105&lt;&gt;"",ISNA(MATCH($H105,Tables!$B$166:$B$168,0))),
Error!$B$15,
IF(AND($E105="Tier 3",$F105="Retain",$H105&lt;&gt;"",ISNA(MATCH($H105,Tables!$B$158:$B$160,0))),
Error!$B$15,
IF(AND($E105="Tier 3",$F105="Remove",$H105&lt;&gt;"",ISNA(MATCH($H105,Tables!$B$163,0))),
Error!$B$15,
IF(AND(OR($E105="Tier 2",$E105="Tier 2 Grove"),$F105="Remove",$H105&lt;&gt;"",ISNA(MATCH($H105,Tables!$B$153:$B$155,0))),
Error!$B$15,
IF(AND(OR($E105="Tier 2",$E105="Tier 2 Grove"),$F105="Retain",$H105&lt;&gt;"",ISNA(MATCH($H105,Tables!$B$147:$B$150,0))),
Error!$B$15,
IF(AND($E105="Tier 1",$F105="Remove",$H105&lt;&gt;"",ISNA(MATCH($H105,Tables!$B$143:$B$144,0))),
Error!$B$15,
IF(AND($E105="Tier 1",$F105="Retain",$H105&lt;&gt;"",ISNA(MATCH($H105,Tables!$B$137:$B$140,0))),
Error!$B$15,
IF(AND($E105&lt;&gt;"Tier 2",$E105&lt;&gt;"Tier 2 Grove",$E105&lt;&gt;"Tier 3",$E105&lt;&gt;"Tier 4",$H105="Zoning: Green Factor",OR($D105="",$D105&lt;6)),
Error!$B$11,
IF(AND(_xlpm.baseRow,$D105&lt;6,$E105="&lt;6in DSH for Tree Points",_xlpm.TreePoints_H=0),
Error!$B$21,
IF(AND(_xlpm.baseRow,$E105&lt;&gt;"",$D105&lt;&gt;"",$F105=""),
Error!$B$4,
IF(AND(_xlpm.baseRow,$F105="Remove",OR($E105="Tier 1",$E105="Tier 2",$E105="Tier 2 Grove"),COUNTBLANK(_xlpm.HRange)&lt;3,_xlpm.uniqueH&gt;=2),
Error!$B$48,
IF(AND(_xlpm.baseRow,$F105="Retain",OR($E105="Tier 1",$E105="Tier 2",$E105="Tier 2 Grove"),COUNTIF(_xlpm.HRange,"Tree Code: Required to Retain Tier 1-2 Tree")=0),
Error!$B$47,
IF(AND(_xlpm.baseRow,$E105&lt;&gt;"",$D105&lt;&gt;"",$F105&lt;&gt;"",COUNTBLANK(_xlpm.HRange)=4),
Error!$B$5,
IF(AND($F105="Remove",$H105&lt;&gt;"",$I105=""),
Error!$B$18,
IF(AND($E105="Tier 4",$F105="Remove",$H105="Tree Protection Code: Tier 3 or Tier 4 Allowance",$H105&lt;&gt;"",ISNA(MATCH($I105,Tables!$B$200,0))),
Error!$B$17,
IF(AND($E105="Tier 3",$F105="Remove",$H105&lt;&gt;"",$H105="Tree Protection Code: Tier 3 or Tier 4 Allowance",OR($I105="",ISNA(MATCH($I105,Tables!$B$193:$B$197,0)))),
Error!$B$17,
IF(AND(OR($E105="Tier 2",$E105="Tier 2 Grove"),$F105="Remove",$H105="Tree Protection Code: Other removal allowance or exemption",$I105&lt;&gt;"",ISNA(MATCH($I105,Tables!$B$215:$B$218,0))),
Error!$B$17,
IF(AND(OR($E105="Tier 2",$E105="Tier 2 Grove"),$F105="Remove",$H105="Tree Protection Code: Development Capacity",$I105&lt;&gt;"",ISNA(MATCH($I105,Tables!$B$193:$B$197,0))),
Error!$B$17,
IF(AND(OR($E105="Tier 2",$E105="Tier 2 Grove"),$F105="Remove",$H105="Tree Protection Code: Necessary for Construction",$I105&lt;&gt;"",ISNA(MATCH($I105,Tables!$B$193:$B$197,0))),
Error!$B$17,
IF(AND($E105="Tier 1",$F105="Remove",$H105="Tree Protection Code: Special Exception",$I105&lt;&gt;"",ISNA(MATCH($I105,Tables!$B$215:$B$218,0))),
Error!$B$17,
IF(AND($E105="Tier 1",$F105="Remove",$H105="Tree Protection Code: Other removal allowance or exemption",$I105&lt;&gt;"",ISNA(MATCH($I105,Tables!$B$215:$B$218,0))),
Error!$B$17,
IF(AND($E105="ECA / Shoreline Tree",$F105="Remove",$H105&lt;&gt;"",OR($H105="Shoreline",$H105="Environmental Critical Area (ECA)"),ISNA(MATCH($I105,Tables!$B$209:$B$212,0))),
Error!$B$17,
IF(AND(_xlpm.baseRow,$F105="Retain",$E105="ECA / Shoreline Tree",_xlpm.ECA_Short=0),
Error!$B$61,
IF(AND($F105="Remove",ISNUMBER(MATCH($E105,{"Tier 1","Tier 2","Tier 3","Tier 4","Tier 2 Grove"},0)),ISNUMBER(MATCH($I105,{"On-site replacement","Off-site replacement"},0)),$J105="",$H105&lt;&gt;""),
Error!$B$19,
IF(AND(_xlpm.baseRow,$E105&lt;&gt;"",$D105&lt;&gt;"",$F105&lt;&gt;"",COUNTBLANK($B105:$C105)&gt;0,COUNTBLANK(_xlpm.HRange)&lt;&gt;4),
Error!$B$22,
IF(AND($H105="Zoning: Tree Points",$K105&lt;&gt;"",ISNA(MATCH($K105,Tables!$B$242:$B$253,0))),
Error!$B$58,
IF(AND($H105="Zoning: Tree Points",$K105="Small",$L105&lt;&gt;"",ISNA(MATCH($L105,Tables!$C$243:$C$244,0))),
Error!$B$59,
IF(AND($H105="Zoning: Tree Points",$K105="Small/Medium",$L105&lt;&gt;"",ISNA(MATCH($L105,Tables!$C$246:$C$247,0))),
Error!$B$59,
IF(AND($H105="Zoning: Tree Points",$K105="Medium/Large",$L105&lt;&gt;"",ISNA(MATCH($L105,Tables!$C$249:$C$250,0))),
Error!$B$59,
IF(AND($H105="Zoning: Tree Points",$K105="Large",$L105&lt;&gt;"",ISNA(MATCH($L105,Tables!$C$252:$C$253,0))),
Error!$B$59,
IF(AND($F105="Retain",$H105="Zoning: Tree Points",$C105&lt;&gt;"",$D105&lt;&gt;"",OR($K105="",$L105="",$M105="")),
Error!$B$20,
""
)))))))))))))))))))))))))))))))))))))))))))))))))))))))),
Error!$B$23))</f>
        <v/>
      </c>
      <c r="O105" s="343" t="str" cm="1">
        <f t="array" aca="1" ref="O105" ca="1">IFERROR(_xlfn.LET(
    _xlpm.txt, $C105,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6" spans="1:15" ht="15" thickBot="1" x14ac:dyDescent="0.35">
      <c r="A106" s="331"/>
      <c r="B106" s="616" t="str">
        <f t="shared" si="73"/>
        <v/>
      </c>
      <c r="C106" s="617" t="str">
        <f t="shared" si="74"/>
        <v/>
      </c>
      <c r="D106" s="618" t="str">
        <f t="shared" si="75"/>
        <v/>
      </c>
      <c r="E106" s="616" t="str">
        <f t="shared" si="76"/>
        <v/>
      </c>
      <c r="F106" s="616" t="str">
        <f t="shared" si="77"/>
        <v/>
      </c>
      <c r="G106" s="619" t="str">
        <f>IF(Tree_Table1[[#This Row],[Tree Status  &amp;]]="Retain", Tables!$B$237, IF(Tree_Table1[[#This Row],[Tree Status  &amp;]]="Remove", Tables!$B$238, ""))</f>
        <v/>
      </c>
      <c r="H106" s="329"/>
      <c r="I106" s="330"/>
      <c r="J106" s="455"/>
      <c r="K106" s="327" t="str">
        <f>IFERROR(
    IF(
        AND($H106="Zoning: Tree Points", NOT(ISNUMBER(SEARCH("sp.", $C106)))),
        VLOOKUP($C106, 'Tree List'!$C$3:$F$601, 4, FALSE),
        ""
    ),
"")</f>
        <v/>
      </c>
      <c r="L106" s="328" t="str" cm="1">
        <f t="array" ref="L106">IFERROR(
IF(
    AND($H106="Zoning: Tree Points", NOT(ISNUMBER(SEARCH("sp.", $C106)))),
    _xlfn.IFS(
        (COUNTIFS('Tree List'!$C$3:$C$601,$C106,'Tree List'!$D$3:$D$601,"Coniferous")
        + COUNTIFS('Tree List'!$C$3:$C$601,$C106,'Tree List'!$D$3:$D$601,"Deciduous Conifer")) &gt; 0,
            _xlfn.IFS($K106="Small",0.5,$K106="Small/Medium",1,$K106="Medium/Large",1.4,$K106="Large",1.8),
        (COUNTIFS('Tree List'!$C$3:$C$601,$C106,'Tree List'!$D$3:$D$601,"Deciduous")
        + COUNTIFS('Tree List'!$C$3:$C$601,$C106,'Tree List'!$D$3:$D$601,"Broadleaf Evergreen")) &gt; 0,
            _xlfn.IFS($K106="Small",0.4,$K106="Small/Medium",0.8,$K106="Medium/Large",1.2,$K106="Large",1.6)
    ),
    ""
),
"")</f>
        <v/>
      </c>
      <c r="M106" s="476" t="str">
        <f t="shared" si="0"/>
        <v/>
      </c>
      <c r="N106" s="347" t="str" cm="1">
        <f t="array" aca="1" ref="N10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IF(AND(_xlpm.baseRow,ISNA(MATCH($C106,'Tree List'!$C$3:$C$601,0)),SUMPRODUCT(--ISNUMBER(SEARCH(Tables2!$C$677:$C$772,$O106)))&gt;0),
Error!$B$57,
IF(AND(_xlpm.hasDM,$F106="Remove",$H106&lt;&gt;"",OR($I106="On-site replacement",$I106="Off-site replacement",$I106="Payment In Lieu")),
Error!$B$56,
IF(AND(_xlpm.hasDM,$F106="Remove",$H106&lt;&gt;"",$I106="Relocation"),
Error!$B$66,
IF(AND(OR(_xlpm.hasCN,_xlpm.hasPH,_xlpm.hasGR),$H106&lt;&gt;"",COUNTIF(Tables!$B$132:$B$134,$H106)&gt;0,$I106="N/A (No replacement required)"),
Error!$B$62,
IF(AND(_xlpm.baseRow,$E106&lt;&gt;"",ISNA(MATCH($E106,Tables!$B$225:$B$232,0))),
Error!$B$2,
IF(AND(_xlpm.baseRow,$F106&lt;&gt;"",ISNA(MATCH($F106,Tables!$B$234:$B$235,0))),
Error!$B$24,
IF(AND(_xlpm.baseRow,_xlpm.ECA_H&gt;0,_xlpm.Shore_H&gt;0),
Error!$B$16,
IF(AND(_xlpm.baseRow,$E106&lt;&gt;"",$D106=""),
Error!$B$3,
IF(AND(_xlpm.baseRow,OR($E106="Tier 3",$E106="Tier 4"),$C106&lt;&gt;"",$D106&gt;=24,COUNTIF(Tables2!$B$166:$B$674,$C106)&gt;0),
Error!$B$44,
IF(AND(_xlpm.baseRow,OR($E106="Tier 3",$E106="Tier 4"),$C106&lt;&gt;"",$D106&lt;&gt;"",COUNTIF(Tables2!$B$73:$B$152,$C106)&gt;0,
$D106&gt;=IFERROR(INDEX(Tables2!$C$73:$C$152,MATCH($C106,Tables2!$B$73:$B$152,0)),-1)),
Error!$B$44,
IF(AND(_xlpm.baseRow,OR($E106="Tier 2",$E106="Tier 2 Grove"),$C106&lt;&gt;"",$D106&gt;=12,COUNTIF(Tables2!$B$153:$B$162,$C106)&gt;0),
Error!$B$45,
IF(AND(_xlpm.baseRow,$E106="Tier 2 Grove",$D106&lt;12),
Error!$B$41,
IF(AND(_xlpm.baseRow,$E106="Tier 2",$D106&lt;5.88),
Error!$B$40,
IF(AND(_xlpm.baseRow,OR($E106="Tier 2",$E106="Tier 2 Grove"),$C106&lt;&gt;"",$D106&lt;12,$D106&gt;=6,COUNTIF(Tables2!$B$153:$B$162,$C106)&gt;0),
Error!$B$54,
IF(AND(_xlpm.baseRow,$E106="Tier 2",COUNTIF(Tables2!$B$166:$B$674,$C106)&gt;0,$D106&lt;24),
Error!$B$54,
IF(AND(_xlpm.baseRow,$E106="Tier 3",ISNA(MATCH($C106,Tables2!$B$153:$B$162,0)),OR($D106&lt;12,$D106&gt;=24)),
Error!$B$9,
IF(AND(_xlpm.baseRow,$E106="Tier 3",COUNTIF(Tables2!$B$153:$B$162,$C106)&gt;0,$D106&lt;12),
Error!$B$46,
IF(AND(_xlpm.baseRow,$E106="Tier 4",OR($D106&lt;6,$D106&gt;=12)),
Error!$B$10,
IF(AND(_xlpm.baseRow,$E106="&lt;6in DSH for Tree Points",OR($D106&gt;=6,$D106="")),
Error!$B$8,
IF(AND(_xlpm.baseRow,$E106="Street Tree for Green Factor",$F106&lt;&gt;"",$F106&lt;&gt;"Retain"),
Error!$B$14,
IF(AND($E106="&lt;6in DSH for Tree Points",$F106="Retain",$H106&lt;&gt;"",ISNA(MATCH($H106,Tables!$B$174:$B$174,0))),
Error!$B$15,
IF(AND($E106="Street Tree for Green Factor",$F106="Retain",$H106&lt;&gt;"",$H106&lt;&gt;"Zoning: Green Factor"),
Error!$B$15,
IF(AND($E106="ECA / Shoreline Tree",$F106="Remove",$H106&lt;&gt;"",ISNA(MATCH($H106,Tables!$B$189:$B$190,0))),
Error!$B$15,
IF(AND($E106="ECA / Shoreline Tree",$F106="Retain",$H106&lt;&gt;"",ISNA(MATCH($H106,Tables!$B$184:$B$186,0))),
Error!$B$15,
IF(AND($E106="Tier 4",$F106="Remove",$H106&lt;&gt;"",ISNA(MATCH($H106,Tables!$B$171,0))),
Error!$B$15,
IF(AND($E106="Tier 4",$F106="Retain",$H106&lt;&gt;"",ISNA(MATCH($H106,Tables!$B$166:$B$168,0))),
Error!$B$15,
IF(AND($E106="Tier 3",$F106="Retain",$H106&lt;&gt;"",ISNA(MATCH($H106,Tables!$B$158:$B$160,0))),
Error!$B$15,
IF(AND($E106="Tier 3",$F106="Remove",$H106&lt;&gt;"",ISNA(MATCH($H106,Tables!$B$163,0))),
Error!$B$15,
IF(AND(OR($E106="Tier 2",$E106="Tier 2 Grove"),$F106="Remove",$H106&lt;&gt;"",ISNA(MATCH($H106,Tables!$B$153:$B$155,0))),
Error!$B$15,
IF(AND(OR($E106="Tier 2",$E106="Tier 2 Grove"),$F106="Retain",$H106&lt;&gt;"",ISNA(MATCH($H106,Tables!$B$147:$B$150,0))),
Error!$B$15,
IF(AND($E106="Tier 1",$F106="Remove",$H106&lt;&gt;"",ISNA(MATCH($H106,Tables!$B$143:$B$144,0))),
Error!$B$15,
IF(AND($E106="Tier 1",$F106="Retain",$H106&lt;&gt;"",ISNA(MATCH($H106,Tables!$B$137:$B$140,0))),
Error!$B$15,
IF(AND($E106&lt;&gt;"Tier 2",$E106&lt;&gt;"Tier 2 Grove",$E106&lt;&gt;"Tier 3",$E106&lt;&gt;"Tier 4",$H106="Zoning: Green Factor",OR($D106="",$D106&lt;6)),
Error!$B$11,
IF(AND(_xlpm.baseRow,$D106&lt;6,$E106="&lt;6in DSH for Tree Points",_xlpm.TreePoints_H=0),
Error!$B$21,
IF(AND(_xlpm.baseRow,$E106&lt;&gt;"",$D106&lt;&gt;"",$F106=""),
Error!$B$4,
IF(AND(_xlpm.baseRow,$F106="Remove",OR($E106="Tier 1",$E106="Tier 2",$E106="Tier 2 Grove"),COUNTBLANK(_xlpm.HRange)&lt;3,_xlpm.uniqueH&gt;=2),
Error!$B$48,
IF(AND(_xlpm.baseRow,$F106="Retain",OR($E106="Tier 1",$E106="Tier 2",$E106="Tier 2 Grove"),COUNTIF(_xlpm.HRange,"Tree Code: Required to Retain Tier 1-2 Tree")=0),
Error!$B$47,
IF(AND(_xlpm.baseRow,$E106&lt;&gt;"",$D106&lt;&gt;"",$F106&lt;&gt;"",COUNTBLANK(_xlpm.HRange)=4),
Error!$B$5,
IF(AND($F106="Remove",$H106&lt;&gt;"",$I106=""),
Error!$B$18,
IF(AND($E106="Tier 4",$F106="Remove",$H106="Tree Protection Code: Tier 3 or Tier 4 Allowance",$H106&lt;&gt;"",ISNA(MATCH($I106,Tables!$B$200,0))),
Error!$B$17,
IF(AND($E106="Tier 3",$F106="Remove",$H106&lt;&gt;"",$H106="Tree Protection Code: Tier 3 or Tier 4 Allowance",OR($I106="",ISNA(MATCH($I106,Tables!$B$193:$B$197,0)))),
Error!$B$17,
IF(AND(OR($E106="Tier 2",$E106="Tier 2 Grove"),$F106="Remove",$H106="Tree Protection Code: Other removal allowance or exemption",$I106&lt;&gt;"",ISNA(MATCH($I106,Tables!$B$215:$B$218,0))),
Error!$B$17,
IF(AND(OR($E106="Tier 2",$E106="Tier 2 Grove"),$F106="Remove",$H106="Tree Protection Code: Development Capacity",$I106&lt;&gt;"",ISNA(MATCH($I106,Tables!$B$193:$B$197,0))),
Error!$B$17,
IF(AND(OR($E106="Tier 2",$E106="Tier 2 Grove"),$F106="Remove",$H106="Tree Protection Code: Necessary for Construction",$I106&lt;&gt;"",ISNA(MATCH($I106,Tables!$B$193:$B$197,0))),
Error!$B$17,
IF(AND($E106="Tier 1",$F106="Remove",$H106="Tree Protection Code: Special Exception",$I106&lt;&gt;"",ISNA(MATCH($I106,Tables!$B$215:$B$218,0))),
Error!$B$17,
IF(AND($E106="Tier 1",$F106="Remove",$H106="Tree Protection Code: Other removal allowance or exemption",$I106&lt;&gt;"",ISNA(MATCH($I106,Tables!$B$215:$B$218,0))),
Error!$B$17,
IF(AND($E106="ECA / Shoreline Tree",$F106="Remove",$H106&lt;&gt;"",OR($H106="Shoreline",$H106="Environmental Critical Area (ECA)"),ISNA(MATCH($I106,Tables!$B$209:$B$212,0))),
Error!$B$17,
IF(AND(_xlpm.baseRow,$F106="Retain",$E106="ECA / Shoreline Tree",_xlpm.ECA_Short=0),
Error!$B$61,
IF(AND($F106="Remove",ISNUMBER(MATCH($E106,{"Tier 1","Tier 2","Tier 3","Tier 4","Tier 2 Grove"},0)),ISNUMBER(MATCH($I106,{"On-site replacement","Off-site replacement"},0)),$J106="",$H106&lt;&gt;""),
Error!$B$19,
IF(AND(_xlpm.baseRow,$E106&lt;&gt;"",$D106&lt;&gt;"",$F106&lt;&gt;"",COUNTBLANK($B106:$C106)&gt;0,COUNTBLANK(_xlpm.HRange)&lt;&gt;4),
Error!$B$22,
IF(AND($H106="Zoning: Tree Points",$K106&lt;&gt;"",ISNA(MATCH($K106,Tables!$B$242:$B$253,0))),
Error!$B$58,
IF(AND($H106="Zoning: Tree Points",$K106="Small",$L106&lt;&gt;"",ISNA(MATCH($L106,Tables!$C$243:$C$244,0))),
Error!$B$59,
IF(AND($H106="Zoning: Tree Points",$K106="Small/Medium",$L106&lt;&gt;"",ISNA(MATCH($L106,Tables!$C$246:$C$247,0))),
Error!$B$59,
IF(AND($H106="Zoning: Tree Points",$K106="Medium/Large",$L106&lt;&gt;"",ISNA(MATCH($L106,Tables!$C$249:$C$250,0))),
Error!$B$59,
IF(AND($H106="Zoning: Tree Points",$K106="Large",$L106&lt;&gt;"",ISNA(MATCH($L106,Tables!$C$252:$C$253,0))),
Error!$B$59,
IF(AND($F106="Retain",$H106="Zoning: Tree Points",$C106&lt;&gt;"",$D106&lt;&gt;"",OR($K106="",$L106="",$M106="")),
Error!$B$20,
""
)))))))))))))))))))))))))))))))))))))))))))))))))))))))),
Error!$B$23))</f>
        <v/>
      </c>
      <c r="O106" s="343" t="str" cm="1">
        <f t="array" aca="1" ref="O106" ca="1">IFERROR(_xlfn.LET(
    _xlpm.txt, $C106,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7" spans="1:15" ht="15" thickBot="1" x14ac:dyDescent="0.35">
      <c r="A107" s="311">
        <v>25</v>
      </c>
      <c r="B107" s="312"/>
      <c r="C107" s="313"/>
      <c r="D107" s="478"/>
      <c r="E107" s="314"/>
      <c r="F107" s="314"/>
      <c r="G107" s="315" t="str">
        <f>IF(Tree_Table1[[#This Row],[Tree Status  &amp;]]="Retain", Tables!$B$237, IF(Tree_Table1[[#This Row],[Tree Status  &amp;]]="Remove", Tables!$B$238, ""))</f>
        <v/>
      </c>
      <c r="H107" s="316"/>
      <c r="I107" s="317"/>
      <c r="J107" s="452"/>
      <c r="K107" s="318" t="str">
        <f>IFERROR(
    IF(
        AND($H107="Zoning: Tree Points", NOT(ISNUMBER(SEARCH("sp.", $C107)))),
        VLOOKUP($C107, 'Tree List'!$C$3:$F$601, 4, FALSE),
        ""
    ),
"")</f>
        <v/>
      </c>
      <c r="L107" s="319" t="str" cm="1">
        <f t="array" ref="L107">IFERROR(
IF(
    AND($H107="Zoning: Tree Points", NOT(ISNUMBER(SEARCH("sp.", $C107)))),
    _xlfn.IFS(
        (COUNTIFS('Tree List'!$C$3:$C$601,$C107,'Tree List'!$D$3:$D$601,"Coniferous")
        + COUNTIFS('Tree List'!$C$3:$C$601,$C107,'Tree List'!$D$3:$D$601,"Deciduous Conifer")) &gt; 0,
            _xlfn.IFS($K107="Small",0.5,$K107="Small/Medium",1,$K107="Medium/Large",1.4,$K107="Large",1.8),
        (COUNTIFS('Tree List'!$C$3:$C$601,$C107,'Tree List'!$D$3:$D$601,"Deciduous")
        + COUNTIFS('Tree List'!$C$3:$C$601,$C107,'Tree List'!$D$3:$D$601,"Broadleaf Evergreen")) &gt; 0,
            _xlfn.IFS($K107="Small",0.4,$K107="Small/Medium",0.8,$K107="Medium/Large",1.2,$K107="Large",1.6)
    ),
    ""
),
"")</f>
        <v/>
      </c>
      <c r="M107" s="474" t="str">
        <f t="shared" si="0"/>
        <v/>
      </c>
      <c r="N107" s="620" t="str" cm="1">
        <f t="array" aca="1" ref="N10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IF(AND(_xlpm.baseRow,ISNA(MATCH($C107,'Tree List'!$C$3:$C$601,0)),SUMPRODUCT(--ISNUMBER(SEARCH(Tables2!$C$677:$C$772,$O107)))&gt;0),
Error!$B$57,
IF(AND(_xlpm.hasDM,$F107="Remove",$H107&lt;&gt;"",OR($I107="On-site replacement",$I107="Off-site replacement",$I107="Payment In Lieu")),
Error!$B$56,
IF(AND(_xlpm.hasDM,$F107="Remove",$H107&lt;&gt;"",$I107="Relocation"),
Error!$B$66,
IF(AND(OR(_xlpm.hasCN,_xlpm.hasPH,_xlpm.hasGR),$H107&lt;&gt;"",COUNTIF(Tables!$B$132:$B$134,$H107)&gt;0,$I107="N/A (No replacement required)"),
Error!$B$62,
IF(AND(_xlpm.baseRow,$E107&lt;&gt;"",ISNA(MATCH($E107,Tables!$B$225:$B$232,0))),
Error!$B$2,
IF(AND(_xlpm.baseRow,$F107&lt;&gt;"",ISNA(MATCH($F107,Tables!$B$234:$B$235,0))),
Error!$B$24,
IF(AND(_xlpm.baseRow,_xlpm.ECA_H&gt;0,_xlpm.Shore_H&gt;0),
Error!$B$16,
IF(AND(_xlpm.baseRow,$E107&lt;&gt;"",$D107=""),
Error!$B$3,
IF(AND(_xlpm.baseRow,OR($E107="Tier 3",$E107="Tier 4"),$C107&lt;&gt;"",$D107&gt;=24,COUNTIF(Tables2!$B$166:$B$674,$C107)&gt;0),
Error!$B$44,
IF(AND(_xlpm.baseRow,OR($E107="Tier 3",$E107="Tier 4"),$C107&lt;&gt;"",$D107&lt;&gt;"",COUNTIF(Tables2!$B$73:$B$152,$C107)&gt;0,
$D107&gt;=IFERROR(INDEX(Tables2!$C$73:$C$152,MATCH($C107,Tables2!$B$73:$B$152,0)),-1)),
Error!$B$44,
IF(AND(_xlpm.baseRow,OR($E107="Tier 2",$E107="Tier 2 Grove"),$C107&lt;&gt;"",$D107&gt;=12,COUNTIF(Tables2!$B$153:$B$162,$C107)&gt;0),
Error!$B$45,
IF(AND(_xlpm.baseRow,$E107="Tier 2 Grove",$D107&lt;12),
Error!$B$41,
IF(AND(_xlpm.baseRow,$E107="Tier 2",$D107&lt;5.88),
Error!$B$40,
IF(AND(_xlpm.baseRow,OR($E107="Tier 2",$E107="Tier 2 Grove"),$C107&lt;&gt;"",$D107&lt;12,$D107&gt;=6,COUNTIF(Tables2!$B$153:$B$162,$C107)&gt;0),
Error!$B$54,
IF(AND(_xlpm.baseRow,$E107="Tier 2",COUNTIF(Tables2!$B$166:$B$674,$C107)&gt;0,$D107&lt;24),
Error!$B$54,
IF(AND(_xlpm.baseRow,$E107="Tier 3",ISNA(MATCH($C107,Tables2!$B$153:$B$162,0)),OR($D107&lt;12,$D107&gt;=24)),
Error!$B$9,
IF(AND(_xlpm.baseRow,$E107="Tier 3",COUNTIF(Tables2!$B$153:$B$162,$C107)&gt;0,$D107&lt;12),
Error!$B$46,
IF(AND(_xlpm.baseRow,$E107="Tier 4",OR($D107&lt;6,$D107&gt;=12)),
Error!$B$10,
IF(AND(_xlpm.baseRow,$E107="&lt;6in DSH for Tree Points",OR($D107&gt;=6,$D107="")),
Error!$B$8,
IF(AND(_xlpm.baseRow,$E107="Street Tree for Green Factor",$F107&lt;&gt;"",$F107&lt;&gt;"Retain"),
Error!$B$14,
IF(AND($E107="&lt;6in DSH for Tree Points",$F107="Retain",$H107&lt;&gt;"",ISNA(MATCH($H107,Tables!$B$174:$B$174,0))),
Error!$B$15,
IF(AND($E107="Street Tree for Green Factor",$F107="Retain",$H107&lt;&gt;"",$H107&lt;&gt;"Zoning: Green Factor"),
Error!$B$15,
IF(AND($E107="ECA / Shoreline Tree",$F107="Remove",$H107&lt;&gt;"",ISNA(MATCH($H107,Tables!$B$189:$B$190,0))),
Error!$B$15,
IF(AND($E107="ECA / Shoreline Tree",$F107="Retain",$H107&lt;&gt;"",ISNA(MATCH($H107,Tables!$B$184:$B$186,0))),
Error!$B$15,
IF(AND($E107="Tier 4",$F107="Remove",$H107&lt;&gt;"",ISNA(MATCH($H107,Tables!$B$171,0))),
Error!$B$15,
IF(AND($E107="Tier 4",$F107="Retain",$H107&lt;&gt;"",ISNA(MATCH($H107,Tables!$B$166:$B$168,0))),
Error!$B$15,
IF(AND($E107="Tier 3",$F107="Retain",$H107&lt;&gt;"",ISNA(MATCH($H107,Tables!$B$158:$B$160,0))),
Error!$B$15,
IF(AND($E107="Tier 3",$F107="Remove",$H107&lt;&gt;"",ISNA(MATCH($H107,Tables!$B$163,0))),
Error!$B$15,
IF(AND(OR($E107="Tier 2",$E107="Tier 2 Grove"),$F107="Remove",$H107&lt;&gt;"",ISNA(MATCH($H107,Tables!$B$153:$B$155,0))),
Error!$B$15,
IF(AND(OR($E107="Tier 2",$E107="Tier 2 Grove"),$F107="Retain",$H107&lt;&gt;"",ISNA(MATCH($H107,Tables!$B$147:$B$150,0))),
Error!$B$15,
IF(AND($E107="Tier 1",$F107="Remove",$H107&lt;&gt;"",ISNA(MATCH($H107,Tables!$B$143:$B$144,0))),
Error!$B$15,
IF(AND($E107="Tier 1",$F107="Retain",$H107&lt;&gt;"",ISNA(MATCH($H107,Tables!$B$137:$B$140,0))),
Error!$B$15,
IF(AND($E107&lt;&gt;"Tier 2",$E107&lt;&gt;"Tier 2 Grove",$E107&lt;&gt;"Tier 3",$E107&lt;&gt;"Tier 4",$H107="Zoning: Green Factor",OR($D107="",$D107&lt;6)),
Error!$B$11,
IF(AND(_xlpm.baseRow,$D107&lt;6,$E107="&lt;6in DSH for Tree Points",_xlpm.TreePoints_H=0),
Error!$B$21,
IF(AND(_xlpm.baseRow,$E107&lt;&gt;"",$D107&lt;&gt;"",$F107=""),
Error!$B$4,
IF(AND(_xlpm.baseRow,$F107="Remove",OR($E107="Tier 1",$E107="Tier 2",$E107="Tier 2 Grove"),COUNTBLANK(_xlpm.HRange)&lt;3,_xlpm.uniqueH&gt;=2),
Error!$B$48,
IF(AND(_xlpm.baseRow,$F107="Retain",OR($E107="Tier 1",$E107="Tier 2",$E107="Tier 2 Grove"),COUNTIF(_xlpm.HRange,"Tree Code: Required to Retain Tier 1-2 Tree")=0),
Error!$B$47,
IF(AND(_xlpm.baseRow,$E107&lt;&gt;"",$D107&lt;&gt;"",$F107&lt;&gt;"",COUNTBLANK(_xlpm.HRange)=4),
Error!$B$5,
IF(AND($F107="Remove",$H107&lt;&gt;"",$I107=""),
Error!$B$18,
IF(AND($E107="Tier 4",$F107="Remove",$H107="Tree Protection Code: Tier 3 or Tier 4 Allowance",$H107&lt;&gt;"",ISNA(MATCH($I107,Tables!$B$200,0))),
Error!$B$17,
IF(AND($E107="Tier 3",$F107="Remove",$H107&lt;&gt;"",$H107="Tree Protection Code: Tier 3 or Tier 4 Allowance",OR($I107="",ISNA(MATCH($I107,Tables!$B$193:$B$197,0)))),
Error!$B$17,
IF(AND(OR($E107="Tier 2",$E107="Tier 2 Grove"),$F107="Remove",$H107="Tree Protection Code: Other removal allowance or exemption",$I107&lt;&gt;"",ISNA(MATCH($I107,Tables!$B$215:$B$218,0))),
Error!$B$17,
IF(AND(OR($E107="Tier 2",$E107="Tier 2 Grove"),$F107="Remove",$H107="Tree Protection Code: Development Capacity",$I107&lt;&gt;"",ISNA(MATCH($I107,Tables!$B$193:$B$197,0))),
Error!$B$17,
IF(AND(OR($E107="Tier 2",$E107="Tier 2 Grove"),$F107="Remove",$H107="Tree Protection Code: Necessary for Construction",$I107&lt;&gt;"",ISNA(MATCH($I107,Tables!$B$193:$B$197,0))),
Error!$B$17,
IF(AND($E107="Tier 1",$F107="Remove",$H107="Tree Protection Code: Special Exception",$I107&lt;&gt;"",ISNA(MATCH($I107,Tables!$B$215:$B$218,0))),
Error!$B$17,
IF(AND($E107="Tier 1",$F107="Remove",$H107="Tree Protection Code: Other removal allowance or exemption",$I107&lt;&gt;"",ISNA(MATCH($I107,Tables!$B$215:$B$218,0))),
Error!$B$17,
IF(AND($E107="ECA / Shoreline Tree",$F107="Remove",$H107&lt;&gt;"",OR($H107="Shoreline",$H107="Environmental Critical Area (ECA)"),ISNA(MATCH($I107,Tables!$B$209:$B$212,0))),
Error!$B$17,
IF(AND(_xlpm.baseRow,$F107="Retain",$E107="ECA / Shoreline Tree",_xlpm.ECA_Short=0),
Error!$B$61,
IF(AND($F107="Remove",ISNUMBER(MATCH($E107,{"Tier 1","Tier 2","Tier 3","Tier 4","Tier 2 Grove"},0)),ISNUMBER(MATCH($I107,{"On-site replacement","Off-site replacement"},0)),$J107="",$H107&lt;&gt;""),
Error!$B$19,
IF(AND(_xlpm.baseRow,$E107&lt;&gt;"",$D107&lt;&gt;"",$F107&lt;&gt;"",COUNTBLANK($B107:$C107)&gt;0,COUNTBLANK(_xlpm.HRange)&lt;&gt;4),
Error!$B$22,
IF(AND($H107="Zoning: Tree Points",$K107&lt;&gt;"",ISNA(MATCH($K107,Tables!$B$242:$B$253,0))),
Error!$B$58,
IF(AND($H107="Zoning: Tree Points",$K107="Small",$L107&lt;&gt;"",ISNA(MATCH($L107,Tables!$C$243:$C$244,0))),
Error!$B$59,
IF(AND($H107="Zoning: Tree Points",$K107="Small/Medium",$L107&lt;&gt;"",ISNA(MATCH($L107,Tables!$C$246:$C$247,0))),
Error!$B$59,
IF(AND($H107="Zoning: Tree Points",$K107="Medium/Large",$L107&lt;&gt;"",ISNA(MATCH($L107,Tables!$C$249:$C$250,0))),
Error!$B$59,
IF(AND($H107="Zoning: Tree Points",$K107="Large",$L107&lt;&gt;"",ISNA(MATCH($L107,Tables!$C$252:$C$253,0))),
Error!$B$59,
IF(AND($F107="Retain",$H107="Zoning: Tree Points",$C107&lt;&gt;"",$D107&lt;&gt;"",OR($K107="",$L107="",$M107="")),
Error!$B$20,
""
)))))))))))))))))))))))))))))))))))))))))))))))))))))))),
Error!$B$23))</f>
        <v/>
      </c>
      <c r="O107" s="343" t="str" cm="1">
        <f t="array" aca="1" ref="O107" ca="1">IFERROR(_xlfn.LET(
    _xlpm.txt, $C107,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8" spans="1:15" x14ac:dyDescent="0.3">
      <c r="A108" s="320"/>
      <c r="B108" s="616" t="str">
        <f t="shared" ref="B108:B110" si="78">IF($B107="", "", $B107)</f>
        <v/>
      </c>
      <c r="C108" s="617" t="str">
        <f t="shared" ref="C108:C110" si="79">IF($C107="", "", $C107)</f>
        <v/>
      </c>
      <c r="D108" s="618" t="str">
        <f t="shared" ref="D108:D110" si="80">IF($D107="", "", $D107)</f>
        <v/>
      </c>
      <c r="E108" s="616" t="str">
        <f t="shared" ref="E108:E110" si="81">IF($E107="", "", $E107)</f>
        <v/>
      </c>
      <c r="F108" s="616" t="str">
        <f t="shared" ref="F108:F110" si="82">IF($F107="", "", $F107)</f>
        <v/>
      </c>
      <c r="G108" s="619" t="str">
        <f>IF(Tree_Table1[[#This Row],[Tree Status  &amp;]]="Retain", Tables!$B$237, IF(Tree_Table1[[#This Row],[Tree Status  &amp;]]="Remove", Tables!$B$238, ""))</f>
        <v/>
      </c>
      <c r="H108" s="321"/>
      <c r="I108" s="322"/>
      <c r="J108" s="453"/>
      <c r="K108" s="323" t="str">
        <f>IFERROR(
    IF(
        AND($H108="Zoning: Tree Points", NOT(ISNUMBER(SEARCH("sp.", $C108)))),
        VLOOKUP($C108, 'Tree List'!$C$3:$F$601, 4, FALSE),
        ""
    ),
"")</f>
        <v/>
      </c>
      <c r="L108" s="324" t="str" cm="1">
        <f t="array" ref="L108">IFERROR(
IF(
    AND($H108="Zoning: Tree Points", NOT(ISNUMBER(SEARCH("sp.", $C108)))),
    _xlfn.IFS(
        (COUNTIFS('Tree List'!$C$3:$C$601,$C108,'Tree List'!$D$3:$D$601,"Coniferous")
        + COUNTIFS('Tree List'!$C$3:$C$601,$C108,'Tree List'!$D$3:$D$601,"Deciduous Conifer")) &gt; 0,
            _xlfn.IFS($K108="Small",0.5,$K108="Small/Medium",1,$K108="Medium/Large",1.4,$K108="Large",1.8),
        (COUNTIFS('Tree List'!$C$3:$C$601,$C108,'Tree List'!$D$3:$D$601,"Deciduous")
        + COUNTIFS('Tree List'!$C$3:$C$601,$C108,'Tree List'!$D$3:$D$601,"Broadleaf Evergreen")) &gt; 0,
            _xlfn.IFS($K108="Small",0.4,$K108="Small/Medium",0.8,$K108="Medium/Large",1.2,$K108="Large",1.6)
    ),
    ""
),
"")</f>
        <v/>
      </c>
      <c r="M108" s="475" t="str">
        <f t="shared" si="0"/>
        <v/>
      </c>
      <c r="N108" s="346" t="str" cm="1">
        <f t="array" aca="1" ref="N10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IF(AND(_xlpm.baseRow,ISNA(MATCH($C108,'Tree List'!$C$3:$C$601,0)),SUMPRODUCT(--ISNUMBER(SEARCH(Tables2!$C$677:$C$772,$O108)))&gt;0),
Error!$B$57,
IF(AND(_xlpm.hasDM,$F108="Remove",$H108&lt;&gt;"",OR($I108="On-site replacement",$I108="Off-site replacement",$I108="Payment In Lieu")),
Error!$B$56,
IF(AND(_xlpm.hasDM,$F108="Remove",$H108&lt;&gt;"",$I108="Relocation"),
Error!$B$66,
IF(AND(OR(_xlpm.hasCN,_xlpm.hasPH,_xlpm.hasGR),$H108&lt;&gt;"",COUNTIF(Tables!$B$132:$B$134,$H108)&gt;0,$I108="N/A (No replacement required)"),
Error!$B$62,
IF(AND(_xlpm.baseRow,$E108&lt;&gt;"",ISNA(MATCH($E108,Tables!$B$225:$B$232,0))),
Error!$B$2,
IF(AND(_xlpm.baseRow,$F108&lt;&gt;"",ISNA(MATCH($F108,Tables!$B$234:$B$235,0))),
Error!$B$24,
IF(AND(_xlpm.baseRow,_xlpm.ECA_H&gt;0,_xlpm.Shore_H&gt;0),
Error!$B$16,
IF(AND(_xlpm.baseRow,$E108&lt;&gt;"",$D108=""),
Error!$B$3,
IF(AND(_xlpm.baseRow,OR($E108="Tier 3",$E108="Tier 4"),$C108&lt;&gt;"",$D108&gt;=24,COUNTIF(Tables2!$B$166:$B$674,$C108)&gt;0),
Error!$B$44,
IF(AND(_xlpm.baseRow,OR($E108="Tier 3",$E108="Tier 4"),$C108&lt;&gt;"",$D108&lt;&gt;"",COUNTIF(Tables2!$B$73:$B$152,$C108)&gt;0,
$D108&gt;=IFERROR(INDEX(Tables2!$C$73:$C$152,MATCH($C108,Tables2!$B$73:$B$152,0)),-1)),
Error!$B$44,
IF(AND(_xlpm.baseRow,OR($E108="Tier 2",$E108="Tier 2 Grove"),$C108&lt;&gt;"",$D108&gt;=12,COUNTIF(Tables2!$B$153:$B$162,$C108)&gt;0),
Error!$B$45,
IF(AND(_xlpm.baseRow,$E108="Tier 2 Grove",$D108&lt;12),
Error!$B$41,
IF(AND(_xlpm.baseRow,$E108="Tier 2",$D108&lt;5.88),
Error!$B$40,
IF(AND(_xlpm.baseRow,OR($E108="Tier 2",$E108="Tier 2 Grove"),$C108&lt;&gt;"",$D108&lt;12,$D108&gt;=6,COUNTIF(Tables2!$B$153:$B$162,$C108)&gt;0),
Error!$B$54,
IF(AND(_xlpm.baseRow,$E108="Tier 2",COUNTIF(Tables2!$B$166:$B$674,$C108)&gt;0,$D108&lt;24),
Error!$B$54,
IF(AND(_xlpm.baseRow,$E108="Tier 3",ISNA(MATCH($C108,Tables2!$B$153:$B$162,0)),OR($D108&lt;12,$D108&gt;=24)),
Error!$B$9,
IF(AND(_xlpm.baseRow,$E108="Tier 3",COUNTIF(Tables2!$B$153:$B$162,$C108)&gt;0,$D108&lt;12),
Error!$B$46,
IF(AND(_xlpm.baseRow,$E108="Tier 4",OR($D108&lt;6,$D108&gt;=12)),
Error!$B$10,
IF(AND(_xlpm.baseRow,$E108="&lt;6in DSH for Tree Points",OR($D108&gt;=6,$D108="")),
Error!$B$8,
IF(AND(_xlpm.baseRow,$E108="Street Tree for Green Factor",$F108&lt;&gt;"",$F108&lt;&gt;"Retain"),
Error!$B$14,
IF(AND($E108="&lt;6in DSH for Tree Points",$F108="Retain",$H108&lt;&gt;"",ISNA(MATCH($H108,Tables!$B$174:$B$174,0))),
Error!$B$15,
IF(AND($E108="Street Tree for Green Factor",$F108="Retain",$H108&lt;&gt;"",$H108&lt;&gt;"Zoning: Green Factor"),
Error!$B$15,
IF(AND($E108="ECA / Shoreline Tree",$F108="Remove",$H108&lt;&gt;"",ISNA(MATCH($H108,Tables!$B$189:$B$190,0))),
Error!$B$15,
IF(AND($E108="ECA / Shoreline Tree",$F108="Retain",$H108&lt;&gt;"",ISNA(MATCH($H108,Tables!$B$184:$B$186,0))),
Error!$B$15,
IF(AND($E108="Tier 4",$F108="Remove",$H108&lt;&gt;"",ISNA(MATCH($H108,Tables!$B$171,0))),
Error!$B$15,
IF(AND($E108="Tier 4",$F108="Retain",$H108&lt;&gt;"",ISNA(MATCH($H108,Tables!$B$166:$B$168,0))),
Error!$B$15,
IF(AND($E108="Tier 3",$F108="Retain",$H108&lt;&gt;"",ISNA(MATCH($H108,Tables!$B$158:$B$160,0))),
Error!$B$15,
IF(AND($E108="Tier 3",$F108="Remove",$H108&lt;&gt;"",ISNA(MATCH($H108,Tables!$B$163,0))),
Error!$B$15,
IF(AND(OR($E108="Tier 2",$E108="Tier 2 Grove"),$F108="Remove",$H108&lt;&gt;"",ISNA(MATCH($H108,Tables!$B$153:$B$155,0))),
Error!$B$15,
IF(AND(OR($E108="Tier 2",$E108="Tier 2 Grove"),$F108="Retain",$H108&lt;&gt;"",ISNA(MATCH($H108,Tables!$B$147:$B$150,0))),
Error!$B$15,
IF(AND($E108="Tier 1",$F108="Remove",$H108&lt;&gt;"",ISNA(MATCH($H108,Tables!$B$143:$B$144,0))),
Error!$B$15,
IF(AND($E108="Tier 1",$F108="Retain",$H108&lt;&gt;"",ISNA(MATCH($H108,Tables!$B$137:$B$140,0))),
Error!$B$15,
IF(AND($E108&lt;&gt;"Tier 2",$E108&lt;&gt;"Tier 2 Grove",$E108&lt;&gt;"Tier 3",$E108&lt;&gt;"Tier 4",$H108="Zoning: Green Factor",OR($D108="",$D108&lt;6)),
Error!$B$11,
IF(AND(_xlpm.baseRow,$D108&lt;6,$E108="&lt;6in DSH for Tree Points",_xlpm.TreePoints_H=0),
Error!$B$21,
IF(AND(_xlpm.baseRow,$E108&lt;&gt;"",$D108&lt;&gt;"",$F108=""),
Error!$B$4,
IF(AND(_xlpm.baseRow,$F108="Remove",OR($E108="Tier 1",$E108="Tier 2",$E108="Tier 2 Grove"),COUNTBLANK(_xlpm.HRange)&lt;3,_xlpm.uniqueH&gt;=2),
Error!$B$48,
IF(AND(_xlpm.baseRow,$F108="Retain",OR($E108="Tier 1",$E108="Tier 2",$E108="Tier 2 Grove"),COUNTIF(_xlpm.HRange,"Tree Code: Required to Retain Tier 1-2 Tree")=0),
Error!$B$47,
IF(AND(_xlpm.baseRow,$E108&lt;&gt;"",$D108&lt;&gt;"",$F108&lt;&gt;"",COUNTBLANK(_xlpm.HRange)=4),
Error!$B$5,
IF(AND($F108="Remove",$H108&lt;&gt;"",$I108=""),
Error!$B$18,
IF(AND($E108="Tier 4",$F108="Remove",$H108="Tree Protection Code: Tier 3 or Tier 4 Allowance",$H108&lt;&gt;"",ISNA(MATCH($I108,Tables!$B$200,0))),
Error!$B$17,
IF(AND($E108="Tier 3",$F108="Remove",$H108&lt;&gt;"",$H108="Tree Protection Code: Tier 3 or Tier 4 Allowance",OR($I108="",ISNA(MATCH($I108,Tables!$B$193:$B$197,0)))),
Error!$B$17,
IF(AND(OR($E108="Tier 2",$E108="Tier 2 Grove"),$F108="Remove",$H108="Tree Protection Code: Other removal allowance or exemption",$I108&lt;&gt;"",ISNA(MATCH($I108,Tables!$B$215:$B$218,0))),
Error!$B$17,
IF(AND(OR($E108="Tier 2",$E108="Tier 2 Grove"),$F108="Remove",$H108="Tree Protection Code: Development Capacity",$I108&lt;&gt;"",ISNA(MATCH($I108,Tables!$B$193:$B$197,0))),
Error!$B$17,
IF(AND(OR($E108="Tier 2",$E108="Tier 2 Grove"),$F108="Remove",$H108="Tree Protection Code: Necessary for Construction",$I108&lt;&gt;"",ISNA(MATCH($I108,Tables!$B$193:$B$197,0))),
Error!$B$17,
IF(AND($E108="Tier 1",$F108="Remove",$H108="Tree Protection Code: Special Exception",$I108&lt;&gt;"",ISNA(MATCH($I108,Tables!$B$215:$B$218,0))),
Error!$B$17,
IF(AND($E108="Tier 1",$F108="Remove",$H108="Tree Protection Code: Other removal allowance or exemption",$I108&lt;&gt;"",ISNA(MATCH($I108,Tables!$B$215:$B$218,0))),
Error!$B$17,
IF(AND($E108="ECA / Shoreline Tree",$F108="Remove",$H108&lt;&gt;"",OR($H108="Shoreline",$H108="Environmental Critical Area (ECA)"),ISNA(MATCH($I108,Tables!$B$209:$B$212,0))),
Error!$B$17,
IF(AND(_xlpm.baseRow,$F108="Retain",$E108="ECA / Shoreline Tree",_xlpm.ECA_Short=0),
Error!$B$61,
IF(AND($F108="Remove",ISNUMBER(MATCH($E108,{"Tier 1","Tier 2","Tier 3","Tier 4","Tier 2 Grove"},0)),ISNUMBER(MATCH($I108,{"On-site replacement","Off-site replacement"},0)),$J108="",$H108&lt;&gt;""),
Error!$B$19,
IF(AND(_xlpm.baseRow,$E108&lt;&gt;"",$D108&lt;&gt;"",$F108&lt;&gt;"",COUNTBLANK($B108:$C108)&gt;0,COUNTBLANK(_xlpm.HRange)&lt;&gt;4),
Error!$B$22,
IF(AND($H108="Zoning: Tree Points",$K108&lt;&gt;"",ISNA(MATCH($K108,Tables!$B$242:$B$253,0))),
Error!$B$58,
IF(AND($H108="Zoning: Tree Points",$K108="Small",$L108&lt;&gt;"",ISNA(MATCH($L108,Tables!$C$243:$C$244,0))),
Error!$B$59,
IF(AND($H108="Zoning: Tree Points",$K108="Small/Medium",$L108&lt;&gt;"",ISNA(MATCH($L108,Tables!$C$246:$C$247,0))),
Error!$B$59,
IF(AND($H108="Zoning: Tree Points",$K108="Medium/Large",$L108&lt;&gt;"",ISNA(MATCH($L108,Tables!$C$249:$C$250,0))),
Error!$B$59,
IF(AND($H108="Zoning: Tree Points",$K108="Large",$L108&lt;&gt;"",ISNA(MATCH($L108,Tables!$C$252:$C$253,0))),
Error!$B$59,
IF(AND($F108="Retain",$H108="Zoning: Tree Points",$C108&lt;&gt;"",$D108&lt;&gt;"",OR($K108="",$L108="",$M108="")),
Error!$B$20,
""
)))))))))))))))))))))))))))))))))))))))))))))))))))))))),
Error!$B$23))</f>
        <v/>
      </c>
      <c r="O108" s="343" t="str" cm="1">
        <f t="array" aca="1" ref="O108" ca="1">IFERROR(_xlfn.LET(
    _xlpm.txt, $C108,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9" spans="1:15" x14ac:dyDescent="0.3">
      <c r="A109" s="320"/>
      <c r="B109" s="616" t="str">
        <f t="shared" si="78"/>
        <v/>
      </c>
      <c r="C109" s="617" t="str">
        <f t="shared" si="79"/>
        <v/>
      </c>
      <c r="D109" s="618" t="str">
        <f t="shared" si="80"/>
        <v/>
      </c>
      <c r="E109" s="616" t="str">
        <f t="shared" si="81"/>
        <v/>
      </c>
      <c r="F109" s="616" t="str">
        <f t="shared" si="82"/>
        <v/>
      </c>
      <c r="G109" s="619" t="str">
        <f>IF(Tree_Table1[[#This Row],[Tree Status  &amp;]]="Retain", Tables!$B$237, IF(Tree_Table1[[#This Row],[Tree Status  &amp;]]="Remove", Tables!$B$238, ""))</f>
        <v/>
      </c>
      <c r="H109" s="321"/>
      <c r="I109" s="322"/>
      <c r="J109" s="453"/>
      <c r="K109" s="323" t="str">
        <f>IFERROR(
    IF(
        AND($H109="Zoning: Tree Points", NOT(ISNUMBER(SEARCH("sp.", $C109)))),
        VLOOKUP($C109, 'Tree List'!$C$3:$F$601, 4, FALSE),
        ""
    ),
"")</f>
        <v/>
      </c>
      <c r="L109" s="324" t="str" cm="1">
        <f t="array" ref="L109">IFERROR(
IF(
    AND($H109="Zoning: Tree Points", NOT(ISNUMBER(SEARCH("sp.", $C109)))),
    _xlfn.IFS(
        (COUNTIFS('Tree List'!$C$3:$C$601,$C109,'Tree List'!$D$3:$D$601,"Coniferous")
        + COUNTIFS('Tree List'!$C$3:$C$601,$C109,'Tree List'!$D$3:$D$601,"Deciduous Conifer")) &gt; 0,
            _xlfn.IFS($K109="Small",0.5,$K109="Small/Medium",1,$K109="Medium/Large",1.4,$K109="Large",1.8),
        (COUNTIFS('Tree List'!$C$3:$C$601,$C109,'Tree List'!$D$3:$D$601,"Deciduous")
        + COUNTIFS('Tree List'!$C$3:$C$601,$C109,'Tree List'!$D$3:$D$601,"Broadleaf Evergreen")) &gt; 0,
            _xlfn.IFS($K109="Small",0.4,$K109="Small/Medium",0.8,$K109="Medium/Large",1.2,$K109="Large",1.6)
    ),
    ""
),
"")</f>
        <v/>
      </c>
      <c r="M109" s="475" t="str">
        <f t="shared" si="0"/>
        <v/>
      </c>
      <c r="N109" s="346" t="str" cm="1">
        <f t="array" aca="1" ref="N10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IF(AND(_xlpm.baseRow,ISNA(MATCH($C109,'Tree List'!$C$3:$C$601,0)),SUMPRODUCT(--ISNUMBER(SEARCH(Tables2!$C$677:$C$772,$O109)))&gt;0),
Error!$B$57,
IF(AND(_xlpm.hasDM,$F109="Remove",$H109&lt;&gt;"",OR($I109="On-site replacement",$I109="Off-site replacement",$I109="Payment In Lieu")),
Error!$B$56,
IF(AND(_xlpm.hasDM,$F109="Remove",$H109&lt;&gt;"",$I109="Relocation"),
Error!$B$66,
IF(AND(OR(_xlpm.hasCN,_xlpm.hasPH,_xlpm.hasGR),$H109&lt;&gt;"",COUNTIF(Tables!$B$132:$B$134,$H109)&gt;0,$I109="N/A (No replacement required)"),
Error!$B$62,
IF(AND(_xlpm.baseRow,$E109&lt;&gt;"",ISNA(MATCH($E109,Tables!$B$225:$B$232,0))),
Error!$B$2,
IF(AND(_xlpm.baseRow,$F109&lt;&gt;"",ISNA(MATCH($F109,Tables!$B$234:$B$235,0))),
Error!$B$24,
IF(AND(_xlpm.baseRow,_xlpm.ECA_H&gt;0,_xlpm.Shore_H&gt;0),
Error!$B$16,
IF(AND(_xlpm.baseRow,$E109&lt;&gt;"",$D109=""),
Error!$B$3,
IF(AND(_xlpm.baseRow,OR($E109="Tier 3",$E109="Tier 4"),$C109&lt;&gt;"",$D109&gt;=24,COUNTIF(Tables2!$B$166:$B$674,$C109)&gt;0),
Error!$B$44,
IF(AND(_xlpm.baseRow,OR($E109="Tier 3",$E109="Tier 4"),$C109&lt;&gt;"",$D109&lt;&gt;"",COUNTIF(Tables2!$B$73:$B$152,$C109)&gt;0,
$D109&gt;=IFERROR(INDEX(Tables2!$C$73:$C$152,MATCH($C109,Tables2!$B$73:$B$152,0)),-1)),
Error!$B$44,
IF(AND(_xlpm.baseRow,OR($E109="Tier 2",$E109="Tier 2 Grove"),$C109&lt;&gt;"",$D109&gt;=12,COUNTIF(Tables2!$B$153:$B$162,$C109)&gt;0),
Error!$B$45,
IF(AND(_xlpm.baseRow,$E109="Tier 2 Grove",$D109&lt;12),
Error!$B$41,
IF(AND(_xlpm.baseRow,$E109="Tier 2",$D109&lt;5.88),
Error!$B$40,
IF(AND(_xlpm.baseRow,OR($E109="Tier 2",$E109="Tier 2 Grove"),$C109&lt;&gt;"",$D109&lt;12,$D109&gt;=6,COUNTIF(Tables2!$B$153:$B$162,$C109)&gt;0),
Error!$B$54,
IF(AND(_xlpm.baseRow,$E109="Tier 2",COUNTIF(Tables2!$B$166:$B$674,$C109)&gt;0,$D109&lt;24),
Error!$B$54,
IF(AND(_xlpm.baseRow,$E109="Tier 3",ISNA(MATCH($C109,Tables2!$B$153:$B$162,0)),OR($D109&lt;12,$D109&gt;=24)),
Error!$B$9,
IF(AND(_xlpm.baseRow,$E109="Tier 3",COUNTIF(Tables2!$B$153:$B$162,$C109)&gt;0,$D109&lt;12),
Error!$B$46,
IF(AND(_xlpm.baseRow,$E109="Tier 4",OR($D109&lt;6,$D109&gt;=12)),
Error!$B$10,
IF(AND(_xlpm.baseRow,$E109="&lt;6in DSH for Tree Points",OR($D109&gt;=6,$D109="")),
Error!$B$8,
IF(AND(_xlpm.baseRow,$E109="Street Tree for Green Factor",$F109&lt;&gt;"",$F109&lt;&gt;"Retain"),
Error!$B$14,
IF(AND($E109="&lt;6in DSH for Tree Points",$F109="Retain",$H109&lt;&gt;"",ISNA(MATCH($H109,Tables!$B$174:$B$174,0))),
Error!$B$15,
IF(AND($E109="Street Tree for Green Factor",$F109="Retain",$H109&lt;&gt;"",$H109&lt;&gt;"Zoning: Green Factor"),
Error!$B$15,
IF(AND($E109="ECA / Shoreline Tree",$F109="Remove",$H109&lt;&gt;"",ISNA(MATCH($H109,Tables!$B$189:$B$190,0))),
Error!$B$15,
IF(AND($E109="ECA / Shoreline Tree",$F109="Retain",$H109&lt;&gt;"",ISNA(MATCH($H109,Tables!$B$184:$B$186,0))),
Error!$B$15,
IF(AND($E109="Tier 4",$F109="Remove",$H109&lt;&gt;"",ISNA(MATCH($H109,Tables!$B$171,0))),
Error!$B$15,
IF(AND($E109="Tier 4",$F109="Retain",$H109&lt;&gt;"",ISNA(MATCH($H109,Tables!$B$166:$B$168,0))),
Error!$B$15,
IF(AND($E109="Tier 3",$F109="Retain",$H109&lt;&gt;"",ISNA(MATCH($H109,Tables!$B$158:$B$160,0))),
Error!$B$15,
IF(AND($E109="Tier 3",$F109="Remove",$H109&lt;&gt;"",ISNA(MATCH($H109,Tables!$B$163,0))),
Error!$B$15,
IF(AND(OR($E109="Tier 2",$E109="Tier 2 Grove"),$F109="Remove",$H109&lt;&gt;"",ISNA(MATCH($H109,Tables!$B$153:$B$155,0))),
Error!$B$15,
IF(AND(OR($E109="Tier 2",$E109="Tier 2 Grove"),$F109="Retain",$H109&lt;&gt;"",ISNA(MATCH($H109,Tables!$B$147:$B$150,0))),
Error!$B$15,
IF(AND($E109="Tier 1",$F109="Remove",$H109&lt;&gt;"",ISNA(MATCH($H109,Tables!$B$143:$B$144,0))),
Error!$B$15,
IF(AND($E109="Tier 1",$F109="Retain",$H109&lt;&gt;"",ISNA(MATCH($H109,Tables!$B$137:$B$140,0))),
Error!$B$15,
IF(AND($E109&lt;&gt;"Tier 2",$E109&lt;&gt;"Tier 2 Grove",$E109&lt;&gt;"Tier 3",$E109&lt;&gt;"Tier 4",$H109="Zoning: Green Factor",OR($D109="",$D109&lt;6)),
Error!$B$11,
IF(AND(_xlpm.baseRow,$D109&lt;6,$E109="&lt;6in DSH for Tree Points",_xlpm.TreePoints_H=0),
Error!$B$21,
IF(AND(_xlpm.baseRow,$E109&lt;&gt;"",$D109&lt;&gt;"",$F109=""),
Error!$B$4,
IF(AND(_xlpm.baseRow,$F109="Remove",OR($E109="Tier 1",$E109="Tier 2",$E109="Tier 2 Grove"),COUNTBLANK(_xlpm.HRange)&lt;3,_xlpm.uniqueH&gt;=2),
Error!$B$48,
IF(AND(_xlpm.baseRow,$F109="Retain",OR($E109="Tier 1",$E109="Tier 2",$E109="Tier 2 Grove"),COUNTIF(_xlpm.HRange,"Tree Code: Required to Retain Tier 1-2 Tree")=0),
Error!$B$47,
IF(AND(_xlpm.baseRow,$E109&lt;&gt;"",$D109&lt;&gt;"",$F109&lt;&gt;"",COUNTBLANK(_xlpm.HRange)=4),
Error!$B$5,
IF(AND($F109="Remove",$H109&lt;&gt;"",$I109=""),
Error!$B$18,
IF(AND($E109="Tier 4",$F109="Remove",$H109="Tree Protection Code: Tier 3 or Tier 4 Allowance",$H109&lt;&gt;"",ISNA(MATCH($I109,Tables!$B$200,0))),
Error!$B$17,
IF(AND($E109="Tier 3",$F109="Remove",$H109&lt;&gt;"",$H109="Tree Protection Code: Tier 3 or Tier 4 Allowance",OR($I109="",ISNA(MATCH($I109,Tables!$B$193:$B$197,0)))),
Error!$B$17,
IF(AND(OR($E109="Tier 2",$E109="Tier 2 Grove"),$F109="Remove",$H109="Tree Protection Code: Other removal allowance or exemption",$I109&lt;&gt;"",ISNA(MATCH($I109,Tables!$B$215:$B$218,0))),
Error!$B$17,
IF(AND(OR($E109="Tier 2",$E109="Tier 2 Grove"),$F109="Remove",$H109="Tree Protection Code: Development Capacity",$I109&lt;&gt;"",ISNA(MATCH($I109,Tables!$B$193:$B$197,0))),
Error!$B$17,
IF(AND(OR($E109="Tier 2",$E109="Tier 2 Grove"),$F109="Remove",$H109="Tree Protection Code: Necessary for Construction",$I109&lt;&gt;"",ISNA(MATCH($I109,Tables!$B$193:$B$197,0))),
Error!$B$17,
IF(AND($E109="Tier 1",$F109="Remove",$H109="Tree Protection Code: Special Exception",$I109&lt;&gt;"",ISNA(MATCH($I109,Tables!$B$215:$B$218,0))),
Error!$B$17,
IF(AND($E109="Tier 1",$F109="Remove",$H109="Tree Protection Code: Other removal allowance or exemption",$I109&lt;&gt;"",ISNA(MATCH($I109,Tables!$B$215:$B$218,0))),
Error!$B$17,
IF(AND($E109="ECA / Shoreline Tree",$F109="Remove",$H109&lt;&gt;"",OR($H109="Shoreline",$H109="Environmental Critical Area (ECA)"),ISNA(MATCH($I109,Tables!$B$209:$B$212,0))),
Error!$B$17,
IF(AND(_xlpm.baseRow,$F109="Retain",$E109="ECA / Shoreline Tree",_xlpm.ECA_Short=0),
Error!$B$61,
IF(AND($F109="Remove",ISNUMBER(MATCH($E109,{"Tier 1","Tier 2","Tier 3","Tier 4","Tier 2 Grove"},0)),ISNUMBER(MATCH($I109,{"On-site replacement","Off-site replacement"},0)),$J109="",$H109&lt;&gt;""),
Error!$B$19,
IF(AND(_xlpm.baseRow,$E109&lt;&gt;"",$D109&lt;&gt;"",$F109&lt;&gt;"",COUNTBLANK($B109:$C109)&gt;0,COUNTBLANK(_xlpm.HRange)&lt;&gt;4),
Error!$B$22,
IF(AND($H109="Zoning: Tree Points",$K109&lt;&gt;"",ISNA(MATCH($K109,Tables!$B$242:$B$253,0))),
Error!$B$58,
IF(AND($H109="Zoning: Tree Points",$K109="Small",$L109&lt;&gt;"",ISNA(MATCH($L109,Tables!$C$243:$C$244,0))),
Error!$B$59,
IF(AND($H109="Zoning: Tree Points",$K109="Small/Medium",$L109&lt;&gt;"",ISNA(MATCH($L109,Tables!$C$246:$C$247,0))),
Error!$B$59,
IF(AND($H109="Zoning: Tree Points",$K109="Medium/Large",$L109&lt;&gt;"",ISNA(MATCH($L109,Tables!$C$249:$C$250,0))),
Error!$B$59,
IF(AND($H109="Zoning: Tree Points",$K109="Large",$L109&lt;&gt;"",ISNA(MATCH($L109,Tables!$C$252:$C$253,0))),
Error!$B$59,
IF(AND($F109="Retain",$H109="Zoning: Tree Points",$C109&lt;&gt;"",$D109&lt;&gt;"",OR($K109="",$L109="",$M109="")),
Error!$B$20,
""
)))))))))))))))))))))))))))))))))))))))))))))))))))))))),
Error!$B$23))</f>
        <v/>
      </c>
      <c r="O109" s="343" t="str" cm="1">
        <f t="array" aca="1" ref="O109" ca="1">IFERROR(_xlfn.LET(
    _xlpm.txt, $C109,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0" spans="1:15" ht="15" thickBot="1" x14ac:dyDescent="0.35">
      <c r="A110" s="331"/>
      <c r="B110" s="616" t="str">
        <f t="shared" si="78"/>
        <v/>
      </c>
      <c r="C110" s="617" t="str">
        <f t="shared" si="79"/>
        <v/>
      </c>
      <c r="D110" s="618" t="str">
        <f t="shared" si="80"/>
        <v/>
      </c>
      <c r="E110" s="616" t="str">
        <f t="shared" si="81"/>
        <v/>
      </c>
      <c r="F110" s="616" t="str">
        <f t="shared" si="82"/>
        <v/>
      </c>
      <c r="G110" s="619" t="str">
        <f>IF(Tree_Table1[[#This Row],[Tree Status  &amp;]]="Retain", Tables!$B$237, IF(Tree_Table1[[#This Row],[Tree Status  &amp;]]="Remove", Tables!$B$238, ""))</f>
        <v/>
      </c>
      <c r="H110" s="329"/>
      <c r="I110" s="330"/>
      <c r="J110" s="455"/>
      <c r="K110" s="327" t="str">
        <f>IFERROR(
    IF(
        AND($H110="Zoning: Tree Points", NOT(ISNUMBER(SEARCH("sp.", $C110)))),
        VLOOKUP($C110, 'Tree List'!$C$3:$F$601, 4, FALSE),
        ""
    ),
"")</f>
        <v/>
      </c>
      <c r="L110" s="328" t="str" cm="1">
        <f t="array" ref="L110">IFERROR(
IF(
    AND($H110="Zoning: Tree Points", NOT(ISNUMBER(SEARCH("sp.", $C110)))),
    _xlfn.IFS(
        (COUNTIFS('Tree List'!$C$3:$C$601,$C110,'Tree List'!$D$3:$D$601,"Coniferous")
        + COUNTIFS('Tree List'!$C$3:$C$601,$C110,'Tree List'!$D$3:$D$601,"Deciduous Conifer")) &gt; 0,
            _xlfn.IFS($K110="Small",0.5,$K110="Small/Medium",1,$K110="Medium/Large",1.4,$K110="Large",1.8),
        (COUNTIFS('Tree List'!$C$3:$C$601,$C110,'Tree List'!$D$3:$D$601,"Deciduous")
        + COUNTIFS('Tree List'!$C$3:$C$601,$C110,'Tree List'!$D$3:$D$601,"Broadleaf Evergreen")) &gt; 0,
            _xlfn.IFS($K110="Small",0.4,$K110="Small/Medium",0.8,$K110="Medium/Large",1.2,$K110="Large",1.6)
    ),
    ""
),
"")</f>
        <v/>
      </c>
      <c r="M110" s="476" t="str">
        <f t="shared" si="0"/>
        <v/>
      </c>
      <c r="N110" s="347" t="str" cm="1">
        <f t="array" aca="1" ref="N11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IF(AND(_xlpm.baseRow,ISNA(MATCH($C110,'Tree List'!$C$3:$C$601,0)),SUMPRODUCT(--ISNUMBER(SEARCH(Tables2!$C$677:$C$772,$O110)))&gt;0),
Error!$B$57,
IF(AND(_xlpm.hasDM,$F110="Remove",$H110&lt;&gt;"",OR($I110="On-site replacement",$I110="Off-site replacement",$I110="Payment In Lieu")),
Error!$B$56,
IF(AND(_xlpm.hasDM,$F110="Remove",$H110&lt;&gt;"",$I110="Relocation"),
Error!$B$66,
IF(AND(OR(_xlpm.hasCN,_xlpm.hasPH,_xlpm.hasGR),$H110&lt;&gt;"",COUNTIF(Tables!$B$132:$B$134,$H110)&gt;0,$I110="N/A (No replacement required)"),
Error!$B$62,
IF(AND(_xlpm.baseRow,$E110&lt;&gt;"",ISNA(MATCH($E110,Tables!$B$225:$B$232,0))),
Error!$B$2,
IF(AND(_xlpm.baseRow,$F110&lt;&gt;"",ISNA(MATCH($F110,Tables!$B$234:$B$235,0))),
Error!$B$24,
IF(AND(_xlpm.baseRow,_xlpm.ECA_H&gt;0,_xlpm.Shore_H&gt;0),
Error!$B$16,
IF(AND(_xlpm.baseRow,$E110&lt;&gt;"",$D110=""),
Error!$B$3,
IF(AND(_xlpm.baseRow,OR($E110="Tier 3",$E110="Tier 4"),$C110&lt;&gt;"",$D110&gt;=24,COUNTIF(Tables2!$B$166:$B$674,$C110)&gt;0),
Error!$B$44,
IF(AND(_xlpm.baseRow,OR($E110="Tier 3",$E110="Tier 4"),$C110&lt;&gt;"",$D110&lt;&gt;"",COUNTIF(Tables2!$B$73:$B$152,$C110)&gt;0,
$D110&gt;=IFERROR(INDEX(Tables2!$C$73:$C$152,MATCH($C110,Tables2!$B$73:$B$152,0)),-1)),
Error!$B$44,
IF(AND(_xlpm.baseRow,OR($E110="Tier 2",$E110="Tier 2 Grove"),$C110&lt;&gt;"",$D110&gt;=12,COUNTIF(Tables2!$B$153:$B$162,$C110)&gt;0),
Error!$B$45,
IF(AND(_xlpm.baseRow,$E110="Tier 2 Grove",$D110&lt;12),
Error!$B$41,
IF(AND(_xlpm.baseRow,$E110="Tier 2",$D110&lt;5.88),
Error!$B$40,
IF(AND(_xlpm.baseRow,OR($E110="Tier 2",$E110="Tier 2 Grove"),$C110&lt;&gt;"",$D110&lt;12,$D110&gt;=6,COUNTIF(Tables2!$B$153:$B$162,$C110)&gt;0),
Error!$B$54,
IF(AND(_xlpm.baseRow,$E110="Tier 2",COUNTIF(Tables2!$B$166:$B$674,$C110)&gt;0,$D110&lt;24),
Error!$B$54,
IF(AND(_xlpm.baseRow,$E110="Tier 3",ISNA(MATCH($C110,Tables2!$B$153:$B$162,0)),OR($D110&lt;12,$D110&gt;=24)),
Error!$B$9,
IF(AND(_xlpm.baseRow,$E110="Tier 3",COUNTIF(Tables2!$B$153:$B$162,$C110)&gt;0,$D110&lt;12),
Error!$B$46,
IF(AND(_xlpm.baseRow,$E110="Tier 4",OR($D110&lt;6,$D110&gt;=12)),
Error!$B$10,
IF(AND(_xlpm.baseRow,$E110="&lt;6in DSH for Tree Points",OR($D110&gt;=6,$D110="")),
Error!$B$8,
IF(AND(_xlpm.baseRow,$E110="Street Tree for Green Factor",$F110&lt;&gt;"",$F110&lt;&gt;"Retain"),
Error!$B$14,
IF(AND($E110="&lt;6in DSH for Tree Points",$F110="Retain",$H110&lt;&gt;"",ISNA(MATCH($H110,Tables!$B$174:$B$174,0))),
Error!$B$15,
IF(AND($E110="Street Tree for Green Factor",$F110="Retain",$H110&lt;&gt;"",$H110&lt;&gt;"Zoning: Green Factor"),
Error!$B$15,
IF(AND($E110="ECA / Shoreline Tree",$F110="Remove",$H110&lt;&gt;"",ISNA(MATCH($H110,Tables!$B$189:$B$190,0))),
Error!$B$15,
IF(AND($E110="ECA / Shoreline Tree",$F110="Retain",$H110&lt;&gt;"",ISNA(MATCH($H110,Tables!$B$184:$B$186,0))),
Error!$B$15,
IF(AND($E110="Tier 4",$F110="Remove",$H110&lt;&gt;"",ISNA(MATCH($H110,Tables!$B$171,0))),
Error!$B$15,
IF(AND($E110="Tier 4",$F110="Retain",$H110&lt;&gt;"",ISNA(MATCH($H110,Tables!$B$166:$B$168,0))),
Error!$B$15,
IF(AND($E110="Tier 3",$F110="Retain",$H110&lt;&gt;"",ISNA(MATCH($H110,Tables!$B$158:$B$160,0))),
Error!$B$15,
IF(AND($E110="Tier 3",$F110="Remove",$H110&lt;&gt;"",ISNA(MATCH($H110,Tables!$B$163,0))),
Error!$B$15,
IF(AND(OR($E110="Tier 2",$E110="Tier 2 Grove"),$F110="Remove",$H110&lt;&gt;"",ISNA(MATCH($H110,Tables!$B$153:$B$155,0))),
Error!$B$15,
IF(AND(OR($E110="Tier 2",$E110="Tier 2 Grove"),$F110="Retain",$H110&lt;&gt;"",ISNA(MATCH($H110,Tables!$B$147:$B$150,0))),
Error!$B$15,
IF(AND($E110="Tier 1",$F110="Remove",$H110&lt;&gt;"",ISNA(MATCH($H110,Tables!$B$143:$B$144,0))),
Error!$B$15,
IF(AND($E110="Tier 1",$F110="Retain",$H110&lt;&gt;"",ISNA(MATCH($H110,Tables!$B$137:$B$140,0))),
Error!$B$15,
IF(AND($E110&lt;&gt;"Tier 2",$E110&lt;&gt;"Tier 2 Grove",$E110&lt;&gt;"Tier 3",$E110&lt;&gt;"Tier 4",$H110="Zoning: Green Factor",OR($D110="",$D110&lt;6)),
Error!$B$11,
IF(AND(_xlpm.baseRow,$D110&lt;6,$E110="&lt;6in DSH for Tree Points",_xlpm.TreePoints_H=0),
Error!$B$21,
IF(AND(_xlpm.baseRow,$E110&lt;&gt;"",$D110&lt;&gt;"",$F110=""),
Error!$B$4,
IF(AND(_xlpm.baseRow,$F110="Remove",OR($E110="Tier 1",$E110="Tier 2",$E110="Tier 2 Grove"),COUNTBLANK(_xlpm.HRange)&lt;3,_xlpm.uniqueH&gt;=2),
Error!$B$48,
IF(AND(_xlpm.baseRow,$F110="Retain",OR($E110="Tier 1",$E110="Tier 2",$E110="Tier 2 Grove"),COUNTIF(_xlpm.HRange,"Tree Code: Required to Retain Tier 1-2 Tree")=0),
Error!$B$47,
IF(AND(_xlpm.baseRow,$E110&lt;&gt;"",$D110&lt;&gt;"",$F110&lt;&gt;"",COUNTBLANK(_xlpm.HRange)=4),
Error!$B$5,
IF(AND($F110="Remove",$H110&lt;&gt;"",$I110=""),
Error!$B$18,
IF(AND($E110="Tier 4",$F110="Remove",$H110="Tree Protection Code: Tier 3 or Tier 4 Allowance",$H110&lt;&gt;"",ISNA(MATCH($I110,Tables!$B$200,0))),
Error!$B$17,
IF(AND($E110="Tier 3",$F110="Remove",$H110&lt;&gt;"",$H110="Tree Protection Code: Tier 3 or Tier 4 Allowance",OR($I110="",ISNA(MATCH($I110,Tables!$B$193:$B$197,0)))),
Error!$B$17,
IF(AND(OR($E110="Tier 2",$E110="Tier 2 Grove"),$F110="Remove",$H110="Tree Protection Code: Other removal allowance or exemption",$I110&lt;&gt;"",ISNA(MATCH($I110,Tables!$B$215:$B$218,0))),
Error!$B$17,
IF(AND(OR($E110="Tier 2",$E110="Tier 2 Grove"),$F110="Remove",$H110="Tree Protection Code: Development Capacity",$I110&lt;&gt;"",ISNA(MATCH($I110,Tables!$B$193:$B$197,0))),
Error!$B$17,
IF(AND(OR($E110="Tier 2",$E110="Tier 2 Grove"),$F110="Remove",$H110="Tree Protection Code: Necessary for Construction",$I110&lt;&gt;"",ISNA(MATCH($I110,Tables!$B$193:$B$197,0))),
Error!$B$17,
IF(AND($E110="Tier 1",$F110="Remove",$H110="Tree Protection Code: Special Exception",$I110&lt;&gt;"",ISNA(MATCH($I110,Tables!$B$215:$B$218,0))),
Error!$B$17,
IF(AND($E110="Tier 1",$F110="Remove",$H110="Tree Protection Code: Other removal allowance or exemption",$I110&lt;&gt;"",ISNA(MATCH($I110,Tables!$B$215:$B$218,0))),
Error!$B$17,
IF(AND($E110="ECA / Shoreline Tree",$F110="Remove",$H110&lt;&gt;"",OR($H110="Shoreline",$H110="Environmental Critical Area (ECA)"),ISNA(MATCH($I110,Tables!$B$209:$B$212,0))),
Error!$B$17,
IF(AND(_xlpm.baseRow,$F110="Retain",$E110="ECA / Shoreline Tree",_xlpm.ECA_Short=0),
Error!$B$61,
IF(AND($F110="Remove",ISNUMBER(MATCH($E110,{"Tier 1","Tier 2","Tier 3","Tier 4","Tier 2 Grove"},0)),ISNUMBER(MATCH($I110,{"On-site replacement","Off-site replacement"},0)),$J110="",$H110&lt;&gt;""),
Error!$B$19,
IF(AND(_xlpm.baseRow,$E110&lt;&gt;"",$D110&lt;&gt;"",$F110&lt;&gt;"",COUNTBLANK($B110:$C110)&gt;0,COUNTBLANK(_xlpm.HRange)&lt;&gt;4),
Error!$B$22,
IF(AND($H110="Zoning: Tree Points",$K110&lt;&gt;"",ISNA(MATCH($K110,Tables!$B$242:$B$253,0))),
Error!$B$58,
IF(AND($H110="Zoning: Tree Points",$K110="Small",$L110&lt;&gt;"",ISNA(MATCH($L110,Tables!$C$243:$C$244,0))),
Error!$B$59,
IF(AND($H110="Zoning: Tree Points",$K110="Small/Medium",$L110&lt;&gt;"",ISNA(MATCH($L110,Tables!$C$246:$C$247,0))),
Error!$B$59,
IF(AND($H110="Zoning: Tree Points",$K110="Medium/Large",$L110&lt;&gt;"",ISNA(MATCH($L110,Tables!$C$249:$C$250,0))),
Error!$B$59,
IF(AND($H110="Zoning: Tree Points",$K110="Large",$L110&lt;&gt;"",ISNA(MATCH($L110,Tables!$C$252:$C$253,0))),
Error!$B$59,
IF(AND($F110="Retain",$H110="Zoning: Tree Points",$C110&lt;&gt;"",$D110&lt;&gt;"",OR($K110="",$L110="",$M110="")),
Error!$B$20,
""
)))))))))))))))))))))))))))))))))))))))))))))))))))))))),
Error!$B$23))</f>
        <v/>
      </c>
      <c r="O110" s="343" t="str" cm="1">
        <f t="array" aca="1" ref="O110" ca="1">IFERROR(_xlfn.LET(
    _xlpm.txt, $C110,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1" spans="1:15" ht="15" thickBot="1" x14ac:dyDescent="0.35">
      <c r="A111" s="311">
        <v>26</v>
      </c>
      <c r="B111" s="312"/>
      <c r="C111" s="313"/>
      <c r="D111" s="478"/>
      <c r="E111" s="314"/>
      <c r="F111" s="314"/>
      <c r="G111" s="315" t="str">
        <f>IF(Tree_Table1[[#This Row],[Tree Status  &amp;]]="Retain", Tables!$B$237, IF(Tree_Table1[[#This Row],[Tree Status  &amp;]]="Remove", Tables!$B$238, ""))</f>
        <v/>
      </c>
      <c r="H111" s="316"/>
      <c r="I111" s="317"/>
      <c r="J111" s="452"/>
      <c r="K111" s="318" t="str">
        <f>IFERROR(
    IF(
        AND($H111="Zoning: Tree Points", NOT(ISNUMBER(SEARCH("sp.", $C111)))),
        VLOOKUP($C111, 'Tree List'!$C$3:$F$601, 4, FALSE),
        ""
    ),
"")</f>
        <v/>
      </c>
      <c r="L111" s="319" t="str" cm="1">
        <f t="array" ref="L111">IFERROR(
IF(
    AND($H111="Zoning: Tree Points", NOT(ISNUMBER(SEARCH("sp.", $C111)))),
    _xlfn.IFS(
        (COUNTIFS('Tree List'!$C$3:$C$601,$C111,'Tree List'!$D$3:$D$601,"Coniferous")
        + COUNTIFS('Tree List'!$C$3:$C$601,$C111,'Tree List'!$D$3:$D$601,"Deciduous Conifer")) &gt; 0,
            _xlfn.IFS($K111="Small",0.5,$K111="Small/Medium",1,$K111="Medium/Large",1.4,$K111="Large",1.8),
        (COUNTIFS('Tree List'!$C$3:$C$601,$C111,'Tree List'!$D$3:$D$601,"Deciduous")
        + COUNTIFS('Tree List'!$C$3:$C$601,$C111,'Tree List'!$D$3:$D$601,"Broadleaf Evergreen")) &gt; 0,
            _xlfn.IFS($K111="Small",0.4,$K111="Small/Medium",0.8,$K111="Medium/Large",1.2,$K111="Large",1.6)
    ),
    ""
),
"")</f>
        <v/>
      </c>
      <c r="M111" s="474" t="str">
        <f t="shared" si="0"/>
        <v/>
      </c>
      <c r="N111" s="620" t="str" cm="1">
        <f t="array" aca="1" ref="N11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IF(AND(_xlpm.baseRow,ISNA(MATCH($C111,'Tree List'!$C$3:$C$601,0)),SUMPRODUCT(--ISNUMBER(SEARCH(Tables2!$C$677:$C$772,$O111)))&gt;0),
Error!$B$57,
IF(AND(_xlpm.hasDM,$F111="Remove",$H111&lt;&gt;"",OR($I111="On-site replacement",$I111="Off-site replacement",$I111="Payment In Lieu")),
Error!$B$56,
IF(AND(_xlpm.hasDM,$F111="Remove",$H111&lt;&gt;"",$I111="Relocation"),
Error!$B$66,
IF(AND(OR(_xlpm.hasCN,_xlpm.hasPH,_xlpm.hasGR),$H111&lt;&gt;"",COUNTIF(Tables!$B$132:$B$134,$H111)&gt;0,$I111="N/A (No replacement required)"),
Error!$B$62,
IF(AND(_xlpm.baseRow,$E111&lt;&gt;"",ISNA(MATCH($E111,Tables!$B$225:$B$232,0))),
Error!$B$2,
IF(AND(_xlpm.baseRow,$F111&lt;&gt;"",ISNA(MATCH($F111,Tables!$B$234:$B$235,0))),
Error!$B$24,
IF(AND(_xlpm.baseRow,_xlpm.ECA_H&gt;0,_xlpm.Shore_H&gt;0),
Error!$B$16,
IF(AND(_xlpm.baseRow,$E111&lt;&gt;"",$D111=""),
Error!$B$3,
IF(AND(_xlpm.baseRow,OR($E111="Tier 3",$E111="Tier 4"),$C111&lt;&gt;"",$D111&gt;=24,COUNTIF(Tables2!$B$166:$B$674,$C111)&gt;0),
Error!$B$44,
IF(AND(_xlpm.baseRow,OR($E111="Tier 3",$E111="Tier 4"),$C111&lt;&gt;"",$D111&lt;&gt;"",COUNTIF(Tables2!$B$73:$B$152,$C111)&gt;0,
$D111&gt;=IFERROR(INDEX(Tables2!$C$73:$C$152,MATCH($C111,Tables2!$B$73:$B$152,0)),-1)),
Error!$B$44,
IF(AND(_xlpm.baseRow,OR($E111="Tier 2",$E111="Tier 2 Grove"),$C111&lt;&gt;"",$D111&gt;=12,COUNTIF(Tables2!$B$153:$B$162,$C111)&gt;0),
Error!$B$45,
IF(AND(_xlpm.baseRow,$E111="Tier 2 Grove",$D111&lt;12),
Error!$B$41,
IF(AND(_xlpm.baseRow,$E111="Tier 2",$D111&lt;5.88),
Error!$B$40,
IF(AND(_xlpm.baseRow,OR($E111="Tier 2",$E111="Tier 2 Grove"),$C111&lt;&gt;"",$D111&lt;12,$D111&gt;=6,COUNTIF(Tables2!$B$153:$B$162,$C111)&gt;0),
Error!$B$54,
IF(AND(_xlpm.baseRow,$E111="Tier 2",COUNTIF(Tables2!$B$166:$B$674,$C111)&gt;0,$D111&lt;24),
Error!$B$54,
IF(AND(_xlpm.baseRow,$E111="Tier 3",ISNA(MATCH($C111,Tables2!$B$153:$B$162,0)),OR($D111&lt;12,$D111&gt;=24)),
Error!$B$9,
IF(AND(_xlpm.baseRow,$E111="Tier 3",COUNTIF(Tables2!$B$153:$B$162,$C111)&gt;0,$D111&lt;12),
Error!$B$46,
IF(AND(_xlpm.baseRow,$E111="Tier 4",OR($D111&lt;6,$D111&gt;=12)),
Error!$B$10,
IF(AND(_xlpm.baseRow,$E111="&lt;6in DSH for Tree Points",OR($D111&gt;=6,$D111="")),
Error!$B$8,
IF(AND(_xlpm.baseRow,$E111="Street Tree for Green Factor",$F111&lt;&gt;"",$F111&lt;&gt;"Retain"),
Error!$B$14,
IF(AND($E111="&lt;6in DSH for Tree Points",$F111="Retain",$H111&lt;&gt;"",ISNA(MATCH($H111,Tables!$B$174:$B$174,0))),
Error!$B$15,
IF(AND($E111="Street Tree for Green Factor",$F111="Retain",$H111&lt;&gt;"",$H111&lt;&gt;"Zoning: Green Factor"),
Error!$B$15,
IF(AND($E111="ECA / Shoreline Tree",$F111="Remove",$H111&lt;&gt;"",ISNA(MATCH($H111,Tables!$B$189:$B$190,0))),
Error!$B$15,
IF(AND($E111="ECA / Shoreline Tree",$F111="Retain",$H111&lt;&gt;"",ISNA(MATCH($H111,Tables!$B$184:$B$186,0))),
Error!$B$15,
IF(AND($E111="Tier 4",$F111="Remove",$H111&lt;&gt;"",ISNA(MATCH($H111,Tables!$B$171,0))),
Error!$B$15,
IF(AND($E111="Tier 4",$F111="Retain",$H111&lt;&gt;"",ISNA(MATCH($H111,Tables!$B$166:$B$168,0))),
Error!$B$15,
IF(AND($E111="Tier 3",$F111="Retain",$H111&lt;&gt;"",ISNA(MATCH($H111,Tables!$B$158:$B$160,0))),
Error!$B$15,
IF(AND($E111="Tier 3",$F111="Remove",$H111&lt;&gt;"",ISNA(MATCH($H111,Tables!$B$163,0))),
Error!$B$15,
IF(AND(OR($E111="Tier 2",$E111="Tier 2 Grove"),$F111="Remove",$H111&lt;&gt;"",ISNA(MATCH($H111,Tables!$B$153:$B$155,0))),
Error!$B$15,
IF(AND(OR($E111="Tier 2",$E111="Tier 2 Grove"),$F111="Retain",$H111&lt;&gt;"",ISNA(MATCH($H111,Tables!$B$147:$B$150,0))),
Error!$B$15,
IF(AND($E111="Tier 1",$F111="Remove",$H111&lt;&gt;"",ISNA(MATCH($H111,Tables!$B$143:$B$144,0))),
Error!$B$15,
IF(AND($E111="Tier 1",$F111="Retain",$H111&lt;&gt;"",ISNA(MATCH($H111,Tables!$B$137:$B$140,0))),
Error!$B$15,
IF(AND($E111&lt;&gt;"Tier 2",$E111&lt;&gt;"Tier 2 Grove",$E111&lt;&gt;"Tier 3",$E111&lt;&gt;"Tier 4",$H111="Zoning: Green Factor",OR($D111="",$D111&lt;6)),
Error!$B$11,
IF(AND(_xlpm.baseRow,$D111&lt;6,$E111="&lt;6in DSH for Tree Points",_xlpm.TreePoints_H=0),
Error!$B$21,
IF(AND(_xlpm.baseRow,$E111&lt;&gt;"",$D111&lt;&gt;"",$F111=""),
Error!$B$4,
IF(AND(_xlpm.baseRow,$F111="Remove",OR($E111="Tier 1",$E111="Tier 2",$E111="Tier 2 Grove"),COUNTBLANK(_xlpm.HRange)&lt;3,_xlpm.uniqueH&gt;=2),
Error!$B$48,
IF(AND(_xlpm.baseRow,$F111="Retain",OR($E111="Tier 1",$E111="Tier 2",$E111="Tier 2 Grove"),COUNTIF(_xlpm.HRange,"Tree Code: Required to Retain Tier 1-2 Tree")=0),
Error!$B$47,
IF(AND(_xlpm.baseRow,$E111&lt;&gt;"",$D111&lt;&gt;"",$F111&lt;&gt;"",COUNTBLANK(_xlpm.HRange)=4),
Error!$B$5,
IF(AND($F111="Remove",$H111&lt;&gt;"",$I111=""),
Error!$B$18,
IF(AND($E111="Tier 4",$F111="Remove",$H111="Tree Protection Code: Tier 3 or Tier 4 Allowance",$H111&lt;&gt;"",ISNA(MATCH($I111,Tables!$B$200,0))),
Error!$B$17,
IF(AND($E111="Tier 3",$F111="Remove",$H111&lt;&gt;"",$H111="Tree Protection Code: Tier 3 or Tier 4 Allowance",OR($I111="",ISNA(MATCH($I111,Tables!$B$193:$B$197,0)))),
Error!$B$17,
IF(AND(OR($E111="Tier 2",$E111="Tier 2 Grove"),$F111="Remove",$H111="Tree Protection Code: Other removal allowance or exemption",$I111&lt;&gt;"",ISNA(MATCH($I111,Tables!$B$215:$B$218,0))),
Error!$B$17,
IF(AND(OR($E111="Tier 2",$E111="Tier 2 Grove"),$F111="Remove",$H111="Tree Protection Code: Development Capacity",$I111&lt;&gt;"",ISNA(MATCH($I111,Tables!$B$193:$B$197,0))),
Error!$B$17,
IF(AND(OR($E111="Tier 2",$E111="Tier 2 Grove"),$F111="Remove",$H111="Tree Protection Code: Necessary for Construction",$I111&lt;&gt;"",ISNA(MATCH($I111,Tables!$B$193:$B$197,0))),
Error!$B$17,
IF(AND($E111="Tier 1",$F111="Remove",$H111="Tree Protection Code: Special Exception",$I111&lt;&gt;"",ISNA(MATCH($I111,Tables!$B$215:$B$218,0))),
Error!$B$17,
IF(AND($E111="Tier 1",$F111="Remove",$H111="Tree Protection Code: Other removal allowance or exemption",$I111&lt;&gt;"",ISNA(MATCH($I111,Tables!$B$215:$B$218,0))),
Error!$B$17,
IF(AND($E111="ECA / Shoreline Tree",$F111="Remove",$H111&lt;&gt;"",OR($H111="Shoreline",$H111="Environmental Critical Area (ECA)"),ISNA(MATCH($I111,Tables!$B$209:$B$212,0))),
Error!$B$17,
IF(AND(_xlpm.baseRow,$F111="Retain",$E111="ECA / Shoreline Tree",_xlpm.ECA_Short=0),
Error!$B$61,
IF(AND($F111="Remove",ISNUMBER(MATCH($E111,{"Tier 1","Tier 2","Tier 3","Tier 4","Tier 2 Grove"},0)),ISNUMBER(MATCH($I111,{"On-site replacement","Off-site replacement"},0)),$J111="",$H111&lt;&gt;""),
Error!$B$19,
IF(AND(_xlpm.baseRow,$E111&lt;&gt;"",$D111&lt;&gt;"",$F111&lt;&gt;"",COUNTBLANK($B111:$C111)&gt;0,COUNTBLANK(_xlpm.HRange)&lt;&gt;4),
Error!$B$22,
IF(AND($H111="Zoning: Tree Points",$K111&lt;&gt;"",ISNA(MATCH($K111,Tables!$B$242:$B$253,0))),
Error!$B$58,
IF(AND($H111="Zoning: Tree Points",$K111="Small",$L111&lt;&gt;"",ISNA(MATCH($L111,Tables!$C$243:$C$244,0))),
Error!$B$59,
IF(AND($H111="Zoning: Tree Points",$K111="Small/Medium",$L111&lt;&gt;"",ISNA(MATCH($L111,Tables!$C$246:$C$247,0))),
Error!$B$59,
IF(AND($H111="Zoning: Tree Points",$K111="Medium/Large",$L111&lt;&gt;"",ISNA(MATCH($L111,Tables!$C$249:$C$250,0))),
Error!$B$59,
IF(AND($H111="Zoning: Tree Points",$K111="Large",$L111&lt;&gt;"",ISNA(MATCH($L111,Tables!$C$252:$C$253,0))),
Error!$B$59,
IF(AND($F111="Retain",$H111="Zoning: Tree Points",$C111&lt;&gt;"",$D111&lt;&gt;"",OR($K111="",$L111="",$M111="")),
Error!$B$20,
""
)))))))))))))))))))))))))))))))))))))))))))))))))))))))),
Error!$B$23))</f>
        <v/>
      </c>
      <c r="O111" s="343" t="str" cm="1">
        <f t="array" aca="1" ref="O111" ca="1">IFERROR(_xlfn.LET(
    _xlpm.txt, $C111,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2" spans="1:15" x14ac:dyDescent="0.3">
      <c r="A112" s="320"/>
      <c r="B112" s="616" t="str">
        <f t="shared" ref="B112:B114" si="83">IF($B111="", "", $B111)</f>
        <v/>
      </c>
      <c r="C112" s="617" t="str">
        <f t="shared" ref="C112:C114" si="84">IF($C111="", "", $C111)</f>
        <v/>
      </c>
      <c r="D112" s="618" t="str">
        <f t="shared" ref="D112:D114" si="85">IF($D111="", "", $D111)</f>
        <v/>
      </c>
      <c r="E112" s="616" t="str">
        <f t="shared" ref="E112:E114" si="86">IF($E111="", "", $E111)</f>
        <v/>
      </c>
      <c r="F112" s="616" t="str">
        <f t="shared" ref="F112:F114" si="87">IF($F111="", "", $F111)</f>
        <v/>
      </c>
      <c r="G112" s="619" t="str">
        <f>IF(Tree_Table1[[#This Row],[Tree Status  &amp;]]="Retain", Tables!$B$237, IF(Tree_Table1[[#This Row],[Tree Status  &amp;]]="Remove", Tables!$B$238, ""))</f>
        <v/>
      </c>
      <c r="H112" s="321"/>
      <c r="I112" s="322"/>
      <c r="J112" s="453"/>
      <c r="K112" s="323" t="str">
        <f>IFERROR(
    IF(
        AND($H112="Zoning: Tree Points", NOT(ISNUMBER(SEARCH("sp.", $C112)))),
        VLOOKUP($C112, 'Tree List'!$C$3:$F$601, 4, FALSE),
        ""
    ),
"")</f>
        <v/>
      </c>
      <c r="L112" s="324" t="str" cm="1">
        <f t="array" ref="L112">IFERROR(
IF(
    AND($H112="Zoning: Tree Points", NOT(ISNUMBER(SEARCH("sp.", $C112)))),
    _xlfn.IFS(
        (COUNTIFS('Tree List'!$C$3:$C$601,$C112,'Tree List'!$D$3:$D$601,"Coniferous")
        + COUNTIFS('Tree List'!$C$3:$C$601,$C112,'Tree List'!$D$3:$D$601,"Deciduous Conifer")) &gt; 0,
            _xlfn.IFS($K112="Small",0.5,$K112="Small/Medium",1,$K112="Medium/Large",1.4,$K112="Large",1.8),
        (COUNTIFS('Tree List'!$C$3:$C$601,$C112,'Tree List'!$D$3:$D$601,"Deciduous")
        + COUNTIFS('Tree List'!$C$3:$C$601,$C112,'Tree List'!$D$3:$D$601,"Broadleaf Evergreen")) &gt; 0,
            _xlfn.IFS($K112="Small",0.4,$K112="Small/Medium",0.8,$K112="Medium/Large",1.2,$K112="Large",1.6)
    ),
    ""
),
"")</f>
        <v/>
      </c>
      <c r="M112" s="475" t="str">
        <f t="shared" si="0"/>
        <v/>
      </c>
      <c r="N112" s="346" t="str" cm="1">
        <f t="array" aca="1" ref="N11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IF(AND(_xlpm.baseRow,ISNA(MATCH($C112,'Tree List'!$C$3:$C$601,0)),SUMPRODUCT(--ISNUMBER(SEARCH(Tables2!$C$677:$C$772,$O112)))&gt;0),
Error!$B$57,
IF(AND(_xlpm.hasDM,$F112="Remove",$H112&lt;&gt;"",OR($I112="On-site replacement",$I112="Off-site replacement",$I112="Payment In Lieu")),
Error!$B$56,
IF(AND(_xlpm.hasDM,$F112="Remove",$H112&lt;&gt;"",$I112="Relocation"),
Error!$B$66,
IF(AND(OR(_xlpm.hasCN,_xlpm.hasPH,_xlpm.hasGR),$H112&lt;&gt;"",COUNTIF(Tables!$B$132:$B$134,$H112)&gt;0,$I112="N/A (No replacement required)"),
Error!$B$62,
IF(AND(_xlpm.baseRow,$E112&lt;&gt;"",ISNA(MATCH($E112,Tables!$B$225:$B$232,0))),
Error!$B$2,
IF(AND(_xlpm.baseRow,$F112&lt;&gt;"",ISNA(MATCH($F112,Tables!$B$234:$B$235,0))),
Error!$B$24,
IF(AND(_xlpm.baseRow,_xlpm.ECA_H&gt;0,_xlpm.Shore_H&gt;0),
Error!$B$16,
IF(AND(_xlpm.baseRow,$E112&lt;&gt;"",$D112=""),
Error!$B$3,
IF(AND(_xlpm.baseRow,OR($E112="Tier 3",$E112="Tier 4"),$C112&lt;&gt;"",$D112&gt;=24,COUNTIF(Tables2!$B$166:$B$674,$C112)&gt;0),
Error!$B$44,
IF(AND(_xlpm.baseRow,OR($E112="Tier 3",$E112="Tier 4"),$C112&lt;&gt;"",$D112&lt;&gt;"",COUNTIF(Tables2!$B$73:$B$152,$C112)&gt;0,
$D112&gt;=IFERROR(INDEX(Tables2!$C$73:$C$152,MATCH($C112,Tables2!$B$73:$B$152,0)),-1)),
Error!$B$44,
IF(AND(_xlpm.baseRow,OR($E112="Tier 2",$E112="Tier 2 Grove"),$C112&lt;&gt;"",$D112&gt;=12,COUNTIF(Tables2!$B$153:$B$162,$C112)&gt;0),
Error!$B$45,
IF(AND(_xlpm.baseRow,$E112="Tier 2 Grove",$D112&lt;12),
Error!$B$41,
IF(AND(_xlpm.baseRow,$E112="Tier 2",$D112&lt;5.88),
Error!$B$40,
IF(AND(_xlpm.baseRow,OR($E112="Tier 2",$E112="Tier 2 Grove"),$C112&lt;&gt;"",$D112&lt;12,$D112&gt;=6,COUNTIF(Tables2!$B$153:$B$162,$C112)&gt;0),
Error!$B$54,
IF(AND(_xlpm.baseRow,$E112="Tier 2",COUNTIF(Tables2!$B$166:$B$674,$C112)&gt;0,$D112&lt;24),
Error!$B$54,
IF(AND(_xlpm.baseRow,$E112="Tier 3",ISNA(MATCH($C112,Tables2!$B$153:$B$162,0)),OR($D112&lt;12,$D112&gt;=24)),
Error!$B$9,
IF(AND(_xlpm.baseRow,$E112="Tier 3",COUNTIF(Tables2!$B$153:$B$162,$C112)&gt;0,$D112&lt;12),
Error!$B$46,
IF(AND(_xlpm.baseRow,$E112="Tier 4",OR($D112&lt;6,$D112&gt;=12)),
Error!$B$10,
IF(AND(_xlpm.baseRow,$E112="&lt;6in DSH for Tree Points",OR($D112&gt;=6,$D112="")),
Error!$B$8,
IF(AND(_xlpm.baseRow,$E112="Street Tree for Green Factor",$F112&lt;&gt;"",$F112&lt;&gt;"Retain"),
Error!$B$14,
IF(AND($E112="&lt;6in DSH for Tree Points",$F112="Retain",$H112&lt;&gt;"",ISNA(MATCH($H112,Tables!$B$174:$B$174,0))),
Error!$B$15,
IF(AND($E112="Street Tree for Green Factor",$F112="Retain",$H112&lt;&gt;"",$H112&lt;&gt;"Zoning: Green Factor"),
Error!$B$15,
IF(AND($E112="ECA / Shoreline Tree",$F112="Remove",$H112&lt;&gt;"",ISNA(MATCH($H112,Tables!$B$189:$B$190,0))),
Error!$B$15,
IF(AND($E112="ECA / Shoreline Tree",$F112="Retain",$H112&lt;&gt;"",ISNA(MATCH($H112,Tables!$B$184:$B$186,0))),
Error!$B$15,
IF(AND($E112="Tier 4",$F112="Remove",$H112&lt;&gt;"",ISNA(MATCH($H112,Tables!$B$171,0))),
Error!$B$15,
IF(AND($E112="Tier 4",$F112="Retain",$H112&lt;&gt;"",ISNA(MATCH($H112,Tables!$B$166:$B$168,0))),
Error!$B$15,
IF(AND($E112="Tier 3",$F112="Retain",$H112&lt;&gt;"",ISNA(MATCH($H112,Tables!$B$158:$B$160,0))),
Error!$B$15,
IF(AND($E112="Tier 3",$F112="Remove",$H112&lt;&gt;"",ISNA(MATCH($H112,Tables!$B$163,0))),
Error!$B$15,
IF(AND(OR($E112="Tier 2",$E112="Tier 2 Grove"),$F112="Remove",$H112&lt;&gt;"",ISNA(MATCH($H112,Tables!$B$153:$B$155,0))),
Error!$B$15,
IF(AND(OR($E112="Tier 2",$E112="Tier 2 Grove"),$F112="Retain",$H112&lt;&gt;"",ISNA(MATCH($H112,Tables!$B$147:$B$150,0))),
Error!$B$15,
IF(AND($E112="Tier 1",$F112="Remove",$H112&lt;&gt;"",ISNA(MATCH($H112,Tables!$B$143:$B$144,0))),
Error!$B$15,
IF(AND($E112="Tier 1",$F112="Retain",$H112&lt;&gt;"",ISNA(MATCH($H112,Tables!$B$137:$B$140,0))),
Error!$B$15,
IF(AND($E112&lt;&gt;"Tier 2",$E112&lt;&gt;"Tier 2 Grove",$E112&lt;&gt;"Tier 3",$E112&lt;&gt;"Tier 4",$H112="Zoning: Green Factor",OR($D112="",$D112&lt;6)),
Error!$B$11,
IF(AND(_xlpm.baseRow,$D112&lt;6,$E112="&lt;6in DSH for Tree Points",_xlpm.TreePoints_H=0),
Error!$B$21,
IF(AND(_xlpm.baseRow,$E112&lt;&gt;"",$D112&lt;&gt;"",$F112=""),
Error!$B$4,
IF(AND(_xlpm.baseRow,$F112="Remove",OR($E112="Tier 1",$E112="Tier 2",$E112="Tier 2 Grove"),COUNTBLANK(_xlpm.HRange)&lt;3,_xlpm.uniqueH&gt;=2),
Error!$B$48,
IF(AND(_xlpm.baseRow,$F112="Retain",OR($E112="Tier 1",$E112="Tier 2",$E112="Tier 2 Grove"),COUNTIF(_xlpm.HRange,"Tree Code: Required to Retain Tier 1-2 Tree")=0),
Error!$B$47,
IF(AND(_xlpm.baseRow,$E112&lt;&gt;"",$D112&lt;&gt;"",$F112&lt;&gt;"",COUNTBLANK(_xlpm.HRange)=4),
Error!$B$5,
IF(AND($F112="Remove",$H112&lt;&gt;"",$I112=""),
Error!$B$18,
IF(AND($E112="Tier 4",$F112="Remove",$H112="Tree Protection Code: Tier 3 or Tier 4 Allowance",$H112&lt;&gt;"",ISNA(MATCH($I112,Tables!$B$200,0))),
Error!$B$17,
IF(AND($E112="Tier 3",$F112="Remove",$H112&lt;&gt;"",$H112="Tree Protection Code: Tier 3 or Tier 4 Allowance",OR($I112="",ISNA(MATCH($I112,Tables!$B$193:$B$197,0)))),
Error!$B$17,
IF(AND(OR($E112="Tier 2",$E112="Tier 2 Grove"),$F112="Remove",$H112="Tree Protection Code: Other removal allowance or exemption",$I112&lt;&gt;"",ISNA(MATCH($I112,Tables!$B$215:$B$218,0))),
Error!$B$17,
IF(AND(OR($E112="Tier 2",$E112="Tier 2 Grove"),$F112="Remove",$H112="Tree Protection Code: Development Capacity",$I112&lt;&gt;"",ISNA(MATCH($I112,Tables!$B$193:$B$197,0))),
Error!$B$17,
IF(AND(OR($E112="Tier 2",$E112="Tier 2 Grove"),$F112="Remove",$H112="Tree Protection Code: Necessary for Construction",$I112&lt;&gt;"",ISNA(MATCH($I112,Tables!$B$193:$B$197,0))),
Error!$B$17,
IF(AND($E112="Tier 1",$F112="Remove",$H112="Tree Protection Code: Special Exception",$I112&lt;&gt;"",ISNA(MATCH($I112,Tables!$B$215:$B$218,0))),
Error!$B$17,
IF(AND($E112="Tier 1",$F112="Remove",$H112="Tree Protection Code: Other removal allowance or exemption",$I112&lt;&gt;"",ISNA(MATCH($I112,Tables!$B$215:$B$218,0))),
Error!$B$17,
IF(AND($E112="ECA / Shoreline Tree",$F112="Remove",$H112&lt;&gt;"",OR($H112="Shoreline",$H112="Environmental Critical Area (ECA)"),ISNA(MATCH($I112,Tables!$B$209:$B$212,0))),
Error!$B$17,
IF(AND(_xlpm.baseRow,$F112="Retain",$E112="ECA / Shoreline Tree",_xlpm.ECA_Short=0),
Error!$B$61,
IF(AND($F112="Remove",ISNUMBER(MATCH($E112,{"Tier 1","Tier 2","Tier 3","Tier 4","Tier 2 Grove"},0)),ISNUMBER(MATCH($I112,{"On-site replacement","Off-site replacement"},0)),$J112="",$H112&lt;&gt;""),
Error!$B$19,
IF(AND(_xlpm.baseRow,$E112&lt;&gt;"",$D112&lt;&gt;"",$F112&lt;&gt;"",COUNTBLANK($B112:$C112)&gt;0,COUNTBLANK(_xlpm.HRange)&lt;&gt;4),
Error!$B$22,
IF(AND($H112="Zoning: Tree Points",$K112&lt;&gt;"",ISNA(MATCH($K112,Tables!$B$242:$B$253,0))),
Error!$B$58,
IF(AND($H112="Zoning: Tree Points",$K112="Small",$L112&lt;&gt;"",ISNA(MATCH($L112,Tables!$C$243:$C$244,0))),
Error!$B$59,
IF(AND($H112="Zoning: Tree Points",$K112="Small/Medium",$L112&lt;&gt;"",ISNA(MATCH($L112,Tables!$C$246:$C$247,0))),
Error!$B$59,
IF(AND($H112="Zoning: Tree Points",$K112="Medium/Large",$L112&lt;&gt;"",ISNA(MATCH($L112,Tables!$C$249:$C$250,0))),
Error!$B$59,
IF(AND($H112="Zoning: Tree Points",$K112="Large",$L112&lt;&gt;"",ISNA(MATCH($L112,Tables!$C$252:$C$253,0))),
Error!$B$59,
IF(AND($F112="Retain",$H112="Zoning: Tree Points",$C112&lt;&gt;"",$D112&lt;&gt;"",OR($K112="",$L112="",$M112="")),
Error!$B$20,
""
)))))))))))))))))))))))))))))))))))))))))))))))))))))))),
Error!$B$23))</f>
        <v/>
      </c>
      <c r="O112" s="343" t="str" cm="1">
        <f t="array" aca="1" ref="O112" ca="1">IFERROR(_xlfn.LET(
    _xlpm.txt, $C112,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3" spans="1:15" x14ac:dyDescent="0.3">
      <c r="A113" s="320"/>
      <c r="B113" s="616" t="str">
        <f t="shared" si="83"/>
        <v/>
      </c>
      <c r="C113" s="617" t="str">
        <f t="shared" si="84"/>
        <v/>
      </c>
      <c r="D113" s="618" t="str">
        <f t="shared" si="85"/>
        <v/>
      </c>
      <c r="E113" s="616" t="str">
        <f t="shared" si="86"/>
        <v/>
      </c>
      <c r="F113" s="616" t="str">
        <f t="shared" si="87"/>
        <v/>
      </c>
      <c r="G113" s="619" t="str">
        <f>IF(Tree_Table1[[#This Row],[Tree Status  &amp;]]="Retain", Tables!$B$237, IF(Tree_Table1[[#This Row],[Tree Status  &amp;]]="Remove", Tables!$B$238, ""))</f>
        <v/>
      </c>
      <c r="H113" s="321"/>
      <c r="I113" s="322"/>
      <c r="J113" s="453"/>
      <c r="K113" s="323" t="str">
        <f>IFERROR(
    IF(
        AND($H113="Zoning: Tree Points", NOT(ISNUMBER(SEARCH("sp.", $C113)))),
        VLOOKUP($C113, 'Tree List'!$C$3:$F$601, 4, FALSE),
        ""
    ),
"")</f>
        <v/>
      </c>
      <c r="L113" s="324" t="str" cm="1">
        <f t="array" ref="L113">IFERROR(
IF(
    AND($H113="Zoning: Tree Points", NOT(ISNUMBER(SEARCH("sp.", $C113)))),
    _xlfn.IFS(
        (COUNTIFS('Tree List'!$C$3:$C$601,$C113,'Tree List'!$D$3:$D$601,"Coniferous")
        + COUNTIFS('Tree List'!$C$3:$C$601,$C113,'Tree List'!$D$3:$D$601,"Deciduous Conifer")) &gt; 0,
            _xlfn.IFS($K113="Small",0.5,$K113="Small/Medium",1,$K113="Medium/Large",1.4,$K113="Large",1.8),
        (COUNTIFS('Tree List'!$C$3:$C$601,$C113,'Tree List'!$D$3:$D$601,"Deciduous")
        + COUNTIFS('Tree List'!$C$3:$C$601,$C113,'Tree List'!$D$3:$D$601,"Broadleaf Evergreen")) &gt; 0,
            _xlfn.IFS($K113="Small",0.4,$K113="Small/Medium",0.8,$K113="Medium/Large",1.2,$K113="Large",1.6)
    ),
    ""
),
"")</f>
        <v/>
      </c>
      <c r="M113" s="475" t="str">
        <f t="shared" si="0"/>
        <v/>
      </c>
      <c r="N113" s="346" t="str" cm="1">
        <f t="array" aca="1" ref="N11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IF(AND(_xlpm.baseRow,ISNA(MATCH($C113,'Tree List'!$C$3:$C$601,0)),SUMPRODUCT(--ISNUMBER(SEARCH(Tables2!$C$677:$C$772,$O113)))&gt;0),
Error!$B$57,
IF(AND(_xlpm.hasDM,$F113="Remove",$H113&lt;&gt;"",OR($I113="On-site replacement",$I113="Off-site replacement",$I113="Payment In Lieu")),
Error!$B$56,
IF(AND(_xlpm.hasDM,$F113="Remove",$H113&lt;&gt;"",$I113="Relocation"),
Error!$B$66,
IF(AND(OR(_xlpm.hasCN,_xlpm.hasPH,_xlpm.hasGR),$H113&lt;&gt;"",COUNTIF(Tables!$B$132:$B$134,$H113)&gt;0,$I113="N/A (No replacement required)"),
Error!$B$62,
IF(AND(_xlpm.baseRow,$E113&lt;&gt;"",ISNA(MATCH($E113,Tables!$B$225:$B$232,0))),
Error!$B$2,
IF(AND(_xlpm.baseRow,$F113&lt;&gt;"",ISNA(MATCH($F113,Tables!$B$234:$B$235,0))),
Error!$B$24,
IF(AND(_xlpm.baseRow,_xlpm.ECA_H&gt;0,_xlpm.Shore_H&gt;0),
Error!$B$16,
IF(AND(_xlpm.baseRow,$E113&lt;&gt;"",$D113=""),
Error!$B$3,
IF(AND(_xlpm.baseRow,OR($E113="Tier 3",$E113="Tier 4"),$C113&lt;&gt;"",$D113&gt;=24,COUNTIF(Tables2!$B$166:$B$674,$C113)&gt;0),
Error!$B$44,
IF(AND(_xlpm.baseRow,OR($E113="Tier 3",$E113="Tier 4"),$C113&lt;&gt;"",$D113&lt;&gt;"",COUNTIF(Tables2!$B$73:$B$152,$C113)&gt;0,
$D113&gt;=IFERROR(INDEX(Tables2!$C$73:$C$152,MATCH($C113,Tables2!$B$73:$B$152,0)),-1)),
Error!$B$44,
IF(AND(_xlpm.baseRow,OR($E113="Tier 2",$E113="Tier 2 Grove"),$C113&lt;&gt;"",$D113&gt;=12,COUNTIF(Tables2!$B$153:$B$162,$C113)&gt;0),
Error!$B$45,
IF(AND(_xlpm.baseRow,$E113="Tier 2 Grove",$D113&lt;12),
Error!$B$41,
IF(AND(_xlpm.baseRow,$E113="Tier 2",$D113&lt;5.88),
Error!$B$40,
IF(AND(_xlpm.baseRow,OR($E113="Tier 2",$E113="Tier 2 Grove"),$C113&lt;&gt;"",$D113&lt;12,$D113&gt;=6,COUNTIF(Tables2!$B$153:$B$162,$C113)&gt;0),
Error!$B$54,
IF(AND(_xlpm.baseRow,$E113="Tier 2",COUNTIF(Tables2!$B$166:$B$674,$C113)&gt;0,$D113&lt;24),
Error!$B$54,
IF(AND(_xlpm.baseRow,$E113="Tier 3",ISNA(MATCH($C113,Tables2!$B$153:$B$162,0)),OR($D113&lt;12,$D113&gt;=24)),
Error!$B$9,
IF(AND(_xlpm.baseRow,$E113="Tier 3",COUNTIF(Tables2!$B$153:$B$162,$C113)&gt;0,$D113&lt;12),
Error!$B$46,
IF(AND(_xlpm.baseRow,$E113="Tier 4",OR($D113&lt;6,$D113&gt;=12)),
Error!$B$10,
IF(AND(_xlpm.baseRow,$E113="&lt;6in DSH for Tree Points",OR($D113&gt;=6,$D113="")),
Error!$B$8,
IF(AND(_xlpm.baseRow,$E113="Street Tree for Green Factor",$F113&lt;&gt;"",$F113&lt;&gt;"Retain"),
Error!$B$14,
IF(AND($E113="&lt;6in DSH for Tree Points",$F113="Retain",$H113&lt;&gt;"",ISNA(MATCH($H113,Tables!$B$174:$B$174,0))),
Error!$B$15,
IF(AND($E113="Street Tree for Green Factor",$F113="Retain",$H113&lt;&gt;"",$H113&lt;&gt;"Zoning: Green Factor"),
Error!$B$15,
IF(AND($E113="ECA / Shoreline Tree",$F113="Remove",$H113&lt;&gt;"",ISNA(MATCH($H113,Tables!$B$189:$B$190,0))),
Error!$B$15,
IF(AND($E113="ECA / Shoreline Tree",$F113="Retain",$H113&lt;&gt;"",ISNA(MATCH($H113,Tables!$B$184:$B$186,0))),
Error!$B$15,
IF(AND($E113="Tier 4",$F113="Remove",$H113&lt;&gt;"",ISNA(MATCH($H113,Tables!$B$171,0))),
Error!$B$15,
IF(AND($E113="Tier 4",$F113="Retain",$H113&lt;&gt;"",ISNA(MATCH($H113,Tables!$B$166:$B$168,0))),
Error!$B$15,
IF(AND($E113="Tier 3",$F113="Retain",$H113&lt;&gt;"",ISNA(MATCH($H113,Tables!$B$158:$B$160,0))),
Error!$B$15,
IF(AND($E113="Tier 3",$F113="Remove",$H113&lt;&gt;"",ISNA(MATCH($H113,Tables!$B$163,0))),
Error!$B$15,
IF(AND(OR($E113="Tier 2",$E113="Tier 2 Grove"),$F113="Remove",$H113&lt;&gt;"",ISNA(MATCH($H113,Tables!$B$153:$B$155,0))),
Error!$B$15,
IF(AND(OR($E113="Tier 2",$E113="Tier 2 Grove"),$F113="Retain",$H113&lt;&gt;"",ISNA(MATCH($H113,Tables!$B$147:$B$150,0))),
Error!$B$15,
IF(AND($E113="Tier 1",$F113="Remove",$H113&lt;&gt;"",ISNA(MATCH($H113,Tables!$B$143:$B$144,0))),
Error!$B$15,
IF(AND($E113="Tier 1",$F113="Retain",$H113&lt;&gt;"",ISNA(MATCH($H113,Tables!$B$137:$B$140,0))),
Error!$B$15,
IF(AND($E113&lt;&gt;"Tier 2",$E113&lt;&gt;"Tier 2 Grove",$E113&lt;&gt;"Tier 3",$E113&lt;&gt;"Tier 4",$H113="Zoning: Green Factor",OR($D113="",$D113&lt;6)),
Error!$B$11,
IF(AND(_xlpm.baseRow,$D113&lt;6,$E113="&lt;6in DSH for Tree Points",_xlpm.TreePoints_H=0),
Error!$B$21,
IF(AND(_xlpm.baseRow,$E113&lt;&gt;"",$D113&lt;&gt;"",$F113=""),
Error!$B$4,
IF(AND(_xlpm.baseRow,$F113="Remove",OR($E113="Tier 1",$E113="Tier 2",$E113="Tier 2 Grove"),COUNTBLANK(_xlpm.HRange)&lt;3,_xlpm.uniqueH&gt;=2),
Error!$B$48,
IF(AND(_xlpm.baseRow,$F113="Retain",OR($E113="Tier 1",$E113="Tier 2",$E113="Tier 2 Grove"),COUNTIF(_xlpm.HRange,"Tree Code: Required to Retain Tier 1-2 Tree")=0),
Error!$B$47,
IF(AND(_xlpm.baseRow,$E113&lt;&gt;"",$D113&lt;&gt;"",$F113&lt;&gt;"",COUNTBLANK(_xlpm.HRange)=4),
Error!$B$5,
IF(AND($F113="Remove",$H113&lt;&gt;"",$I113=""),
Error!$B$18,
IF(AND($E113="Tier 4",$F113="Remove",$H113="Tree Protection Code: Tier 3 or Tier 4 Allowance",$H113&lt;&gt;"",ISNA(MATCH($I113,Tables!$B$200,0))),
Error!$B$17,
IF(AND($E113="Tier 3",$F113="Remove",$H113&lt;&gt;"",$H113="Tree Protection Code: Tier 3 or Tier 4 Allowance",OR($I113="",ISNA(MATCH($I113,Tables!$B$193:$B$197,0)))),
Error!$B$17,
IF(AND(OR($E113="Tier 2",$E113="Tier 2 Grove"),$F113="Remove",$H113="Tree Protection Code: Other removal allowance or exemption",$I113&lt;&gt;"",ISNA(MATCH($I113,Tables!$B$215:$B$218,0))),
Error!$B$17,
IF(AND(OR($E113="Tier 2",$E113="Tier 2 Grove"),$F113="Remove",$H113="Tree Protection Code: Development Capacity",$I113&lt;&gt;"",ISNA(MATCH($I113,Tables!$B$193:$B$197,0))),
Error!$B$17,
IF(AND(OR($E113="Tier 2",$E113="Tier 2 Grove"),$F113="Remove",$H113="Tree Protection Code: Necessary for Construction",$I113&lt;&gt;"",ISNA(MATCH($I113,Tables!$B$193:$B$197,0))),
Error!$B$17,
IF(AND($E113="Tier 1",$F113="Remove",$H113="Tree Protection Code: Special Exception",$I113&lt;&gt;"",ISNA(MATCH($I113,Tables!$B$215:$B$218,0))),
Error!$B$17,
IF(AND($E113="Tier 1",$F113="Remove",$H113="Tree Protection Code: Other removal allowance or exemption",$I113&lt;&gt;"",ISNA(MATCH($I113,Tables!$B$215:$B$218,0))),
Error!$B$17,
IF(AND($E113="ECA / Shoreline Tree",$F113="Remove",$H113&lt;&gt;"",OR($H113="Shoreline",$H113="Environmental Critical Area (ECA)"),ISNA(MATCH($I113,Tables!$B$209:$B$212,0))),
Error!$B$17,
IF(AND(_xlpm.baseRow,$F113="Retain",$E113="ECA / Shoreline Tree",_xlpm.ECA_Short=0),
Error!$B$61,
IF(AND($F113="Remove",ISNUMBER(MATCH($E113,{"Tier 1","Tier 2","Tier 3","Tier 4","Tier 2 Grove"},0)),ISNUMBER(MATCH($I113,{"On-site replacement","Off-site replacement"},0)),$J113="",$H113&lt;&gt;""),
Error!$B$19,
IF(AND(_xlpm.baseRow,$E113&lt;&gt;"",$D113&lt;&gt;"",$F113&lt;&gt;"",COUNTBLANK($B113:$C113)&gt;0,COUNTBLANK(_xlpm.HRange)&lt;&gt;4),
Error!$B$22,
IF(AND($H113="Zoning: Tree Points",$K113&lt;&gt;"",ISNA(MATCH($K113,Tables!$B$242:$B$253,0))),
Error!$B$58,
IF(AND($H113="Zoning: Tree Points",$K113="Small",$L113&lt;&gt;"",ISNA(MATCH($L113,Tables!$C$243:$C$244,0))),
Error!$B$59,
IF(AND($H113="Zoning: Tree Points",$K113="Small/Medium",$L113&lt;&gt;"",ISNA(MATCH($L113,Tables!$C$246:$C$247,0))),
Error!$B$59,
IF(AND($H113="Zoning: Tree Points",$K113="Medium/Large",$L113&lt;&gt;"",ISNA(MATCH($L113,Tables!$C$249:$C$250,0))),
Error!$B$59,
IF(AND($H113="Zoning: Tree Points",$K113="Large",$L113&lt;&gt;"",ISNA(MATCH($L113,Tables!$C$252:$C$253,0))),
Error!$B$59,
IF(AND($F113="Retain",$H113="Zoning: Tree Points",$C113&lt;&gt;"",$D113&lt;&gt;"",OR($K113="",$L113="",$M113="")),
Error!$B$20,
""
)))))))))))))))))))))))))))))))))))))))))))))))))))))))),
Error!$B$23))</f>
        <v/>
      </c>
      <c r="O113" s="343" t="str" cm="1">
        <f t="array" aca="1" ref="O113" ca="1">IFERROR(_xlfn.LET(
    _xlpm.txt, $C113,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4" spans="1:15" ht="15" thickBot="1" x14ac:dyDescent="0.35">
      <c r="A114" s="331"/>
      <c r="B114" s="616" t="str">
        <f t="shared" si="83"/>
        <v/>
      </c>
      <c r="C114" s="617" t="str">
        <f t="shared" si="84"/>
        <v/>
      </c>
      <c r="D114" s="618" t="str">
        <f t="shared" si="85"/>
        <v/>
      </c>
      <c r="E114" s="616" t="str">
        <f t="shared" si="86"/>
        <v/>
      </c>
      <c r="F114" s="616" t="str">
        <f t="shared" si="87"/>
        <v/>
      </c>
      <c r="G114" s="619" t="str">
        <f>IF(Tree_Table1[[#This Row],[Tree Status  &amp;]]="Retain", Tables!$B$237, IF(Tree_Table1[[#This Row],[Tree Status  &amp;]]="Remove", Tables!$B$238, ""))</f>
        <v/>
      </c>
      <c r="H114" s="329"/>
      <c r="I114" s="330"/>
      <c r="J114" s="455"/>
      <c r="K114" s="327" t="str">
        <f>IFERROR(
    IF(
        AND($H114="Zoning: Tree Points", NOT(ISNUMBER(SEARCH("sp.", $C114)))),
        VLOOKUP($C114, 'Tree List'!$C$3:$F$601, 4, FALSE),
        ""
    ),
"")</f>
        <v/>
      </c>
      <c r="L114" s="328" t="str" cm="1">
        <f t="array" ref="L114">IFERROR(
IF(
    AND($H114="Zoning: Tree Points", NOT(ISNUMBER(SEARCH("sp.", $C114)))),
    _xlfn.IFS(
        (COUNTIFS('Tree List'!$C$3:$C$601,$C114,'Tree List'!$D$3:$D$601,"Coniferous")
        + COUNTIFS('Tree List'!$C$3:$C$601,$C114,'Tree List'!$D$3:$D$601,"Deciduous Conifer")) &gt; 0,
            _xlfn.IFS($K114="Small",0.5,$K114="Small/Medium",1,$K114="Medium/Large",1.4,$K114="Large",1.8),
        (COUNTIFS('Tree List'!$C$3:$C$601,$C114,'Tree List'!$D$3:$D$601,"Deciduous")
        + COUNTIFS('Tree List'!$C$3:$C$601,$C114,'Tree List'!$D$3:$D$601,"Broadleaf Evergreen")) &gt; 0,
            _xlfn.IFS($K114="Small",0.4,$K114="Small/Medium",0.8,$K114="Medium/Large",1.2,$K114="Large",1.6)
    ),
    ""
),
"")</f>
        <v/>
      </c>
      <c r="M114" s="476" t="str">
        <f t="shared" si="0"/>
        <v/>
      </c>
      <c r="N114" s="347" t="str" cm="1">
        <f t="array" aca="1" ref="N11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IF(AND(_xlpm.baseRow,ISNA(MATCH($C114,'Tree List'!$C$3:$C$601,0)),SUMPRODUCT(--ISNUMBER(SEARCH(Tables2!$C$677:$C$772,$O114)))&gt;0),
Error!$B$57,
IF(AND(_xlpm.hasDM,$F114="Remove",$H114&lt;&gt;"",OR($I114="On-site replacement",$I114="Off-site replacement",$I114="Payment In Lieu")),
Error!$B$56,
IF(AND(_xlpm.hasDM,$F114="Remove",$H114&lt;&gt;"",$I114="Relocation"),
Error!$B$66,
IF(AND(OR(_xlpm.hasCN,_xlpm.hasPH,_xlpm.hasGR),$H114&lt;&gt;"",COUNTIF(Tables!$B$132:$B$134,$H114)&gt;0,$I114="N/A (No replacement required)"),
Error!$B$62,
IF(AND(_xlpm.baseRow,$E114&lt;&gt;"",ISNA(MATCH($E114,Tables!$B$225:$B$232,0))),
Error!$B$2,
IF(AND(_xlpm.baseRow,$F114&lt;&gt;"",ISNA(MATCH($F114,Tables!$B$234:$B$235,0))),
Error!$B$24,
IF(AND(_xlpm.baseRow,_xlpm.ECA_H&gt;0,_xlpm.Shore_H&gt;0),
Error!$B$16,
IF(AND(_xlpm.baseRow,$E114&lt;&gt;"",$D114=""),
Error!$B$3,
IF(AND(_xlpm.baseRow,OR($E114="Tier 3",$E114="Tier 4"),$C114&lt;&gt;"",$D114&gt;=24,COUNTIF(Tables2!$B$166:$B$674,$C114)&gt;0),
Error!$B$44,
IF(AND(_xlpm.baseRow,OR($E114="Tier 3",$E114="Tier 4"),$C114&lt;&gt;"",$D114&lt;&gt;"",COUNTIF(Tables2!$B$73:$B$152,$C114)&gt;0,
$D114&gt;=IFERROR(INDEX(Tables2!$C$73:$C$152,MATCH($C114,Tables2!$B$73:$B$152,0)),-1)),
Error!$B$44,
IF(AND(_xlpm.baseRow,OR($E114="Tier 2",$E114="Tier 2 Grove"),$C114&lt;&gt;"",$D114&gt;=12,COUNTIF(Tables2!$B$153:$B$162,$C114)&gt;0),
Error!$B$45,
IF(AND(_xlpm.baseRow,$E114="Tier 2 Grove",$D114&lt;12),
Error!$B$41,
IF(AND(_xlpm.baseRow,$E114="Tier 2",$D114&lt;5.88),
Error!$B$40,
IF(AND(_xlpm.baseRow,OR($E114="Tier 2",$E114="Tier 2 Grove"),$C114&lt;&gt;"",$D114&lt;12,$D114&gt;=6,COUNTIF(Tables2!$B$153:$B$162,$C114)&gt;0),
Error!$B$54,
IF(AND(_xlpm.baseRow,$E114="Tier 2",COUNTIF(Tables2!$B$166:$B$674,$C114)&gt;0,$D114&lt;24),
Error!$B$54,
IF(AND(_xlpm.baseRow,$E114="Tier 3",ISNA(MATCH($C114,Tables2!$B$153:$B$162,0)),OR($D114&lt;12,$D114&gt;=24)),
Error!$B$9,
IF(AND(_xlpm.baseRow,$E114="Tier 3",COUNTIF(Tables2!$B$153:$B$162,$C114)&gt;0,$D114&lt;12),
Error!$B$46,
IF(AND(_xlpm.baseRow,$E114="Tier 4",OR($D114&lt;6,$D114&gt;=12)),
Error!$B$10,
IF(AND(_xlpm.baseRow,$E114="&lt;6in DSH for Tree Points",OR($D114&gt;=6,$D114="")),
Error!$B$8,
IF(AND(_xlpm.baseRow,$E114="Street Tree for Green Factor",$F114&lt;&gt;"",$F114&lt;&gt;"Retain"),
Error!$B$14,
IF(AND($E114="&lt;6in DSH for Tree Points",$F114="Retain",$H114&lt;&gt;"",ISNA(MATCH($H114,Tables!$B$174:$B$174,0))),
Error!$B$15,
IF(AND($E114="Street Tree for Green Factor",$F114="Retain",$H114&lt;&gt;"",$H114&lt;&gt;"Zoning: Green Factor"),
Error!$B$15,
IF(AND($E114="ECA / Shoreline Tree",$F114="Remove",$H114&lt;&gt;"",ISNA(MATCH($H114,Tables!$B$189:$B$190,0))),
Error!$B$15,
IF(AND($E114="ECA / Shoreline Tree",$F114="Retain",$H114&lt;&gt;"",ISNA(MATCH($H114,Tables!$B$184:$B$186,0))),
Error!$B$15,
IF(AND($E114="Tier 4",$F114="Remove",$H114&lt;&gt;"",ISNA(MATCH($H114,Tables!$B$171,0))),
Error!$B$15,
IF(AND($E114="Tier 4",$F114="Retain",$H114&lt;&gt;"",ISNA(MATCH($H114,Tables!$B$166:$B$168,0))),
Error!$B$15,
IF(AND($E114="Tier 3",$F114="Retain",$H114&lt;&gt;"",ISNA(MATCH($H114,Tables!$B$158:$B$160,0))),
Error!$B$15,
IF(AND($E114="Tier 3",$F114="Remove",$H114&lt;&gt;"",ISNA(MATCH($H114,Tables!$B$163,0))),
Error!$B$15,
IF(AND(OR($E114="Tier 2",$E114="Tier 2 Grove"),$F114="Remove",$H114&lt;&gt;"",ISNA(MATCH($H114,Tables!$B$153:$B$155,0))),
Error!$B$15,
IF(AND(OR($E114="Tier 2",$E114="Tier 2 Grove"),$F114="Retain",$H114&lt;&gt;"",ISNA(MATCH($H114,Tables!$B$147:$B$150,0))),
Error!$B$15,
IF(AND($E114="Tier 1",$F114="Remove",$H114&lt;&gt;"",ISNA(MATCH($H114,Tables!$B$143:$B$144,0))),
Error!$B$15,
IF(AND($E114="Tier 1",$F114="Retain",$H114&lt;&gt;"",ISNA(MATCH($H114,Tables!$B$137:$B$140,0))),
Error!$B$15,
IF(AND($E114&lt;&gt;"Tier 2",$E114&lt;&gt;"Tier 2 Grove",$E114&lt;&gt;"Tier 3",$E114&lt;&gt;"Tier 4",$H114="Zoning: Green Factor",OR($D114="",$D114&lt;6)),
Error!$B$11,
IF(AND(_xlpm.baseRow,$D114&lt;6,$E114="&lt;6in DSH for Tree Points",_xlpm.TreePoints_H=0),
Error!$B$21,
IF(AND(_xlpm.baseRow,$E114&lt;&gt;"",$D114&lt;&gt;"",$F114=""),
Error!$B$4,
IF(AND(_xlpm.baseRow,$F114="Remove",OR($E114="Tier 1",$E114="Tier 2",$E114="Tier 2 Grove"),COUNTBLANK(_xlpm.HRange)&lt;3,_xlpm.uniqueH&gt;=2),
Error!$B$48,
IF(AND(_xlpm.baseRow,$F114="Retain",OR($E114="Tier 1",$E114="Tier 2",$E114="Tier 2 Grove"),COUNTIF(_xlpm.HRange,"Tree Code: Required to Retain Tier 1-2 Tree")=0),
Error!$B$47,
IF(AND(_xlpm.baseRow,$E114&lt;&gt;"",$D114&lt;&gt;"",$F114&lt;&gt;"",COUNTBLANK(_xlpm.HRange)=4),
Error!$B$5,
IF(AND($F114="Remove",$H114&lt;&gt;"",$I114=""),
Error!$B$18,
IF(AND($E114="Tier 4",$F114="Remove",$H114="Tree Protection Code: Tier 3 or Tier 4 Allowance",$H114&lt;&gt;"",ISNA(MATCH($I114,Tables!$B$200,0))),
Error!$B$17,
IF(AND($E114="Tier 3",$F114="Remove",$H114&lt;&gt;"",$H114="Tree Protection Code: Tier 3 or Tier 4 Allowance",OR($I114="",ISNA(MATCH($I114,Tables!$B$193:$B$197,0)))),
Error!$B$17,
IF(AND(OR($E114="Tier 2",$E114="Tier 2 Grove"),$F114="Remove",$H114="Tree Protection Code: Other removal allowance or exemption",$I114&lt;&gt;"",ISNA(MATCH($I114,Tables!$B$215:$B$218,0))),
Error!$B$17,
IF(AND(OR($E114="Tier 2",$E114="Tier 2 Grove"),$F114="Remove",$H114="Tree Protection Code: Development Capacity",$I114&lt;&gt;"",ISNA(MATCH($I114,Tables!$B$193:$B$197,0))),
Error!$B$17,
IF(AND(OR($E114="Tier 2",$E114="Tier 2 Grove"),$F114="Remove",$H114="Tree Protection Code: Necessary for Construction",$I114&lt;&gt;"",ISNA(MATCH($I114,Tables!$B$193:$B$197,0))),
Error!$B$17,
IF(AND($E114="Tier 1",$F114="Remove",$H114="Tree Protection Code: Special Exception",$I114&lt;&gt;"",ISNA(MATCH($I114,Tables!$B$215:$B$218,0))),
Error!$B$17,
IF(AND($E114="Tier 1",$F114="Remove",$H114="Tree Protection Code: Other removal allowance or exemption",$I114&lt;&gt;"",ISNA(MATCH($I114,Tables!$B$215:$B$218,0))),
Error!$B$17,
IF(AND($E114="ECA / Shoreline Tree",$F114="Remove",$H114&lt;&gt;"",OR($H114="Shoreline",$H114="Environmental Critical Area (ECA)"),ISNA(MATCH($I114,Tables!$B$209:$B$212,0))),
Error!$B$17,
IF(AND(_xlpm.baseRow,$F114="Retain",$E114="ECA / Shoreline Tree",_xlpm.ECA_Short=0),
Error!$B$61,
IF(AND($F114="Remove",ISNUMBER(MATCH($E114,{"Tier 1","Tier 2","Tier 3","Tier 4","Tier 2 Grove"},0)),ISNUMBER(MATCH($I114,{"On-site replacement","Off-site replacement"},0)),$J114="",$H114&lt;&gt;""),
Error!$B$19,
IF(AND(_xlpm.baseRow,$E114&lt;&gt;"",$D114&lt;&gt;"",$F114&lt;&gt;"",COUNTBLANK($B114:$C114)&gt;0,COUNTBLANK(_xlpm.HRange)&lt;&gt;4),
Error!$B$22,
IF(AND($H114="Zoning: Tree Points",$K114&lt;&gt;"",ISNA(MATCH($K114,Tables!$B$242:$B$253,0))),
Error!$B$58,
IF(AND($H114="Zoning: Tree Points",$K114="Small",$L114&lt;&gt;"",ISNA(MATCH($L114,Tables!$C$243:$C$244,0))),
Error!$B$59,
IF(AND($H114="Zoning: Tree Points",$K114="Small/Medium",$L114&lt;&gt;"",ISNA(MATCH($L114,Tables!$C$246:$C$247,0))),
Error!$B$59,
IF(AND($H114="Zoning: Tree Points",$K114="Medium/Large",$L114&lt;&gt;"",ISNA(MATCH($L114,Tables!$C$249:$C$250,0))),
Error!$B$59,
IF(AND($H114="Zoning: Tree Points",$K114="Large",$L114&lt;&gt;"",ISNA(MATCH($L114,Tables!$C$252:$C$253,0))),
Error!$B$59,
IF(AND($F114="Retain",$H114="Zoning: Tree Points",$C114&lt;&gt;"",$D114&lt;&gt;"",OR($K114="",$L114="",$M114="")),
Error!$B$20,
""
)))))))))))))))))))))))))))))))))))))))))))))))))))))))),
Error!$B$23))</f>
        <v/>
      </c>
      <c r="O114" s="343" t="str" cm="1">
        <f t="array" aca="1" ref="O114" ca="1">IFERROR(_xlfn.LET(
    _xlpm.txt, $C114,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5" spans="1:15" ht="15" thickBot="1" x14ac:dyDescent="0.35">
      <c r="A115" s="311">
        <v>27</v>
      </c>
      <c r="B115" s="312"/>
      <c r="C115" s="313"/>
      <c r="D115" s="478"/>
      <c r="E115" s="314"/>
      <c r="F115" s="314"/>
      <c r="G115" s="315" t="str">
        <f>IF(Tree_Table1[[#This Row],[Tree Status  &amp;]]="Retain", Tables!$B$237, IF(Tree_Table1[[#This Row],[Tree Status  &amp;]]="Remove", Tables!$B$238, ""))</f>
        <v/>
      </c>
      <c r="H115" s="316"/>
      <c r="I115" s="317"/>
      <c r="J115" s="452"/>
      <c r="K115" s="318" t="str">
        <f>IFERROR(
    IF(
        AND($H115="Zoning: Tree Points", NOT(ISNUMBER(SEARCH("sp.", $C115)))),
        VLOOKUP($C115, 'Tree List'!$C$3:$F$601, 4, FALSE),
        ""
    ),
"")</f>
        <v/>
      </c>
      <c r="L115" s="319" t="str" cm="1">
        <f t="array" ref="L115">IFERROR(
IF(
    AND($H115="Zoning: Tree Points", NOT(ISNUMBER(SEARCH("sp.", $C115)))),
    _xlfn.IFS(
        (COUNTIFS('Tree List'!$C$3:$C$601,$C115,'Tree List'!$D$3:$D$601,"Coniferous")
        + COUNTIFS('Tree List'!$C$3:$C$601,$C115,'Tree List'!$D$3:$D$601,"Deciduous Conifer")) &gt; 0,
            _xlfn.IFS($K115="Small",0.5,$K115="Small/Medium",1,$K115="Medium/Large",1.4,$K115="Large",1.8),
        (COUNTIFS('Tree List'!$C$3:$C$601,$C115,'Tree List'!$D$3:$D$601,"Deciduous")
        + COUNTIFS('Tree List'!$C$3:$C$601,$C115,'Tree List'!$D$3:$D$601,"Broadleaf Evergreen")) &gt; 0,
            _xlfn.IFS($K115="Small",0.4,$K115="Small/Medium",0.8,$K115="Medium/Large",1.2,$K115="Large",1.6)
    ),
    ""
),
"")</f>
        <v/>
      </c>
      <c r="M115" s="474" t="str">
        <f t="shared" si="0"/>
        <v/>
      </c>
      <c r="N115" s="620" t="str" cm="1">
        <f t="array" aca="1" ref="N11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IF(AND(_xlpm.baseRow,ISNA(MATCH($C115,'Tree List'!$C$3:$C$601,0)),SUMPRODUCT(--ISNUMBER(SEARCH(Tables2!$C$677:$C$772,$O115)))&gt;0),
Error!$B$57,
IF(AND(_xlpm.hasDM,$F115="Remove",$H115&lt;&gt;"",OR($I115="On-site replacement",$I115="Off-site replacement",$I115="Payment In Lieu")),
Error!$B$56,
IF(AND(_xlpm.hasDM,$F115="Remove",$H115&lt;&gt;"",$I115="Relocation"),
Error!$B$66,
IF(AND(OR(_xlpm.hasCN,_xlpm.hasPH,_xlpm.hasGR),$H115&lt;&gt;"",COUNTIF(Tables!$B$132:$B$134,$H115)&gt;0,$I115="N/A (No replacement required)"),
Error!$B$62,
IF(AND(_xlpm.baseRow,$E115&lt;&gt;"",ISNA(MATCH($E115,Tables!$B$225:$B$232,0))),
Error!$B$2,
IF(AND(_xlpm.baseRow,$F115&lt;&gt;"",ISNA(MATCH($F115,Tables!$B$234:$B$235,0))),
Error!$B$24,
IF(AND(_xlpm.baseRow,_xlpm.ECA_H&gt;0,_xlpm.Shore_H&gt;0),
Error!$B$16,
IF(AND(_xlpm.baseRow,$E115&lt;&gt;"",$D115=""),
Error!$B$3,
IF(AND(_xlpm.baseRow,OR($E115="Tier 3",$E115="Tier 4"),$C115&lt;&gt;"",$D115&gt;=24,COUNTIF(Tables2!$B$166:$B$674,$C115)&gt;0),
Error!$B$44,
IF(AND(_xlpm.baseRow,OR($E115="Tier 3",$E115="Tier 4"),$C115&lt;&gt;"",$D115&lt;&gt;"",COUNTIF(Tables2!$B$73:$B$152,$C115)&gt;0,
$D115&gt;=IFERROR(INDEX(Tables2!$C$73:$C$152,MATCH($C115,Tables2!$B$73:$B$152,0)),-1)),
Error!$B$44,
IF(AND(_xlpm.baseRow,OR($E115="Tier 2",$E115="Tier 2 Grove"),$C115&lt;&gt;"",$D115&gt;=12,COUNTIF(Tables2!$B$153:$B$162,$C115)&gt;0),
Error!$B$45,
IF(AND(_xlpm.baseRow,$E115="Tier 2 Grove",$D115&lt;12),
Error!$B$41,
IF(AND(_xlpm.baseRow,$E115="Tier 2",$D115&lt;5.88),
Error!$B$40,
IF(AND(_xlpm.baseRow,OR($E115="Tier 2",$E115="Tier 2 Grove"),$C115&lt;&gt;"",$D115&lt;12,$D115&gt;=6,COUNTIF(Tables2!$B$153:$B$162,$C115)&gt;0),
Error!$B$54,
IF(AND(_xlpm.baseRow,$E115="Tier 2",COUNTIF(Tables2!$B$166:$B$674,$C115)&gt;0,$D115&lt;24),
Error!$B$54,
IF(AND(_xlpm.baseRow,$E115="Tier 3",ISNA(MATCH($C115,Tables2!$B$153:$B$162,0)),OR($D115&lt;12,$D115&gt;=24)),
Error!$B$9,
IF(AND(_xlpm.baseRow,$E115="Tier 3",COUNTIF(Tables2!$B$153:$B$162,$C115)&gt;0,$D115&lt;12),
Error!$B$46,
IF(AND(_xlpm.baseRow,$E115="Tier 4",OR($D115&lt;6,$D115&gt;=12)),
Error!$B$10,
IF(AND(_xlpm.baseRow,$E115="&lt;6in DSH for Tree Points",OR($D115&gt;=6,$D115="")),
Error!$B$8,
IF(AND(_xlpm.baseRow,$E115="Street Tree for Green Factor",$F115&lt;&gt;"",$F115&lt;&gt;"Retain"),
Error!$B$14,
IF(AND($E115="&lt;6in DSH for Tree Points",$F115="Retain",$H115&lt;&gt;"",ISNA(MATCH($H115,Tables!$B$174:$B$174,0))),
Error!$B$15,
IF(AND($E115="Street Tree for Green Factor",$F115="Retain",$H115&lt;&gt;"",$H115&lt;&gt;"Zoning: Green Factor"),
Error!$B$15,
IF(AND($E115="ECA / Shoreline Tree",$F115="Remove",$H115&lt;&gt;"",ISNA(MATCH($H115,Tables!$B$189:$B$190,0))),
Error!$B$15,
IF(AND($E115="ECA / Shoreline Tree",$F115="Retain",$H115&lt;&gt;"",ISNA(MATCH($H115,Tables!$B$184:$B$186,0))),
Error!$B$15,
IF(AND($E115="Tier 4",$F115="Remove",$H115&lt;&gt;"",ISNA(MATCH($H115,Tables!$B$171,0))),
Error!$B$15,
IF(AND($E115="Tier 4",$F115="Retain",$H115&lt;&gt;"",ISNA(MATCH($H115,Tables!$B$166:$B$168,0))),
Error!$B$15,
IF(AND($E115="Tier 3",$F115="Retain",$H115&lt;&gt;"",ISNA(MATCH($H115,Tables!$B$158:$B$160,0))),
Error!$B$15,
IF(AND($E115="Tier 3",$F115="Remove",$H115&lt;&gt;"",ISNA(MATCH($H115,Tables!$B$163,0))),
Error!$B$15,
IF(AND(OR($E115="Tier 2",$E115="Tier 2 Grove"),$F115="Remove",$H115&lt;&gt;"",ISNA(MATCH($H115,Tables!$B$153:$B$155,0))),
Error!$B$15,
IF(AND(OR($E115="Tier 2",$E115="Tier 2 Grove"),$F115="Retain",$H115&lt;&gt;"",ISNA(MATCH($H115,Tables!$B$147:$B$150,0))),
Error!$B$15,
IF(AND($E115="Tier 1",$F115="Remove",$H115&lt;&gt;"",ISNA(MATCH($H115,Tables!$B$143:$B$144,0))),
Error!$B$15,
IF(AND($E115="Tier 1",$F115="Retain",$H115&lt;&gt;"",ISNA(MATCH($H115,Tables!$B$137:$B$140,0))),
Error!$B$15,
IF(AND($E115&lt;&gt;"Tier 2",$E115&lt;&gt;"Tier 2 Grove",$E115&lt;&gt;"Tier 3",$E115&lt;&gt;"Tier 4",$H115="Zoning: Green Factor",OR($D115="",$D115&lt;6)),
Error!$B$11,
IF(AND(_xlpm.baseRow,$D115&lt;6,$E115="&lt;6in DSH for Tree Points",_xlpm.TreePoints_H=0),
Error!$B$21,
IF(AND(_xlpm.baseRow,$E115&lt;&gt;"",$D115&lt;&gt;"",$F115=""),
Error!$B$4,
IF(AND(_xlpm.baseRow,$F115="Remove",OR($E115="Tier 1",$E115="Tier 2",$E115="Tier 2 Grove"),COUNTBLANK(_xlpm.HRange)&lt;3,_xlpm.uniqueH&gt;=2),
Error!$B$48,
IF(AND(_xlpm.baseRow,$F115="Retain",OR($E115="Tier 1",$E115="Tier 2",$E115="Tier 2 Grove"),COUNTIF(_xlpm.HRange,"Tree Code: Required to Retain Tier 1-2 Tree")=0),
Error!$B$47,
IF(AND(_xlpm.baseRow,$E115&lt;&gt;"",$D115&lt;&gt;"",$F115&lt;&gt;"",COUNTBLANK(_xlpm.HRange)=4),
Error!$B$5,
IF(AND($F115="Remove",$H115&lt;&gt;"",$I115=""),
Error!$B$18,
IF(AND($E115="Tier 4",$F115="Remove",$H115="Tree Protection Code: Tier 3 or Tier 4 Allowance",$H115&lt;&gt;"",ISNA(MATCH($I115,Tables!$B$200,0))),
Error!$B$17,
IF(AND($E115="Tier 3",$F115="Remove",$H115&lt;&gt;"",$H115="Tree Protection Code: Tier 3 or Tier 4 Allowance",OR($I115="",ISNA(MATCH($I115,Tables!$B$193:$B$197,0)))),
Error!$B$17,
IF(AND(OR($E115="Tier 2",$E115="Tier 2 Grove"),$F115="Remove",$H115="Tree Protection Code: Other removal allowance or exemption",$I115&lt;&gt;"",ISNA(MATCH($I115,Tables!$B$215:$B$218,0))),
Error!$B$17,
IF(AND(OR($E115="Tier 2",$E115="Tier 2 Grove"),$F115="Remove",$H115="Tree Protection Code: Development Capacity",$I115&lt;&gt;"",ISNA(MATCH($I115,Tables!$B$193:$B$197,0))),
Error!$B$17,
IF(AND(OR($E115="Tier 2",$E115="Tier 2 Grove"),$F115="Remove",$H115="Tree Protection Code: Necessary for Construction",$I115&lt;&gt;"",ISNA(MATCH($I115,Tables!$B$193:$B$197,0))),
Error!$B$17,
IF(AND($E115="Tier 1",$F115="Remove",$H115="Tree Protection Code: Special Exception",$I115&lt;&gt;"",ISNA(MATCH($I115,Tables!$B$215:$B$218,0))),
Error!$B$17,
IF(AND($E115="Tier 1",$F115="Remove",$H115="Tree Protection Code: Other removal allowance or exemption",$I115&lt;&gt;"",ISNA(MATCH($I115,Tables!$B$215:$B$218,0))),
Error!$B$17,
IF(AND($E115="ECA / Shoreline Tree",$F115="Remove",$H115&lt;&gt;"",OR($H115="Shoreline",$H115="Environmental Critical Area (ECA)"),ISNA(MATCH($I115,Tables!$B$209:$B$212,0))),
Error!$B$17,
IF(AND(_xlpm.baseRow,$F115="Retain",$E115="ECA / Shoreline Tree",_xlpm.ECA_Short=0),
Error!$B$61,
IF(AND($F115="Remove",ISNUMBER(MATCH($E115,{"Tier 1","Tier 2","Tier 3","Tier 4","Tier 2 Grove"},0)),ISNUMBER(MATCH($I115,{"On-site replacement","Off-site replacement"},0)),$J115="",$H115&lt;&gt;""),
Error!$B$19,
IF(AND(_xlpm.baseRow,$E115&lt;&gt;"",$D115&lt;&gt;"",$F115&lt;&gt;"",COUNTBLANK($B115:$C115)&gt;0,COUNTBLANK(_xlpm.HRange)&lt;&gt;4),
Error!$B$22,
IF(AND($H115="Zoning: Tree Points",$K115&lt;&gt;"",ISNA(MATCH($K115,Tables!$B$242:$B$253,0))),
Error!$B$58,
IF(AND($H115="Zoning: Tree Points",$K115="Small",$L115&lt;&gt;"",ISNA(MATCH($L115,Tables!$C$243:$C$244,0))),
Error!$B$59,
IF(AND($H115="Zoning: Tree Points",$K115="Small/Medium",$L115&lt;&gt;"",ISNA(MATCH($L115,Tables!$C$246:$C$247,0))),
Error!$B$59,
IF(AND($H115="Zoning: Tree Points",$K115="Medium/Large",$L115&lt;&gt;"",ISNA(MATCH($L115,Tables!$C$249:$C$250,0))),
Error!$B$59,
IF(AND($H115="Zoning: Tree Points",$K115="Large",$L115&lt;&gt;"",ISNA(MATCH($L115,Tables!$C$252:$C$253,0))),
Error!$B$59,
IF(AND($F115="Retain",$H115="Zoning: Tree Points",$C115&lt;&gt;"",$D115&lt;&gt;"",OR($K115="",$L115="",$M115="")),
Error!$B$20,
""
)))))))))))))))))))))))))))))))))))))))))))))))))))))))),
Error!$B$23))</f>
        <v/>
      </c>
      <c r="O115" s="343" t="str" cm="1">
        <f t="array" aca="1" ref="O115" ca="1">IFERROR(_xlfn.LET(
    _xlpm.txt, $C115,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6" spans="1:15" x14ac:dyDescent="0.3">
      <c r="A116" s="320"/>
      <c r="B116" s="616" t="str">
        <f t="shared" ref="B116:B118" si="88">IF($B115="", "", $B115)</f>
        <v/>
      </c>
      <c r="C116" s="617" t="str">
        <f t="shared" ref="C116:C118" si="89">IF($C115="", "", $C115)</f>
        <v/>
      </c>
      <c r="D116" s="618" t="str">
        <f t="shared" ref="D116:D118" si="90">IF($D115="", "", $D115)</f>
        <v/>
      </c>
      <c r="E116" s="616" t="str">
        <f t="shared" ref="E116:E118" si="91">IF($E115="", "", $E115)</f>
        <v/>
      </c>
      <c r="F116" s="616" t="str">
        <f t="shared" ref="F116:F118" si="92">IF($F115="", "", $F115)</f>
        <v/>
      </c>
      <c r="G116" s="619" t="str">
        <f>IF(Tree_Table1[[#This Row],[Tree Status  &amp;]]="Retain", Tables!$B$237, IF(Tree_Table1[[#This Row],[Tree Status  &amp;]]="Remove", Tables!$B$238, ""))</f>
        <v/>
      </c>
      <c r="H116" s="321"/>
      <c r="I116" s="322"/>
      <c r="J116" s="453"/>
      <c r="K116" s="323" t="str">
        <f>IFERROR(
    IF(
        AND($H116="Zoning: Tree Points", NOT(ISNUMBER(SEARCH("sp.", $C116)))),
        VLOOKUP($C116, 'Tree List'!$C$3:$F$601, 4, FALSE),
        ""
    ),
"")</f>
        <v/>
      </c>
      <c r="L116" s="324" t="str" cm="1">
        <f t="array" ref="L116">IFERROR(
IF(
    AND($H116="Zoning: Tree Points", NOT(ISNUMBER(SEARCH("sp.", $C116)))),
    _xlfn.IFS(
        (COUNTIFS('Tree List'!$C$3:$C$601,$C116,'Tree List'!$D$3:$D$601,"Coniferous")
        + COUNTIFS('Tree List'!$C$3:$C$601,$C116,'Tree List'!$D$3:$D$601,"Deciduous Conifer")) &gt; 0,
            _xlfn.IFS($K116="Small",0.5,$K116="Small/Medium",1,$K116="Medium/Large",1.4,$K116="Large",1.8),
        (COUNTIFS('Tree List'!$C$3:$C$601,$C116,'Tree List'!$D$3:$D$601,"Deciduous")
        + COUNTIFS('Tree List'!$C$3:$C$601,$C116,'Tree List'!$D$3:$D$601,"Broadleaf Evergreen")) &gt; 0,
            _xlfn.IFS($K116="Small",0.4,$K116="Small/Medium",0.8,$K116="Medium/Large",1.2,$K116="Large",1.6)
    ),
    ""
),
"")</f>
        <v/>
      </c>
      <c r="M116" s="475" t="str">
        <f t="shared" si="0"/>
        <v/>
      </c>
      <c r="N116" s="346" t="str" cm="1">
        <f t="array" aca="1" ref="N11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IF(AND(_xlpm.baseRow,ISNA(MATCH($C116,'Tree List'!$C$3:$C$601,0)),SUMPRODUCT(--ISNUMBER(SEARCH(Tables2!$C$677:$C$772,$O116)))&gt;0),
Error!$B$57,
IF(AND(_xlpm.hasDM,$F116="Remove",$H116&lt;&gt;"",OR($I116="On-site replacement",$I116="Off-site replacement",$I116="Payment In Lieu")),
Error!$B$56,
IF(AND(_xlpm.hasDM,$F116="Remove",$H116&lt;&gt;"",$I116="Relocation"),
Error!$B$66,
IF(AND(OR(_xlpm.hasCN,_xlpm.hasPH,_xlpm.hasGR),$H116&lt;&gt;"",COUNTIF(Tables!$B$132:$B$134,$H116)&gt;0,$I116="N/A (No replacement required)"),
Error!$B$62,
IF(AND(_xlpm.baseRow,$E116&lt;&gt;"",ISNA(MATCH($E116,Tables!$B$225:$B$232,0))),
Error!$B$2,
IF(AND(_xlpm.baseRow,$F116&lt;&gt;"",ISNA(MATCH($F116,Tables!$B$234:$B$235,0))),
Error!$B$24,
IF(AND(_xlpm.baseRow,_xlpm.ECA_H&gt;0,_xlpm.Shore_H&gt;0),
Error!$B$16,
IF(AND(_xlpm.baseRow,$E116&lt;&gt;"",$D116=""),
Error!$B$3,
IF(AND(_xlpm.baseRow,OR($E116="Tier 3",$E116="Tier 4"),$C116&lt;&gt;"",$D116&gt;=24,COUNTIF(Tables2!$B$166:$B$674,$C116)&gt;0),
Error!$B$44,
IF(AND(_xlpm.baseRow,OR($E116="Tier 3",$E116="Tier 4"),$C116&lt;&gt;"",$D116&lt;&gt;"",COUNTIF(Tables2!$B$73:$B$152,$C116)&gt;0,
$D116&gt;=IFERROR(INDEX(Tables2!$C$73:$C$152,MATCH($C116,Tables2!$B$73:$B$152,0)),-1)),
Error!$B$44,
IF(AND(_xlpm.baseRow,OR($E116="Tier 2",$E116="Tier 2 Grove"),$C116&lt;&gt;"",$D116&gt;=12,COUNTIF(Tables2!$B$153:$B$162,$C116)&gt;0),
Error!$B$45,
IF(AND(_xlpm.baseRow,$E116="Tier 2 Grove",$D116&lt;12),
Error!$B$41,
IF(AND(_xlpm.baseRow,$E116="Tier 2",$D116&lt;5.88),
Error!$B$40,
IF(AND(_xlpm.baseRow,OR($E116="Tier 2",$E116="Tier 2 Grove"),$C116&lt;&gt;"",$D116&lt;12,$D116&gt;=6,COUNTIF(Tables2!$B$153:$B$162,$C116)&gt;0),
Error!$B$54,
IF(AND(_xlpm.baseRow,$E116="Tier 2",COUNTIF(Tables2!$B$166:$B$674,$C116)&gt;0,$D116&lt;24),
Error!$B$54,
IF(AND(_xlpm.baseRow,$E116="Tier 3",ISNA(MATCH($C116,Tables2!$B$153:$B$162,0)),OR($D116&lt;12,$D116&gt;=24)),
Error!$B$9,
IF(AND(_xlpm.baseRow,$E116="Tier 3",COUNTIF(Tables2!$B$153:$B$162,$C116)&gt;0,$D116&lt;12),
Error!$B$46,
IF(AND(_xlpm.baseRow,$E116="Tier 4",OR($D116&lt;6,$D116&gt;=12)),
Error!$B$10,
IF(AND(_xlpm.baseRow,$E116="&lt;6in DSH for Tree Points",OR($D116&gt;=6,$D116="")),
Error!$B$8,
IF(AND(_xlpm.baseRow,$E116="Street Tree for Green Factor",$F116&lt;&gt;"",$F116&lt;&gt;"Retain"),
Error!$B$14,
IF(AND($E116="&lt;6in DSH for Tree Points",$F116="Retain",$H116&lt;&gt;"",ISNA(MATCH($H116,Tables!$B$174:$B$174,0))),
Error!$B$15,
IF(AND($E116="Street Tree for Green Factor",$F116="Retain",$H116&lt;&gt;"",$H116&lt;&gt;"Zoning: Green Factor"),
Error!$B$15,
IF(AND($E116="ECA / Shoreline Tree",$F116="Remove",$H116&lt;&gt;"",ISNA(MATCH($H116,Tables!$B$189:$B$190,0))),
Error!$B$15,
IF(AND($E116="ECA / Shoreline Tree",$F116="Retain",$H116&lt;&gt;"",ISNA(MATCH($H116,Tables!$B$184:$B$186,0))),
Error!$B$15,
IF(AND($E116="Tier 4",$F116="Remove",$H116&lt;&gt;"",ISNA(MATCH($H116,Tables!$B$171,0))),
Error!$B$15,
IF(AND($E116="Tier 4",$F116="Retain",$H116&lt;&gt;"",ISNA(MATCH($H116,Tables!$B$166:$B$168,0))),
Error!$B$15,
IF(AND($E116="Tier 3",$F116="Retain",$H116&lt;&gt;"",ISNA(MATCH($H116,Tables!$B$158:$B$160,0))),
Error!$B$15,
IF(AND($E116="Tier 3",$F116="Remove",$H116&lt;&gt;"",ISNA(MATCH($H116,Tables!$B$163,0))),
Error!$B$15,
IF(AND(OR($E116="Tier 2",$E116="Tier 2 Grove"),$F116="Remove",$H116&lt;&gt;"",ISNA(MATCH($H116,Tables!$B$153:$B$155,0))),
Error!$B$15,
IF(AND(OR($E116="Tier 2",$E116="Tier 2 Grove"),$F116="Retain",$H116&lt;&gt;"",ISNA(MATCH($H116,Tables!$B$147:$B$150,0))),
Error!$B$15,
IF(AND($E116="Tier 1",$F116="Remove",$H116&lt;&gt;"",ISNA(MATCH($H116,Tables!$B$143:$B$144,0))),
Error!$B$15,
IF(AND($E116="Tier 1",$F116="Retain",$H116&lt;&gt;"",ISNA(MATCH($H116,Tables!$B$137:$B$140,0))),
Error!$B$15,
IF(AND($E116&lt;&gt;"Tier 2",$E116&lt;&gt;"Tier 2 Grove",$E116&lt;&gt;"Tier 3",$E116&lt;&gt;"Tier 4",$H116="Zoning: Green Factor",OR($D116="",$D116&lt;6)),
Error!$B$11,
IF(AND(_xlpm.baseRow,$D116&lt;6,$E116="&lt;6in DSH for Tree Points",_xlpm.TreePoints_H=0),
Error!$B$21,
IF(AND(_xlpm.baseRow,$E116&lt;&gt;"",$D116&lt;&gt;"",$F116=""),
Error!$B$4,
IF(AND(_xlpm.baseRow,$F116="Remove",OR($E116="Tier 1",$E116="Tier 2",$E116="Tier 2 Grove"),COUNTBLANK(_xlpm.HRange)&lt;3,_xlpm.uniqueH&gt;=2),
Error!$B$48,
IF(AND(_xlpm.baseRow,$F116="Retain",OR($E116="Tier 1",$E116="Tier 2",$E116="Tier 2 Grove"),COUNTIF(_xlpm.HRange,"Tree Code: Required to Retain Tier 1-2 Tree")=0),
Error!$B$47,
IF(AND(_xlpm.baseRow,$E116&lt;&gt;"",$D116&lt;&gt;"",$F116&lt;&gt;"",COUNTBLANK(_xlpm.HRange)=4),
Error!$B$5,
IF(AND($F116="Remove",$H116&lt;&gt;"",$I116=""),
Error!$B$18,
IF(AND($E116="Tier 4",$F116="Remove",$H116="Tree Protection Code: Tier 3 or Tier 4 Allowance",$H116&lt;&gt;"",ISNA(MATCH($I116,Tables!$B$200,0))),
Error!$B$17,
IF(AND($E116="Tier 3",$F116="Remove",$H116&lt;&gt;"",$H116="Tree Protection Code: Tier 3 or Tier 4 Allowance",OR($I116="",ISNA(MATCH($I116,Tables!$B$193:$B$197,0)))),
Error!$B$17,
IF(AND(OR($E116="Tier 2",$E116="Tier 2 Grove"),$F116="Remove",$H116="Tree Protection Code: Other removal allowance or exemption",$I116&lt;&gt;"",ISNA(MATCH($I116,Tables!$B$215:$B$218,0))),
Error!$B$17,
IF(AND(OR($E116="Tier 2",$E116="Tier 2 Grove"),$F116="Remove",$H116="Tree Protection Code: Development Capacity",$I116&lt;&gt;"",ISNA(MATCH($I116,Tables!$B$193:$B$197,0))),
Error!$B$17,
IF(AND(OR($E116="Tier 2",$E116="Tier 2 Grove"),$F116="Remove",$H116="Tree Protection Code: Necessary for Construction",$I116&lt;&gt;"",ISNA(MATCH($I116,Tables!$B$193:$B$197,0))),
Error!$B$17,
IF(AND($E116="Tier 1",$F116="Remove",$H116="Tree Protection Code: Special Exception",$I116&lt;&gt;"",ISNA(MATCH($I116,Tables!$B$215:$B$218,0))),
Error!$B$17,
IF(AND($E116="Tier 1",$F116="Remove",$H116="Tree Protection Code: Other removal allowance or exemption",$I116&lt;&gt;"",ISNA(MATCH($I116,Tables!$B$215:$B$218,0))),
Error!$B$17,
IF(AND($E116="ECA / Shoreline Tree",$F116="Remove",$H116&lt;&gt;"",OR($H116="Shoreline",$H116="Environmental Critical Area (ECA)"),ISNA(MATCH($I116,Tables!$B$209:$B$212,0))),
Error!$B$17,
IF(AND(_xlpm.baseRow,$F116="Retain",$E116="ECA / Shoreline Tree",_xlpm.ECA_Short=0),
Error!$B$61,
IF(AND($F116="Remove",ISNUMBER(MATCH($E116,{"Tier 1","Tier 2","Tier 3","Tier 4","Tier 2 Grove"},0)),ISNUMBER(MATCH($I116,{"On-site replacement","Off-site replacement"},0)),$J116="",$H116&lt;&gt;""),
Error!$B$19,
IF(AND(_xlpm.baseRow,$E116&lt;&gt;"",$D116&lt;&gt;"",$F116&lt;&gt;"",COUNTBLANK($B116:$C116)&gt;0,COUNTBLANK(_xlpm.HRange)&lt;&gt;4),
Error!$B$22,
IF(AND($H116="Zoning: Tree Points",$K116&lt;&gt;"",ISNA(MATCH($K116,Tables!$B$242:$B$253,0))),
Error!$B$58,
IF(AND($H116="Zoning: Tree Points",$K116="Small",$L116&lt;&gt;"",ISNA(MATCH($L116,Tables!$C$243:$C$244,0))),
Error!$B$59,
IF(AND($H116="Zoning: Tree Points",$K116="Small/Medium",$L116&lt;&gt;"",ISNA(MATCH($L116,Tables!$C$246:$C$247,0))),
Error!$B$59,
IF(AND($H116="Zoning: Tree Points",$K116="Medium/Large",$L116&lt;&gt;"",ISNA(MATCH($L116,Tables!$C$249:$C$250,0))),
Error!$B$59,
IF(AND($H116="Zoning: Tree Points",$K116="Large",$L116&lt;&gt;"",ISNA(MATCH($L116,Tables!$C$252:$C$253,0))),
Error!$B$59,
IF(AND($F116="Retain",$H116="Zoning: Tree Points",$C116&lt;&gt;"",$D116&lt;&gt;"",OR($K116="",$L116="",$M116="")),
Error!$B$20,
""
)))))))))))))))))))))))))))))))))))))))))))))))))))))))),
Error!$B$23))</f>
        <v/>
      </c>
      <c r="O116" s="343" t="str" cm="1">
        <f t="array" aca="1" ref="O116" ca="1">IFERROR(_xlfn.LET(
    _xlpm.txt, $C116,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7" spans="1:15" x14ac:dyDescent="0.3">
      <c r="A117" s="320"/>
      <c r="B117" s="616" t="str">
        <f t="shared" si="88"/>
        <v/>
      </c>
      <c r="C117" s="617" t="str">
        <f t="shared" si="89"/>
        <v/>
      </c>
      <c r="D117" s="618" t="str">
        <f t="shared" si="90"/>
        <v/>
      </c>
      <c r="E117" s="616" t="str">
        <f t="shared" si="91"/>
        <v/>
      </c>
      <c r="F117" s="616" t="str">
        <f t="shared" si="92"/>
        <v/>
      </c>
      <c r="G117" s="619" t="str">
        <f>IF(Tree_Table1[[#This Row],[Tree Status  &amp;]]="Retain", Tables!$B$237, IF(Tree_Table1[[#This Row],[Tree Status  &amp;]]="Remove", Tables!$B$238, ""))</f>
        <v/>
      </c>
      <c r="H117" s="321"/>
      <c r="I117" s="322"/>
      <c r="J117" s="453"/>
      <c r="K117" s="323" t="str">
        <f>IFERROR(
    IF(
        AND($H117="Zoning: Tree Points", NOT(ISNUMBER(SEARCH("sp.", $C117)))),
        VLOOKUP($C117, 'Tree List'!$C$3:$F$601, 4, FALSE),
        ""
    ),
"")</f>
        <v/>
      </c>
      <c r="L117" s="324" t="str" cm="1">
        <f t="array" ref="L117">IFERROR(
IF(
    AND($H117="Zoning: Tree Points", NOT(ISNUMBER(SEARCH("sp.", $C117)))),
    _xlfn.IFS(
        (COUNTIFS('Tree List'!$C$3:$C$601,$C117,'Tree List'!$D$3:$D$601,"Coniferous")
        + COUNTIFS('Tree List'!$C$3:$C$601,$C117,'Tree List'!$D$3:$D$601,"Deciduous Conifer")) &gt; 0,
            _xlfn.IFS($K117="Small",0.5,$K117="Small/Medium",1,$K117="Medium/Large",1.4,$K117="Large",1.8),
        (COUNTIFS('Tree List'!$C$3:$C$601,$C117,'Tree List'!$D$3:$D$601,"Deciduous")
        + COUNTIFS('Tree List'!$C$3:$C$601,$C117,'Tree List'!$D$3:$D$601,"Broadleaf Evergreen")) &gt; 0,
            _xlfn.IFS($K117="Small",0.4,$K117="Small/Medium",0.8,$K117="Medium/Large",1.2,$K117="Large",1.6)
    ),
    ""
),
"")</f>
        <v/>
      </c>
      <c r="M117" s="475" t="str">
        <f t="shared" si="0"/>
        <v/>
      </c>
      <c r="N117" s="346" t="str" cm="1">
        <f t="array" aca="1" ref="N11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IF(AND(_xlpm.baseRow,ISNA(MATCH($C117,'Tree List'!$C$3:$C$601,0)),SUMPRODUCT(--ISNUMBER(SEARCH(Tables2!$C$677:$C$772,$O117)))&gt;0),
Error!$B$57,
IF(AND(_xlpm.hasDM,$F117="Remove",$H117&lt;&gt;"",OR($I117="On-site replacement",$I117="Off-site replacement",$I117="Payment In Lieu")),
Error!$B$56,
IF(AND(_xlpm.hasDM,$F117="Remove",$H117&lt;&gt;"",$I117="Relocation"),
Error!$B$66,
IF(AND(OR(_xlpm.hasCN,_xlpm.hasPH,_xlpm.hasGR),$H117&lt;&gt;"",COUNTIF(Tables!$B$132:$B$134,$H117)&gt;0,$I117="N/A (No replacement required)"),
Error!$B$62,
IF(AND(_xlpm.baseRow,$E117&lt;&gt;"",ISNA(MATCH($E117,Tables!$B$225:$B$232,0))),
Error!$B$2,
IF(AND(_xlpm.baseRow,$F117&lt;&gt;"",ISNA(MATCH($F117,Tables!$B$234:$B$235,0))),
Error!$B$24,
IF(AND(_xlpm.baseRow,_xlpm.ECA_H&gt;0,_xlpm.Shore_H&gt;0),
Error!$B$16,
IF(AND(_xlpm.baseRow,$E117&lt;&gt;"",$D117=""),
Error!$B$3,
IF(AND(_xlpm.baseRow,OR($E117="Tier 3",$E117="Tier 4"),$C117&lt;&gt;"",$D117&gt;=24,COUNTIF(Tables2!$B$166:$B$674,$C117)&gt;0),
Error!$B$44,
IF(AND(_xlpm.baseRow,OR($E117="Tier 3",$E117="Tier 4"),$C117&lt;&gt;"",$D117&lt;&gt;"",COUNTIF(Tables2!$B$73:$B$152,$C117)&gt;0,
$D117&gt;=IFERROR(INDEX(Tables2!$C$73:$C$152,MATCH($C117,Tables2!$B$73:$B$152,0)),-1)),
Error!$B$44,
IF(AND(_xlpm.baseRow,OR($E117="Tier 2",$E117="Tier 2 Grove"),$C117&lt;&gt;"",$D117&gt;=12,COUNTIF(Tables2!$B$153:$B$162,$C117)&gt;0),
Error!$B$45,
IF(AND(_xlpm.baseRow,$E117="Tier 2 Grove",$D117&lt;12),
Error!$B$41,
IF(AND(_xlpm.baseRow,$E117="Tier 2",$D117&lt;5.88),
Error!$B$40,
IF(AND(_xlpm.baseRow,OR($E117="Tier 2",$E117="Tier 2 Grove"),$C117&lt;&gt;"",$D117&lt;12,$D117&gt;=6,COUNTIF(Tables2!$B$153:$B$162,$C117)&gt;0),
Error!$B$54,
IF(AND(_xlpm.baseRow,$E117="Tier 2",COUNTIF(Tables2!$B$166:$B$674,$C117)&gt;0,$D117&lt;24),
Error!$B$54,
IF(AND(_xlpm.baseRow,$E117="Tier 3",ISNA(MATCH($C117,Tables2!$B$153:$B$162,0)),OR($D117&lt;12,$D117&gt;=24)),
Error!$B$9,
IF(AND(_xlpm.baseRow,$E117="Tier 3",COUNTIF(Tables2!$B$153:$B$162,$C117)&gt;0,$D117&lt;12),
Error!$B$46,
IF(AND(_xlpm.baseRow,$E117="Tier 4",OR($D117&lt;6,$D117&gt;=12)),
Error!$B$10,
IF(AND(_xlpm.baseRow,$E117="&lt;6in DSH for Tree Points",OR($D117&gt;=6,$D117="")),
Error!$B$8,
IF(AND(_xlpm.baseRow,$E117="Street Tree for Green Factor",$F117&lt;&gt;"",$F117&lt;&gt;"Retain"),
Error!$B$14,
IF(AND($E117="&lt;6in DSH for Tree Points",$F117="Retain",$H117&lt;&gt;"",ISNA(MATCH($H117,Tables!$B$174:$B$174,0))),
Error!$B$15,
IF(AND($E117="Street Tree for Green Factor",$F117="Retain",$H117&lt;&gt;"",$H117&lt;&gt;"Zoning: Green Factor"),
Error!$B$15,
IF(AND($E117="ECA / Shoreline Tree",$F117="Remove",$H117&lt;&gt;"",ISNA(MATCH($H117,Tables!$B$189:$B$190,0))),
Error!$B$15,
IF(AND($E117="ECA / Shoreline Tree",$F117="Retain",$H117&lt;&gt;"",ISNA(MATCH($H117,Tables!$B$184:$B$186,0))),
Error!$B$15,
IF(AND($E117="Tier 4",$F117="Remove",$H117&lt;&gt;"",ISNA(MATCH($H117,Tables!$B$171,0))),
Error!$B$15,
IF(AND($E117="Tier 4",$F117="Retain",$H117&lt;&gt;"",ISNA(MATCH($H117,Tables!$B$166:$B$168,0))),
Error!$B$15,
IF(AND($E117="Tier 3",$F117="Retain",$H117&lt;&gt;"",ISNA(MATCH($H117,Tables!$B$158:$B$160,0))),
Error!$B$15,
IF(AND($E117="Tier 3",$F117="Remove",$H117&lt;&gt;"",ISNA(MATCH($H117,Tables!$B$163,0))),
Error!$B$15,
IF(AND(OR($E117="Tier 2",$E117="Tier 2 Grove"),$F117="Remove",$H117&lt;&gt;"",ISNA(MATCH($H117,Tables!$B$153:$B$155,0))),
Error!$B$15,
IF(AND(OR($E117="Tier 2",$E117="Tier 2 Grove"),$F117="Retain",$H117&lt;&gt;"",ISNA(MATCH($H117,Tables!$B$147:$B$150,0))),
Error!$B$15,
IF(AND($E117="Tier 1",$F117="Remove",$H117&lt;&gt;"",ISNA(MATCH($H117,Tables!$B$143:$B$144,0))),
Error!$B$15,
IF(AND($E117="Tier 1",$F117="Retain",$H117&lt;&gt;"",ISNA(MATCH($H117,Tables!$B$137:$B$140,0))),
Error!$B$15,
IF(AND($E117&lt;&gt;"Tier 2",$E117&lt;&gt;"Tier 2 Grove",$E117&lt;&gt;"Tier 3",$E117&lt;&gt;"Tier 4",$H117="Zoning: Green Factor",OR($D117="",$D117&lt;6)),
Error!$B$11,
IF(AND(_xlpm.baseRow,$D117&lt;6,$E117="&lt;6in DSH for Tree Points",_xlpm.TreePoints_H=0),
Error!$B$21,
IF(AND(_xlpm.baseRow,$E117&lt;&gt;"",$D117&lt;&gt;"",$F117=""),
Error!$B$4,
IF(AND(_xlpm.baseRow,$F117="Remove",OR($E117="Tier 1",$E117="Tier 2",$E117="Tier 2 Grove"),COUNTBLANK(_xlpm.HRange)&lt;3,_xlpm.uniqueH&gt;=2),
Error!$B$48,
IF(AND(_xlpm.baseRow,$F117="Retain",OR($E117="Tier 1",$E117="Tier 2",$E117="Tier 2 Grove"),COUNTIF(_xlpm.HRange,"Tree Code: Required to Retain Tier 1-2 Tree")=0),
Error!$B$47,
IF(AND(_xlpm.baseRow,$E117&lt;&gt;"",$D117&lt;&gt;"",$F117&lt;&gt;"",COUNTBLANK(_xlpm.HRange)=4),
Error!$B$5,
IF(AND($F117="Remove",$H117&lt;&gt;"",$I117=""),
Error!$B$18,
IF(AND($E117="Tier 4",$F117="Remove",$H117="Tree Protection Code: Tier 3 or Tier 4 Allowance",$H117&lt;&gt;"",ISNA(MATCH($I117,Tables!$B$200,0))),
Error!$B$17,
IF(AND($E117="Tier 3",$F117="Remove",$H117&lt;&gt;"",$H117="Tree Protection Code: Tier 3 or Tier 4 Allowance",OR($I117="",ISNA(MATCH($I117,Tables!$B$193:$B$197,0)))),
Error!$B$17,
IF(AND(OR($E117="Tier 2",$E117="Tier 2 Grove"),$F117="Remove",$H117="Tree Protection Code: Other removal allowance or exemption",$I117&lt;&gt;"",ISNA(MATCH($I117,Tables!$B$215:$B$218,0))),
Error!$B$17,
IF(AND(OR($E117="Tier 2",$E117="Tier 2 Grove"),$F117="Remove",$H117="Tree Protection Code: Development Capacity",$I117&lt;&gt;"",ISNA(MATCH($I117,Tables!$B$193:$B$197,0))),
Error!$B$17,
IF(AND(OR($E117="Tier 2",$E117="Tier 2 Grove"),$F117="Remove",$H117="Tree Protection Code: Necessary for Construction",$I117&lt;&gt;"",ISNA(MATCH($I117,Tables!$B$193:$B$197,0))),
Error!$B$17,
IF(AND($E117="Tier 1",$F117="Remove",$H117="Tree Protection Code: Special Exception",$I117&lt;&gt;"",ISNA(MATCH($I117,Tables!$B$215:$B$218,0))),
Error!$B$17,
IF(AND($E117="Tier 1",$F117="Remove",$H117="Tree Protection Code: Other removal allowance or exemption",$I117&lt;&gt;"",ISNA(MATCH($I117,Tables!$B$215:$B$218,0))),
Error!$B$17,
IF(AND($E117="ECA / Shoreline Tree",$F117="Remove",$H117&lt;&gt;"",OR($H117="Shoreline",$H117="Environmental Critical Area (ECA)"),ISNA(MATCH($I117,Tables!$B$209:$B$212,0))),
Error!$B$17,
IF(AND(_xlpm.baseRow,$F117="Retain",$E117="ECA / Shoreline Tree",_xlpm.ECA_Short=0),
Error!$B$61,
IF(AND($F117="Remove",ISNUMBER(MATCH($E117,{"Tier 1","Tier 2","Tier 3","Tier 4","Tier 2 Grove"},0)),ISNUMBER(MATCH($I117,{"On-site replacement","Off-site replacement"},0)),$J117="",$H117&lt;&gt;""),
Error!$B$19,
IF(AND(_xlpm.baseRow,$E117&lt;&gt;"",$D117&lt;&gt;"",$F117&lt;&gt;"",COUNTBLANK($B117:$C117)&gt;0,COUNTBLANK(_xlpm.HRange)&lt;&gt;4),
Error!$B$22,
IF(AND($H117="Zoning: Tree Points",$K117&lt;&gt;"",ISNA(MATCH($K117,Tables!$B$242:$B$253,0))),
Error!$B$58,
IF(AND($H117="Zoning: Tree Points",$K117="Small",$L117&lt;&gt;"",ISNA(MATCH($L117,Tables!$C$243:$C$244,0))),
Error!$B$59,
IF(AND($H117="Zoning: Tree Points",$K117="Small/Medium",$L117&lt;&gt;"",ISNA(MATCH($L117,Tables!$C$246:$C$247,0))),
Error!$B$59,
IF(AND($H117="Zoning: Tree Points",$K117="Medium/Large",$L117&lt;&gt;"",ISNA(MATCH($L117,Tables!$C$249:$C$250,0))),
Error!$B$59,
IF(AND($H117="Zoning: Tree Points",$K117="Large",$L117&lt;&gt;"",ISNA(MATCH($L117,Tables!$C$252:$C$253,0))),
Error!$B$59,
IF(AND($F117="Retain",$H117="Zoning: Tree Points",$C117&lt;&gt;"",$D117&lt;&gt;"",OR($K117="",$L117="",$M117="")),
Error!$B$20,
""
)))))))))))))))))))))))))))))))))))))))))))))))))))))))),
Error!$B$23))</f>
        <v/>
      </c>
      <c r="O117" s="343" t="str" cm="1">
        <f t="array" aca="1" ref="O117" ca="1">IFERROR(_xlfn.LET(
    _xlpm.txt, $C117,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8" spans="1:15" ht="15" thickBot="1" x14ac:dyDescent="0.35">
      <c r="A118" s="331"/>
      <c r="B118" s="616" t="str">
        <f t="shared" si="88"/>
        <v/>
      </c>
      <c r="C118" s="617" t="str">
        <f t="shared" si="89"/>
        <v/>
      </c>
      <c r="D118" s="618" t="str">
        <f t="shared" si="90"/>
        <v/>
      </c>
      <c r="E118" s="616" t="str">
        <f t="shared" si="91"/>
        <v/>
      </c>
      <c r="F118" s="616" t="str">
        <f t="shared" si="92"/>
        <v/>
      </c>
      <c r="G118" s="619" t="str">
        <f>IF(Tree_Table1[[#This Row],[Tree Status  &amp;]]="Retain", Tables!$B$237, IF(Tree_Table1[[#This Row],[Tree Status  &amp;]]="Remove", Tables!$B$238, ""))</f>
        <v/>
      </c>
      <c r="H118" s="329"/>
      <c r="I118" s="330"/>
      <c r="J118" s="455"/>
      <c r="K118" s="327" t="str">
        <f>IFERROR(
    IF(
        AND($H118="Zoning: Tree Points", NOT(ISNUMBER(SEARCH("sp.", $C118)))),
        VLOOKUP($C118, 'Tree List'!$C$3:$F$601, 4, FALSE),
        ""
    ),
"")</f>
        <v/>
      </c>
      <c r="L118" s="328" t="str" cm="1">
        <f t="array" ref="L118">IFERROR(
IF(
    AND($H118="Zoning: Tree Points", NOT(ISNUMBER(SEARCH("sp.", $C118)))),
    _xlfn.IFS(
        (COUNTIFS('Tree List'!$C$3:$C$601,$C118,'Tree List'!$D$3:$D$601,"Coniferous")
        + COUNTIFS('Tree List'!$C$3:$C$601,$C118,'Tree List'!$D$3:$D$601,"Deciduous Conifer")) &gt; 0,
            _xlfn.IFS($K118="Small",0.5,$K118="Small/Medium",1,$K118="Medium/Large",1.4,$K118="Large",1.8),
        (COUNTIFS('Tree List'!$C$3:$C$601,$C118,'Tree List'!$D$3:$D$601,"Deciduous")
        + COUNTIFS('Tree List'!$C$3:$C$601,$C118,'Tree List'!$D$3:$D$601,"Broadleaf Evergreen")) &gt; 0,
            _xlfn.IFS($K118="Small",0.4,$K118="Small/Medium",0.8,$K118="Medium/Large",1.2,$K118="Large",1.6)
    ),
    ""
),
"")</f>
        <v/>
      </c>
      <c r="M118" s="476" t="str">
        <f t="shared" si="0"/>
        <v/>
      </c>
      <c r="N118" s="347" t="str" cm="1">
        <f t="array" aca="1" ref="N11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IF(AND(_xlpm.baseRow,ISNA(MATCH($C118,'Tree List'!$C$3:$C$601,0)),SUMPRODUCT(--ISNUMBER(SEARCH(Tables2!$C$677:$C$772,$O118)))&gt;0),
Error!$B$57,
IF(AND(_xlpm.hasDM,$F118="Remove",$H118&lt;&gt;"",OR($I118="On-site replacement",$I118="Off-site replacement",$I118="Payment In Lieu")),
Error!$B$56,
IF(AND(_xlpm.hasDM,$F118="Remove",$H118&lt;&gt;"",$I118="Relocation"),
Error!$B$66,
IF(AND(OR(_xlpm.hasCN,_xlpm.hasPH,_xlpm.hasGR),$H118&lt;&gt;"",COUNTIF(Tables!$B$132:$B$134,$H118)&gt;0,$I118="N/A (No replacement required)"),
Error!$B$62,
IF(AND(_xlpm.baseRow,$E118&lt;&gt;"",ISNA(MATCH($E118,Tables!$B$225:$B$232,0))),
Error!$B$2,
IF(AND(_xlpm.baseRow,$F118&lt;&gt;"",ISNA(MATCH($F118,Tables!$B$234:$B$235,0))),
Error!$B$24,
IF(AND(_xlpm.baseRow,_xlpm.ECA_H&gt;0,_xlpm.Shore_H&gt;0),
Error!$B$16,
IF(AND(_xlpm.baseRow,$E118&lt;&gt;"",$D118=""),
Error!$B$3,
IF(AND(_xlpm.baseRow,OR($E118="Tier 3",$E118="Tier 4"),$C118&lt;&gt;"",$D118&gt;=24,COUNTIF(Tables2!$B$166:$B$674,$C118)&gt;0),
Error!$B$44,
IF(AND(_xlpm.baseRow,OR($E118="Tier 3",$E118="Tier 4"),$C118&lt;&gt;"",$D118&lt;&gt;"",COUNTIF(Tables2!$B$73:$B$152,$C118)&gt;0,
$D118&gt;=IFERROR(INDEX(Tables2!$C$73:$C$152,MATCH($C118,Tables2!$B$73:$B$152,0)),-1)),
Error!$B$44,
IF(AND(_xlpm.baseRow,OR($E118="Tier 2",$E118="Tier 2 Grove"),$C118&lt;&gt;"",$D118&gt;=12,COUNTIF(Tables2!$B$153:$B$162,$C118)&gt;0),
Error!$B$45,
IF(AND(_xlpm.baseRow,$E118="Tier 2 Grove",$D118&lt;12),
Error!$B$41,
IF(AND(_xlpm.baseRow,$E118="Tier 2",$D118&lt;5.88),
Error!$B$40,
IF(AND(_xlpm.baseRow,OR($E118="Tier 2",$E118="Tier 2 Grove"),$C118&lt;&gt;"",$D118&lt;12,$D118&gt;=6,COUNTIF(Tables2!$B$153:$B$162,$C118)&gt;0),
Error!$B$54,
IF(AND(_xlpm.baseRow,$E118="Tier 2",COUNTIF(Tables2!$B$166:$B$674,$C118)&gt;0,$D118&lt;24),
Error!$B$54,
IF(AND(_xlpm.baseRow,$E118="Tier 3",ISNA(MATCH($C118,Tables2!$B$153:$B$162,0)),OR($D118&lt;12,$D118&gt;=24)),
Error!$B$9,
IF(AND(_xlpm.baseRow,$E118="Tier 3",COUNTIF(Tables2!$B$153:$B$162,$C118)&gt;0,$D118&lt;12),
Error!$B$46,
IF(AND(_xlpm.baseRow,$E118="Tier 4",OR($D118&lt;6,$D118&gt;=12)),
Error!$B$10,
IF(AND(_xlpm.baseRow,$E118="&lt;6in DSH for Tree Points",OR($D118&gt;=6,$D118="")),
Error!$B$8,
IF(AND(_xlpm.baseRow,$E118="Street Tree for Green Factor",$F118&lt;&gt;"",$F118&lt;&gt;"Retain"),
Error!$B$14,
IF(AND($E118="&lt;6in DSH for Tree Points",$F118="Retain",$H118&lt;&gt;"",ISNA(MATCH($H118,Tables!$B$174:$B$174,0))),
Error!$B$15,
IF(AND($E118="Street Tree for Green Factor",$F118="Retain",$H118&lt;&gt;"",$H118&lt;&gt;"Zoning: Green Factor"),
Error!$B$15,
IF(AND($E118="ECA / Shoreline Tree",$F118="Remove",$H118&lt;&gt;"",ISNA(MATCH($H118,Tables!$B$189:$B$190,0))),
Error!$B$15,
IF(AND($E118="ECA / Shoreline Tree",$F118="Retain",$H118&lt;&gt;"",ISNA(MATCH($H118,Tables!$B$184:$B$186,0))),
Error!$B$15,
IF(AND($E118="Tier 4",$F118="Remove",$H118&lt;&gt;"",ISNA(MATCH($H118,Tables!$B$171,0))),
Error!$B$15,
IF(AND($E118="Tier 4",$F118="Retain",$H118&lt;&gt;"",ISNA(MATCH($H118,Tables!$B$166:$B$168,0))),
Error!$B$15,
IF(AND($E118="Tier 3",$F118="Retain",$H118&lt;&gt;"",ISNA(MATCH($H118,Tables!$B$158:$B$160,0))),
Error!$B$15,
IF(AND($E118="Tier 3",$F118="Remove",$H118&lt;&gt;"",ISNA(MATCH($H118,Tables!$B$163,0))),
Error!$B$15,
IF(AND(OR($E118="Tier 2",$E118="Tier 2 Grove"),$F118="Remove",$H118&lt;&gt;"",ISNA(MATCH($H118,Tables!$B$153:$B$155,0))),
Error!$B$15,
IF(AND(OR($E118="Tier 2",$E118="Tier 2 Grove"),$F118="Retain",$H118&lt;&gt;"",ISNA(MATCH($H118,Tables!$B$147:$B$150,0))),
Error!$B$15,
IF(AND($E118="Tier 1",$F118="Remove",$H118&lt;&gt;"",ISNA(MATCH($H118,Tables!$B$143:$B$144,0))),
Error!$B$15,
IF(AND($E118="Tier 1",$F118="Retain",$H118&lt;&gt;"",ISNA(MATCH($H118,Tables!$B$137:$B$140,0))),
Error!$B$15,
IF(AND($E118&lt;&gt;"Tier 2",$E118&lt;&gt;"Tier 2 Grove",$E118&lt;&gt;"Tier 3",$E118&lt;&gt;"Tier 4",$H118="Zoning: Green Factor",OR($D118="",$D118&lt;6)),
Error!$B$11,
IF(AND(_xlpm.baseRow,$D118&lt;6,$E118="&lt;6in DSH for Tree Points",_xlpm.TreePoints_H=0),
Error!$B$21,
IF(AND(_xlpm.baseRow,$E118&lt;&gt;"",$D118&lt;&gt;"",$F118=""),
Error!$B$4,
IF(AND(_xlpm.baseRow,$F118="Remove",OR($E118="Tier 1",$E118="Tier 2",$E118="Tier 2 Grove"),COUNTBLANK(_xlpm.HRange)&lt;3,_xlpm.uniqueH&gt;=2),
Error!$B$48,
IF(AND(_xlpm.baseRow,$F118="Retain",OR($E118="Tier 1",$E118="Tier 2",$E118="Tier 2 Grove"),COUNTIF(_xlpm.HRange,"Tree Code: Required to Retain Tier 1-2 Tree")=0),
Error!$B$47,
IF(AND(_xlpm.baseRow,$E118&lt;&gt;"",$D118&lt;&gt;"",$F118&lt;&gt;"",COUNTBLANK(_xlpm.HRange)=4),
Error!$B$5,
IF(AND($F118="Remove",$H118&lt;&gt;"",$I118=""),
Error!$B$18,
IF(AND($E118="Tier 4",$F118="Remove",$H118="Tree Protection Code: Tier 3 or Tier 4 Allowance",$H118&lt;&gt;"",ISNA(MATCH($I118,Tables!$B$200,0))),
Error!$B$17,
IF(AND($E118="Tier 3",$F118="Remove",$H118&lt;&gt;"",$H118="Tree Protection Code: Tier 3 or Tier 4 Allowance",OR($I118="",ISNA(MATCH($I118,Tables!$B$193:$B$197,0)))),
Error!$B$17,
IF(AND(OR($E118="Tier 2",$E118="Tier 2 Grove"),$F118="Remove",$H118="Tree Protection Code: Other removal allowance or exemption",$I118&lt;&gt;"",ISNA(MATCH($I118,Tables!$B$215:$B$218,0))),
Error!$B$17,
IF(AND(OR($E118="Tier 2",$E118="Tier 2 Grove"),$F118="Remove",$H118="Tree Protection Code: Development Capacity",$I118&lt;&gt;"",ISNA(MATCH($I118,Tables!$B$193:$B$197,0))),
Error!$B$17,
IF(AND(OR($E118="Tier 2",$E118="Tier 2 Grove"),$F118="Remove",$H118="Tree Protection Code: Necessary for Construction",$I118&lt;&gt;"",ISNA(MATCH($I118,Tables!$B$193:$B$197,0))),
Error!$B$17,
IF(AND($E118="Tier 1",$F118="Remove",$H118="Tree Protection Code: Special Exception",$I118&lt;&gt;"",ISNA(MATCH($I118,Tables!$B$215:$B$218,0))),
Error!$B$17,
IF(AND($E118="Tier 1",$F118="Remove",$H118="Tree Protection Code: Other removal allowance or exemption",$I118&lt;&gt;"",ISNA(MATCH($I118,Tables!$B$215:$B$218,0))),
Error!$B$17,
IF(AND($E118="ECA / Shoreline Tree",$F118="Remove",$H118&lt;&gt;"",OR($H118="Shoreline",$H118="Environmental Critical Area (ECA)"),ISNA(MATCH($I118,Tables!$B$209:$B$212,0))),
Error!$B$17,
IF(AND(_xlpm.baseRow,$F118="Retain",$E118="ECA / Shoreline Tree",_xlpm.ECA_Short=0),
Error!$B$61,
IF(AND($F118="Remove",ISNUMBER(MATCH($E118,{"Tier 1","Tier 2","Tier 3","Tier 4","Tier 2 Grove"},0)),ISNUMBER(MATCH($I118,{"On-site replacement","Off-site replacement"},0)),$J118="",$H118&lt;&gt;""),
Error!$B$19,
IF(AND(_xlpm.baseRow,$E118&lt;&gt;"",$D118&lt;&gt;"",$F118&lt;&gt;"",COUNTBLANK($B118:$C118)&gt;0,COUNTBLANK(_xlpm.HRange)&lt;&gt;4),
Error!$B$22,
IF(AND($H118="Zoning: Tree Points",$K118&lt;&gt;"",ISNA(MATCH($K118,Tables!$B$242:$B$253,0))),
Error!$B$58,
IF(AND($H118="Zoning: Tree Points",$K118="Small",$L118&lt;&gt;"",ISNA(MATCH($L118,Tables!$C$243:$C$244,0))),
Error!$B$59,
IF(AND($H118="Zoning: Tree Points",$K118="Small/Medium",$L118&lt;&gt;"",ISNA(MATCH($L118,Tables!$C$246:$C$247,0))),
Error!$B$59,
IF(AND($H118="Zoning: Tree Points",$K118="Medium/Large",$L118&lt;&gt;"",ISNA(MATCH($L118,Tables!$C$249:$C$250,0))),
Error!$B$59,
IF(AND($H118="Zoning: Tree Points",$K118="Large",$L118&lt;&gt;"",ISNA(MATCH($L118,Tables!$C$252:$C$253,0))),
Error!$B$59,
IF(AND($F118="Retain",$H118="Zoning: Tree Points",$C118&lt;&gt;"",$D118&lt;&gt;"",OR($K118="",$L118="",$M118="")),
Error!$B$20,
""
)))))))))))))))))))))))))))))))))))))))))))))))))))))))),
Error!$B$23))</f>
        <v/>
      </c>
      <c r="O118" s="343" t="str" cm="1">
        <f t="array" aca="1" ref="O118" ca="1">IFERROR(_xlfn.LET(
    _xlpm.txt, $C118,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9" spans="1:15" ht="15" thickBot="1" x14ac:dyDescent="0.35">
      <c r="A119" s="311">
        <v>28</v>
      </c>
      <c r="B119" s="312"/>
      <c r="C119" s="313"/>
      <c r="D119" s="478"/>
      <c r="E119" s="314"/>
      <c r="F119" s="314"/>
      <c r="G119" s="315" t="str">
        <f>IF(Tree_Table1[[#This Row],[Tree Status  &amp;]]="Retain", Tables!$B$237, IF(Tree_Table1[[#This Row],[Tree Status  &amp;]]="Remove", Tables!$B$238, ""))</f>
        <v/>
      </c>
      <c r="H119" s="316"/>
      <c r="I119" s="317"/>
      <c r="J119" s="452"/>
      <c r="K119" s="318" t="str">
        <f>IFERROR(
    IF(
        AND($H119="Zoning: Tree Points", NOT(ISNUMBER(SEARCH("sp.", $C119)))),
        VLOOKUP($C119, 'Tree List'!$C$3:$F$601, 4, FALSE),
        ""
    ),
"")</f>
        <v/>
      </c>
      <c r="L119" s="319" t="str" cm="1">
        <f t="array" ref="L119">IFERROR(
IF(
    AND($H119="Zoning: Tree Points", NOT(ISNUMBER(SEARCH("sp.", $C119)))),
    _xlfn.IFS(
        (COUNTIFS('Tree List'!$C$3:$C$601,$C119,'Tree List'!$D$3:$D$601,"Coniferous")
        + COUNTIFS('Tree List'!$C$3:$C$601,$C119,'Tree List'!$D$3:$D$601,"Deciduous Conifer")) &gt; 0,
            _xlfn.IFS($K119="Small",0.5,$K119="Small/Medium",1,$K119="Medium/Large",1.4,$K119="Large",1.8),
        (COUNTIFS('Tree List'!$C$3:$C$601,$C119,'Tree List'!$D$3:$D$601,"Deciduous")
        + COUNTIFS('Tree List'!$C$3:$C$601,$C119,'Tree List'!$D$3:$D$601,"Broadleaf Evergreen")) &gt; 0,
            _xlfn.IFS($K119="Small",0.4,$K119="Small/Medium",0.8,$K119="Medium/Large",1.2,$K119="Large",1.6)
    ),
    ""
),
"")</f>
        <v/>
      </c>
      <c r="M119" s="474" t="str">
        <f t="shared" si="0"/>
        <v/>
      </c>
      <c r="N119" s="620" t="str" cm="1">
        <f t="array" aca="1" ref="N11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IF(AND(_xlpm.baseRow,ISNA(MATCH($C119,'Tree List'!$C$3:$C$601,0)),SUMPRODUCT(--ISNUMBER(SEARCH(Tables2!$C$677:$C$772,$O119)))&gt;0),
Error!$B$57,
IF(AND(_xlpm.hasDM,$F119="Remove",$H119&lt;&gt;"",OR($I119="On-site replacement",$I119="Off-site replacement",$I119="Payment In Lieu")),
Error!$B$56,
IF(AND(_xlpm.hasDM,$F119="Remove",$H119&lt;&gt;"",$I119="Relocation"),
Error!$B$66,
IF(AND(OR(_xlpm.hasCN,_xlpm.hasPH,_xlpm.hasGR),$H119&lt;&gt;"",COUNTIF(Tables!$B$132:$B$134,$H119)&gt;0,$I119="N/A (No replacement required)"),
Error!$B$62,
IF(AND(_xlpm.baseRow,$E119&lt;&gt;"",ISNA(MATCH($E119,Tables!$B$225:$B$232,0))),
Error!$B$2,
IF(AND(_xlpm.baseRow,$F119&lt;&gt;"",ISNA(MATCH($F119,Tables!$B$234:$B$235,0))),
Error!$B$24,
IF(AND(_xlpm.baseRow,_xlpm.ECA_H&gt;0,_xlpm.Shore_H&gt;0),
Error!$B$16,
IF(AND(_xlpm.baseRow,$E119&lt;&gt;"",$D119=""),
Error!$B$3,
IF(AND(_xlpm.baseRow,OR($E119="Tier 3",$E119="Tier 4"),$C119&lt;&gt;"",$D119&gt;=24,COUNTIF(Tables2!$B$166:$B$674,$C119)&gt;0),
Error!$B$44,
IF(AND(_xlpm.baseRow,OR($E119="Tier 3",$E119="Tier 4"),$C119&lt;&gt;"",$D119&lt;&gt;"",COUNTIF(Tables2!$B$73:$B$152,$C119)&gt;0,
$D119&gt;=IFERROR(INDEX(Tables2!$C$73:$C$152,MATCH($C119,Tables2!$B$73:$B$152,0)),-1)),
Error!$B$44,
IF(AND(_xlpm.baseRow,OR($E119="Tier 2",$E119="Tier 2 Grove"),$C119&lt;&gt;"",$D119&gt;=12,COUNTIF(Tables2!$B$153:$B$162,$C119)&gt;0),
Error!$B$45,
IF(AND(_xlpm.baseRow,$E119="Tier 2 Grove",$D119&lt;12),
Error!$B$41,
IF(AND(_xlpm.baseRow,$E119="Tier 2",$D119&lt;5.88),
Error!$B$40,
IF(AND(_xlpm.baseRow,OR($E119="Tier 2",$E119="Tier 2 Grove"),$C119&lt;&gt;"",$D119&lt;12,$D119&gt;=6,COUNTIF(Tables2!$B$153:$B$162,$C119)&gt;0),
Error!$B$54,
IF(AND(_xlpm.baseRow,$E119="Tier 2",COUNTIF(Tables2!$B$166:$B$674,$C119)&gt;0,$D119&lt;24),
Error!$B$54,
IF(AND(_xlpm.baseRow,$E119="Tier 3",ISNA(MATCH($C119,Tables2!$B$153:$B$162,0)),OR($D119&lt;12,$D119&gt;=24)),
Error!$B$9,
IF(AND(_xlpm.baseRow,$E119="Tier 3",COUNTIF(Tables2!$B$153:$B$162,$C119)&gt;0,$D119&lt;12),
Error!$B$46,
IF(AND(_xlpm.baseRow,$E119="Tier 4",OR($D119&lt;6,$D119&gt;=12)),
Error!$B$10,
IF(AND(_xlpm.baseRow,$E119="&lt;6in DSH for Tree Points",OR($D119&gt;=6,$D119="")),
Error!$B$8,
IF(AND(_xlpm.baseRow,$E119="Street Tree for Green Factor",$F119&lt;&gt;"",$F119&lt;&gt;"Retain"),
Error!$B$14,
IF(AND($E119="&lt;6in DSH for Tree Points",$F119="Retain",$H119&lt;&gt;"",ISNA(MATCH($H119,Tables!$B$174:$B$174,0))),
Error!$B$15,
IF(AND($E119="Street Tree for Green Factor",$F119="Retain",$H119&lt;&gt;"",$H119&lt;&gt;"Zoning: Green Factor"),
Error!$B$15,
IF(AND($E119="ECA / Shoreline Tree",$F119="Remove",$H119&lt;&gt;"",ISNA(MATCH($H119,Tables!$B$189:$B$190,0))),
Error!$B$15,
IF(AND($E119="ECA / Shoreline Tree",$F119="Retain",$H119&lt;&gt;"",ISNA(MATCH($H119,Tables!$B$184:$B$186,0))),
Error!$B$15,
IF(AND($E119="Tier 4",$F119="Remove",$H119&lt;&gt;"",ISNA(MATCH($H119,Tables!$B$171,0))),
Error!$B$15,
IF(AND($E119="Tier 4",$F119="Retain",$H119&lt;&gt;"",ISNA(MATCH($H119,Tables!$B$166:$B$168,0))),
Error!$B$15,
IF(AND($E119="Tier 3",$F119="Retain",$H119&lt;&gt;"",ISNA(MATCH($H119,Tables!$B$158:$B$160,0))),
Error!$B$15,
IF(AND($E119="Tier 3",$F119="Remove",$H119&lt;&gt;"",ISNA(MATCH($H119,Tables!$B$163,0))),
Error!$B$15,
IF(AND(OR($E119="Tier 2",$E119="Tier 2 Grove"),$F119="Remove",$H119&lt;&gt;"",ISNA(MATCH($H119,Tables!$B$153:$B$155,0))),
Error!$B$15,
IF(AND(OR($E119="Tier 2",$E119="Tier 2 Grove"),$F119="Retain",$H119&lt;&gt;"",ISNA(MATCH($H119,Tables!$B$147:$B$150,0))),
Error!$B$15,
IF(AND($E119="Tier 1",$F119="Remove",$H119&lt;&gt;"",ISNA(MATCH($H119,Tables!$B$143:$B$144,0))),
Error!$B$15,
IF(AND($E119="Tier 1",$F119="Retain",$H119&lt;&gt;"",ISNA(MATCH($H119,Tables!$B$137:$B$140,0))),
Error!$B$15,
IF(AND($E119&lt;&gt;"Tier 2",$E119&lt;&gt;"Tier 2 Grove",$E119&lt;&gt;"Tier 3",$E119&lt;&gt;"Tier 4",$H119="Zoning: Green Factor",OR($D119="",$D119&lt;6)),
Error!$B$11,
IF(AND(_xlpm.baseRow,$D119&lt;6,$E119="&lt;6in DSH for Tree Points",_xlpm.TreePoints_H=0),
Error!$B$21,
IF(AND(_xlpm.baseRow,$E119&lt;&gt;"",$D119&lt;&gt;"",$F119=""),
Error!$B$4,
IF(AND(_xlpm.baseRow,$F119="Remove",OR($E119="Tier 1",$E119="Tier 2",$E119="Tier 2 Grove"),COUNTBLANK(_xlpm.HRange)&lt;3,_xlpm.uniqueH&gt;=2),
Error!$B$48,
IF(AND(_xlpm.baseRow,$F119="Retain",OR($E119="Tier 1",$E119="Tier 2",$E119="Tier 2 Grove"),COUNTIF(_xlpm.HRange,"Tree Code: Required to Retain Tier 1-2 Tree")=0),
Error!$B$47,
IF(AND(_xlpm.baseRow,$E119&lt;&gt;"",$D119&lt;&gt;"",$F119&lt;&gt;"",COUNTBLANK(_xlpm.HRange)=4),
Error!$B$5,
IF(AND($F119="Remove",$H119&lt;&gt;"",$I119=""),
Error!$B$18,
IF(AND($E119="Tier 4",$F119="Remove",$H119="Tree Protection Code: Tier 3 or Tier 4 Allowance",$H119&lt;&gt;"",ISNA(MATCH($I119,Tables!$B$200,0))),
Error!$B$17,
IF(AND($E119="Tier 3",$F119="Remove",$H119&lt;&gt;"",$H119="Tree Protection Code: Tier 3 or Tier 4 Allowance",OR($I119="",ISNA(MATCH($I119,Tables!$B$193:$B$197,0)))),
Error!$B$17,
IF(AND(OR($E119="Tier 2",$E119="Tier 2 Grove"),$F119="Remove",$H119="Tree Protection Code: Other removal allowance or exemption",$I119&lt;&gt;"",ISNA(MATCH($I119,Tables!$B$215:$B$218,0))),
Error!$B$17,
IF(AND(OR($E119="Tier 2",$E119="Tier 2 Grove"),$F119="Remove",$H119="Tree Protection Code: Development Capacity",$I119&lt;&gt;"",ISNA(MATCH($I119,Tables!$B$193:$B$197,0))),
Error!$B$17,
IF(AND(OR($E119="Tier 2",$E119="Tier 2 Grove"),$F119="Remove",$H119="Tree Protection Code: Necessary for Construction",$I119&lt;&gt;"",ISNA(MATCH($I119,Tables!$B$193:$B$197,0))),
Error!$B$17,
IF(AND($E119="Tier 1",$F119="Remove",$H119="Tree Protection Code: Special Exception",$I119&lt;&gt;"",ISNA(MATCH($I119,Tables!$B$215:$B$218,0))),
Error!$B$17,
IF(AND($E119="Tier 1",$F119="Remove",$H119="Tree Protection Code: Other removal allowance or exemption",$I119&lt;&gt;"",ISNA(MATCH($I119,Tables!$B$215:$B$218,0))),
Error!$B$17,
IF(AND($E119="ECA / Shoreline Tree",$F119="Remove",$H119&lt;&gt;"",OR($H119="Shoreline",$H119="Environmental Critical Area (ECA)"),ISNA(MATCH($I119,Tables!$B$209:$B$212,0))),
Error!$B$17,
IF(AND(_xlpm.baseRow,$F119="Retain",$E119="ECA / Shoreline Tree",_xlpm.ECA_Short=0),
Error!$B$61,
IF(AND($F119="Remove",ISNUMBER(MATCH($E119,{"Tier 1","Tier 2","Tier 3","Tier 4","Tier 2 Grove"},0)),ISNUMBER(MATCH($I119,{"On-site replacement","Off-site replacement"},0)),$J119="",$H119&lt;&gt;""),
Error!$B$19,
IF(AND(_xlpm.baseRow,$E119&lt;&gt;"",$D119&lt;&gt;"",$F119&lt;&gt;"",COUNTBLANK($B119:$C119)&gt;0,COUNTBLANK(_xlpm.HRange)&lt;&gt;4),
Error!$B$22,
IF(AND($H119="Zoning: Tree Points",$K119&lt;&gt;"",ISNA(MATCH($K119,Tables!$B$242:$B$253,0))),
Error!$B$58,
IF(AND($H119="Zoning: Tree Points",$K119="Small",$L119&lt;&gt;"",ISNA(MATCH($L119,Tables!$C$243:$C$244,0))),
Error!$B$59,
IF(AND($H119="Zoning: Tree Points",$K119="Small/Medium",$L119&lt;&gt;"",ISNA(MATCH($L119,Tables!$C$246:$C$247,0))),
Error!$B$59,
IF(AND($H119="Zoning: Tree Points",$K119="Medium/Large",$L119&lt;&gt;"",ISNA(MATCH($L119,Tables!$C$249:$C$250,0))),
Error!$B$59,
IF(AND($H119="Zoning: Tree Points",$K119="Large",$L119&lt;&gt;"",ISNA(MATCH($L119,Tables!$C$252:$C$253,0))),
Error!$B$59,
IF(AND($F119="Retain",$H119="Zoning: Tree Points",$C119&lt;&gt;"",$D119&lt;&gt;"",OR($K119="",$L119="",$M119="")),
Error!$B$20,
""
)))))))))))))))))))))))))))))))))))))))))))))))))))))))),
Error!$B$23))</f>
        <v/>
      </c>
      <c r="O119" s="343" t="str" cm="1">
        <f t="array" aca="1" ref="O119" ca="1">IFERROR(_xlfn.LET(
    _xlpm.txt, $C119,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0" spans="1:15" x14ac:dyDescent="0.3">
      <c r="A120" s="320"/>
      <c r="B120" s="616" t="str">
        <f t="shared" ref="B120:B122" si="93">IF($B119="", "", $B119)</f>
        <v/>
      </c>
      <c r="C120" s="617" t="str">
        <f t="shared" ref="C120:C122" si="94">IF($C119="", "", $C119)</f>
        <v/>
      </c>
      <c r="D120" s="618" t="str">
        <f t="shared" ref="D120:D122" si="95">IF($D119="", "", $D119)</f>
        <v/>
      </c>
      <c r="E120" s="616" t="str">
        <f t="shared" ref="E120:E122" si="96">IF($E119="", "", $E119)</f>
        <v/>
      </c>
      <c r="F120" s="616" t="str">
        <f t="shared" ref="F120:F122" si="97">IF($F119="", "", $F119)</f>
        <v/>
      </c>
      <c r="G120" s="619" t="str">
        <f>IF(Tree_Table1[[#This Row],[Tree Status  &amp;]]="Retain", Tables!$B$237, IF(Tree_Table1[[#This Row],[Tree Status  &amp;]]="Remove", Tables!$B$238, ""))</f>
        <v/>
      </c>
      <c r="H120" s="321"/>
      <c r="I120" s="322"/>
      <c r="J120" s="453"/>
      <c r="K120" s="323" t="str">
        <f>IFERROR(
    IF(
        AND($H120="Zoning: Tree Points", NOT(ISNUMBER(SEARCH("sp.", $C120)))),
        VLOOKUP($C120, 'Tree List'!$C$3:$F$601, 4, FALSE),
        ""
    ),
"")</f>
        <v/>
      </c>
      <c r="L120" s="324" t="str" cm="1">
        <f t="array" ref="L120">IFERROR(
IF(
    AND($H120="Zoning: Tree Points", NOT(ISNUMBER(SEARCH("sp.", $C120)))),
    _xlfn.IFS(
        (COUNTIFS('Tree List'!$C$3:$C$601,$C120,'Tree List'!$D$3:$D$601,"Coniferous")
        + COUNTIFS('Tree List'!$C$3:$C$601,$C120,'Tree List'!$D$3:$D$601,"Deciduous Conifer")) &gt; 0,
            _xlfn.IFS($K120="Small",0.5,$K120="Small/Medium",1,$K120="Medium/Large",1.4,$K120="Large",1.8),
        (COUNTIFS('Tree List'!$C$3:$C$601,$C120,'Tree List'!$D$3:$D$601,"Deciduous")
        + COUNTIFS('Tree List'!$C$3:$C$601,$C120,'Tree List'!$D$3:$D$601,"Broadleaf Evergreen")) &gt; 0,
            _xlfn.IFS($K120="Small",0.4,$K120="Small/Medium",0.8,$K120="Medium/Large",1.2,$K120="Large",1.6)
    ),
    ""
),
"")</f>
        <v/>
      </c>
      <c r="M120" s="475" t="str">
        <f t="shared" si="0"/>
        <v/>
      </c>
      <c r="N120" s="346" t="str" cm="1">
        <f t="array" aca="1" ref="N12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IF(AND(_xlpm.baseRow,ISNA(MATCH($C120,'Tree List'!$C$3:$C$601,0)),SUMPRODUCT(--ISNUMBER(SEARCH(Tables2!$C$677:$C$772,$O120)))&gt;0),
Error!$B$57,
IF(AND(_xlpm.hasDM,$F120="Remove",$H120&lt;&gt;"",OR($I120="On-site replacement",$I120="Off-site replacement",$I120="Payment In Lieu")),
Error!$B$56,
IF(AND(_xlpm.hasDM,$F120="Remove",$H120&lt;&gt;"",$I120="Relocation"),
Error!$B$66,
IF(AND(OR(_xlpm.hasCN,_xlpm.hasPH,_xlpm.hasGR),$H120&lt;&gt;"",COUNTIF(Tables!$B$132:$B$134,$H120)&gt;0,$I120="N/A (No replacement required)"),
Error!$B$62,
IF(AND(_xlpm.baseRow,$E120&lt;&gt;"",ISNA(MATCH($E120,Tables!$B$225:$B$232,0))),
Error!$B$2,
IF(AND(_xlpm.baseRow,$F120&lt;&gt;"",ISNA(MATCH($F120,Tables!$B$234:$B$235,0))),
Error!$B$24,
IF(AND(_xlpm.baseRow,_xlpm.ECA_H&gt;0,_xlpm.Shore_H&gt;0),
Error!$B$16,
IF(AND(_xlpm.baseRow,$E120&lt;&gt;"",$D120=""),
Error!$B$3,
IF(AND(_xlpm.baseRow,OR($E120="Tier 3",$E120="Tier 4"),$C120&lt;&gt;"",$D120&gt;=24,COUNTIF(Tables2!$B$166:$B$674,$C120)&gt;0),
Error!$B$44,
IF(AND(_xlpm.baseRow,OR($E120="Tier 3",$E120="Tier 4"),$C120&lt;&gt;"",$D120&lt;&gt;"",COUNTIF(Tables2!$B$73:$B$152,$C120)&gt;0,
$D120&gt;=IFERROR(INDEX(Tables2!$C$73:$C$152,MATCH($C120,Tables2!$B$73:$B$152,0)),-1)),
Error!$B$44,
IF(AND(_xlpm.baseRow,OR($E120="Tier 2",$E120="Tier 2 Grove"),$C120&lt;&gt;"",$D120&gt;=12,COUNTIF(Tables2!$B$153:$B$162,$C120)&gt;0),
Error!$B$45,
IF(AND(_xlpm.baseRow,$E120="Tier 2 Grove",$D120&lt;12),
Error!$B$41,
IF(AND(_xlpm.baseRow,$E120="Tier 2",$D120&lt;5.88),
Error!$B$40,
IF(AND(_xlpm.baseRow,OR($E120="Tier 2",$E120="Tier 2 Grove"),$C120&lt;&gt;"",$D120&lt;12,$D120&gt;=6,COUNTIF(Tables2!$B$153:$B$162,$C120)&gt;0),
Error!$B$54,
IF(AND(_xlpm.baseRow,$E120="Tier 2",COUNTIF(Tables2!$B$166:$B$674,$C120)&gt;0,$D120&lt;24),
Error!$B$54,
IF(AND(_xlpm.baseRow,$E120="Tier 3",ISNA(MATCH($C120,Tables2!$B$153:$B$162,0)),OR($D120&lt;12,$D120&gt;=24)),
Error!$B$9,
IF(AND(_xlpm.baseRow,$E120="Tier 3",COUNTIF(Tables2!$B$153:$B$162,$C120)&gt;0,$D120&lt;12),
Error!$B$46,
IF(AND(_xlpm.baseRow,$E120="Tier 4",OR($D120&lt;6,$D120&gt;=12)),
Error!$B$10,
IF(AND(_xlpm.baseRow,$E120="&lt;6in DSH for Tree Points",OR($D120&gt;=6,$D120="")),
Error!$B$8,
IF(AND(_xlpm.baseRow,$E120="Street Tree for Green Factor",$F120&lt;&gt;"",$F120&lt;&gt;"Retain"),
Error!$B$14,
IF(AND($E120="&lt;6in DSH for Tree Points",$F120="Retain",$H120&lt;&gt;"",ISNA(MATCH($H120,Tables!$B$174:$B$174,0))),
Error!$B$15,
IF(AND($E120="Street Tree for Green Factor",$F120="Retain",$H120&lt;&gt;"",$H120&lt;&gt;"Zoning: Green Factor"),
Error!$B$15,
IF(AND($E120="ECA / Shoreline Tree",$F120="Remove",$H120&lt;&gt;"",ISNA(MATCH($H120,Tables!$B$189:$B$190,0))),
Error!$B$15,
IF(AND($E120="ECA / Shoreline Tree",$F120="Retain",$H120&lt;&gt;"",ISNA(MATCH($H120,Tables!$B$184:$B$186,0))),
Error!$B$15,
IF(AND($E120="Tier 4",$F120="Remove",$H120&lt;&gt;"",ISNA(MATCH($H120,Tables!$B$171,0))),
Error!$B$15,
IF(AND($E120="Tier 4",$F120="Retain",$H120&lt;&gt;"",ISNA(MATCH($H120,Tables!$B$166:$B$168,0))),
Error!$B$15,
IF(AND($E120="Tier 3",$F120="Retain",$H120&lt;&gt;"",ISNA(MATCH($H120,Tables!$B$158:$B$160,0))),
Error!$B$15,
IF(AND($E120="Tier 3",$F120="Remove",$H120&lt;&gt;"",ISNA(MATCH($H120,Tables!$B$163,0))),
Error!$B$15,
IF(AND(OR($E120="Tier 2",$E120="Tier 2 Grove"),$F120="Remove",$H120&lt;&gt;"",ISNA(MATCH($H120,Tables!$B$153:$B$155,0))),
Error!$B$15,
IF(AND(OR($E120="Tier 2",$E120="Tier 2 Grove"),$F120="Retain",$H120&lt;&gt;"",ISNA(MATCH($H120,Tables!$B$147:$B$150,0))),
Error!$B$15,
IF(AND($E120="Tier 1",$F120="Remove",$H120&lt;&gt;"",ISNA(MATCH($H120,Tables!$B$143:$B$144,0))),
Error!$B$15,
IF(AND($E120="Tier 1",$F120="Retain",$H120&lt;&gt;"",ISNA(MATCH($H120,Tables!$B$137:$B$140,0))),
Error!$B$15,
IF(AND($E120&lt;&gt;"Tier 2",$E120&lt;&gt;"Tier 2 Grove",$E120&lt;&gt;"Tier 3",$E120&lt;&gt;"Tier 4",$H120="Zoning: Green Factor",OR($D120="",$D120&lt;6)),
Error!$B$11,
IF(AND(_xlpm.baseRow,$D120&lt;6,$E120="&lt;6in DSH for Tree Points",_xlpm.TreePoints_H=0),
Error!$B$21,
IF(AND(_xlpm.baseRow,$E120&lt;&gt;"",$D120&lt;&gt;"",$F120=""),
Error!$B$4,
IF(AND(_xlpm.baseRow,$F120="Remove",OR($E120="Tier 1",$E120="Tier 2",$E120="Tier 2 Grove"),COUNTBLANK(_xlpm.HRange)&lt;3,_xlpm.uniqueH&gt;=2),
Error!$B$48,
IF(AND(_xlpm.baseRow,$F120="Retain",OR($E120="Tier 1",$E120="Tier 2",$E120="Tier 2 Grove"),COUNTIF(_xlpm.HRange,"Tree Code: Required to Retain Tier 1-2 Tree")=0),
Error!$B$47,
IF(AND(_xlpm.baseRow,$E120&lt;&gt;"",$D120&lt;&gt;"",$F120&lt;&gt;"",COUNTBLANK(_xlpm.HRange)=4),
Error!$B$5,
IF(AND($F120="Remove",$H120&lt;&gt;"",$I120=""),
Error!$B$18,
IF(AND($E120="Tier 4",$F120="Remove",$H120="Tree Protection Code: Tier 3 or Tier 4 Allowance",$H120&lt;&gt;"",ISNA(MATCH($I120,Tables!$B$200,0))),
Error!$B$17,
IF(AND($E120="Tier 3",$F120="Remove",$H120&lt;&gt;"",$H120="Tree Protection Code: Tier 3 or Tier 4 Allowance",OR($I120="",ISNA(MATCH($I120,Tables!$B$193:$B$197,0)))),
Error!$B$17,
IF(AND(OR($E120="Tier 2",$E120="Tier 2 Grove"),$F120="Remove",$H120="Tree Protection Code: Other removal allowance or exemption",$I120&lt;&gt;"",ISNA(MATCH($I120,Tables!$B$215:$B$218,0))),
Error!$B$17,
IF(AND(OR($E120="Tier 2",$E120="Tier 2 Grove"),$F120="Remove",$H120="Tree Protection Code: Development Capacity",$I120&lt;&gt;"",ISNA(MATCH($I120,Tables!$B$193:$B$197,0))),
Error!$B$17,
IF(AND(OR($E120="Tier 2",$E120="Tier 2 Grove"),$F120="Remove",$H120="Tree Protection Code: Necessary for Construction",$I120&lt;&gt;"",ISNA(MATCH($I120,Tables!$B$193:$B$197,0))),
Error!$B$17,
IF(AND($E120="Tier 1",$F120="Remove",$H120="Tree Protection Code: Special Exception",$I120&lt;&gt;"",ISNA(MATCH($I120,Tables!$B$215:$B$218,0))),
Error!$B$17,
IF(AND($E120="Tier 1",$F120="Remove",$H120="Tree Protection Code: Other removal allowance or exemption",$I120&lt;&gt;"",ISNA(MATCH($I120,Tables!$B$215:$B$218,0))),
Error!$B$17,
IF(AND($E120="ECA / Shoreline Tree",$F120="Remove",$H120&lt;&gt;"",OR($H120="Shoreline",$H120="Environmental Critical Area (ECA)"),ISNA(MATCH($I120,Tables!$B$209:$B$212,0))),
Error!$B$17,
IF(AND(_xlpm.baseRow,$F120="Retain",$E120="ECA / Shoreline Tree",_xlpm.ECA_Short=0),
Error!$B$61,
IF(AND($F120="Remove",ISNUMBER(MATCH($E120,{"Tier 1","Tier 2","Tier 3","Tier 4","Tier 2 Grove"},0)),ISNUMBER(MATCH($I120,{"On-site replacement","Off-site replacement"},0)),$J120="",$H120&lt;&gt;""),
Error!$B$19,
IF(AND(_xlpm.baseRow,$E120&lt;&gt;"",$D120&lt;&gt;"",$F120&lt;&gt;"",COUNTBLANK($B120:$C120)&gt;0,COUNTBLANK(_xlpm.HRange)&lt;&gt;4),
Error!$B$22,
IF(AND($H120="Zoning: Tree Points",$K120&lt;&gt;"",ISNA(MATCH($K120,Tables!$B$242:$B$253,0))),
Error!$B$58,
IF(AND($H120="Zoning: Tree Points",$K120="Small",$L120&lt;&gt;"",ISNA(MATCH($L120,Tables!$C$243:$C$244,0))),
Error!$B$59,
IF(AND($H120="Zoning: Tree Points",$K120="Small/Medium",$L120&lt;&gt;"",ISNA(MATCH($L120,Tables!$C$246:$C$247,0))),
Error!$B$59,
IF(AND($H120="Zoning: Tree Points",$K120="Medium/Large",$L120&lt;&gt;"",ISNA(MATCH($L120,Tables!$C$249:$C$250,0))),
Error!$B$59,
IF(AND($H120="Zoning: Tree Points",$K120="Large",$L120&lt;&gt;"",ISNA(MATCH($L120,Tables!$C$252:$C$253,0))),
Error!$B$59,
IF(AND($F120="Retain",$H120="Zoning: Tree Points",$C120&lt;&gt;"",$D120&lt;&gt;"",OR($K120="",$L120="",$M120="")),
Error!$B$20,
""
)))))))))))))))))))))))))))))))))))))))))))))))))))))))),
Error!$B$23))</f>
        <v/>
      </c>
      <c r="O120" s="343" t="str" cm="1">
        <f t="array" aca="1" ref="O120" ca="1">IFERROR(_xlfn.LET(
    _xlpm.txt, $C120,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1" spans="1:15" x14ac:dyDescent="0.3">
      <c r="A121" s="320"/>
      <c r="B121" s="616" t="str">
        <f t="shared" si="93"/>
        <v/>
      </c>
      <c r="C121" s="617" t="str">
        <f t="shared" si="94"/>
        <v/>
      </c>
      <c r="D121" s="618" t="str">
        <f t="shared" si="95"/>
        <v/>
      </c>
      <c r="E121" s="616" t="str">
        <f t="shared" si="96"/>
        <v/>
      </c>
      <c r="F121" s="616" t="str">
        <f t="shared" si="97"/>
        <v/>
      </c>
      <c r="G121" s="619" t="str">
        <f>IF(Tree_Table1[[#This Row],[Tree Status  &amp;]]="Retain", Tables!$B$237, IF(Tree_Table1[[#This Row],[Tree Status  &amp;]]="Remove", Tables!$B$238, ""))</f>
        <v/>
      </c>
      <c r="H121" s="321"/>
      <c r="I121" s="322"/>
      <c r="J121" s="453"/>
      <c r="K121" s="323" t="str">
        <f>IFERROR(
    IF(
        AND($H121="Zoning: Tree Points", NOT(ISNUMBER(SEARCH("sp.", $C121)))),
        VLOOKUP($C121, 'Tree List'!$C$3:$F$601, 4, FALSE),
        ""
    ),
"")</f>
        <v/>
      </c>
      <c r="L121" s="324" t="str" cm="1">
        <f t="array" ref="L121">IFERROR(
IF(
    AND($H121="Zoning: Tree Points", NOT(ISNUMBER(SEARCH("sp.", $C121)))),
    _xlfn.IFS(
        (COUNTIFS('Tree List'!$C$3:$C$601,$C121,'Tree List'!$D$3:$D$601,"Coniferous")
        + COUNTIFS('Tree List'!$C$3:$C$601,$C121,'Tree List'!$D$3:$D$601,"Deciduous Conifer")) &gt; 0,
            _xlfn.IFS($K121="Small",0.5,$K121="Small/Medium",1,$K121="Medium/Large",1.4,$K121="Large",1.8),
        (COUNTIFS('Tree List'!$C$3:$C$601,$C121,'Tree List'!$D$3:$D$601,"Deciduous")
        + COUNTIFS('Tree List'!$C$3:$C$601,$C121,'Tree List'!$D$3:$D$601,"Broadleaf Evergreen")) &gt; 0,
            _xlfn.IFS($K121="Small",0.4,$K121="Small/Medium",0.8,$K121="Medium/Large",1.2,$K121="Large",1.6)
    ),
    ""
),
"")</f>
        <v/>
      </c>
      <c r="M121" s="475" t="str">
        <f t="shared" si="0"/>
        <v/>
      </c>
      <c r="N121" s="346" t="str" cm="1">
        <f t="array" aca="1" ref="N12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IF(AND(_xlpm.baseRow,ISNA(MATCH($C121,'Tree List'!$C$3:$C$601,0)),SUMPRODUCT(--ISNUMBER(SEARCH(Tables2!$C$677:$C$772,$O121)))&gt;0),
Error!$B$57,
IF(AND(_xlpm.hasDM,$F121="Remove",$H121&lt;&gt;"",OR($I121="On-site replacement",$I121="Off-site replacement",$I121="Payment In Lieu")),
Error!$B$56,
IF(AND(_xlpm.hasDM,$F121="Remove",$H121&lt;&gt;"",$I121="Relocation"),
Error!$B$66,
IF(AND(OR(_xlpm.hasCN,_xlpm.hasPH,_xlpm.hasGR),$H121&lt;&gt;"",COUNTIF(Tables!$B$132:$B$134,$H121)&gt;0,$I121="N/A (No replacement required)"),
Error!$B$62,
IF(AND(_xlpm.baseRow,$E121&lt;&gt;"",ISNA(MATCH($E121,Tables!$B$225:$B$232,0))),
Error!$B$2,
IF(AND(_xlpm.baseRow,$F121&lt;&gt;"",ISNA(MATCH($F121,Tables!$B$234:$B$235,0))),
Error!$B$24,
IF(AND(_xlpm.baseRow,_xlpm.ECA_H&gt;0,_xlpm.Shore_H&gt;0),
Error!$B$16,
IF(AND(_xlpm.baseRow,$E121&lt;&gt;"",$D121=""),
Error!$B$3,
IF(AND(_xlpm.baseRow,OR($E121="Tier 3",$E121="Tier 4"),$C121&lt;&gt;"",$D121&gt;=24,COUNTIF(Tables2!$B$166:$B$674,$C121)&gt;0),
Error!$B$44,
IF(AND(_xlpm.baseRow,OR($E121="Tier 3",$E121="Tier 4"),$C121&lt;&gt;"",$D121&lt;&gt;"",COUNTIF(Tables2!$B$73:$B$152,$C121)&gt;0,
$D121&gt;=IFERROR(INDEX(Tables2!$C$73:$C$152,MATCH($C121,Tables2!$B$73:$B$152,0)),-1)),
Error!$B$44,
IF(AND(_xlpm.baseRow,OR($E121="Tier 2",$E121="Tier 2 Grove"),$C121&lt;&gt;"",$D121&gt;=12,COUNTIF(Tables2!$B$153:$B$162,$C121)&gt;0),
Error!$B$45,
IF(AND(_xlpm.baseRow,$E121="Tier 2 Grove",$D121&lt;12),
Error!$B$41,
IF(AND(_xlpm.baseRow,$E121="Tier 2",$D121&lt;5.88),
Error!$B$40,
IF(AND(_xlpm.baseRow,OR($E121="Tier 2",$E121="Tier 2 Grove"),$C121&lt;&gt;"",$D121&lt;12,$D121&gt;=6,COUNTIF(Tables2!$B$153:$B$162,$C121)&gt;0),
Error!$B$54,
IF(AND(_xlpm.baseRow,$E121="Tier 2",COUNTIF(Tables2!$B$166:$B$674,$C121)&gt;0,$D121&lt;24),
Error!$B$54,
IF(AND(_xlpm.baseRow,$E121="Tier 3",ISNA(MATCH($C121,Tables2!$B$153:$B$162,0)),OR($D121&lt;12,$D121&gt;=24)),
Error!$B$9,
IF(AND(_xlpm.baseRow,$E121="Tier 3",COUNTIF(Tables2!$B$153:$B$162,$C121)&gt;0,$D121&lt;12),
Error!$B$46,
IF(AND(_xlpm.baseRow,$E121="Tier 4",OR($D121&lt;6,$D121&gt;=12)),
Error!$B$10,
IF(AND(_xlpm.baseRow,$E121="&lt;6in DSH for Tree Points",OR($D121&gt;=6,$D121="")),
Error!$B$8,
IF(AND(_xlpm.baseRow,$E121="Street Tree for Green Factor",$F121&lt;&gt;"",$F121&lt;&gt;"Retain"),
Error!$B$14,
IF(AND($E121="&lt;6in DSH for Tree Points",$F121="Retain",$H121&lt;&gt;"",ISNA(MATCH($H121,Tables!$B$174:$B$174,0))),
Error!$B$15,
IF(AND($E121="Street Tree for Green Factor",$F121="Retain",$H121&lt;&gt;"",$H121&lt;&gt;"Zoning: Green Factor"),
Error!$B$15,
IF(AND($E121="ECA / Shoreline Tree",$F121="Remove",$H121&lt;&gt;"",ISNA(MATCH($H121,Tables!$B$189:$B$190,0))),
Error!$B$15,
IF(AND($E121="ECA / Shoreline Tree",$F121="Retain",$H121&lt;&gt;"",ISNA(MATCH($H121,Tables!$B$184:$B$186,0))),
Error!$B$15,
IF(AND($E121="Tier 4",$F121="Remove",$H121&lt;&gt;"",ISNA(MATCH($H121,Tables!$B$171,0))),
Error!$B$15,
IF(AND($E121="Tier 4",$F121="Retain",$H121&lt;&gt;"",ISNA(MATCH($H121,Tables!$B$166:$B$168,0))),
Error!$B$15,
IF(AND($E121="Tier 3",$F121="Retain",$H121&lt;&gt;"",ISNA(MATCH($H121,Tables!$B$158:$B$160,0))),
Error!$B$15,
IF(AND($E121="Tier 3",$F121="Remove",$H121&lt;&gt;"",ISNA(MATCH($H121,Tables!$B$163,0))),
Error!$B$15,
IF(AND(OR($E121="Tier 2",$E121="Tier 2 Grove"),$F121="Remove",$H121&lt;&gt;"",ISNA(MATCH($H121,Tables!$B$153:$B$155,0))),
Error!$B$15,
IF(AND(OR($E121="Tier 2",$E121="Tier 2 Grove"),$F121="Retain",$H121&lt;&gt;"",ISNA(MATCH($H121,Tables!$B$147:$B$150,0))),
Error!$B$15,
IF(AND($E121="Tier 1",$F121="Remove",$H121&lt;&gt;"",ISNA(MATCH($H121,Tables!$B$143:$B$144,0))),
Error!$B$15,
IF(AND($E121="Tier 1",$F121="Retain",$H121&lt;&gt;"",ISNA(MATCH($H121,Tables!$B$137:$B$140,0))),
Error!$B$15,
IF(AND($E121&lt;&gt;"Tier 2",$E121&lt;&gt;"Tier 2 Grove",$E121&lt;&gt;"Tier 3",$E121&lt;&gt;"Tier 4",$H121="Zoning: Green Factor",OR($D121="",$D121&lt;6)),
Error!$B$11,
IF(AND(_xlpm.baseRow,$D121&lt;6,$E121="&lt;6in DSH for Tree Points",_xlpm.TreePoints_H=0),
Error!$B$21,
IF(AND(_xlpm.baseRow,$E121&lt;&gt;"",$D121&lt;&gt;"",$F121=""),
Error!$B$4,
IF(AND(_xlpm.baseRow,$F121="Remove",OR($E121="Tier 1",$E121="Tier 2",$E121="Tier 2 Grove"),COUNTBLANK(_xlpm.HRange)&lt;3,_xlpm.uniqueH&gt;=2),
Error!$B$48,
IF(AND(_xlpm.baseRow,$F121="Retain",OR($E121="Tier 1",$E121="Tier 2",$E121="Tier 2 Grove"),COUNTIF(_xlpm.HRange,"Tree Code: Required to Retain Tier 1-2 Tree")=0),
Error!$B$47,
IF(AND(_xlpm.baseRow,$E121&lt;&gt;"",$D121&lt;&gt;"",$F121&lt;&gt;"",COUNTBLANK(_xlpm.HRange)=4),
Error!$B$5,
IF(AND($F121="Remove",$H121&lt;&gt;"",$I121=""),
Error!$B$18,
IF(AND($E121="Tier 4",$F121="Remove",$H121="Tree Protection Code: Tier 3 or Tier 4 Allowance",$H121&lt;&gt;"",ISNA(MATCH($I121,Tables!$B$200,0))),
Error!$B$17,
IF(AND($E121="Tier 3",$F121="Remove",$H121&lt;&gt;"",$H121="Tree Protection Code: Tier 3 or Tier 4 Allowance",OR($I121="",ISNA(MATCH($I121,Tables!$B$193:$B$197,0)))),
Error!$B$17,
IF(AND(OR($E121="Tier 2",$E121="Tier 2 Grove"),$F121="Remove",$H121="Tree Protection Code: Other removal allowance or exemption",$I121&lt;&gt;"",ISNA(MATCH($I121,Tables!$B$215:$B$218,0))),
Error!$B$17,
IF(AND(OR($E121="Tier 2",$E121="Tier 2 Grove"),$F121="Remove",$H121="Tree Protection Code: Development Capacity",$I121&lt;&gt;"",ISNA(MATCH($I121,Tables!$B$193:$B$197,0))),
Error!$B$17,
IF(AND(OR($E121="Tier 2",$E121="Tier 2 Grove"),$F121="Remove",$H121="Tree Protection Code: Necessary for Construction",$I121&lt;&gt;"",ISNA(MATCH($I121,Tables!$B$193:$B$197,0))),
Error!$B$17,
IF(AND($E121="Tier 1",$F121="Remove",$H121="Tree Protection Code: Special Exception",$I121&lt;&gt;"",ISNA(MATCH($I121,Tables!$B$215:$B$218,0))),
Error!$B$17,
IF(AND($E121="Tier 1",$F121="Remove",$H121="Tree Protection Code: Other removal allowance or exemption",$I121&lt;&gt;"",ISNA(MATCH($I121,Tables!$B$215:$B$218,0))),
Error!$B$17,
IF(AND($E121="ECA / Shoreline Tree",$F121="Remove",$H121&lt;&gt;"",OR($H121="Shoreline",$H121="Environmental Critical Area (ECA)"),ISNA(MATCH($I121,Tables!$B$209:$B$212,0))),
Error!$B$17,
IF(AND(_xlpm.baseRow,$F121="Retain",$E121="ECA / Shoreline Tree",_xlpm.ECA_Short=0),
Error!$B$61,
IF(AND($F121="Remove",ISNUMBER(MATCH($E121,{"Tier 1","Tier 2","Tier 3","Tier 4","Tier 2 Grove"},0)),ISNUMBER(MATCH($I121,{"On-site replacement","Off-site replacement"},0)),$J121="",$H121&lt;&gt;""),
Error!$B$19,
IF(AND(_xlpm.baseRow,$E121&lt;&gt;"",$D121&lt;&gt;"",$F121&lt;&gt;"",COUNTBLANK($B121:$C121)&gt;0,COUNTBLANK(_xlpm.HRange)&lt;&gt;4),
Error!$B$22,
IF(AND($H121="Zoning: Tree Points",$K121&lt;&gt;"",ISNA(MATCH($K121,Tables!$B$242:$B$253,0))),
Error!$B$58,
IF(AND($H121="Zoning: Tree Points",$K121="Small",$L121&lt;&gt;"",ISNA(MATCH($L121,Tables!$C$243:$C$244,0))),
Error!$B$59,
IF(AND($H121="Zoning: Tree Points",$K121="Small/Medium",$L121&lt;&gt;"",ISNA(MATCH($L121,Tables!$C$246:$C$247,0))),
Error!$B$59,
IF(AND($H121="Zoning: Tree Points",$K121="Medium/Large",$L121&lt;&gt;"",ISNA(MATCH($L121,Tables!$C$249:$C$250,0))),
Error!$B$59,
IF(AND($H121="Zoning: Tree Points",$K121="Large",$L121&lt;&gt;"",ISNA(MATCH($L121,Tables!$C$252:$C$253,0))),
Error!$B$59,
IF(AND($F121="Retain",$H121="Zoning: Tree Points",$C121&lt;&gt;"",$D121&lt;&gt;"",OR($K121="",$L121="",$M121="")),
Error!$B$20,
""
)))))))))))))))))))))))))))))))))))))))))))))))))))))))),
Error!$B$23))</f>
        <v/>
      </c>
      <c r="O121" s="343" t="str" cm="1">
        <f t="array" aca="1" ref="O121" ca="1">IFERROR(_xlfn.LET(
    _xlpm.txt, $C121,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2" spans="1:15" ht="15" thickBot="1" x14ac:dyDescent="0.35">
      <c r="A122" s="331"/>
      <c r="B122" s="616" t="str">
        <f t="shared" si="93"/>
        <v/>
      </c>
      <c r="C122" s="617" t="str">
        <f t="shared" si="94"/>
        <v/>
      </c>
      <c r="D122" s="618" t="str">
        <f t="shared" si="95"/>
        <v/>
      </c>
      <c r="E122" s="616" t="str">
        <f t="shared" si="96"/>
        <v/>
      </c>
      <c r="F122" s="616" t="str">
        <f t="shared" si="97"/>
        <v/>
      </c>
      <c r="G122" s="619" t="str">
        <f>IF(Tree_Table1[[#This Row],[Tree Status  &amp;]]="Retain", Tables!$B$237, IF(Tree_Table1[[#This Row],[Tree Status  &amp;]]="Remove", Tables!$B$238, ""))</f>
        <v/>
      </c>
      <c r="H122" s="329"/>
      <c r="I122" s="330"/>
      <c r="J122" s="455"/>
      <c r="K122" s="327" t="str">
        <f>IFERROR(
    IF(
        AND($H122="Zoning: Tree Points", NOT(ISNUMBER(SEARCH("sp.", $C122)))),
        VLOOKUP($C122, 'Tree List'!$C$3:$F$601, 4, FALSE),
        ""
    ),
"")</f>
        <v/>
      </c>
      <c r="L122" s="328" t="str" cm="1">
        <f t="array" ref="L122">IFERROR(
IF(
    AND($H122="Zoning: Tree Points", NOT(ISNUMBER(SEARCH("sp.", $C122)))),
    _xlfn.IFS(
        (COUNTIFS('Tree List'!$C$3:$C$601,$C122,'Tree List'!$D$3:$D$601,"Coniferous")
        + COUNTIFS('Tree List'!$C$3:$C$601,$C122,'Tree List'!$D$3:$D$601,"Deciduous Conifer")) &gt; 0,
            _xlfn.IFS($K122="Small",0.5,$K122="Small/Medium",1,$K122="Medium/Large",1.4,$K122="Large",1.8),
        (COUNTIFS('Tree List'!$C$3:$C$601,$C122,'Tree List'!$D$3:$D$601,"Deciduous")
        + COUNTIFS('Tree List'!$C$3:$C$601,$C122,'Tree List'!$D$3:$D$601,"Broadleaf Evergreen")) &gt; 0,
            _xlfn.IFS($K122="Small",0.4,$K122="Small/Medium",0.8,$K122="Medium/Large",1.2,$K122="Large",1.6)
    ),
    ""
),
"")</f>
        <v/>
      </c>
      <c r="M122" s="476" t="str">
        <f t="shared" si="0"/>
        <v/>
      </c>
      <c r="N122" s="347" t="str" cm="1">
        <f t="array" aca="1" ref="N12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IF(AND(_xlpm.baseRow,ISNA(MATCH($C122,'Tree List'!$C$3:$C$601,0)),SUMPRODUCT(--ISNUMBER(SEARCH(Tables2!$C$677:$C$772,$O122)))&gt;0),
Error!$B$57,
IF(AND(_xlpm.hasDM,$F122="Remove",$H122&lt;&gt;"",OR($I122="On-site replacement",$I122="Off-site replacement",$I122="Payment In Lieu")),
Error!$B$56,
IF(AND(_xlpm.hasDM,$F122="Remove",$H122&lt;&gt;"",$I122="Relocation"),
Error!$B$66,
IF(AND(OR(_xlpm.hasCN,_xlpm.hasPH,_xlpm.hasGR),$H122&lt;&gt;"",COUNTIF(Tables!$B$132:$B$134,$H122)&gt;0,$I122="N/A (No replacement required)"),
Error!$B$62,
IF(AND(_xlpm.baseRow,$E122&lt;&gt;"",ISNA(MATCH($E122,Tables!$B$225:$B$232,0))),
Error!$B$2,
IF(AND(_xlpm.baseRow,$F122&lt;&gt;"",ISNA(MATCH($F122,Tables!$B$234:$B$235,0))),
Error!$B$24,
IF(AND(_xlpm.baseRow,_xlpm.ECA_H&gt;0,_xlpm.Shore_H&gt;0),
Error!$B$16,
IF(AND(_xlpm.baseRow,$E122&lt;&gt;"",$D122=""),
Error!$B$3,
IF(AND(_xlpm.baseRow,OR($E122="Tier 3",$E122="Tier 4"),$C122&lt;&gt;"",$D122&gt;=24,COUNTIF(Tables2!$B$166:$B$674,$C122)&gt;0),
Error!$B$44,
IF(AND(_xlpm.baseRow,OR($E122="Tier 3",$E122="Tier 4"),$C122&lt;&gt;"",$D122&lt;&gt;"",COUNTIF(Tables2!$B$73:$B$152,$C122)&gt;0,
$D122&gt;=IFERROR(INDEX(Tables2!$C$73:$C$152,MATCH($C122,Tables2!$B$73:$B$152,0)),-1)),
Error!$B$44,
IF(AND(_xlpm.baseRow,OR($E122="Tier 2",$E122="Tier 2 Grove"),$C122&lt;&gt;"",$D122&gt;=12,COUNTIF(Tables2!$B$153:$B$162,$C122)&gt;0),
Error!$B$45,
IF(AND(_xlpm.baseRow,$E122="Tier 2 Grove",$D122&lt;12),
Error!$B$41,
IF(AND(_xlpm.baseRow,$E122="Tier 2",$D122&lt;5.88),
Error!$B$40,
IF(AND(_xlpm.baseRow,OR($E122="Tier 2",$E122="Tier 2 Grove"),$C122&lt;&gt;"",$D122&lt;12,$D122&gt;=6,COUNTIF(Tables2!$B$153:$B$162,$C122)&gt;0),
Error!$B$54,
IF(AND(_xlpm.baseRow,$E122="Tier 2",COUNTIF(Tables2!$B$166:$B$674,$C122)&gt;0,$D122&lt;24),
Error!$B$54,
IF(AND(_xlpm.baseRow,$E122="Tier 3",ISNA(MATCH($C122,Tables2!$B$153:$B$162,0)),OR($D122&lt;12,$D122&gt;=24)),
Error!$B$9,
IF(AND(_xlpm.baseRow,$E122="Tier 3",COUNTIF(Tables2!$B$153:$B$162,$C122)&gt;0,$D122&lt;12),
Error!$B$46,
IF(AND(_xlpm.baseRow,$E122="Tier 4",OR($D122&lt;6,$D122&gt;=12)),
Error!$B$10,
IF(AND(_xlpm.baseRow,$E122="&lt;6in DSH for Tree Points",OR($D122&gt;=6,$D122="")),
Error!$B$8,
IF(AND(_xlpm.baseRow,$E122="Street Tree for Green Factor",$F122&lt;&gt;"",$F122&lt;&gt;"Retain"),
Error!$B$14,
IF(AND($E122="&lt;6in DSH for Tree Points",$F122="Retain",$H122&lt;&gt;"",ISNA(MATCH($H122,Tables!$B$174:$B$174,0))),
Error!$B$15,
IF(AND($E122="Street Tree for Green Factor",$F122="Retain",$H122&lt;&gt;"",$H122&lt;&gt;"Zoning: Green Factor"),
Error!$B$15,
IF(AND($E122="ECA / Shoreline Tree",$F122="Remove",$H122&lt;&gt;"",ISNA(MATCH($H122,Tables!$B$189:$B$190,0))),
Error!$B$15,
IF(AND($E122="ECA / Shoreline Tree",$F122="Retain",$H122&lt;&gt;"",ISNA(MATCH($H122,Tables!$B$184:$B$186,0))),
Error!$B$15,
IF(AND($E122="Tier 4",$F122="Remove",$H122&lt;&gt;"",ISNA(MATCH($H122,Tables!$B$171,0))),
Error!$B$15,
IF(AND($E122="Tier 4",$F122="Retain",$H122&lt;&gt;"",ISNA(MATCH($H122,Tables!$B$166:$B$168,0))),
Error!$B$15,
IF(AND($E122="Tier 3",$F122="Retain",$H122&lt;&gt;"",ISNA(MATCH($H122,Tables!$B$158:$B$160,0))),
Error!$B$15,
IF(AND($E122="Tier 3",$F122="Remove",$H122&lt;&gt;"",ISNA(MATCH($H122,Tables!$B$163,0))),
Error!$B$15,
IF(AND(OR($E122="Tier 2",$E122="Tier 2 Grove"),$F122="Remove",$H122&lt;&gt;"",ISNA(MATCH($H122,Tables!$B$153:$B$155,0))),
Error!$B$15,
IF(AND(OR($E122="Tier 2",$E122="Tier 2 Grove"),$F122="Retain",$H122&lt;&gt;"",ISNA(MATCH($H122,Tables!$B$147:$B$150,0))),
Error!$B$15,
IF(AND($E122="Tier 1",$F122="Remove",$H122&lt;&gt;"",ISNA(MATCH($H122,Tables!$B$143:$B$144,0))),
Error!$B$15,
IF(AND($E122="Tier 1",$F122="Retain",$H122&lt;&gt;"",ISNA(MATCH($H122,Tables!$B$137:$B$140,0))),
Error!$B$15,
IF(AND($E122&lt;&gt;"Tier 2",$E122&lt;&gt;"Tier 2 Grove",$E122&lt;&gt;"Tier 3",$E122&lt;&gt;"Tier 4",$H122="Zoning: Green Factor",OR($D122="",$D122&lt;6)),
Error!$B$11,
IF(AND(_xlpm.baseRow,$D122&lt;6,$E122="&lt;6in DSH for Tree Points",_xlpm.TreePoints_H=0),
Error!$B$21,
IF(AND(_xlpm.baseRow,$E122&lt;&gt;"",$D122&lt;&gt;"",$F122=""),
Error!$B$4,
IF(AND(_xlpm.baseRow,$F122="Remove",OR($E122="Tier 1",$E122="Tier 2",$E122="Tier 2 Grove"),COUNTBLANK(_xlpm.HRange)&lt;3,_xlpm.uniqueH&gt;=2),
Error!$B$48,
IF(AND(_xlpm.baseRow,$F122="Retain",OR($E122="Tier 1",$E122="Tier 2",$E122="Tier 2 Grove"),COUNTIF(_xlpm.HRange,"Tree Code: Required to Retain Tier 1-2 Tree")=0),
Error!$B$47,
IF(AND(_xlpm.baseRow,$E122&lt;&gt;"",$D122&lt;&gt;"",$F122&lt;&gt;"",COUNTBLANK(_xlpm.HRange)=4),
Error!$B$5,
IF(AND($F122="Remove",$H122&lt;&gt;"",$I122=""),
Error!$B$18,
IF(AND($E122="Tier 4",$F122="Remove",$H122="Tree Protection Code: Tier 3 or Tier 4 Allowance",$H122&lt;&gt;"",ISNA(MATCH($I122,Tables!$B$200,0))),
Error!$B$17,
IF(AND($E122="Tier 3",$F122="Remove",$H122&lt;&gt;"",$H122="Tree Protection Code: Tier 3 or Tier 4 Allowance",OR($I122="",ISNA(MATCH($I122,Tables!$B$193:$B$197,0)))),
Error!$B$17,
IF(AND(OR($E122="Tier 2",$E122="Tier 2 Grove"),$F122="Remove",$H122="Tree Protection Code: Other removal allowance or exemption",$I122&lt;&gt;"",ISNA(MATCH($I122,Tables!$B$215:$B$218,0))),
Error!$B$17,
IF(AND(OR($E122="Tier 2",$E122="Tier 2 Grove"),$F122="Remove",$H122="Tree Protection Code: Development Capacity",$I122&lt;&gt;"",ISNA(MATCH($I122,Tables!$B$193:$B$197,0))),
Error!$B$17,
IF(AND(OR($E122="Tier 2",$E122="Tier 2 Grove"),$F122="Remove",$H122="Tree Protection Code: Necessary for Construction",$I122&lt;&gt;"",ISNA(MATCH($I122,Tables!$B$193:$B$197,0))),
Error!$B$17,
IF(AND($E122="Tier 1",$F122="Remove",$H122="Tree Protection Code: Special Exception",$I122&lt;&gt;"",ISNA(MATCH($I122,Tables!$B$215:$B$218,0))),
Error!$B$17,
IF(AND($E122="Tier 1",$F122="Remove",$H122="Tree Protection Code: Other removal allowance or exemption",$I122&lt;&gt;"",ISNA(MATCH($I122,Tables!$B$215:$B$218,0))),
Error!$B$17,
IF(AND($E122="ECA / Shoreline Tree",$F122="Remove",$H122&lt;&gt;"",OR($H122="Shoreline",$H122="Environmental Critical Area (ECA)"),ISNA(MATCH($I122,Tables!$B$209:$B$212,0))),
Error!$B$17,
IF(AND(_xlpm.baseRow,$F122="Retain",$E122="ECA / Shoreline Tree",_xlpm.ECA_Short=0),
Error!$B$61,
IF(AND($F122="Remove",ISNUMBER(MATCH($E122,{"Tier 1","Tier 2","Tier 3","Tier 4","Tier 2 Grove"},0)),ISNUMBER(MATCH($I122,{"On-site replacement","Off-site replacement"},0)),$J122="",$H122&lt;&gt;""),
Error!$B$19,
IF(AND(_xlpm.baseRow,$E122&lt;&gt;"",$D122&lt;&gt;"",$F122&lt;&gt;"",COUNTBLANK($B122:$C122)&gt;0,COUNTBLANK(_xlpm.HRange)&lt;&gt;4),
Error!$B$22,
IF(AND($H122="Zoning: Tree Points",$K122&lt;&gt;"",ISNA(MATCH($K122,Tables!$B$242:$B$253,0))),
Error!$B$58,
IF(AND($H122="Zoning: Tree Points",$K122="Small",$L122&lt;&gt;"",ISNA(MATCH($L122,Tables!$C$243:$C$244,0))),
Error!$B$59,
IF(AND($H122="Zoning: Tree Points",$K122="Small/Medium",$L122&lt;&gt;"",ISNA(MATCH($L122,Tables!$C$246:$C$247,0))),
Error!$B$59,
IF(AND($H122="Zoning: Tree Points",$K122="Medium/Large",$L122&lt;&gt;"",ISNA(MATCH($L122,Tables!$C$249:$C$250,0))),
Error!$B$59,
IF(AND($H122="Zoning: Tree Points",$K122="Large",$L122&lt;&gt;"",ISNA(MATCH($L122,Tables!$C$252:$C$253,0))),
Error!$B$59,
IF(AND($F122="Retain",$H122="Zoning: Tree Points",$C122&lt;&gt;"",$D122&lt;&gt;"",OR($K122="",$L122="",$M122="")),
Error!$B$20,
""
)))))))))))))))))))))))))))))))))))))))))))))))))))))))),
Error!$B$23))</f>
        <v/>
      </c>
      <c r="O122" s="343" t="str" cm="1">
        <f t="array" aca="1" ref="O122" ca="1">IFERROR(_xlfn.LET(
    _xlpm.txt, $C122,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3" spans="1:15" ht="15" thickBot="1" x14ac:dyDescent="0.35">
      <c r="A123" s="311">
        <v>29</v>
      </c>
      <c r="B123" s="312"/>
      <c r="C123" s="313"/>
      <c r="D123" s="478"/>
      <c r="E123" s="314"/>
      <c r="F123" s="314"/>
      <c r="G123" s="315" t="str">
        <f>IF(Tree_Table1[[#This Row],[Tree Status  &amp;]]="Retain", Tables!$B$237, IF(Tree_Table1[[#This Row],[Tree Status  &amp;]]="Remove", Tables!$B$238, ""))</f>
        <v/>
      </c>
      <c r="H123" s="316"/>
      <c r="I123" s="317"/>
      <c r="J123" s="452"/>
      <c r="K123" s="318" t="str">
        <f>IFERROR(
    IF(
        AND($H123="Zoning: Tree Points", NOT(ISNUMBER(SEARCH("sp.", $C123)))),
        VLOOKUP($C123, 'Tree List'!$C$3:$F$601, 4, FALSE),
        ""
    ),
"")</f>
        <v/>
      </c>
      <c r="L123" s="319" t="str" cm="1">
        <f t="array" ref="L123">IFERROR(
IF(
    AND($H123="Zoning: Tree Points", NOT(ISNUMBER(SEARCH("sp.", $C123)))),
    _xlfn.IFS(
        (COUNTIFS('Tree List'!$C$3:$C$601,$C123,'Tree List'!$D$3:$D$601,"Coniferous")
        + COUNTIFS('Tree List'!$C$3:$C$601,$C123,'Tree List'!$D$3:$D$601,"Deciduous Conifer")) &gt; 0,
            _xlfn.IFS($K123="Small",0.5,$K123="Small/Medium",1,$K123="Medium/Large",1.4,$K123="Large",1.8),
        (COUNTIFS('Tree List'!$C$3:$C$601,$C123,'Tree List'!$D$3:$D$601,"Deciduous")
        + COUNTIFS('Tree List'!$C$3:$C$601,$C123,'Tree List'!$D$3:$D$601,"Broadleaf Evergreen")) &gt; 0,
            _xlfn.IFS($K123="Small",0.4,$K123="Small/Medium",0.8,$K123="Medium/Large",1.2,$K123="Large",1.6)
    ),
    ""
),
"")</f>
        <v/>
      </c>
      <c r="M123" s="474" t="str">
        <f t="shared" si="0"/>
        <v/>
      </c>
      <c r="N123" s="620" t="str" cm="1">
        <f t="array" aca="1" ref="N12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IF(AND(_xlpm.baseRow,ISNA(MATCH($C123,'Tree List'!$C$3:$C$601,0)),SUMPRODUCT(--ISNUMBER(SEARCH(Tables2!$C$677:$C$772,$O123)))&gt;0),
Error!$B$57,
IF(AND(_xlpm.hasDM,$F123="Remove",$H123&lt;&gt;"",OR($I123="On-site replacement",$I123="Off-site replacement",$I123="Payment In Lieu")),
Error!$B$56,
IF(AND(_xlpm.hasDM,$F123="Remove",$H123&lt;&gt;"",$I123="Relocation"),
Error!$B$66,
IF(AND(OR(_xlpm.hasCN,_xlpm.hasPH,_xlpm.hasGR),$H123&lt;&gt;"",COUNTIF(Tables!$B$132:$B$134,$H123)&gt;0,$I123="N/A (No replacement required)"),
Error!$B$62,
IF(AND(_xlpm.baseRow,$E123&lt;&gt;"",ISNA(MATCH($E123,Tables!$B$225:$B$232,0))),
Error!$B$2,
IF(AND(_xlpm.baseRow,$F123&lt;&gt;"",ISNA(MATCH($F123,Tables!$B$234:$B$235,0))),
Error!$B$24,
IF(AND(_xlpm.baseRow,_xlpm.ECA_H&gt;0,_xlpm.Shore_H&gt;0),
Error!$B$16,
IF(AND(_xlpm.baseRow,$E123&lt;&gt;"",$D123=""),
Error!$B$3,
IF(AND(_xlpm.baseRow,OR($E123="Tier 3",$E123="Tier 4"),$C123&lt;&gt;"",$D123&gt;=24,COUNTIF(Tables2!$B$166:$B$674,$C123)&gt;0),
Error!$B$44,
IF(AND(_xlpm.baseRow,OR($E123="Tier 3",$E123="Tier 4"),$C123&lt;&gt;"",$D123&lt;&gt;"",COUNTIF(Tables2!$B$73:$B$152,$C123)&gt;0,
$D123&gt;=IFERROR(INDEX(Tables2!$C$73:$C$152,MATCH($C123,Tables2!$B$73:$B$152,0)),-1)),
Error!$B$44,
IF(AND(_xlpm.baseRow,OR($E123="Tier 2",$E123="Tier 2 Grove"),$C123&lt;&gt;"",$D123&gt;=12,COUNTIF(Tables2!$B$153:$B$162,$C123)&gt;0),
Error!$B$45,
IF(AND(_xlpm.baseRow,$E123="Tier 2 Grove",$D123&lt;12),
Error!$B$41,
IF(AND(_xlpm.baseRow,$E123="Tier 2",$D123&lt;5.88),
Error!$B$40,
IF(AND(_xlpm.baseRow,OR($E123="Tier 2",$E123="Tier 2 Grove"),$C123&lt;&gt;"",$D123&lt;12,$D123&gt;=6,COUNTIF(Tables2!$B$153:$B$162,$C123)&gt;0),
Error!$B$54,
IF(AND(_xlpm.baseRow,$E123="Tier 2",COUNTIF(Tables2!$B$166:$B$674,$C123)&gt;0,$D123&lt;24),
Error!$B$54,
IF(AND(_xlpm.baseRow,$E123="Tier 3",ISNA(MATCH($C123,Tables2!$B$153:$B$162,0)),OR($D123&lt;12,$D123&gt;=24)),
Error!$B$9,
IF(AND(_xlpm.baseRow,$E123="Tier 3",COUNTIF(Tables2!$B$153:$B$162,$C123)&gt;0,$D123&lt;12),
Error!$B$46,
IF(AND(_xlpm.baseRow,$E123="Tier 4",OR($D123&lt;6,$D123&gt;=12)),
Error!$B$10,
IF(AND(_xlpm.baseRow,$E123="&lt;6in DSH for Tree Points",OR($D123&gt;=6,$D123="")),
Error!$B$8,
IF(AND(_xlpm.baseRow,$E123="Street Tree for Green Factor",$F123&lt;&gt;"",$F123&lt;&gt;"Retain"),
Error!$B$14,
IF(AND($E123="&lt;6in DSH for Tree Points",$F123="Retain",$H123&lt;&gt;"",ISNA(MATCH($H123,Tables!$B$174:$B$174,0))),
Error!$B$15,
IF(AND($E123="Street Tree for Green Factor",$F123="Retain",$H123&lt;&gt;"",$H123&lt;&gt;"Zoning: Green Factor"),
Error!$B$15,
IF(AND($E123="ECA / Shoreline Tree",$F123="Remove",$H123&lt;&gt;"",ISNA(MATCH($H123,Tables!$B$189:$B$190,0))),
Error!$B$15,
IF(AND($E123="ECA / Shoreline Tree",$F123="Retain",$H123&lt;&gt;"",ISNA(MATCH($H123,Tables!$B$184:$B$186,0))),
Error!$B$15,
IF(AND($E123="Tier 4",$F123="Remove",$H123&lt;&gt;"",ISNA(MATCH($H123,Tables!$B$171,0))),
Error!$B$15,
IF(AND($E123="Tier 4",$F123="Retain",$H123&lt;&gt;"",ISNA(MATCH($H123,Tables!$B$166:$B$168,0))),
Error!$B$15,
IF(AND($E123="Tier 3",$F123="Retain",$H123&lt;&gt;"",ISNA(MATCH($H123,Tables!$B$158:$B$160,0))),
Error!$B$15,
IF(AND($E123="Tier 3",$F123="Remove",$H123&lt;&gt;"",ISNA(MATCH($H123,Tables!$B$163,0))),
Error!$B$15,
IF(AND(OR($E123="Tier 2",$E123="Tier 2 Grove"),$F123="Remove",$H123&lt;&gt;"",ISNA(MATCH($H123,Tables!$B$153:$B$155,0))),
Error!$B$15,
IF(AND(OR($E123="Tier 2",$E123="Tier 2 Grove"),$F123="Retain",$H123&lt;&gt;"",ISNA(MATCH($H123,Tables!$B$147:$B$150,0))),
Error!$B$15,
IF(AND($E123="Tier 1",$F123="Remove",$H123&lt;&gt;"",ISNA(MATCH($H123,Tables!$B$143:$B$144,0))),
Error!$B$15,
IF(AND($E123="Tier 1",$F123="Retain",$H123&lt;&gt;"",ISNA(MATCH($H123,Tables!$B$137:$B$140,0))),
Error!$B$15,
IF(AND($E123&lt;&gt;"Tier 2",$E123&lt;&gt;"Tier 2 Grove",$E123&lt;&gt;"Tier 3",$E123&lt;&gt;"Tier 4",$H123="Zoning: Green Factor",OR($D123="",$D123&lt;6)),
Error!$B$11,
IF(AND(_xlpm.baseRow,$D123&lt;6,$E123="&lt;6in DSH for Tree Points",_xlpm.TreePoints_H=0),
Error!$B$21,
IF(AND(_xlpm.baseRow,$E123&lt;&gt;"",$D123&lt;&gt;"",$F123=""),
Error!$B$4,
IF(AND(_xlpm.baseRow,$F123="Remove",OR($E123="Tier 1",$E123="Tier 2",$E123="Tier 2 Grove"),COUNTBLANK(_xlpm.HRange)&lt;3,_xlpm.uniqueH&gt;=2),
Error!$B$48,
IF(AND(_xlpm.baseRow,$F123="Retain",OR($E123="Tier 1",$E123="Tier 2",$E123="Tier 2 Grove"),COUNTIF(_xlpm.HRange,"Tree Code: Required to Retain Tier 1-2 Tree")=0),
Error!$B$47,
IF(AND(_xlpm.baseRow,$E123&lt;&gt;"",$D123&lt;&gt;"",$F123&lt;&gt;"",COUNTBLANK(_xlpm.HRange)=4),
Error!$B$5,
IF(AND($F123="Remove",$H123&lt;&gt;"",$I123=""),
Error!$B$18,
IF(AND($E123="Tier 4",$F123="Remove",$H123="Tree Protection Code: Tier 3 or Tier 4 Allowance",$H123&lt;&gt;"",ISNA(MATCH($I123,Tables!$B$200,0))),
Error!$B$17,
IF(AND($E123="Tier 3",$F123="Remove",$H123&lt;&gt;"",$H123="Tree Protection Code: Tier 3 or Tier 4 Allowance",OR($I123="",ISNA(MATCH($I123,Tables!$B$193:$B$197,0)))),
Error!$B$17,
IF(AND(OR($E123="Tier 2",$E123="Tier 2 Grove"),$F123="Remove",$H123="Tree Protection Code: Other removal allowance or exemption",$I123&lt;&gt;"",ISNA(MATCH($I123,Tables!$B$215:$B$218,0))),
Error!$B$17,
IF(AND(OR($E123="Tier 2",$E123="Tier 2 Grove"),$F123="Remove",$H123="Tree Protection Code: Development Capacity",$I123&lt;&gt;"",ISNA(MATCH($I123,Tables!$B$193:$B$197,0))),
Error!$B$17,
IF(AND(OR($E123="Tier 2",$E123="Tier 2 Grove"),$F123="Remove",$H123="Tree Protection Code: Necessary for Construction",$I123&lt;&gt;"",ISNA(MATCH($I123,Tables!$B$193:$B$197,0))),
Error!$B$17,
IF(AND($E123="Tier 1",$F123="Remove",$H123="Tree Protection Code: Special Exception",$I123&lt;&gt;"",ISNA(MATCH($I123,Tables!$B$215:$B$218,0))),
Error!$B$17,
IF(AND($E123="Tier 1",$F123="Remove",$H123="Tree Protection Code: Other removal allowance or exemption",$I123&lt;&gt;"",ISNA(MATCH($I123,Tables!$B$215:$B$218,0))),
Error!$B$17,
IF(AND($E123="ECA / Shoreline Tree",$F123="Remove",$H123&lt;&gt;"",OR($H123="Shoreline",$H123="Environmental Critical Area (ECA)"),ISNA(MATCH($I123,Tables!$B$209:$B$212,0))),
Error!$B$17,
IF(AND(_xlpm.baseRow,$F123="Retain",$E123="ECA / Shoreline Tree",_xlpm.ECA_Short=0),
Error!$B$61,
IF(AND($F123="Remove",ISNUMBER(MATCH($E123,{"Tier 1","Tier 2","Tier 3","Tier 4","Tier 2 Grove"},0)),ISNUMBER(MATCH($I123,{"On-site replacement","Off-site replacement"},0)),$J123="",$H123&lt;&gt;""),
Error!$B$19,
IF(AND(_xlpm.baseRow,$E123&lt;&gt;"",$D123&lt;&gt;"",$F123&lt;&gt;"",COUNTBLANK($B123:$C123)&gt;0,COUNTBLANK(_xlpm.HRange)&lt;&gt;4),
Error!$B$22,
IF(AND($H123="Zoning: Tree Points",$K123&lt;&gt;"",ISNA(MATCH($K123,Tables!$B$242:$B$253,0))),
Error!$B$58,
IF(AND($H123="Zoning: Tree Points",$K123="Small",$L123&lt;&gt;"",ISNA(MATCH($L123,Tables!$C$243:$C$244,0))),
Error!$B$59,
IF(AND($H123="Zoning: Tree Points",$K123="Small/Medium",$L123&lt;&gt;"",ISNA(MATCH($L123,Tables!$C$246:$C$247,0))),
Error!$B$59,
IF(AND($H123="Zoning: Tree Points",$K123="Medium/Large",$L123&lt;&gt;"",ISNA(MATCH($L123,Tables!$C$249:$C$250,0))),
Error!$B$59,
IF(AND($H123="Zoning: Tree Points",$K123="Large",$L123&lt;&gt;"",ISNA(MATCH($L123,Tables!$C$252:$C$253,0))),
Error!$B$59,
IF(AND($F123="Retain",$H123="Zoning: Tree Points",$C123&lt;&gt;"",$D123&lt;&gt;"",OR($K123="",$L123="",$M123="")),
Error!$B$20,
""
)))))))))))))))))))))))))))))))))))))))))))))))))))))))),
Error!$B$23))</f>
        <v/>
      </c>
      <c r="O123" s="343" t="str" cm="1">
        <f t="array" aca="1" ref="O123" ca="1">IFERROR(_xlfn.LET(
    _xlpm.txt, $C123,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4" spans="1:15" x14ac:dyDescent="0.3">
      <c r="A124" s="320"/>
      <c r="B124" s="616" t="str">
        <f t="shared" ref="B124:B126" si="98">IF($B123="", "", $B123)</f>
        <v/>
      </c>
      <c r="C124" s="617" t="str">
        <f t="shared" ref="C124:C126" si="99">IF($C123="", "", $C123)</f>
        <v/>
      </c>
      <c r="D124" s="618" t="str">
        <f t="shared" ref="D124:D126" si="100">IF($D123="", "", $D123)</f>
        <v/>
      </c>
      <c r="E124" s="616" t="str">
        <f t="shared" ref="E124:E126" si="101">IF($E123="", "", $E123)</f>
        <v/>
      </c>
      <c r="F124" s="616" t="str">
        <f t="shared" ref="F124:F126" si="102">IF($F123="", "", $F123)</f>
        <v/>
      </c>
      <c r="G124" s="619" t="str">
        <f>IF(Tree_Table1[[#This Row],[Tree Status  &amp;]]="Retain", Tables!$B$237, IF(Tree_Table1[[#This Row],[Tree Status  &amp;]]="Remove", Tables!$B$238, ""))</f>
        <v/>
      </c>
      <c r="H124" s="321"/>
      <c r="I124" s="322"/>
      <c r="J124" s="453"/>
      <c r="K124" s="323" t="str">
        <f>IFERROR(
    IF(
        AND($H124="Zoning: Tree Points", NOT(ISNUMBER(SEARCH("sp.", $C124)))),
        VLOOKUP($C124, 'Tree List'!$C$3:$F$601, 4, FALSE),
        ""
    ),
"")</f>
        <v/>
      </c>
      <c r="L124" s="324" t="str" cm="1">
        <f t="array" ref="L124">IFERROR(
IF(
    AND($H124="Zoning: Tree Points", NOT(ISNUMBER(SEARCH("sp.", $C124)))),
    _xlfn.IFS(
        (COUNTIFS('Tree List'!$C$3:$C$601,$C124,'Tree List'!$D$3:$D$601,"Coniferous")
        + COUNTIFS('Tree List'!$C$3:$C$601,$C124,'Tree List'!$D$3:$D$601,"Deciduous Conifer")) &gt; 0,
            _xlfn.IFS($K124="Small",0.5,$K124="Small/Medium",1,$K124="Medium/Large",1.4,$K124="Large",1.8),
        (COUNTIFS('Tree List'!$C$3:$C$601,$C124,'Tree List'!$D$3:$D$601,"Deciduous")
        + COUNTIFS('Tree List'!$C$3:$C$601,$C124,'Tree List'!$D$3:$D$601,"Broadleaf Evergreen")) &gt; 0,
            _xlfn.IFS($K124="Small",0.4,$K124="Small/Medium",0.8,$K124="Medium/Large",1.2,$K124="Large",1.6)
    ),
    ""
),
"")</f>
        <v/>
      </c>
      <c r="M124" s="475" t="str">
        <f t="shared" si="0"/>
        <v/>
      </c>
      <c r="N124" s="346" t="str" cm="1">
        <f t="array" aca="1" ref="N12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IF(AND(_xlpm.baseRow,ISNA(MATCH($C124,'Tree List'!$C$3:$C$601,0)),SUMPRODUCT(--ISNUMBER(SEARCH(Tables2!$C$677:$C$772,$O124)))&gt;0),
Error!$B$57,
IF(AND(_xlpm.hasDM,$F124="Remove",$H124&lt;&gt;"",OR($I124="On-site replacement",$I124="Off-site replacement",$I124="Payment In Lieu")),
Error!$B$56,
IF(AND(_xlpm.hasDM,$F124="Remove",$H124&lt;&gt;"",$I124="Relocation"),
Error!$B$66,
IF(AND(OR(_xlpm.hasCN,_xlpm.hasPH,_xlpm.hasGR),$H124&lt;&gt;"",COUNTIF(Tables!$B$132:$B$134,$H124)&gt;0,$I124="N/A (No replacement required)"),
Error!$B$62,
IF(AND(_xlpm.baseRow,$E124&lt;&gt;"",ISNA(MATCH($E124,Tables!$B$225:$B$232,0))),
Error!$B$2,
IF(AND(_xlpm.baseRow,$F124&lt;&gt;"",ISNA(MATCH($F124,Tables!$B$234:$B$235,0))),
Error!$B$24,
IF(AND(_xlpm.baseRow,_xlpm.ECA_H&gt;0,_xlpm.Shore_H&gt;0),
Error!$B$16,
IF(AND(_xlpm.baseRow,$E124&lt;&gt;"",$D124=""),
Error!$B$3,
IF(AND(_xlpm.baseRow,OR($E124="Tier 3",$E124="Tier 4"),$C124&lt;&gt;"",$D124&gt;=24,COUNTIF(Tables2!$B$166:$B$674,$C124)&gt;0),
Error!$B$44,
IF(AND(_xlpm.baseRow,OR($E124="Tier 3",$E124="Tier 4"),$C124&lt;&gt;"",$D124&lt;&gt;"",COUNTIF(Tables2!$B$73:$B$152,$C124)&gt;0,
$D124&gt;=IFERROR(INDEX(Tables2!$C$73:$C$152,MATCH($C124,Tables2!$B$73:$B$152,0)),-1)),
Error!$B$44,
IF(AND(_xlpm.baseRow,OR($E124="Tier 2",$E124="Tier 2 Grove"),$C124&lt;&gt;"",$D124&gt;=12,COUNTIF(Tables2!$B$153:$B$162,$C124)&gt;0),
Error!$B$45,
IF(AND(_xlpm.baseRow,$E124="Tier 2 Grove",$D124&lt;12),
Error!$B$41,
IF(AND(_xlpm.baseRow,$E124="Tier 2",$D124&lt;5.88),
Error!$B$40,
IF(AND(_xlpm.baseRow,OR($E124="Tier 2",$E124="Tier 2 Grove"),$C124&lt;&gt;"",$D124&lt;12,$D124&gt;=6,COUNTIF(Tables2!$B$153:$B$162,$C124)&gt;0),
Error!$B$54,
IF(AND(_xlpm.baseRow,$E124="Tier 2",COUNTIF(Tables2!$B$166:$B$674,$C124)&gt;0,$D124&lt;24),
Error!$B$54,
IF(AND(_xlpm.baseRow,$E124="Tier 3",ISNA(MATCH($C124,Tables2!$B$153:$B$162,0)),OR($D124&lt;12,$D124&gt;=24)),
Error!$B$9,
IF(AND(_xlpm.baseRow,$E124="Tier 3",COUNTIF(Tables2!$B$153:$B$162,$C124)&gt;0,$D124&lt;12),
Error!$B$46,
IF(AND(_xlpm.baseRow,$E124="Tier 4",OR($D124&lt;6,$D124&gt;=12)),
Error!$B$10,
IF(AND(_xlpm.baseRow,$E124="&lt;6in DSH for Tree Points",OR($D124&gt;=6,$D124="")),
Error!$B$8,
IF(AND(_xlpm.baseRow,$E124="Street Tree for Green Factor",$F124&lt;&gt;"",$F124&lt;&gt;"Retain"),
Error!$B$14,
IF(AND($E124="&lt;6in DSH for Tree Points",$F124="Retain",$H124&lt;&gt;"",ISNA(MATCH($H124,Tables!$B$174:$B$174,0))),
Error!$B$15,
IF(AND($E124="Street Tree for Green Factor",$F124="Retain",$H124&lt;&gt;"",$H124&lt;&gt;"Zoning: Green Factor"),
Error!$B$15,
IF(AND($E124="ECA / Shoreline Tree",$F124="Remove",$H124&lt;&gt;"",ISNA(MATCH($H124,Tables!$B$189:$B$190,0))),
Error!$B$15,
IF(AND($E124="ECA / Shoreline Tree",$F124="Retain",$H124&lt;&gt;"",ISNA(MATCH($H124,Tables!$B$184:$B$186,0))),
Error!$B$15,
IF(AND($E124="Tier 4",$F124="Remove",$H124&lt;&gt;"",ISNA(MATCH($H124,Tables!$B$171,0))),
Error!$B$15,
IF(AND($E124="Tier 4",$F124="Retain",$H124&lt;&gt;"",ISNA(MATCH($H124,Tables!$B$166:$B$168,0))),
Error!$B$15,
IF(AND($E124="Tier 3",$F124="Retain",$H124&lt;&gt;"",ISNA(MATCH($H124,Tables!$B$158:$B$160,0))),
Error!$B$15,
IF(AND($E124="Tier 3",$F124="Remove",$H124&lt;&gt;"",ISNA(MATCH($H124,Tables!$B$163,0))),
Error!$B$15,
IF(AND(OR($E124="Tier 2",$E124="Tier 2 Grove"),$F124="Remove",$H124&lt;&gt;"",ISNA(MATCH($H124,Tables!$B$153:$B$155,0))),
Error!$B$15,
IF(AND(OR($E124="Tier 2",$E124="Tier 2 Grove"),$F124="Retain",$H124&lt;&gt;"",ISNA(MATCH($H124,Tables!$B$147:$B$150,0))),
Error!$B$15,
IF(AND($E124="Tier 1",$F124="Remove",$H124&lt;&gt;"",ISNA(MATCH($H124,Tables!$B$143:$B$144,0))),
Error!$B$15,
IF(AND($E124="Tier 1",$F124="Retain",$H124&lt;&gt;"",ISNA(MATCH($H124,Tables!$B$137:$B$140,0))),
Error!$B$15,
IF(AND($E124&lt;&gt;"Tier 2",$E124&lt;&gt;"Tier 2 Grove",$E124&lt;&gt;"Tier 3",$E124&lt;&gt;"Tier 4",$H124="Zoning: Green Factor",OR($D124="",$D124&lt;6)),
Error!$B$11,
IF(AND(_xlpm.baseRow,$D124&lt;6,$E124="&lt;6in DSH for Tree Points",_xlpm.TreePoints_H=0),
Error!$B$21,
IF(AND(_xlpm.baseRow,$E124&lt;&gt;"",$D124&lt;&gt;"",$F124=""),
Error!$B$4,
IF(AND(_xlpm.baseRow,$F124="Remove",OR($E124="Tier 1",$E124="Tier 2",$E124="Tier 2 Grove"),COUNTBLANK(_xlpm.HRange)&lt;3,_xlpm.uniqueH&gt;=2),
Error!$B$48,
IF(AND(_xlpm.baseRow,$F124="Retain",OR($E124="Tier 1",$E124="Tier 2",$E124="Tier 2 Grove"),COUNTIF(_xlpm.HRange,"Tree Code: Required to Retain Tier 1-2 Tree")=0),
Error!$B$47,
IF(AND(_xlpm.baseRow,$E124&lt;&gt;"",$D124&lt;&gt;"",$F124&lt;&gt;"",COUNTBLANK(_xlpm.HRange)=4),
Error!$B$5,
IF(AND($F124="Remove",$H124&lt;&gt;"",$I124=""),
Error!$B$18,
IF(AND($E124="Tier 4",$F124="Remove",$H124="Tree Protection Code: Tier 3 or Tier 4 Allowance",$H124&lt;&gt;"",ISNA(MATCH($I124,Tables!$B$200,0))),
Error!$B$17,
IF(AND($E124="Tier 3",$F124="Remove",$H124&lt;&gt;"",$H124="Tree Protection Code: Tier 3 or Tier 4 Allowance",OR($I124="",ISNA(MATCH($I124,Tables!$B$193:$B$197,0)))),
Error!$B$17,
IF(AND(OR($E124="Tier 2",$E124="Tier 2 Grove"),$F124="Remove",$H124="Tree Protection Code: Other removal allowance or exemption",$I124&lt;&gt;"",ISNA(MATCH($I124,Tables!$B$215:$B$218,0))),
Error!$B$17,
IF(AND(OR($E124="Tier 2",$E124="Tier 2 Grove"),$F124="Remove",$H124="Tree Protection Code: Development Capacity",$I124&lt;&gt;"",ISNA(MATCH($I124,Tables!$B$193:$B$197,0))),
Error!$B$17,
IF(AND(OR($E124="Tier 2",$E124="Tier 2 Grove"),$F124="Remove",$H124="Tree Protection Code: Necessary for Construction",$I124&lt;&gt;"",ISNA(MATCH($I124,Tables!$B$193:$B$197,0))),
Error!$B$17,
IF(AND($E124="Tier 1",$F124="Remove",$H124="Tree Protection Code: Special Exception",$I124&lt;&gt;"",ISNA(MATCH($I124,Tables!$B$215:$B$218,0))),
Error!$B$17,
IF(AND($E124="Tier 1",$F124="Remove",$H124="Tree Protection Code: Other removal allowance or exemption",$I124&lt;&gt;"",ISNA(MATCH($I124,Tables!$B$215:$B$218,0))),
Error!$B$17,
IF(AND($E124="ECA / Shoreline Tree",$F124="Remove",$H124&lt;&gt;"",OR($H124="Shoreline",$H124="Environmental Critical Area (ECA)"),ISNA(MATCH($I124,Tables!$B$209:$B$212,0))),
Error!$B$17,
IF(AND(_xlpm.baseRow,$F124="Retain",$E124="ECA / Shoreline Tree",_xlpm.ECA_Short=0),
Error!$B$61,
IF(AND($F124="Remove",ISNUMBER(MATCH($E124,{"Tier 1","Tier 2","Tier 3","Tier 4","Tier 2 Grove"},0)),ISNUMBER(MATCH($I124,{"On-site replacement","Off-site replacement"},0)),$J124="",$H124&lt;&gt;""),
Error!$B$19,
IF(AND(_xlpm.baseRow,$E124&lt;&gt;"",$D124&lt;&gt;"",$F124&lt;&gt;"",COUNTBLANK($B124:$C124)&gt;0,COUNTBLANK(_xlpm.HRange)&lt;&gt;4),
Error!$B$22,
IF(AND($H124="Zoning: Tree Points",$K124&lt;&gt;"",ISNA(MATCH($K124,Tables!$B$242:$B$253,0))),
Error!$B$58,
IF(AND($H124="Zoning: Tree Points",$K124="Small",$L124&lt;&gt;"",ISNA(MATCH($L124,Tables!$C$243:$C$244,0))),
Error!$B$59,
IF(AND($H124="Zoning: Tree Points",$K124="Small/Medium",$L124&lt;&gt;"",ISNA(MATCH($L124,Tables!$C$246:$C$247,0))),
Error!$B$59,
IF(AND($H124="Zoning: Tree Points",$K124="Medium/Large",$L124&lt;&gt;"",ISNA(MATCH($L124,Tables!$C$249:$C$250,0))),
Error!$B$59,
IF(AND($H124="Zoning: Tree Points",$K124="Large",$L124&lt;&gt;"",ISNA(MATCH($L124,Tables!$C$252:$C$253,0))),
Error!$B$59,
IF(AND($F124="Retain",$H124="Zoning: Tree Points",$C124&lt;&gt;"",$D124&lt;&gt;"",OR($K124="",$L124="",$M124="")),
Error!$B$20,
""
)))))))))))))))))))))))))))))))))))))))))))))))))))))))),
Error!$B$23))</f>
        <v/>
      </c>
      <c r="O124" s="343" t="str" cm="1">
        <f t="array" aca="1" ref="O124" ca="1">IFERROR(_xlfn.LET(
    _xlpm.txt, $C124,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5" spans="1:15" x14ac:dyDescent="0.3">
      <c r="A125" s="320"/>
      <c r="B125" s="616" t="str">
        <f t="shared" si="98"/>
        <v/>
      </c>
      <c r="C125" s="617" t="str">
        <f t="shared" si="99"/>
        <v/>
      </c>
      <c r="D125" s="618" t="str">
        <f t="shared" si="100"/>
        <v/>
      </c>
      <c r="E125" s="616" t="str">
        <f t="shared" si="101"/>
        <v/>
      </c>
      <c r="F125" s="616" t="str">
        <f t="shared" si="102"/>
        <v/>
      </c>
      <c r="G125" s="619" t="str">
        <f>IF(Tree_Table1[[#This Row],[Tree Status  &amp;]]="Retain", Tables!$B$237, IF(Tree_Table1[[#This Row],[Tree Status  &amp;]]="Remove", Tables!$B$238, ""))</f>
        <v/>
      </c>
      <c r="H125" s="321"/>
      <c r="I125" s="322"/>
      <c r="J125" s="453"/>
      <c r="K125" s="323" t="str">
        <f>IFERROR(
    IF(
        AND($H125="Zoning: Tree Points", NOT(ISNUMBER(SEARCH("sp.", $C125)))),
        VLOOKUP($C125, 'Tree List'!$C$3:$F$601, 4, FALSE),
        ""
    ),
"")</f>
        <v/>
      </c>
      <c r="L125" s="324" t="str" cm="1">
        <f t="array" ref="L125">IFERROR(
IF(
    AND($H125="Zoning: Tree Points", NOT(ISNUMBER(SEARCH("sp.", $C125)))),
    _xlfn.IFS(
        (COUNTIFS('Tree List'!$C$3:$C$601,$C125,'Tree List'!$D$3:$D$601,"Coniferous")
        + COUNTIFS('Tree List'!$C$3:$C$601,$C125,'Tree List'!$D$3:$D$601,"Deciduous Conifer")) &gt; 0,
            _xlfn.IFS($K125="Small",0.5,$K125="Small/Medium",1,$K125="Medium/Large",1.4,$K125="Large",1.8),
        (COUNTIFS('Tree List'!$C$3:$C$601,$C125,'Tree List'!$D$3:$D$601,"Deciduous")
        + COUNTIFS('Tree List'!$C$3:$C$601,$C125,'Tree List'!$D$3:$D$601,"Broadleaf Evergreen")) &gt; 0,
            _xlfn.IFS($K125="Small",0.4,$K125="Small/Medium",0.8,$K125="Medium/Large",1.2,$K125="Large",1.6)
    ),
    ""
),
"")</f>
        <v/>
      </c>
      <c r="M125" s="475" t="str">
        <f t="shared" si="0"/>
        <v/>
      </c>
      <c r="N125" s="346" t="str" cm="1">
        <f t="array" aca="1" ref="N12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IF(AND(_xlpm.baseRow,ISNA(MATCH($C125,'Tree List'!$C$3:$C$601,0)),SUMPRODUCT(--ISNUMBER(SEARCH(Tables2!$C$677:$C$772,$O125)))&gt;0),
Error!$B$57,
IF(AND(_xlpm.hasDM,$F125="Remove",$H125&lt;&gt;"",OR($I125="On-site replacement",$I125="Off-site replacement",$I125="Payment In Lieu")),
Error!$B$56,
IF(AND(_xlpm.hasDM,$F125="Remove",$H125&lt;&gt;"",$I125="Relocation"),
Error!$B$66,
IF(AND(OR(_xlpm.hasCN,_xlpm.hasPH,_xlpm.hasGR),$H125&lt;&gt;"",COUNTIF(Tables!$B$132:$B$134,$H125)&gt;0,$I125="N/A (No replacement required)"),
Error!$B$62,
IF(AND(_xlpm.baseRow,$E125&lt;&gt;"",ISNA(MATCH($E125,Tables!$B$225:$B$232,0))),
Error!$B$2,
IF(AND(_xlpm.baseRow,$F125&lt;&gt;"",ISNA(MATCH($F125,Tables!$B$234:$B$235,0))),
Error!$B$24,
IF(AND(_xlpm.baseRow,_xlpm.ECA_H&gt;0,_xlpm.Shore_H&gt;0),
Error!$B$16,
IF(AND(_xlpm.baseRow,$E125&lt;&gt;"",$D125=""),
Error!$B$3,
IF(AND(_xlpm.baseRow,OR($E125="Tier 3",$E125="Tier 4"),$C125&lt;&gt;"",$D125&gt;=24,COUNTIF(Tables2!$B$166:$B$674,$C125)&gt;0),
Error!$B$44,
IF(AND(_xlpm.baseRow,OR($E125="Tier 3",$E125="Tier 4"),$C125&lt;&gt;"",$D125&lt;&gt;"",COUNTIF(Tables2!$B$73:$B$152,$C125)&gt;0,
$D125&gt;=IFERROR(INDEX(Tables2!$C$73:$C$152,MATCH($C125,Tables2!$B$73:$B$152,0)),-1)),
Error!$B$44,
IF(AND(_xlpm.baseRow,OR($E125="Tier 2",$E125="Tier 2 Grove"),$C125&lt;&gt;"",$D125&gt;=12,COUNTIF(Tables2!$B$153:$B$162,$C125)&gt;0),
Error!$B$45,
IF(AND(_xlpm.baseRow,$E125="Tier 2 Grove",$D125&lt;12),
Error!$B$41,
IF(AND(_xlpm.baseRow,$E125="Tier 2",$D125&lt;5.88),
Error!$B$40,
IF(AND(_xlpm.baseRow,OR($E125="Tier 2",$E125="Tier 2 Grove"),$C125&lt;&gt;"",$D125&lt;12,$D125&gt;=6,COUNTIF(Tables2!$B$153:$B$162,$C125)&gt;0),
Error!$B$54,
IF(AND(_xlpm.baseRow,$E125="Tier 2",COUNTIF(Tables2!$B$166:$B$674,$C125)&gt;0,$D125&lt;24),
Error!$B$54,
IF(AND(_xlpm.baseRow,$E125="Tier 3",ISNA(MATCH($C125,Tables2!$B$153:$B$162,0)),OR($D125&lt;12,$D125&gt;=24)),
Error!$B$9,
IF(AND(_xlpm.baseRow,$E125="Tier 3",COUNTIF(Tables2!$B$153:$B$162,$C125)&gt;0,$D125&lt;12),
Error!$B$46,
IF(AND(_xlpm.baseRow,$E125="Tier 4",OR($D125&lt;6,$D125&gt;=12)),
Error!$B$10,
IF(AND(_xlpm.baseRow,$E125="&lt;6in DSH for Tree Points",OR($D125&gt;=6,$D125="")),
Error!$B$8,
IF(AND(_xlpm.baseRow,$E125="Street Tree for Green Factor",$F125&lt;&gt;"",$F125&lt;&gt;"Retain"),
Error!$B$14,
IF(AND($E125="&lt;6in DSH for Tree Points",$F125="Retain",$H125&lt;&gt;"",ISNA(MATCH($H125,Tables!$B$174:$B$174,0))),
Error!$B$15,
IF(AND($E125="Street Tree for Green Factor",$F125="Retain",$H125&lt;&gt;"",$H125&lt;&gt;"Zoning: Green Factor"),
Error!$B$15,
IF(AND($E125="ECA / Shoreline Tree",$F125="Remove",$H125&lt;&gt;"",ISNA(MATCH($H125,Tables!$B$189:$B$190,0))),
Error!$B$15,
IF(AND($E125="ECA / Shoreline Tree",$F125="Retain",$H125&lt;&gt;"",ISNA(MATCH($H125,Tables!$B$184:$B$186,0))),
Error!$B$15,
IF(AND($E125="Tier 4",$F125="Remove",$H125&lt;&gt;"",ISNA(MATCH($H125,Tables!$B$171,0))),
Error!$B$15,
IF(AND($E125="Tier 4",$F125="Retain",$H125&lt;&gt;"",ISNA(MATCH($H125,Tables!$B$166:$B$168,0))),
Error!$B$15,
IF(AND($E125="Tier 3",$F125="Retain",$H125&lt;&gt;"",ISNA(MATCH($H125,Tables!$B$158:$B$160,0))),
Error!$B$15,
IF(AND($E125="Tier 3",$F125="Remove",$H125&lt;&gt;"",ISNA(MATCH($H125,Tables!$B$163,0))),
Error!$B$15,
IF(AND(OR($E125="Tier 2",$E125="Tier 2 Grove"),$F125="Remove",$H125&lt;&gt;"",ISNA(MATCH($H125,Tables!$B$153:$B$155,0))),
Error!$B$15,
IF(AND(OR($E125="Tier 2",$E125="Tier 2 Grove"),$F125="Retain",$H125&lt;&gt;"",ISNA(MATCH($H125,Tables!$B$147:$B$150,0))),
Error!$B$15,
IF(AND($E125="Tier 1",$F125="Remove",$H125&lt;&gt;"",ISNA(MATCH($H125,Tables!$B$143:$B$144,0))),
Error!$B$15,
IF(AND($E125="Tier 1",$F125="Retain",$H125&lt;&gt;"",ISNA(MATCH($H125,Tables!$B$137:$B$140,0))),
Error!$B$15,
IF(AND($E125&lt;&gt;"Tier 2",$E125&lt;&gt;"Tier 2 Grove",$E125&lt;&gt;"Tier 3",$E125&lt;&gt;"Tier 4",$H125="Zoning: Green Factor",OR($D125="",$D125&lt;6)),
Error!$B$11,
IF(AND(_xlpm.baseRow,$D125&lt;6,$E125="&lt;6in DSH for Tree Points",_xlpm.TreePoints_H=0),
Error!$B$21,
IF(AND(_xlpm.baseRow,$E125&lt;&gt;"",$D125&lt;&gt;"",$F125=""),
Error!$B$4,
IF(AND(_xlpm.baseRow,$F125="Remove",OR($E125="Tier 1",$E125="Tier 2",$E125="Tier 2 Grove"),COUNTBLANK(_xlpm.HRange)&lt;3,_xlpm.uniqueH&gt;=2),
Error!$B$48,
IF(AND(_xlpm.baseRow,$F125="Retain",OR($E125="Tier 1",$E125="Tier 2",$E125="Tier 2 Grove"),COUNTIF(_xlpm.HRange,"Tree Code: Required to Retain Tier 1-2 Tree")=0),
Error!$B$47,
IF(AND(_xlpm.baseRow,$E125&lt;&gt;"",$D125&lt;&gt;"",$F125&lt;&gt;"",COUNTBLANK(_xlpm.HRange)=4),
Error!$B$5,
IF(AND($F125="Remove",$H125&lt;&gt;"",$I125=""),
Error!$B$18,
IF(AND($E125="Tier 4",$F125="Remove",$H125="Tree Protection Code: Tier 3 or Tier 4 Allowance",$H125&lt;&gt;"",ISNA(MATCH($I125,Tables!$B$200,0))),
Error!$B$17,
IF(AND($E125="Tier 3",$F125="Remove",$H125&lt;&gt;"",$H125="Tree Protection Code: Tier 3 or Tier 4 Allowance",OR($I125="",ISNA(MATCH($I125,Tables!$B$193:$B$197,0)))),
Error!$B$17,
IF(AND(OR($E125="Tier 2",$E125="Tier 2 Grove"),$F125="Remove",$H125="Tree Protection Code: Other removal allowance or exemption",$I125&lt;&gt;"",ISNA(MATCH($I125,Tables!$B$215:$B$218,0))),
Error!$B$17,
IF(AND(OR($E125="Tier 2",$E125="Tier 2 Grove"),$F125="Remove",$H125="Tree Protection Code: Development Capacity",$I125&lt;&gt;"",ISNA(MATCH($I125,Tables!$B$193:$B$197,0))),
Error!$B$17,
IF(AND(OR($E125="Tier 2",$E125="Tier 2 Grove"),$F125="Remove",$H125="Tree Protection Code: Necessary for Construction",$I125&lt;&gt;"",ISNA(MATCH($I125,Tables!$B$193:$B$197,0))),
Error!$B$17,
IF(AND($E125="Tier 1",$F125="Remove",$H125="Tree Protection Code: Special Exception",$I125&lt;&gt;"",ISNA(MATCH($I125,Tables!$B$215:$B$218,0))),
Error!$B$17,
IF(AND($E125="Tier 1",$F125="Remove",$H125="Tree Protection Code: Other removal allowance or exemption",$I125&lt;&gt;"",ISNA(MATCH($I125,Tables!$B$215:$B$218,0))),
Error!$B$17,
IF(AND($E125="ECA / Shoreline Tree",$F125="Remove",$H125&lt;&gt;"",OR($H125="Shoreline",$H125="Environmental Critical Area (ECA)"),ISNA(MATCH($I125,Tables!$B$209:$B$212,0))),
Error!$B$17,
IF(AND(_xlpm.baseRow,$F125="Retain",$E125="ECA / Shoreline Tree",_xlpm.ECA_Short=0),
Error!$B$61,
IF(AND($F125="Remove",ISNUMBER(MATCH($E125,{"Tier 1","Tier 2","Tier 3","Tier 4","Tier 2 Grove"},0)),ISNUMBER(MATCH($I125,{"On-site replacement","Off-site replacement"},0)),$J125="",$H125&lt;&gt;""),
Error!$B$19,
IF(AND(_xlpm.baseRow,$E125&lt;&gt;"",$D125&lt;&gt;"",$F125&lt;&gt;"",COUNTBLANK($B125:$C125)&gt;0,COUNTBLANK(_xlpm.HRange)&lt;&gt;4),
Error!$B$22,
IF(AND($H125="Zoning: Tree Points",$K125&lt;&gt;"",ISNA(MATCH($K125,Tables!$B$242:$B$253,0))),
Error!$B$58,
IF(AND($H125="Zoning: Tree Points",$K125="Small",$L125&lt;&gt;"",ISNA(MATCH($L125,Tables!$C$243:$C$244,0))),
Error!$B$59,
IF(AND($H125="Zoning: Tree Points",$K125="Small/Medium",$L125&lt;&gt;"",ISNA(MATCH($L125,Tables!$C$246:$C$247,0))),
Error!$B$59,
IF(AND($H125="Zoning: Tree Points",$K125="Medium/Large",$L125&lt;&gt;"",ISNA(MATCH($L125,Tables!$C$249:$C$250,0))),
Error!$B$59,
IF(AND($H125="Zoning: Tree Points",$K125="Large",$L125&lt;&gt;"",ISNA(MATCH($L125,Tables!$C$252:$C$253,0))),
Error!$B$59,
IF(AND($F125="Retain",$H125="Zoning: Tree Points",$C125&lt;&gt;"",$D125&lt;&gt;"",OR($K125="",$L125="",$M125="")),
Error!$B$20,
""
)))))))))))))))))))))))))))))))))))))))))))))))))))))))),
Error!$B$23))</f>
        <v/>
      </c>
      <c r="O125" s="343" t="str" cm="1">
        <f t="array" aca="1" ref="O125" ca="1">IFERROR(_xlfn.LET(
    _xlpm.txt, $C125,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6" spans="1:15" ht="15" thickBot="1" x14ac:dyDescent="0.35">
      <c r="A126" s="331"/>
      <c r="B126" s="616" t="str">
        <f t="shared" si="98"/>
        <v/>
      </c>
      <c r="C126" s="617" t="str">
        <f t="shared" si="99"/>
        <v/>
      </c>
      <c r="D126" s="618" t="str">
        <f t="shared" si="100"/>
        <v/>
      </c>
      <c r="E126" s="616" t="str">
        <f t="shared" si="101"/>
        <v/>
      </c>
      <c r="F126" s="616" t="str">
        <f t="shared" si="102"/>
        <v/>
      </c>
      <c r="G126" s="619" t="str">
        <f>IF(Tree_Table1[[#This Row],[Tree Status  &amp;]]="Retain", Tables!$B$237, IF(Tree_Table1[[#This Row],[Tree Status  &amp;]]="Remove", Tables!$B$238, ""))</f>
        <v/>
      </c>
      <c r="H126" s="329"/>
      <c r="I126" s="330"/>
      <c r="J126" s="455"/>
      <c r="K126" s="327" t="str">
        <f>IFERROR(
    IF(
        AND($H126="Zoning: Tree Points", NOT(ISNUMBER(SEARCH("sp.", $C126)))),
        VLOOKUP($C126, 'Tree List'!$C$3:$F$601, 4, FALSE),
        ""
    ),
"")</f>
        <v/>
      </c>
      <c r="L126" s="328" t="str" cm="1">
        <f t="array" ref="L126">IFERROR(
IF(
    AND($H126="Zoning: Tree Points", NOT(ISNUMBER(SEARCH("sp.", $C126)))),
    _xlfn.IFS(
        (COUNTIFS('Tree List'!$C$3:$C$601,$C126,'Tree List'!$D$3:$D$601,"Coniferous")
        + COUNTIFS('Tree List'!$C$3:$C$601,$C126,'Tree List'!$D$3:$D$601,"Deciduous Conifer")) &gt; 0,
            _xlfn.IFS($K126="Small",0.5,$K126="Small/Medium",1,$K126="Medium/Large",1.4,$K126="Large",1.8),
        (COUNTIFS('Tree List'!$C$3:$C$601,$C126,'Tree List'!$D$3:$D$601,"Deciduous")
        + COUNTIFS('Tree List'!$C$3:$C$601,$C126,'Tree List'!$D$3:$D$601,"Broadleaf Evergreen")) &gt; 0,
            _xlfn.IFS($K126="Small",0.4,$K126="Small/Medium",0.8,$K126="Medium/Large",1.2,$K126="Large",1.6)
    ),
    ""
),
"")</f>
        <v/>
      </c>
      <c r="M126" s="476" t="str">
        <f t="shared" si="0"/>
        <v/>
      </c>
      <c r="N126" s="347" t="str" cm="1">
        <f t="array" aca="1" ref="N12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IF(AND(_xlpm.baseRow,ISNA(MATCH($C126,'Tree List'!$C$3:$C$601,0)),SUMPRODUCT(--ISNUMBER(SEARCH(Tables2!$C$677:$C$772,$O126)))&gt;0),
Error!$B$57,
IF(AND(_xlpm.hasDM,$F126="Remove",$H126&lt;&gt;"",OR($I126="On-site replacement",$I126="Off-site replacement",$I126="Payment In Lieu")),
Error!$B$56,
IF(AND(_xlpm.hasDM,$F126="Remove",$H126&lt;&gt;"",$I126="Relocation"),
Error!$B$66,
IF(AND(OR(_xlpm.hasCN,_xlpm.hasPH,_xlpm.hasGR),$H126&lt;&gt;"",COUNTIF(Tables!$B$132:$B$134,$H126)&gt;0,$I126="N/A (No replacement required)"),
Error!$B$62,
IF(AND(_xlpm.baseRow,$E126&lt;&gt;"",ISNA(MATCH($E126,Tables!$B$225:$B$232,0))),
Error!$B$2,
IF(AND(_xlpm.baseRow,$F126&lt;&gt;"",ISNA(MATCH($F126,Tables!$B$234:$B$235,0))),
Error!$B$24,
IF(AND(_xlpm.baseRow,_xlpm.ECA_H&gt;0,_xlpm.Shore_H&gt;0),
Error!$B$16,
IF(AND(_xlpm.baseRow,$E126&lt;&gt;"",$D126=""),
Error!$B$3,
IF(AND(_xlpm.baseRow,OR($E126="Tier 3",$E126="Tier 4"),$C126&lt;&gt;"",$D126&gt;=24,COUNTIF(Tables2!$B$166:$B$674,$C126)&gt;0),
Error!$B$44,
IF(AND(_xlpm.baseRow,OR($E126="Tier 3",$E126="Tier 4"),$C126&lt;&gt;"",$D126&lt;&gt;"",COUNTIF(Tables2!$B$73:$B$152,$C126)&gt;0,
$D126&gt;=IFERROR(INDEX(Tables2!$C$73:$C$152,MATCH($C126,Tables2!$B$73:$B$152,0)),-1)),
Error!$B$44,
IF(AND(_xlpm.baseRow,OR($E126="Tier 2",$E126="Tier 2 Grove"),$C126&lt;&gt;"",$D126&gt;=12,COUNTIF(Tables2!$B$153:$B$162,$C126)&gt;0),
Error!$B$45,
IF(AND(_xlpm.baseRow,$E126="Tier 2 Grove",$D126&lt;12),
Error!$B$41,
IF(AND(_xlpm.baseRow,$E126="Tier 2",$D126&lt;5.88),
Error!$B$40,
IF(AND(_xlpm.baseRow,OR($E126="Tier 2",$E126="Tier 2 Grove"),$C126&lt;&gt;"",$D126&lt;12,$D126&gt;=6,COUNTIF(Tables2!$B$153:$B$162,$C126)&gt;0),
Error!$B$54,
IF(AND(_xlpm.baseRow,$E126="Tier 2",COUNTIF(Tables2!$B$166:$B$674,$C126)&gt;0,$D126&lt;24),
Error!$B$54,
IF(AND(_xlpm.baseRow,$E126="Tier 3",ISNA(MATCH($C126,Tables2!$B$153:$B$162,0)),OR($D126&lt;12,$D126&gt;=24)),
Error!$B$9,
IF(AND(_xlpm.baseRow,$E126="Tier 3",COUNTIF(Tables2!$B$153:$B$162,$C126)&gt;0,$D126&lt;12),
Error!$B$46,
IF(AND(_xlpm.baseRow,$E126="Tier 4",OR($D126&lt;6,$D126&gt;=12)),
Error!$B$10,
IF(AND(_xlpm.baseRow,$E126="&lt;6in DSH for Tree Points",OR($D126&gt;=6,$D126="")),
Error!$B$8,
IF(AND(_xlpm.baseRow,$E126="Street Tree for Green Factor",$F126&lt;&gt;"",$F126&lt;&gt;"Retain"),
Error!$B$14,
IF(AND($E126="&lt;6in DSH for Tree Points",$F126="Retain",$H126&lt;&gt;"",ISNA(MATCH($H126,Tables!$B$174:$B$174,0))),
Error!$B$15,
IF(AND($E126="Street Tree for Green Factor",$F126="Retain",$H126&lt;&gt;"",$H126&lt;&gt;"Zoning: Green Factor"),
Error!$B$15,
IF(AND($E126="ECA / Shoreline Tree",$F126="Remove",$H126&lt;&gt;"",ISNA(MATCH($H126,Tables!$B$189:$B$190,0))),
Error!$B$15,
IF(AND($E126="ECA / Shoreline Tree",$F126="Retain",$H126&lt;&gt;"",ISNA(MATCH($H126,Tables!$B$184:$B$186,0))),
Error!$B$15,
IF(AND($E126="Tier 4",$F126="Remove",$H126&lt;&gt;"",ISNA(MATCH($H126,Tables!$B$171,0))),
Error!$B$15,
IF(AND($E126="Tier 4",$F126="Retain",$H126&lt;&gt;"",ISNA(MATCH($H126,Tables!$B$166:$B$168,0))),
Error!$B$15,
IF(AND($E126="Tier 3",$F126="Retain",$H126&lt;&gt;"",ISNA(MATCH($H126,Tables!$B$158:$B$160,0))),
Error!$B$15,
IF(AND($E126="Tier 3",$F126="Remove",$H126&lt;&gt;"",ISNA(MATCH($H126,Tables!$B$163,0))),
Error!$B$15,
IF(AND(OR($E126="Tier 2",$E126="Tier 2 Grove"),$F126="Remove",$H126&lt;&gt;"",ISNA(MATCH($H126,Tables!$B$153:$B$155,0))),
Error!$B$15,
IF(AND(OR($E126="Tier 2",$E126="Tier 2 Grove"),$F126="Retain",$H126&lt;&gt;"",ISNA(MATCH($H126,Tables!$B$147:$B$150,0))),
Error!$B$15,
IF(AND($E126="Tier 1",$F126="Remove",$H126&lt;&gt;"",ISNA(MATCH($H126,Tables!$B$143:$B$144,0))),
Error!$B$15,
IF(AND($E126="Tier 1",$F126="Retain",$H126&lt;&gt;"",ISNA(MATCH($H126,Tables!$B$137:$B$140,0))),
Error!$B$15,
IF(AND($E126&lt;&gt;"Tier 2",$E126&lt;&gt;"Tier 2 Grove",$E126&lt;&gt;"Tier 3",$E126&lt;&gt;"Tier 4",$H126="Zoning: Green Factor",OR($D126="",$D126&lt;6)),
Error!$B$11,
IF(AND(_xlpm.baseRow,$D126&lt;6,$E126="&lt;6in DSH for Tree Points",_xlpm.TreePoints_H=0),
Error!$B$21,
IF(AND(_xlpm.baseRow,$E126&lt;&gt;"",$D126&lt;&gt;"",$F126=""),
Error!$B$4,
IF(AND(_xlpm.baseRow,$F126="Remove",OR($E126="Tier 1",$E126="Tier 2",$E126="Tier 2 Grove"),COUNTBLANK(_xlpm.HRange)&lt;3,_xlpm.uniqueH&gt;=2),
Error!$B$48,
IF(AND(_xlpm.baseRow,$F126="Retain",OR($E126="Tier 1",$E126="Tier 2",$E126="Tier 2 Grove"),COUNTIF(_xlpm.HRange,"Tree Code: Required to Retain Tier 1-2 Tree")=0),
Error!$B$47,
IF(AND(_xlpm.baseRow,$E126&lt;&gt;"",$D126&lt;&gt;"",$F126&lt;&gt;"",COUNTBLANK(_xlpm.HRange)=4),
Error!$B$5,
IF(AND($F126="Remove",$H126&lt;&gt;"",$I126=""),
Error!$B$18,
IF(AND($E126="Tier 4",$F126="Remove",$H126="Tree Protection Code: Tier 3 or Tier 4 Allowance",$H126&lt;&gt;"",ISNA(MATCH($I126,Tables!$B$200,0))),
Error!$B$17,
IF(AND($E126="Tier 3",$F126="Remove",$H126&lt;&gt;"",$H126="Tree Protection Code: Tier 3 or Tier 4 Allowance",OR($I126="",ISNA(MATCH($I126,Tables!$B$193:$B$197,0)))),
Error!$B$17,
IF(AND(OR($E126="Tier 2",$E126="Tier 2 Grove"),$F126="Remove",$H126="Tree Protection Code: Other removal allowance or exemption",$I126&lt;&gt;"",ISNA(MATCH($I126,Tables!$B$215:$B$218,0))),
Error!$B$17,
IF(AND(OR($E126="Tier 2",$E126="Tier 2 Grove"),$F126="Remove",$H126="Tree Protection Code: Development Capacity",$I126&lt;&gt;"",ISNA(MATCH($I126,Tables!$B$193:$B$197,0))),
Error!$B$17,
IF(AND(OR($E126="Tier 2",$E126="Tier 2 Grove"),$F126="Remove",$H126="Tree Protection Code: Necessary for Construction",$I126&lt;&gt;"",ISNA(MATCH($I126,Tables!$B$193:$B$197,0))),
Error!$B$17,
IF(AND($E126="Tier 1",$F126="Remove",$H126="Tree Protection Code: Special Exception",$I126&lt;&gt;"",ISNA(MATCH($I126,Tables!$B$215:$B$218,0))),
Error!$B$17,
IF(AND($E126="Tier 1",$F126="Remove",$H126="Tree Protection Code: Other removal allowance or exemption",$I126&lt;&gt;"",ISNA(MATCH($I126,Tables!$B$215:$B$218,0))),
Error!$B$17,
IF(AND($E126="ECA / Shoreline Tree",$F126="Remove",$H126&lt;&gt;"",OR($H126="Shoreline",$H126="Environmental Critical Area (ECA)"),ISNA(MATCH($I126,Tables!$B$209:$B$212,0))),
Error!$B$17,
IF(AND(_xlpm.baseRow,$F126="Retain",$E126="ECA / Shoreline Tree",_xlpm.ECA_Short=0),
Error!$B$61,
IF(AND($F126="Remove",ISNUMBER(MATCH($E126,{"Tier 1","Tier 2","Tier 3","Tier 4","Tier 2 Grove"},0)),ISNUMBER(MATCH($I126,{"On-site replacement","Off-site replacement"},0)),$J126="",$H126&lt;&gt;""),
Error!$B$19,
IF(AND(_xlpm.baseRow,$E126&lt;&gt;"",$D126&lt;&gt;"",$F126&lt;&gt;"",COUNTBLANK($B126:$C126)&gt;0,COUNTBLANK(_xlpm.HRange)&lt;&gt;4),
Error!$B$22,
IF(AND($H126="Zoning: Tree Points",$K126&lt;&gt;"",ISNA(MATCH($K126,Tables!$B$242:$B$253,0))),
Error!$B$58,
IF(AND($H126="Zoning: Tree Points",$K126="Small",$L126&lt;&gt;"",ISNA(MATCH($L126,Tables!$C$243:$C$244,0))),
Error!$B$59,
IF(AND($H126="Zoning: Tree Points",$K126="Small/Medium",$L126&lt;&gt;"",ISNA(MATCH($L126,Tables!$C$246:$C$247,0))),
Error!$B$59,
IF(AND($H126="Zoning: Tree Points",$K126="Medium/Large",$L126&lt;&gt;"",ISNA(MATCH($L126,Tables!$C$249:$C$250,0))),
Error!$B$59,
IF(AND($H126="Zoning: Tree Points",$K126="Large",$L126&lt;&gt;"",ISNA(MATCH($L126,Tables!$C$252:$C$253,0))),
Error!$B$59,
IF(AND($F126="Retain",$H126="Zoning: Tree Points",$C126&lt;&gt;"",$D126&lt;&gt;"",OR($K126="",$L126="",$M126="")),
Error!$B$20,
""
)))))))))))))))))))))))))))))))))))))))))))))))))))))))),
Error!$B$23))</f>
        <v/>
      </c>
      <c r="O126" s="343" t="str" cm="1">
        <f t="array" aca="1" ref="O126" ca="1">IFERROR(_xlfn.LET(
    _xlpm.txt, $C126,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7" spans="1:15" ht="15" thickBot="1" x14ac:dyDescent="0.35">
      <c r="A127" s="311">
        <v>30</v>
      </c>
      <c r="B127" s="312"/>
      <c r="C127" s="313"/>
      <c r="D127" s="478"/>
      <c r="E127" s="314"/>
      <c r="F127" s="314"/>
      <c r="G127" s="315" t="str">
        <f>IF(Tree_Table1[[#This Row],[Tree Status  &amp;]]="Retain", Tables!$B$237, IF(Tree_Table1[[#This Row],[Tree Status  &amp;]]="Remove", Tables!$B$238, ""))</f>
        <v/>
      </c>
      <c r="H127" s="316"/>
      <c r="I127" s="317"/>
      <c r="J127" s="452"/>
      <c r="K127" s="318" t="str">
        <f>IFERROR(
    IF(
        AND($H127="Zoning: Tree Points", NOT(ISNUMBER(SEARCH("sp.", $C127)))),
        VLOOKUP($C127, 'Tree List'!$C$3:$F$601, 4, FALSE),
        ""
    ),
"")</f>
        <v/>
      </c>
      <c r="L127" s="319" t="str" cm="1">
        <f t="array" ref="L127">IFERROR(
IF(
    AND($H127="Zoning: Tree Points", NOT(ISNUMBER(SEARCH("sp.", $C127)))),
    _xlfn.IFS(
        (COUNTIFS('Tree List'!$C$3:$C$601,$C127,'Tree List'!$D$3:$D$601,"Coniferous")
        + COUNTIFS('Tree List'!$C$3:$C$601,$C127,'Tree List'!$D$3:$D$601,"Deciduous Conifer")) &gt; 0,
            _xlfn.IFS($K127="Small",0.5,$K127="Small/Medium",1,$K127="Medium/Large",1.4,$K127="Large",1.8),
        (COUNTIFS('Tree List'!$C$3:$C$601,$C127,'Tree List'!$D$3:$D$601,"Deciduous")
        + COUNTIFS('Tree List'!$C$3:$C$601,$C127,'Tree List'!$D$3:$D$601,"Broadleaf Evergreen")) &gt; 0,
            _xlfn.IFS($K127="Small",0.4,$K127="Small/Medium",0.8,$K127="Medium/Large",1.2,$K127="Large",1.6)
    ),
    ""
),
"")</f>
        <v/>
      </c>
      <c r="M127" s="474" t="str">
        <f t="shared" si="0"/>
        <v/>
      </c>
      <c r="N127" s="620" t="str" cm="1">
        <f t="array" aca="1" ref="N12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IF(AND(_xlpm.baseRow,ISNA(MATCH($C127,'Tree List'!$C$3:$C$601,0)),SUMPRODUCT(--ISNUMBER(SEARCH(Tables2!$C$677:$C$772,$O127)))&gt;0),
Error!$B$57,
IF(AND(_xlpm.hasDM,$F127="Remove",$H127&lt;&gt;"",OR($I127="On-site replacement",$I127="Off-site replacement",$I127="Payment In Lieu")),
Error!$B$56,
IF(AND(_xlpm.hasDM,$F127="Remove",$H127&lt;&gt;"",$I127="Relocation"),
Error!$B$66,
IF(AND(OR(_xlpm.hasCN,_xlpm.hasPH,_xlpm.hasGR),$H127&lt;&gt;"",COUNTIF(Tables!$B$132:$B$134,$H127)&gt;0,$I127="N/A (No replacement required)"),
Error!$B$62,
IF(AND(_xlpm.baseRow,$E127&lt;&gt;"",ISNA(MATCH($E127,Tables!$B$225:$B$232,0))),
Error!$B$2,
IF(AND(_xlpm.baseRow,$F127&lt;&gt;"",ISNA(MATCH($F127,Tables!$B$234:$B$235,0))),
Error!$B$24,
IF(AND(_xlpm.baseRow,_xlpm.ECA_H&gt;0,_xlpm.Shore_H&gt;0),
Error!$B$16,
IF(AND(_xlpm.baseRow,$E127&lt;&gt;"",$D127=""),
Error!$B$3,
IF(AND(_xlpm.baseRow,OR($E127="Tier 3",$E127="Tier 4"),$C127&lt;&gt;"",$D127&gt;=24,COUNTIF(Tables2!$B$166:$B$674,$C127)&gt;0),
Error!$B$44,
IF(AND(_xlpm.baseRow,OR($E127="Tier 3",$E127="Tier 4"),$C127&lt;&gt;"",$D127&lt;&gt;"",COUNTIF(Tables2!$B$73:$B$152,$C127)&gt;0,
$D127&gt;=IFERROR(INDEX(Tables2!$C$73:$C$152,MATCH($C127,Tables2!$B$73:$B$152,0)),-1)),
Error!$B$44,
IF(AND(_xlpm.baseRow,OR($E127="Tier 2",$E127="Tier 2 Grove"),$C127&lt;&gt;"",$D127&gt;=12,COUNTIF(Tables2!$B$153:$B$162,$C127)&gt;0),
Error!$B$45,
IF(AND(_xlpm.baseRow,$E127="Tier 2 Grove",$D127&lt;12),
Error!$B$41,
IF(AND(_xlpm.baseRow,$E127="Tier 2",$D127&lt;5.88),
Error!$B$40,
IF(AND(_xlpm.baseRow,OR($E127="Tier 2",$E127="Tier 2 Grove"),$C127&lt;&gt;"",$D127&lt;12,$D127&gt;=6,COUNTIF(Tables2!$B$153:$B$162,$C127)&gt;0),
Error!$B$54,
IF(AND(_xlpm.baseRow,$E127="Tier 2",COUNTIF(Tables2!$B$166:$B$674,$C127)&gt;0,$D127&lt;24),
Error!$B$54,
IF(AND(_xlpm.baseRow,$E127="Tier 3",ISNA(MATCH($C127,Tables2!$B$153:$B$162,0)),OR($D127&lt;12,$D127&gt;=24)),
Error!$B$9,
IF(AND(_xlpm.baseRow,$E127="Tier 3",COUNTIF(Tables2!$B$153:$B$162,$C127)&gt;0,$D127&lt;12),
Error!$B$46,
IF(AND(_xlpm.baseRow,$E127="Tier 4",OR($D127&lt;6,$D127&gt;=12)),
Error!$B$10,
IF(AND(_xlpm.baseRow,$E127="&lt;6in DSH for Tree Points",OR($D127&gt;=6,$D127="")),
Error!$B$8,
IF(AND(_xlpm.baseRow,$E127="Street Tree for Green Factor",$F127&lt;&gt;"",$F127&lt;&gt;"Retain"),
Error!$B$14,
IF(AND($E127="&lt;6in DSH for Tree Points",$F127="Retain",$H127&lt;&gt;"",ISNA(MATCH($H127,Tables!$B$174:$B$174,0))),
Error!$B$15,
IF(AND($E127="Street Tree for Green Factor",$F127="Retain",$H127&lt;&gt;"",$H127&lt;&gt;"Zoning: Green Factor"),
Error!$B$15,
IF(AND($E127="ECA / Shoreline Tree",$F127="Remove",$H127&lt;&gt;"",ISNA(MATCH($H127,Tables!$B$189:$B$190,0))),
Error!$B$15,
IF(AND($E127="ECA / Shoreline Tree",$F127="Retain",$H127&lt;&gt;"",ISNA(MATCH($H127,Tables!$B$184:$B$186,0))),
Error!$B$15,
IF(AND($E127="Tier 4",$F127="Remove",$H127&lt;&gt;"",ISNA(MATCH($H127,Tables!$B$171,0))),
Error!$B$15,
IF(AND($E127="Tier 4",$F127="Retain",$H127&lt;&gt;"",ISNA(MATCH($H127,Tables!$B$166:$B$168,0))),
Error!$B$15,
IF(AND($E127="Tier 3",$F127="Retain",$H127&lt;&gt;"",ISNA(MATCH($H127,Tables!$B$158:$B$160,0))),
Error!$B$15,
IF(AND($E127="Tier 3",$F127="Remove",$H127&lt;&gt;"",ISNA(MATCH($H127,Tables!$B$163,0))),
Error!$B$15,
IF(AND(OR($E127="Tier 2",$E127="Tier 2 Grove"),$F127="Remove",$H127&lt;&gt;"",ISNA(MATCH($H127,Tables!$B$153:$B$155,0))),
Error!$B$15,
IF(AND(OR($E127="Tier 2",$E127="Tier 2 Grove"),$F127="Retain",$H127&lt;&gt;"",ISNA(MATCH($H127,Tables!$B$147:$B$150,0))),
Error!$B$15,
IF(AND($E127="Tier 1",$F127="Remove",$H127&lt;&gt;"",ISNA(MATCH($H127,Tables!$B$143:$B$144,0))),
Error!$B$15,
IF(AND($E127="Tier 1",$F127="Retain",$H127&lt;&gt;"",ISNA(MATCH($H127,Tables!$B$137:$B$140,0))),
Error!$B$15,
IF(AND($E127&lt;&gt;"Tier 2",$E127&lt;&gt;"Tier 2 Grove",$E127&lt;&gt;"Tier 3",$E127&lt;&gt;"Tier 4",$H127="Zoning: Green Factor",OR($D127="",$D127&lt;6)),
Error!$B$11,
IF(AND(_xlpm.baseRow,$D127&lt;6,$E127="&lt;6in DSH for Tree Points",_xlpm.TreePoints_H=0),
Error!$B$21,
IF(AND(_xlpm.baseRow,$E127&lt;&gt;"",$D127&lt;&gt;"",$F127=""),
Error!$B$4,
IF(AND(_xlpm.baseRow,$F127="Remove",OR($E127="Tier 1",$E127="Tier 2",$E127="Tier 2 Grove"),COUNTBLANK(_xlpm.HRange)&lt;3,_xlpm.uniqueH&gt;=2),
Error!$B$48,
IF(AND(_xlpm.baseRow,$F127="Retain",OR($E127="Tier 1",$E127="Tier 2",$E127="Tier 2 Grove"),COUNTIF(_xlpm.HRange,"Tree Code: Required to Retain Tier 1-2 Tree")=0),
Error!$B$47,
IF(AND(_xlpm.baseRow,$E127&lt;&gt;"",$D127&lt;&gt;"",$F127&lt;&gt;"",COUNTBLANK(_xlpm.HRange)=4),
Error!$B$5,
IF(AND($F127="Remove",$H127&lt;&gt;"",$I127=""),
Error!$B$18,
IF(AND($E127="Tier 4",$F127="Remove",$H127="Tree Protection Code: Tier 3 or Tier 4 Allowance",$H127&lt;&gt;"",ISNA(MATCH($I127,Tables!$B$200,0))),
Error!$B$17,
IF(AND($E127="Tier 3",$F127="Remove",$H127&lt;&gt;"",$H127="Tree Protection Code: Tier 3 or Tier 4 Allowance",OR($I127="",ISNA(MATCH($I127,Tables!$B$193:$B$197,0)))),
Error!$B$17,
IF(AND(OR($E127="Tier 2",$E127="Tier 2 Grove"),$F127="Remove",$H127="Tree Protection Code: Other removal allowance or exemption",$I127&lt;&gt;"",ISNA(MATCH($I127,Tables!$B$215:$B$218,0))),
Error!$B$17,
IF(AND(OR($E127="Tier 2",$E127="Tier 2 Grove"),$F127="Remove",$H127="Tree Protection Code: Development Capacity",$I127&lt;&gt;"",ISNA(MATCH($I127,Tables!$B$193:$B$197,0))),
Error!$B$17,
IF(AND(OR($E127="Tier 2",$E127="Tier 2 Grove"),$F127="Remove",$H127="Tree Protection Code: Necessary for Construction",$I127&lt;&gt;"",ISNA(MATCH($I127,Tables!$B$193:$B$197,0))),
Error!$B$17,
IF(AND($E127="Tier 1",$F127="Remove",$H127="Tree Protection Code: Special Exception",$I127&lt;&gt;"",ISNA(MATCH($I127,Tables!$B$215:$B$218,0))),
Error!$B$17,
IF(AND($E127="Tier 1",$F127="Remove",$H127="Tree Protection Code: Other removal allowance or exemption",$I127&lt;&gt;"",ISNA(MATCH($I127,Tables!$B$215:$B$218,0))),
Error!$B$17,
IF(AND($E127="ECA / Shoreline Tree",$F127="Remove",$H127&lt;&gt;"",OR($H127="Shoreline",$H127="Environmental Critical Area (ECA)"),ISNA(MATCH($I127,Tables!$B$209:$B$212,0))),
Error!$B$17,
IF(AND(_xlpm.baseRow,$F127="Retain",$E127="ECA / Shoreline Tree",_xlpm.ECA_Short=0),
Error!$B$61,
IF(AND($F127="Remove",ISNUMBER(MATCH($E127,{"Tier 1","Tier 2","Tier 3","Tier 4","Tier 2 Grove"},0)),ISNUMBER(MATCH($I127,{"On-site replacement","Off-site replacement"},0)),$J127="",$H127&lt;&gt;""),
Error!$B$19,
IF(AND(_xlpm.baseRow,$E127&lt;&gt;"",$D127&lt;&gt;"",$F127&lt;&gt;"",COUNTBLANK($B127:$C127)&gt;0,COUNTBLANK(_xlpm.HRange)&lt;&gt;4),
Error!$B$22,
IF(AND($H127="Zoning: Tree Points",$K127&lt;&gt;"",ISNA(MATCH($K127,Tables!$B$242:$B$253,0))),
Error!$B$58,
IF(AND($H127="Zoning: Tree Points",$K127="Small",$L127&lt;&gt;"",ISNA(MATCH($L127,Tables!$C$243:$C$244,0))),
Error!$B$59,
IF(AND($H127="Zoning: Tree Points",$K127="Small/Medium",$L127&lt;&gt;"",ISNA(MATCH($L127,Tables!$C$246:$C$247,0))),
Error!$B$59,
IF(AND($H127="Zoning: Tree Points",$K127="Medium/Large",$L127&lt;&gt;"",ISNA(MATCH($L127,Tables!$C$249:$C$250,0))),
Error!$B$59,
IF(AND($H127="Zoning: Tree Points",$K127="Large",$L127&lt;&gt;"",ISNA(MATCH($L127,Tables!$C$252:$C$253,0))),
Error!$B$59,
IF(AND($F127="Retain",$H127="Zoning: Tree Points",$C127&lt;&gt;"",$D127&lt;&gt;"",OR($K127="",$L127="",$M127="")),
Error!$B$20,
""
)))))))))))))))))))))))))))))))))))))))))))))))))))))))),
Error!$B$23))</f>
        <v/>
      </c>
      <c r="O127" s="343" t="str" cm="1">
        <f t="array" aca="1" ref="O127" ca="1">IFERROR(_xlfn.LET(
    _xlpm.txt, $C127,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8" spans="1:15" x14ac:dyDescent="0.3">
      <c r="A128" s="332"/>
      <c r="B128" s="616" t="str">
        <f t="shared" ref="B128:B130" si="103">IF($B127="", "", $B127)</f>
        <v/>
      </c>
      <c r="C128" s="617" t="str">
        <f t="shared" ref="C128:C130" si="104">IF($C127="", "", $C127)</f>
        <v/>
      </c>
      <c r="D128" s="618" t="str">
        <f t="shared" ref="D128:D130" si="105">IF($D127="", "", $D127)</f>
        <v/>
      </c>
      <c r="E128" s="616" t="str">
        <f t="shared" ref="E128:E130" si="106">IF($E127="", "", $E127)</f>
        <v/>
      </c>
      <c r="F128" s="616" t="str">
        <f t="shared" ref="F128:F130" si="107">IF($F127="", "", $F127)</f>
        <v/>
      </c>
      <c r="G128" s="619" t="str">
        <f>IF(Tree_Table1[[#This Row],[Tree Status  &amp;]]="Retain", Tables!$B$237, IF(Tree_Table1[[#This Row],[Tree Status  &amp;]]="Remove", Tables!$B$238, ""))</f>
        <v/>
      </c>
      <c r="H128" s="321"/>
      <c r="I128" s="322"/>
      <c r="J128" s="453"/>
      <c r="K128" s="323" t="str">
        <f>IFERROR(
    IF(
        AND($H128="Zoning: Tree Points", NOT(ISNUMBER(SEARCH("sp.", $C128)))),
        VLOOKUP($C128, 'Tree List'!$C$3:$F$601, 4, FALSE),
        ""
    ),
"")</f>
        <v/>
      </c>
      <c r="L128" s="324" t="str" cm="1">
        <f t="array" ref="L128">IFERROR(
IF(
    AND($H128="Zoning: Tree Points", NOT(ISNUMBER(SEARCH("sp.", $C128)))),
    _xlfn.IFS(
        (COUNTIFS('Tree List'!$C$3:$C$601,$C128,'Tree List'!$D$3:$D$601,"Coniferous")
        + COUNTIFS('Tree List'!$C$3:$C$601,$C128,'Tree List'!$D$3:$D$601,"Deciduous Conifer")) &gt; 0,
            _xlfn.IFS($K128="Small",0.5,$K128="Small/Medium",1,$K128="Medium/Large",1.4,$K128="Large",1.8),
        (COUNTIFS('Tree List'!$C$3:$C$601,$C128,'Tree List'!$D$3:$D$601,"Deciduous")
        + COUNTIFS('Tree List'!$C$3:$C$601,$C128,'Tree List'!$D$3:$D$601,"Broadleaf Evergreen")) &gt; 0,
            _xlfn.IFS($K128="Small",0.4,$K128="Small/Medium",0.8,$K128="Medium/Large",1.2,$K128="Large",1.6)
    ),
    ""
),
"")</f>
        <v/>
      </c>
      <c r="M128" s="475" t="str">
        <f t="shared" si="0"/>
        <v/>
      </c>
      <c r="N128" s="346" t="str" cm="1">
        <f t="array" aca="1" ref="N12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IF(AND(_xlpm.baseRow,ISNA(MATCH($C128,'Tree List'!$C$3:$C$601,0)),SUMPRODUCT(--ISNUMBER(SEARCH(Tables2!$C$677:$C$772,$O128)))&gt;0),
Error!$B$57,
IF(AND(_xlpm.hasDM,$F128="Remove",$H128&lt;&gt;"",OR($I128="On-site replacement",$I128="Off-site replacement",$I128="Payment In Lieu")),
Error!$B$56,
IF(AND(_xlpm.hasDM,$F128="Remove",$H128&lt;&gt;"",$I128="Relocation"),
Error!$B$66,
IF(AND(OR(_xlpm.hasCN,_xlpm.hasPH,_xlpm.hasGR),$H128&lt;&gt;"",COUNTIF(Tables!$B$132:$B$134,$H128)&gt;0,$I128="N/A (No replacement required)"),
Error!$B$62,
IF(AND(_xlpm.baseRow,$E128&lt;&gt;"",ISNA(MATCH($E128,Tables!$B$225:$B$232,0))),
Error!$B$2,
IF(AND(_xlpm.baseRow,$F128&lt;&gt;"",ISNA(MATCH($F128,Tables!$B$234:$B$235,0))),
Error!$B$24,
IF(AND(_xlpm.baseRow,_xlpm.ECA_H&gt;0,_xlpm.Shore_H&gt;0),
Error!$B$16,
IF(AND(_xlpm.baseRow,$E128&lt;&gt;"",$D128=""),
Error!$B$3,
IF(AND(_xlpm.baseRow,OR($E128="Tier 3",$E128="Tier 4"),$C128&lt;&gt;"",$D128&gt;=24,COUNTIF(Tables2!$B$166:$B$674,$C128)&gt;0),
Error!$B$44,
IF(AND(_xlpm.baseRow,OR($E128="Tier 3",$E128="Tier 4"),$C128&lt;&gt;"",$D128&lt;&gt;"",COUNTIF(Tables2!$B$73:$B$152,$C128)&gt;0,
$D128&gt;=IFERROR(INDEX(Tables2!$C$73:$C$152,MATCH($C128,Tables2!$B$73:$B$152,0)),-1)),
Error!$B$44,
IF(AND(_xlpm.baseRow,OR($E128="Tier 2",$E128="Tier 2 Grove"),$C128&lt;&gt;"",$D128&gt;=12,COUNTIF(Tables2!$B$153:$B$162,$C128)&gt;0),
Error!$B$45,
IF(AND(_xlpm.baseRow,$E128="Tier 2 Grove",$D128&lt;12),
Error!$B$41,
IF(AND(_xlpm.baseRow,$E128="Tier 2",$D128&lt;5.88),
Error!$B$40,
IF(AND(_xlpm.baseRow,OR($E128="Tier 2",$E128="Tier 2 Grove"),$C128&lt;&gt;"",$D128&lt;12,$D128&gt;=6,COUNTIF(Tables2!$B$153:$B$162,$C128)&gt;0),
Error!$B$54,
IF(AND(_xlpm.baseRow,$E128="Tier 2",COUNTIF(Tables2!$B$166:$B$674,$C128)&gt;0,$D128&lt;24),
Error!$B$54,
IF(AND(_xlpm.baseRow,$E128="Tier 3",ISNA(MATCH($C128,Tables2!$B$153:$B$162,0)),OR($D128&lt;12,$D128&gt;=24)),
Error!$B$9,
IF(AND(_xlpm.baseRow,$E128="Tier 3",COUNTIF(Tables2!$B$153:$B$162,$C128)&gt;0,$D128&lt;12),
Error!$B$46,
IF(AND(_xlpm.baseRow,$E128="Tier 4",OR($D128&lt;6,$D128&gt;=12)),
Error!$B$10,
IF(AND(_xlpm.baseRow,$E128="&lt;6in DSH for Tree Points",OR($D128&gt;=6,$D128="")),
Error!$B$8,
IF(AND(_xlpm.baseRow,$E128="Street Tree for Green Factor",$F128&lt;&gt;"",$F128&lt;&gt;"Retain"),
Error!$B$14,
IF(AND($E128="&lt;6in DSH for Tree Points",$F128="Retain",$H128&lt;&gt;"",ISNA(MATCH($H128,Tables!$B$174:$B$174,0))),
Error!$B$15,
IF(AND($E128="Street Tree for Green Factor",$F128="Retain",$H128&lt;&gt;"",$H128&lt;&gt;"Zoning: Green Factor"),
Error!$B$15,
IF(AND($E128="ECA / Shoreline Tree",$F128="Remove",$H128&lt;&gt;"",ISNA(MATCH($H128,Tables!$B$189:$B$190,0))),
Error!$B$15,
IF(AND($E128="ECA / Shoreline Tree",$F128="Retain",$H128&lt;&gt;"",ISNA(MATCH($H128,Tables!$B$184:$B$186,0))),
Error!$B$15,
IF(AND($E128="Tier 4",$F128="Remove",$H128&lt;&gt;"",ISNA(MATCH($H128,Tables!$B$171,0))),
Error!$B$15,
IF(AND($E128="Tier 4",$F128="Retain",$H128&lt;&gt;"",ISNA(MATCH($H128,Tables!$B$166:$B$168,0))),
Error!$B$15,
IF(AND($E128="Tier 3",$F128="Retain",$H128&lt;&gt;"",ISNA(MATCH($H128,Tables!$B$158:$B$160,0))),
Error!$B$15,
IF(AND($E128="Tier 3",$F128="Remove",$H128&lt;&gt;"",ISNA(MATCH($H128,Tables!$B$163,0))),
Error!$B$15,
IF(AND(OR($E128="Tier 2",$E128="Tier 2 Grove"),$F128="Remove",$H128&lt;&gt;"",ISNA(MATCH($H128,Tables!$B$153:$B$155,0))),
Error!$B$15,
IF(AND(OR($E128="Tier 2",$E128="Tier 2 Grove"),$F128="Retain",$H128&lt;&gt;"",ISNA(MATCH($H128,Tables!$B$147:$B$150,0))),
Error!$B$15,
IF(AND($E128="Tier 1",$F128="Remove",$H128&lt;&gt;"",ISNA(MATCH($H128,Tables!$B$143:$B$144,0))),
Error!$B$15,
IF(AND($E128="Tier 1",$F128="Retain",$H128&lt;&gt;"",ISNA(MATCH($H128,Tables!$B$137:$B$140,0))),
Error!$B$15,
IF(AND($E128&lt;&gt;"Tier 2",$E128&lt;&gt;"Tier 2 Grove",$E128&lt;&gt;"Tier 3",$E128&lt;&gt;"Tier 4",$H128="Zoning: Green Factor",OR($D128="",$D128&lt;6)),
Error!$B$11,
IF(AND(_xlpm.baseRow,$D128&lt;6,$E128="&lt;6in DSH for Tree Points",_xlpm.TreePoints_H=0),
Error!$B$21,
IF(AND(_xlpm.baseRow,$E128&lt;&gt;"",$D128&lt;&gt;"",$F128=""),
Error!$B$4,
IF(AND(_xlpm.baseRow,$F128="Remove",OR($E128="Tier 1",$E128="Tier 2",$E128="Tier 2 Grove"),COUNTBLANK(_xlpm.HRange)&lt;3,_xlpm.uniqueH&gt;=2),
Error!$B$48,
IF(AND(_xlpm.baseRow,$F128="Retain",OR($E128="Tier 1",$E128="Tier 2",$E128="Tier 2 Grove"),COUNTIF(_xlpm.HRange,"Tree Code: Required to Retain Tier 1-2 Tree")=0),
Error!$B$47,
IF(AND(_xlpm.baseRow,$E128&lt;&gt;"",$D128&lt;&gt;"",$F128&lt;&gt;"",COUNTBLANK(_xlpm.HRange)=4),
Error!$B$5,
IF(AND($F128="Remove",$H128&lt;&gt;"",$I128=""),
Error!$B$18,
IF(AND($E128="Tier 4",$F128="Remove",$H128="Tree Protection Code: Tier 3 or Tier 4 Allowance",$H128&lt;&gt;"",ISNA(MATCH($I128,Tables!$B$200,0))),
Error!$B$17,
IF(AND($E128="Tier 3",$F128="Remove",$H128&lt;&gt;"",$H128="Tree Protection Code: Tier 3 or Tier 4 Allowance",OR($I128="",ISNA(MATCH($I128,Tables!$B$193:$B$197,0)))),
Error!$B$17,
IF(AND(OR($E128="Tier 2",$E128="Tier 2 Grove"),$F128="Remove",$H128="Tree Protection Code: Other removal allowance or exemption",$I128&lt;&gt;"",ISNA(MATCH($I128,Tables!$B$215:$B$218,0))),
Error!$B$17,
IF(AND(OR($E128="Tier 2",$E128="Tier 2 Grove"),$F128="Remove",$H128="Tree Protection Code: Development Capacity",$I128&lt;&gt;"",ISNA(MATCH($I128,Tables!$B$193:$B$197,0))),
Error!$B$17,
IF(AND(OR($E128="Tier 2",$E128="Tier 2 Grove"),$F128="Remove",$H128="Tree Protection Code: Necessary for Construction",$I128&lt;&gt;"",ISNA(MATCH($I128,Tables!$B$193:$B$197,0))),
Error!$B$17,
IF(AND($E128="Tier 1",$F128="Remove",$H128="Tree Protection Code: Special Exception",$I128&lt;&gt;"",ISNA(MATCH($I128,Tables!$B$215:$B$218,0))),
Error!$B$17,
IF(AND($E128="Tier 1",$F128="Remove",$H128="Tree Protection Code: Other removal allowance or exemption",$I128&lt;&gt;"",ISNA(MATCH($I128,Tables!$B$215:$B$218,0))),
Error!$B$17,
IF(AND($E128="ECA / Shoreline Tree",$F128="Remove",$H128&lt;&gt;"",OR($H128="Shoreline",$H128="Environmental Critical Area (ECA)"),ISNA(MATCH($I128,Tables!$B$209:$B$212,0))),
Error!$B$17,
IF(AND(_xlpm.baseRow,$F128="Retain",$E128="ECA / Shoreline Tree",_xlpm.ECA_Short=0),
Error!$B$61,
IF(AND($F128="Remove",ISNUMBER(MATCH($E128,{"Tier 1","Tier 2","Tier 3","Tier 4","Tier 2 Grove"},0)),ISNUMBER(MATCH($I128,{"On-site replacement","Off-site replacement"},0)),$J128="",$H128&lt;&gt;""),
Error!$B$19,
IF(AND(_xlpm.baseRow,$E128&lt;&gt;"",$D128&lt;&gt;"",$F128&lt;&gt;"",COUNTBLANK($B128:$C128)&gt;0,COUNTBLANK(_xlpm.HRange)&lt;&gt;4),
Error!$B$22,
IF(AND($H128="Zoning: Tree Points",$K128&lt;&gt;"",ISNA(MATCH($K128,Tables!$B$242:$B$253,0))),
Error!$B$58,
IF(AND($H128="Zoning: Tree Points",$K128="Small",$L128&lt;&gt;"",ISNA(MATCH($L128,Tables!$C$243:$C$244,0))),
Error!$B$59,
IF(AND($H128="Zoning: Tree Points",$K128="Small/Medium",$L128&lt;&gt;"",ISNA(MATCH($L128,Tables!$C$246:$C$247,0))),
Error!$B$59,
IF(AND($H128="Zoning: Tree Points",$K128="Medium/Large",$L128&lt;&gt;"",ISNA(MATCH($L128,Tables!$C$249:$C$250,0))),
Error!$B$59,
IF(AND($H128="Zoning: Tree Points",$K128="Large",$L128&lt;&gt;"",ISNA(MATCH($L128,Tables!$C$252:$C$253,0))),
Error!$B$59,
IF(AND($F128="Retain",$H128="Zoning: Tree Points",$C128&lt;&gt;"",$D128&lt;&gt;"",OR($K128="",$L128="",$M128="")),
Error!$B$20,
""
)))))))))))))))))))))))))))))))))))))))))))))))))))))))),
Error!$B$23))</f>
        <v/>
      </c>
      <c r="O128" s="343" t="str" cm="1">
        <f t="array" aca="1" ref="O128" ca="1">IFERROR(_xlfn.LET(
    _xlpm.txt, $C128,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9" spans="1:15" x14ac:dyDescent="0.3">
      <c r="A129" s="332"/>
      <c r="B129" s="616" t="str">
        <f t="shared" si="103"/>
        <v/>
      </c>
      <c r="C129" s="617" t="str">
        <f t="shared" si="104"/>
        <v/>
      </c>
      <c r="D129" s="618" t="str">
        <f t="shared" si="105"/>
        <v/>
      </c>
      <c r="E129" s="616" t="str">
        <f t="shared" si="106"/>
        <v/>
      </c>
      <c r="F129" s="616" t="str">
        <f t="shared" si="107"/>
        <v/>
      </c>
      <c r="G129" s="619" t="str">
        <f>IF(Tree_Table1[[#This Row],[Tree Status  &amp;]]="Retain", Tables!$B$237, IF(Tree_Table1[[#This Row],[Tree Status  &amp;]]="Remove", Tables!$B$238, ""))</f>
        <v/>
      </c>
      <c r="H129" s="321"/>
      <c r="I129" s="322"/>
      <c r="J129" s="453"/>
      <c r="K129" s="323" t="str">
        <f>IFERROR(
    IF(
        AND($H129="Zoning: Tree Points", NOT(ISNUMBER(SEARCH("sp.", $C129)))),
        VLOOKUP($C129, 'Tree List'!$C$3:$F$601, 4, FALSE),
        ""
    ),
"")</f>
        <v/>
      </c>
      <c r="L129" s="324" t="str" cm="1">
        <f t="array" ref="L129">IFERROR(
IF(
    AND($H129="Zoning: Tree Points", NOT(ISNUMBER(SEARCH("sp.", $C129)))),
    _xlfn.IFS(
        (COUNTIFS('Tree List'!$C$3:$C$601,$C129,'Tree List'!$D$3:$D$601,"Coniferous")
        + COUNTIFS('Tree List'!$C$3:$C$601,$C129,'Tree List'!$D$3:$D$601,"Deciduous Conifer")) &gt; 0,
            _xlfn.IFS($K129="Small",0.5,$K129="Small/Medium",1,$K129="Medium/Large",1.4,$K129="Large",1.8),
        (COUNTIFS('Tree List'!$C$3:$C$601,$C129,'Tree List'!$D$3:$D$601,"Deciduous")
        + COUNTIFS('Tree List'!$C$3:$C$601,$C129,'Tree List'!$D$3:$D$601,"Broadleaf Evergreen")) &gt; 0,
            _xlfn.IFS($K129="Small",0.4,$K129="Small/Medium",0.8,$K129="Medium/Large",1.2,$K129="Large",1.6)
    ),
    ""
),
"")</f>
        <v/>
      </c>
      <c r="M129" s="475" t="str">
        <f t="shared" si="0"/>
        <v/>
      </c>
      <c r="N129" s="346" t="str" cm="1">
        <f t="array" aca="1" ref="N12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IF(AND(_xlpm.baseRow,ISNA(MATCH($C129,'Tree List'!$C$3:$C$601,0)),SUMPRODUCT(--ISNUMBER(SEARCH(Tables2!$C$677:$C$772,$O129)))&gt;0),
Error!$B$57,
IF(AND(_xlpm.hasDM,$F129="Remove",$H129&lt;&gt;"",OR($I129="On-site replacement",$I129="Off-site replacement",$I129="Payment In Lieu")),
Error!$B$56,
IF(AND(_xlpm.hasDM,$F129="Remove",$H129&lt;&gt;"",$I129="Relocation"),
Error!$B$66,
IF(AND(OR(_xlpm.hasCN,_xlpm.hasPH,_xlpm.hasGR),$H129&lt;&gt;"",COUNTIF(Tables!$B$132:$B$134,$H129)&gt;0,$I129="N/A (No replacement required)"),
Error!$B$62,
IF(AND(_xlpm.baseRow,$E129&lt;&gt;"",ISNA(MATCH($E129,Tables!$B$225:$B$232,0))),
Error!$B$2,
IF(AND(_xlpm.baseRow,$F129&lt;&gt;"",ISNA(MATCH($F129,Tables!$B$234:$B$235,0))),
Error!$B$24,
IF(AND(_xlpm.baseRow,_xlpm.ECA_H&gt;0,_xlpm.Shore_H&gt;0),
Error!$B$16,
IF(AND(_xlpm.baseRow,$E129&lt;&gt;"",$D129=""),
Error!$B$3,
IF(AND(_xlpm.baseRow,OR($E129="Tier 3",$E129="Tier 4"),$C129&lt;&gt;"",$D129&gt;=24,COUNTIF(Tables2!$B$166:$B$674,$C129)&gt;0),
Error!$B$44,
IF(AND(_xlpm.baseRow,OR($E129="Tier 3",$E129="Tier 4"),$C129&lt;&gt;"",$D129&lt;&gt;"",COUNTIF(Tables2!$B$73:$B$152,$C129)&gt;0,
$D129&gt;=IFERROR(INDEX(Tables2!$C$73:$C$152,MATCH($C129,Tables2!$B$73:$B$152,0)),-1)),
Error!$B$44,
IF(AND(_xlpm.baseRow,OR($E129="Tier 2",$E129="Tier 2 Grove"),$C129&lt;&gt;"",$D129&gt;=12,COUNTIF(Tables2!$B$153:$B$162,$C129)&gt;0),
Error!$B$45,
IF(AND(_xlpm.baseRow,$E129="Tier 2 Grove",$D129&lt;12),
Error!$B$41,
IF(AND(_xlpm.baseRow,$E129="Tier 2",$D129&lt;5.88),
Error!$B$40,
IF(AND(_xlpm.baseRow,OR($E129="Tier 2",$E129="Tier 2 Grove"),$C129&lt;&gt;"",$D129&lt;12,$D129&gt;=6,COUNTIF(Tables2!$B$153:$B$162,$C129)&gt;0),
Error!$B$54,
IF(AND(_xlpm.baseRow,$E129="Tier 2",COUNTIF(Tables2!$B$166:$B$674,$C129)&gt;0,$D129&lt;24),
Error!$B$54,
IF(AND(_xlpm.baseRow,$E129="Tier 3",ISNA(MATCH($C129,Tables2!$B$153:$B$162,0)),OR($D129&lt;12,$D129&gt;=24)),
Error!$B$9,
IF(AND(_xlpm.baseRow,$E129="Tier 3",COUNTIF(Tables2!$B$153:$B$162,$C129)&gt;0,$D129&lt;12),
Error!$B$46,
IF(AND(_xlpm.baseRow,$E129="Tier 4",OR($D129&lt;6,$D129&gt;=12)),
Error!$B$10,
IF(AND(_xlpm.baseRow,$E129="&lt;6in DSH for Tree Points",OR($D129&gt;=6,$D129="")),
Error!$B$8,
IF(AND(_xlpm.baseRow,$E129="Street Tree for Green Factor",$F129&lt;&gt;"",$F129&lt;&gt;"Retain"),
Error!$B$14,
IF(AND($E129="&lt;6in DSH for Tree Points",$F129="Retain",$H129&lt;&gt;"",ISNA(MATCH($H129,Tables!$B$174:$B$174,0))),
Error!$B$15,
IF(AND($E129="Street Tree for Green Factor",$F129="Retain",$H129&lt;&gt;"",$H129&lt;&gt;"Zoning: Green Factor"),
Error!$B$15,
IF(AND($E129="ECA / Shoreline Tree",$F129="Remove",$H129&lt;&gt;"",ISNA(MATCH($H129,Tables!$B$189:$B$190,0))),
Error!$B$15,
IF(AND($E129="ECA / Shoreline Tree",$F129="Retain",$H129&lt;&gt;"",ISNA(MATCH($H129,Tables!$B$184:$B$186,0))),
Error!$B$15,
IF(AND($E129="Tier 4",$F129="Remove",$H129&lt;&gt;"",ISNA(MATCH($H129,Tables!$B$171,0))),
Error!$B$15,
IF(AND($E129="Tier 4",$F129="Retain",$H129&lt;&gt;"",ISNA(MATCH($H129,Tables!$B$166:$B$168,0))),
Error!$B$15,
IF(AND($E129="Tier 3",$F129="Retain",$H129&lt;&gt;"",ISNA(MATCH($H129,Tables!$B$158:$B$160,0))),
Error!$B$15,
IF(AND($E129="Tier 3",$F129="Remove",$H129&lt;&gt;"",ISNA(MATCH($H129,Tables!$B$163,0))),
Error!$B$15,
IF(AND(OR($E129="Tier 2",$E129="Tier 2 Grove"),$F129="Remove",$H129&lt;&gt;"",ISNA(MATCH($H129,Tables!$B$153:$B$155,0))),
Error!$B$15,
IF(AND(OR($E129="Tier 2",$E129="Tier 2 Grove"),$F129="Retain",$H129&lt;&gt;"",ISNA(MATCH($H129,Tables!$B$147:$B$150,0))),
Error!$B$15,
IF(AND($E129="Tier 1",$F129="Remove",$H129&lt;&gt;"",ISNA(MATCH($H129,Tables!$B$143:$B$144,0))),
Error!$B$15,
IF(AND($E129="Tier 1",$F129="Retain",$H129&lt;&gt;"",ISNA(MATCH($H129,Tables!$B$137:$B$140,0))),
Error!$B$15,
IF(AND($E129&lt;&gt;"Tier 2",$E129&lt;&gt;"Tier 2 Grove",$E129&lt;&gt;"Tier 3",$E129&lt;&gt;"Tier 4",$H129="Zoning: Green Factor",OR($D129="",$D129&lt;6)),
Error!$B$11,
IF(AND(_xlpm.baseRow,$D129&lt;6,$E129="&lt;6in DSH for Tree Points",_xlpm.TreePoints_H=0),
Error!$B$21,
IF(AND(_xlpm.baseRow,$E129&lt;&gt;"",$D129&lt;&gt;"",$F129=""),
Error!$B$4,
IF(AND(_xlpm.baseRow,$F129="Remove",OR($E129="Tier 1",$E129="Tier 2",$E129="Tier 2 Grove"),COUNTBLANK(_xlpm.HRange)&lt;3,_xlpm.uniqueH&gt;=2),
Error!$B$48,
IF(AND(_xlpm.baseRow,$F129="Retain",OR($E129="Tier 1",$E129="Tier 2",$E129="Tier 2 Grove"),COUNTIF(_xlpm.HRange,"Tree Code: Required to Retain Tier 1-2 Tree")=0),
Error!$B$47,
IF(AND(_xlpm.baseRow,$E129&lt;&gt;"",$D129&lt;&gt;"",$F129&lt;&gt;"",COUNTBLANK(_xlpm.HRange)=4),
Error!$B$5,
IF(AND($F129="Remove",$H129&lt;&gt;"",$I129=""),
Error!$B$18,
IF(AND($E129="Tier 4",$F129="Remove",$H129="Tree Protection Code: Tier 3 or Tier 4 Allowance",$H129&lt;&gt;"",ISNA(MATCH($I129,Tables!$B$200,0))),
Error!$B$17,
IF(AND($E129="Tier 3",$F129="Remove",$H129&lt;&gt;"",$H129="Tree Protection Code: Tier 3 or Tier 4 Allowance",OR($I129="",ISNA(MATCH($I129,Tables!$B$193:$B$197,0)))),
Error!$B$17,
IF(AND(OR($E129="Tier 2",$E129="Tier 2 Grove"),$F129="Remove",$H129="Tree Protection Code: Other removal allowance or exemption",$I129&lt;&gt;"",ISNA(MATCH($I129,Tables!$B$215:$B$218,0))),
Error!$B$17,
IF(AND(OR($E129="Tier 2",$E129="Tier 2 Grove"),$F129="Remove",$H129="Tree Protection Code: Development Capacity",$I129&lt;&gt;"",ISNA(MATCH($I129,Tables!$B$193:$B$197,0))),
Error!$B$17,
IF(AND(OR($E129="Tier 2",$E129="Tier 2 Grove"),$F129="Remove",$H129="Tree Protection Code: Necessary for Construction",$I129&lt;&gt;"",ISNA(MATCH($I129,Tables!$B$193:$B$197,0))),
Error!$B$17,
IF(AND($E129="Tier 1",$F129="Remove",$H129="Tree Protection Code: Special Exception",$I129&lt;&gt;"",ISNA(MATCH($I129,Tables!$B$215:$B$218,0))),
Error!$B$17,
IF(AND($E129="Tier 1",$F129="Remove",$H129="Tree Protection Code: Other removal allowance or exemption",$I129&lt;&gt;"",ISNA(MATCH($I129,Tables!$B$215:$B$218,0))),
Error!$B$17,
IF(AND($E129="ECA / Shoreline Tree",$F129="Remove",$H129&lt;&gt;"",OR($H129="Shoreline",$H129="Environmental Critical Area (ECA)"),ISNA(MATCH($I129,Tables!$B$209:$B$212,0))),
Error!$B$17,
IF(AND(_xlpm.baseRow,$F129="Retain",$E129="ECA / Shoreline Tree",_xlpm.ECA_Short=0),
Error!$B$61,
IF(AND($F129="Remove",ISNUMBER(MATCH($E129,{"Tier 1","Tier 2","Tier 3","Tier 4","Tier 2 Grove"},0)),ISNUMBER(MATCH($I129,{"On-site replacement","Off-site replacement"},0)),$J129="",$H129&lt;&gt;""),
Error!$B$19,
IF(AND(_xlpm.baseRow,$E129&lt;&gt;"",$D129&lt;&gt;"",$F129&lt;&gt;"",COUNTBLANK($B129:$C129)&gt;0,COUNTBLANK(_xlpm.HRange)&lt;&gt;4),
Error!$B$22,
IF(AND($H129="Zoning: Tree Points",$K129&lt;&gt;"",ISNA(MATCH($K129,Tables!$B$242:$B$253,0))),
Error!$B$58,
IF(AND($H129="Zoning: Tree Points",$K129="Small",$L129&lt;&gt;"",ISNA(MATCH($L129,Tables!$C$243:$C$244,0))),
Error!$B$59,
IF(AND($H129="Zoning: Tree Points",$K129="Small/Medium",$L129&lt;&gt;"",ISNA(MATCH($L129,Tables!$C$246:$C$247,0))),
Error!$B$59,
IF(AND($H129="Zoning: Tree Points",$K129="Medium/Large",$L129&lt;&gt;"",ISNA(MATCH($L129,Tables!$C$249:$C$250,0))),
Error!$B$59,
IF(AND($H129="Zoning: Tree Points",$K129="Large",$L129&lt;&gt;"",ISNA(MATCH($L129,Tables!$C$252:$C$253,0))),
Error!$B$59,
IF(AND($F129="Retain",$H129="Zoning: Tree Points",$C129&lt;&gt;"",$D129&lt;&gt;"",OR($K129="",$L129="",$M129="")),
Error!$B$20,
""
)))))))))))))))))))))))))))))))))))))))))))))))))))))))),
Error!$B$23))</f>
        <v/>
      </c>
      <c r="O129" s="343" t="str" cm="1">
        <f t="array" aca="1" ref="O129" ca="1">IFERROR(_xlfn.LET(
    _xlpm.txt, $C129,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0" spans="1:15" ht="15" thickBot="1" x14ac:dyDescent="0.35">
      <c r="A130" s="333"/>
      <c r="B130" s="616" t="str">
        <f t="shared" si="103"/>
        <v/>
      </c>
      <c r="C130" s="617" t="str">
        <f t="shared" si="104"/>
        <v/>
      </c>
      <c r="D130" s="618" t="str">
        <f t="shared" si="105"/>
        <v/>
      </c>
      <c r="E130" s="616" t="str">
        <f t="shared" si="106"/>
        <v/>
      </c>
      <c r="F130" s="616" t="str">
        <f t="shared" si="107"/>
        <v/>
      </c>
      <c r="G130" s="619" t="str">
        <f>IF(Tree_Table1[[#This Row],[Tree Status  &amp;]]="Retain", Tables!$B$237, IF(Tree_Table1[[#This Row],[Tree Status  &amp;]]="Remove", Tables!$B$238, ""))</f>
        <v/>
      </c>
      <c r="H130" s="329"/>
      <c r="I130" s="330"/>
      <c r="J130" s="455"/>
      <c r="K130" s="327" t="str">
        <f>IFERROR(
    IF(
        AND($H130="Zoning: Tree Points", NOT(ISNUMBER(SEARCH("sp.", $C130)))),
        VLOOKUP($C130, 'Tree List'!$C$3:$F$601, 4, FALSE),
        ""
    ),
"")</f>
        <v/>
      </c>
      <c r="L130" s="328" t="str" cm="1">
        <f t="array" ref="L130">IFERROR(
IF(
    AND($H130="Zoning: Tree Points", NOT(ISNUMBER(SEARCH("sp.", $C130)))),
    _xlfn.IFS(
        (COUNTIFS('Tree List'!$C$3:$C$601,$C130,'Tree List'!$D$3:$D$601,"Coniferous")
        + COUNTIFS('Tree List'!$C$3:$C$601,$C130,'Tree List'!$D$3:$D$601,"Deciduous Conifer")) &gt; 0,
            _xlfn.IFS($K130="Small",0.5,$K130="Small/Medium",1,$K130="Medium/Large",1.4,$K130="Large",1.8),
        (COUNTIFS('Tree List'!$C$3:$C$601,$C130,'Tree List'!$D$3:$D$601,"Deciduous")
        + COUNTIFS('Tree List'!$C$3:$C$601,$C130,'Tree List'!$D$3:$D$601,"Broadleaf Evergreen")) &gt; 0,
            _xlfn.IFS($K130="Small",0.4,$K130="Small/Medium",0.8,$K130="Medium/Large",1.2,$K130="Large",1.6)
    ),
    ""
),
"")</f>
        <v/>
      </c>
      <c r="M130" s="476" t="str">
        <f t="shared" si="0"/>
        <v/>
      </c>
      <c r="N130" s="347" t="str" cm="1">
        <f t="array" aca="1" ref="N13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IF(AND(_xlpm.baseRow,ISNA(MATCH($C130,'Tree List'!$C$3:$C$601,0)),SUMPRODUCT(--ISNUMBER(SEARCH(Tables2!$C$677:$C$772,$O130)))&gt;0),
Error!$B$57,
IF(AND(_xlpm.hasDM,$F130="Remove",$H130&lt;&gt;"",OR($I130="On-site replacement",$I130="Off-site replacement",$I130="Payment In Lieu")),
Error!$B$56,
IF(AND(_xlpm.hasDM,$F130="Remove",$H130&lt;&gt;"",$I130="Relocation"),
Error!$B$66,
IF(AND(OR(_xlpm.hasCN,_xlpm.hasPH,_xlpm.hasGR),$H130&lt;&gt;"",COUNTIF(Tables!$B$132:$B$134,$H130)&gt;0,$I130="N/A (No replacement required)"),
Error!$B$62,
IF(AND(_xlpm.baseRow,$E130&lt;&gt;"",ISNA(MATCH($E130,Tables!$B$225:$B$232,0))),
Error!$B$2,
IF(AND(_xlpm.baseRow,$F130&lt;&gt;"",ISNA(MATCH($F130,Tables!$B$234:$B$235,0))),
Error!$B$24,
IF(AND(_xlpm.baseRow,_xlpm.ECA_H&gt;0,_xlpm.Shore_H&gt;0),
Error!$B$16,
IF(AND(_xlpm.baseRow,$E130&lt;&gt;"",$D130=""),
Error!$B$3,
IF(AND(_xlpm.baseRow,OR($E130="Tier 3",$E130="Tier 4"),$C130&lt;&gt;"",$D130&gt;=24,COUNTIF(Tables2!$B$166:$B$674,$C130)&gt;0),
Error!$B$44,
IF(AND(_xlpm.baseRow,OR($E130="Tier 3",$E130="Tier 4"),$C130&lt;&gt;"",$D130&lt;&gt;"",COUNTIF(Tables2!$B$73:$B$152,$C130)&gt;0,
$D130&gt;=IFERROR(INDEX(Tables2!$C$73:$C$152,MATCH($C130,Tables2!$B$73:$B$152,0)),-1)),
Error!$B$44,
IF(AND(_xlpm.baseRow,OR($E130="Tier 2",$E130="Tier 2 Grove"),$C130&lt;&gt;"",$D130&gt;=12,COUNTIF(Tables2!$B$153:$B$162,$C130)&gt;0),
Error!$B$45,
IF(AND(_xlpm.baseRow,$E130="Tier 2 Grove",$D130&lt;12),
Error!$B$41,
IF(AND(_xlpm.baseRow,$E130="Tier 2",$D130&lt;5.88),
Error!$B$40,
IF(AND(_xlpm.baseRow,OR($E130="Tier 2",$E130="Tier 2 Grove"),$C130&lt;&gt;"",$D130&lt;12,$D130&gt;=6,COUNTIF(Tables2!$B$153:$B$162,$C130)&gt;0),
Error!$B$54,
IF(AND(_xlpm.baseRow,$E130="Tier 2",COUNTIF(Tables2!$B$166:$B$674,$C130)&gt;0,$D130&lt;24),
Error!$B$54,
IF(AND(_xlpm.baseRow,$E130="Tier 3",ISNA(MATCH($C130,Tables2!$B$153:$B$162,0)),OR($D130&lt;12,$D130&gt;=24)),
Error!$B$9,
IF(AND(_xlpm.baseRow,$E130="Tier 3",COUNTIF(Tables2!$B$153:$B$162,$C130)&gt;0,$D130&lt;12),
Error!$B$46,
IF(AND(_xlpm.baseRow,$E130="Tier 4",OR($D130&lt;6,$D130&gt;=12)),
Error!$B$10,
IF(AND(_xlpm.baseRow,$E130="&lt;6in DSH for Tree Points",OR($D130&gt;=6,$D130="")),
Error!$B$8,
IF(AND(_xlpm.baseRow,$E130="Street Tree for Green Factor",$F130&lt;&gt;"",$F130&lt;&gt;"Retain"),
Error!$B$14,
IF(AND($E130="&lt;6in DSH for Tree Points",$F130="Retain",$H130&lt;&gt;"",ISNA(MATCH($H130,Tables!$B$174:$B$174,0))),
Error!$B$15,
IF(AND($E130="Street Tree for Green Factor",$F130="Retain",$H130&lt;&gt;"",$H130&lt;&gt;"Zoning: Green Factor"),
Error!$B$15,
IF(AND($E130="ECA / Shoreline Tree",$F130="Remove",$H130&lt;&gt;"",ISNA(MATCH($H130,Tables!$B$189:$B$190,0))),
Error!$B$15,
IF(AND($E130="ECA / Shoreline Tree",$F130="Retain",$H130&lt;&gt;"",ISNA(MATCH($H130,Tables!$B$184:$B$186,0))),
Error!$B$15,
IF(AND($E130="Tier 4",$F130="Remove",$H130&lt;&gt;"",ISNA(MATCH($H130,Tables!$B$171,0))),
Error!$B$15,
IF(AND($E130="Tier 4",$F130="Retain",$H130&lt;&gt;"",ISNA(MATCH($H130,Tables!$B$166:$B$168,0))),
Error!$B$15,
IF(AND($E130="Tier 3",$F130="Retain",$H130&lt;&gt;"",ISNA(MATCH($H130,Tables!$B$158:$B$160,0))),
Error!$B$15,
IF(AND($E130="Tier 3",$F130="Remove",$H130&lt;&gt;"",ISNA(MATCH($H130,Tables!$B$163,0))),
Error!$B$15,
IF(AND(OR($E130="Tier 2",$E130="Tier 2 Grove"),$F130="Remove",$H130&lt;&gt;"",ISNA(MATCH($H130,Tables!$B$153:$B$155,0))),
Error!$B$15,
IF(AND(OR($E130="Tier 2",$E130="Tier 2 Grove"),$F130="Retain",$H130&lt;&gt;"",ISNA(MATCH($H130,Tables!$B$147:$B$150,0))),
Error!$B$15,
IF(AND($E130="Tier 1",$F130="Remove",$H130&lt;&gt;"",ISNA(MATCH($H130,Tables!$B$143:$B$144,0))),
Error!$B$15,
IF(AND($E130="Tier 1",$F130="Retain",$H130&lt;&gt;"",ISNA(MATCH($H130,Tables!$B$137:$B$140,0))),
Error!$B$15,
IF(AND($E130&lt;&gt;"Tier 2",$E130&lt;&gt;"Tier 2 Grove",$E130&lt;&gt;"Tier 3",$E130&lt;&gt;"Tier 4",$H130="Zoning: Green Factor",OR($D130="",$D130&lt;6)),
Error!$B$11,
IF(AND(_xlpm.baseRow,$D130&lt;6,$E130="&lt;6in DSH for Tree Points",_xlpm.TreePoints_H=0),
Error!$B$21,
IF(AND(_xlpm.baseRow,$E130&lt;&gt;"",$D130&lt;&gt;"",$F130=""),
Error!$B$4,
IF(AND(_xlpm.baseRow,$F130="Remove",OR($E130="Tier 1",$E130="Tier 2",$E130="Tier 2 Grove"),COUNTBLANK(_xlpm.HRange)&lt;3,_xlpm.uniqueH&gt;=2),
Error!$B$48,
IF(AND(_xlpm.baseRow,$F130="Retain",OR($E130="Tier 1",$E130="Tier 2",$E130="Tier 2 Grove"),COUNTIF(_xlpm.HRange,"Tree Code: Required to Retain Tier 1-2 Tree")=0),
Error!$B$47,
IF(AND(_xlpm.baseRow,$E130&lt;&gt;"",$D130&lt;&gt;"",$F130&lt;&gt;"",COUNTBLANK(_xlpm.HRange)=4),
Error!$B$5,
IF(AND($F130="Remove",$H130&lt;&gt;"",$I130=""),
Error!$B$18,
IF(AND($E130="Tier 4",$F130="Remove",$H130="Tree Protection Code: Tier 3 or Tier 4 Allowance",$H130&lt;&gt;"",ISNA(MATCH($I130,Tables!$B$200,0))),
Error!$B$17,
IF(AND($E130="Tier 3",$F130="Remove",$H130&lt;&gt;"",$H130="Tree Protection Code: Tier 3 or Tier 4 Allowance",OR($I130="",ISNA(MATCH($I130,Tables!$B$193:$B$197,0)))),
Error!$B$17,
IF(AND(OR($E130="Tier 2",$E130="Tier 2 Grove"),$F130="Remove",$H130="Tree Protection Code: Other removal allowance or exemption",$I130&lt;&gt;"",ISNA(MATCH($I130,Tables!$B$215:$B$218,0))),
Error!$B$17,
IF(AND(OR($E130="Tier 2",$E130="Tier 2 Grove"),$F130="Remove",$H130="Tree Protection Code: Development Capacity",$I130&lt;&gt;"",ISNA(MATCH($I130,Tables!$B$193:$B$197,0))),
Error!$B$17,
IF(AND(OR($E130="Tier 2",$E130="Tier 2 Grove"),$F130="Remove",$H130="Tree Protection Code: Necessary for Construction",$I130&lt;&gt;"",ISNA(MATCH($I130,Tables!$B$193:$B$197,0))),
Error!$B$17,
IF(AND($E130="Tier 1",$F130="Remove",$H130="Tree Protection Code: Special Exception",$I130&lt;&gt;"",ISNA(MATCH($I130,Tables!$B$215:$B$218,0))),
Error!$B$17,
IF(AND($E130="Tier 1",$F130="Remove",$H130="Tree Protection Code: Other removal allowance or exemption",$I130&lt;&gt;"",ISNA(MATCH($I130,Tables!$B$215:$B$218,0))),
Error!$B$17,
IF(AND($E130="ECA / Shoreline Tree",$F130="Remove",$H130&lt;&gt;"",OR($H130="Shoreline",$H130="Environmental Critical Area (ECA)"),ISNA(MATCH($I130,Tables!$B$209:$B$212,0))),
Error!$B$17,
IF(AND(_xlpm.baseRow,$F130="Retain",$E130="ECA / Shoreline Tree",_xlpm.ECA_Short=0),
Error!$B$61,
IF(AND($F130="Remove",ISNUMBER(MATCH($E130,{"Tier 1","Tier 2","Tier 3","Tier 4","Tier 2 Grove"},0)),ISNUMBER(MATCH($I130,{"On-site replacement","Off-site replacement"},0)),$J130="",$H130&lt;&gt;""),
Error!$B$19,
IF(AND(_xlpm.baseRow,$E130&lt;&gt;"",$D130&lt;&gt;"",$F130&lt;&gt;"",COUNTBLANK($B130:$C130)&gt;0,COUNTBLANK(_xlpm.HRange)&lt;&gt;4),
Error!$B$22,
IF(AND($H130="Zoning: Tree Points",$K130&lt;&gt;"",ISNA(MATCH($K130,Tables!$B$242:$B$253,0))),
Error!$B$58,
IF(AND($H130="Zoning: Tree Points",$K130="Small",$L130&lt;&gt;"",ISNA(MATCH($L130,Tables!$C$243:$C$244,0))),
Error!$B$59,
IF(AND($H130="Zoning: Tree Points",$K130="Small/Medium",$L130&lt;&gt;"",ISNA(MATCH($L130,Tables!$C$246:$C$247,0))),
Error!$B$59,
IF(AND($H130="Zoning: Tree Points",$K130="Medium/Large",$L130&lt;&gt;"",ISNA(MATCH($L130,Tables!$C$249:$C$250,0))),
Error!$B$59,
IF(AND($H130="Zoning: Tree Points",$K130="Large",$L130&lt;&gt;"",ISNA(MATCH($L130,Tables!$C$252:$C$253,0))),
Error!$B$59,
IF(AND($F130="Retain",$H130="Zoning: Tree Points",$C130&lt;&gt;"",$D130&lt;&gt;"",OR($K130="",$L130="",$M130="")),
Error!$B$20,
""
)))))))))))))))))))))))))))))))))))))))))))))))))))))))),
Error!$B$23))</f>
        <v/>
      </c>
      <c r="O130" s="343" t="str" cm="1">
        <f t="array" aca="1" ref="O130" ca="1">IFERROR(_xlfn.LET(
    _xlpm.txt, $C130,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1" spans="1:15" ht="15" thickBot="1" x14ac:dyDescent="0.35">
      <c r="A131" s="311">
        <v>31</v>
      </c>
      <c r="B131" s="312"/>
      <c r="C131" s="313"/>
      <c r="D131" s="478"/>
      <c r="E131" s="314"/>
      <c r="F131" s="314"/>
      <c r="G131" s="315" t="str">
        <f>IF(Tree_Table1[[#This Row],[Tree Status  &amp;]]="Retain", Tables!$B$237, IF(Tree_Table1[[#This Row],[Tree Status  &amp;]]="Remove", Tables!$B$238, ""))</f>
        <v/>
      </c>
      <c r="H131" s="316"/>
      <c r="I131" s="317"/>
      <c r="J131" s="452"/>
      <c r="K131" s="318" t="str">
        <f>IFERROR(
    IF(
        AND($H131="Zoning: Tree Points", NOT(ISNUMBER(SEARCH("sp.", $C131)))),
        VLOOKUP($C131, 'Tree List'!$C$3:$F$601, 4, FALSE),
        ""
    ),
"")</f>
        <v/>
      </c>
      <c r="L131" s="319" t="str" cm="1">
        <f t="array" ref="L131">IFERROR(
IF(
    AND($H131="Zoning: Tree Points", NOT(ISNUMBER(SEARCH("sp.", $C131)))),
    _xlfn.IFS(
        (COUNTIFS('Tree List'!$C$3:$C$601,$C131,'Tree List'!$D$3:$D$601,"Coniferous")
        + COUNTIFS('Tree List'!$C$3:$C$601,$C131,'Tree List'!$D$3:$D$601,"Deciduous Conifer")) &gt; 0,
            _xlfn.IFS($K131="Small",0.5,$K131="Small/Medium",1,$K131="Medium/Large",1.4,$K131="Large",1.8),
        (COUNTIFS('Tree List'!$C$3:$C$601,$C131,'Tree List'!$D$3:$D$601,"Deciduous")
        + COUNTIFS('Tree List'!$C$3:$C$601,$C131,'Tree List'!$D$3:$D$601,"Broadleaf Evergreen")) &gt; 0,
            _xlfn.IFS($K131="Small",0.4,$K131="Small/Medium",0.8,$K131="Medium/Large",1.2,$K131="Large",1.6)
    ),
    ""
),
"")</f>
        <v/>
      </c>
      <c r="M131" s="474" t="str">
        <f t="shared" si="0"/>
        <v/>
      </c>
      <c r="N131" s="620" t="str" cm="1">
        <f t="array" aca="1" ref="N13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IF(AND(_xlpm.baseRow,ISNA(MATCH($C131,'Tree List'!$C$3:$C$601,0)),SUMPRODUCT(--ISNUMBER(SEARCH(Tables2!$C$677:$C$772,$O131)))&gt;0),
Error!$B$57,
IF(AND(_xlpm.hasDM,$F131="Remove",$H131&lt;&gt;"",OR($I131="On-site replacement",$I131="Off-site replacement",$I131="Payment In Lieu")),
Error!$B$56,
IF(AND(_xlpm.hasDM,$F131="Remove",$H131&lt;&gt;"",$I131="Relocation"),
Error!$B$66,
IF(AND(OR(_xlpm.hasCN,_xlpm.hasPH,_xlpm.hasGR),$H131&lt;&gt;"",COUNTIF(Tables!$B$132:$B$134,$H131)&gt;0,$I131="N/A (No replacement required)"),
Error!$B$62,
IF(AND(_xlpm.baseRow,$E131&lt;&gt;"",ISNA(MATCH($E131,Tables!$B$225:$B$232,0))),
Error!$B$2,
IF(AND(_xlpm.baseRow,$F131&lt;&gt;"",ISNA(MATCH($F131,Tables!$B$234:$B$235,0))),
Error!$B$24,
IF(AND(_xlpm.baseRow,_xlpm.ECA_H&gt;0,_xlpm.Shore_H&gt;0),
Error!$B$16,
IF(AND(_xlpm.baseRow,$E131&lt;&gt;"",$D131=""),
Error!$B$3,
IF(AND(_xlpm.baseRow,OR($E131="Tier 3",$E131="Tier 4"),$C131&lt;&gt;"",$D131&gt;=24,COUNTIF(Tables2!$B$166:$B$674,$C131)&gt;0),
Error!$B$44,
IF(AND(_xlpm.baseRow,OR($E131="Tier 3",$E131="Tier 4"),$C131&lt;&gt;"",$D131&lt;&gt;"",COUNTIF(Tables2!$B$73:$B$152,$C131)&gt;0,
$D131&gt;=IFERROR(INDEX(Tables2!$C$73:$C$152,MATCH($C131,Tables2!$B$73:$B$152,0)),-1)),
Error!$B$44,
IF(AND(_xlpm.baseRow,OR($E131="Tier 2",$E131="Tier 2 Grove"),$C131&lt;&gt;"",$D131&gt;=12,COUNTIF(Tables2!$B$153:$B$162,$C131)&gt;0),
Error!$B$45,
IF(AND(_xlpm.baseRow,$E131="Tier 2 Grove",$D131&lt;12),
Error!$B$41,
IF(AND(_xlpm.baseRow,$E131="Tier 2",$D131&lt;5.88),
Error!$B$40,
IF(AND(_xlpm.baseRow,OR($E131="Tier 2",$E131="Tier 2 Grove"),$C131&lt;&gt;"",$D131&lt;12,$D131&gt;=6,COUNTIF(Tables2!$B$153:$B$162,$C131)&gt;0),
Error!$B$54,
IF(AND(_xlpm.baseRow,$E131="Tier 2",COUNTIF(Tables2!$B$166:$B$674,$C131)&gt;0,$D131&lt;24),
Error!$B$54,
IF(AND(_xlpm.baseRow,$E131="Tier 3",ISNA(MATCH($C131,Tables2!$B$153:$B$162,0)),OR($D131&lt;12,$D131&gt;=24)),
Error!$B$9,
IF(AND(_xlpm.baseRow,$E131="Tier 3",COUNTIF(Tables2!$B$153:$B$162,$C131)&gt;0,$D131&lt;12),
Error!$B$46,
IF(AND(_xlpm.baseRow,$E131="Tier 4",OR($D131&lt;6,$D131&gt;=12)),
Error!$B$10,
IF(AND(_xlpm.baseRow,$E131="&lt;6in DSH for Tree Points",OR($D131&gt;=6,$D131="")),
Error!$B$8,
IF(AND(_xlpm.baseRow,$E131="Street Tree for Green Factor",$F131&lt;&gt;"",$F131&lt;&gt;"Retain"),
Error!$B$14,
IF(AND($E131="&lt;6in DSH for Tree Points",$F131="Retain",$H131&lt;&gt;"",ISNA(MATCH($H131,Tables!$B$174:$B$174,0))),
Error!$B$15,
IF(AND($E131="Street Tree for Green Factor",$F131="Retain",$H131&lt;&gt;"",$H131&lt;&gt;"Zoning: Green Factor"),
Error!$B$15,
IF(AND($E131="ECA / Shoreline Tree",$F131="Remove",$H131&lt;&gt;"",ISNA(MATCH($H131,Tables!$B$189:$B$190,0))),
Error!$B$15,
IF(AND($E131="ECA / Shoreline Tree",$F131="Retain",$H131&lt;&gt;"",ISNA(MATCH($H131,Tables!$B$184:$B$186,0))),
Error!$B$15,
IF(AND($E131="Tier 4",$F131="Remove",$H131&lt;&gt;"",ISNA(MATCH($H131,Tables!$B$171,0))),
Error!$B$15,
IF(AND($E131="Tier 4",$F131="Retain",$H131&lt;&gt;"",ISNA(MATCH($H131,Tables!$B$166:$B$168,0))),
Error!$B$15,
IF(AND($E131="Tier 3",$F131="Retain",$H131&lt;&gt;"",ISNA(MATCH($H131,Tables!$B$158:$B$160,0))),
Error!$B$15,
IF(AND($E131="Tier 3",$F131="Remove",$H131&lt;&gt;"",ISNA(MATCH($H131,Tables!$B$163,0))),
Error!$B$15,
IF(AND(OR($E131="Tier 2",$E131="Tier 2 Grove"),$F131="Remove",$H131&lt;&gt;"",ISNA(MATCH($H131,Tables!$B$153:$B$155,0))),
Error!$B$15,
IF(AND(OR($E131="Tier 2",$E131="Tier 2 Grove"),$F131="Retain",$H131&lt;&gt;"",ISNA(MATCH($H131,Tables!$B$147:$B$150,0))),
Error!$B$15,
IF(AND($E131="Tier 1",$F131="Remove",$H131&lt;&gt;"",ISNA(MATCH($H131,Tables!$B$143:$B$144,0))),
Error!$B$15,
IF(AND($E131="Tier 1",$F131="Retain",$H131&lt;&gt;"",ISNA(MATCH($H131,Tables!$B$137:$B$140,0))),
Error!$B$15,
IF(AND($E131&lt;&gt;"Tier 2",$E131&lt;&gt;"Tier 2 Grove",$E131&lt;&gt;"Tier 3",$E131&lt;&gt;"Tier 4",$H131="Zoning: Green Factor",OR($D131="",$D131&lt;6)),
Error!$B$11,
IF(AND(_xlpm.baseRow,$D131&lt;6,$E131="&lt;6in DSH for Tree Points",_xlpm.TreePoints_H=0),
Error!$B$21,
IF(AND(_xlpm.baseRow,$E131&lt;&gt;"",$D131&lt;&gt;"",$F131=""),
Error!$B$4,
IF(AND(_xlpm.baseRow,$F131="Remove",OR($E131="Tier 1",$E131="Tier 2",$E131="Tier 2 Grove"),COUNTBLANK(_xlpm.HRange)&lt;3,_xlpm.uniqueH&gt;=2),
Error!$B$48,
IF(AND(_xlpm.baseRow,$F131="Retain",OR($E131="Tier 1",$E131="Tier 2",$E131="Tier 2 Grove"),COUNTIF(_xlpm.HRange,"Tree Code: Required to Retain Tier 1-2 Tree")=0),
Error!$B$47,
IF(AND(_xlpm.baseRow,$E131&lt;&gt;"",$D131&lt;&gt;"",$F131&lt;&gt;"",COUNTBLANK(_xlpm.HRange)=4),
Error!$B$5,
IF(AND($F131="Remove",$H131&lt;&gt;"",$I131=""),
Error!$B$18,
IF(AND($E131="Tier 4",$F131="Remove",$H131="Tree Protection Code: Tier 3 or Tier 4 Allowance",$H131&lt;&gt;"",ISNA(MATCH($I131,Tables!$B$200,0))),
Error!$B$17,
IF(AND($E131="Tier 3",$F131="Remove",$H131&lt;&gt;"",$H131="Tree Protection Code: Tier 3 or Tier 4 Allowance",OR($I131="",ISNA(MATCH($I131,Tables!$B$193:$B$197,0)))),
Error!$B$17,
IF(AND(OR($E131="Tier 2",$E131="Tier 2 Grove"),$F131="Remove",$H131="Tree Protection Code: Other removal allowance or exemption",$I131&lt;&gt;"",ISNA(MATCH($I131,Tables!$B$215:$B$218,0))),
Error!$B$17,
IF(AND(OR($E131="Tier 2",$E131="Tier 2 Grove"),$F131="Remove",$H131="Tree Protection Code: Development Capacity",$I131&lt;&gt;"",ISNA(MATCH($I131,Tables!$B$193:$B$197,0))),
Error!$B$17,
IF(AND(OR($E131="Tier 2",$E131="Tier 2 Grove"),$F131="Remove",$H131="Tree Protection Code: Necessary for Construction",$I131&lt;&gt;"",ISNA(MATCH($I131,Tables!$B$193:$B$197,0))),
Error!$B$17,
IF(AND($E131="Tier 1",$F131="Remove",$H131="Tree Protection Code: Special Exception",$I131&lt;&gt;"",ISNA(MATCH($I131,Tables!$B$215:$B$218,0))),
Error!$B$17,
IF(AND($E131="Tier 1",$F131="Remove",$H131="Tree Protection Code: Other removal allowance or exemption",$I131&lt;&gt;"",ISNA(MATCH($I131,Tables!$B$215:$B$218,0))),
Error!$B$17,
IF(AND($E131="ECA / Shoreline Tree",$F131="Remove",$H131&lt;&gt;"",OR($H131="Shoreline",$H131="Environmental Critical Area (ECA)"),ISNA(MATCH($I131,Tables!$B$209:$B$212,0))),
Error!$B$17,
IF(AND(_xlpm.baseRow,$F131="Retain",$E131="ECA / Shoreline Tree",_xlpm.ECA_Short=0),
Error!$B$61,
IF(AND($F131="Remove",ISNUMBER(MATCH($E131,{"Tier 1","Tier 2","Tier 3","Tier 4","Tier 2 Grove"},0)),ISNUMBER(MATCH($I131,{"On-site replacement","Off-site replacement"},0)),$J131="",$H131&lt;&gt;""),
Error!$B$19,
IF(AND(_xlpm.baseRow,$E131&lt;&gt;"",$D131&lt;&gt;"",$F131&lt;&gt;"",COUNTBLANK($B131:$C131)&gt;0,COUNTBLANK(_xlpm.HRange)&lt;&gt;4),
Error!$B$22,
IF(AND($H131="Zoning: Tree Points",$K131&lt;&gt;"",ISNA(MATCH($K131,Tables!$B$242:$B$253,0))),
Error!$B$58,
IF(AND($H131="Zoning: Tree Points",$K131="Small",$L131&lt;&gt;"",ISNA(MATCH($L131,Tables!$C$243:$C$244,0))),
Error!$B$59,
IF(AND($H131="Zoning: Tree Points",$K131="Small/Medium",$L131&lt;&gt;"",ISNA(MATCH($L131,Tables!$C$246:$C$247,0))),
Error!$B$59,
IF(AND($H131="Zoning: Tree Points",$K131="Medium/Large",$L131&lt;&gt;"",ISNA(MATCH($L131,Tables!$C$249:$C$250,0))),
Error!$B$59,
IF(AND($H131="Zoning: Tree Points",$K131="Large",$L131&lt;&gt;"",ISNA(MATCH($L131,Tables!$C$252:$C$253,0))),
Error!$B$59,
IF(AND($F131="Retain",$H131="Zoning: Tree Points",$C131&lt;&gt;"",$D131&lt;&gt;"",OR($K131="",$L131="",$M131="")),
Error!$B$20,
""
)))))))))))))))))))))))))))))))))))))))))))))))))))))))),
Error!$B$23))</f>
        <v/>
      </c>
      <c r="O131" s="343" t="str" cm="1">
        <f t="array" aca="1" ref="O131" ca="1">IFERROR(_xlfn.LET(
    _xlpm.txt, $C131,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2" spans="1:15" x14ac:dyDescent="0.3">
      <c r="A132" s="320"/>
      <c r="B132" s="616" t="str">
        <f t="shared" ref="B132:B134" si="108">IF($B131="", "", $B131)</f>
        <v/>
      </c>
      <c r="C132" s="617" t="str">
        <f t="shared" ref="C132:C134" si="109">IF($C131="", "", $C131)</f>
        <v/>
      </c>
      <c r="D132" s="618" t="str">
        <f t="shared" ref="D132:D134" si="110">IF($D131="", "", $D131)</f>
        <v/>
      </c>
      <c r="E132" s="616" t="str">
        <f t="shared" ref="E132:E134" si="111">IF($E131="", "", $E131)</f>
        <v/>
      </c>
      <c r="F132" s="616" t="str">
        <f t="shared" ref="F132:F134" si="112">IF($F131="", "", $F131)</f>
        <v/>
      </c>
      <c r="G132" s="619" t="str">
        <f>IF(Tree_Table1[[#This Row],[Tree Status  &amp;]]="Retain", Tables!$B$237, IF(Tree_Table1[[#This Row],[Tree Status  &amp;]]="Remove", Tables!$B$238, ""))</f>
        <v/>
      </c>
      <c r="H132" s="321"/>
      <c r="I132" s="322"/>
      <c r="J132" s="453"/>
      <c r="K132" s="323" t="str">
        <f>IFERROR(
    IF(
        AND($H132="Zoning: Tree Points", NOT(ISNUMBER(SEARCH("sp.", $C132)))),
        VLOOKUP($C132, 'Tree List'!$C$3:$F$601, 4, FALSE),
        ""
    ),
"")</f>
        <v/>
      </c>
      <c r="L132" s="324" t="str" cm="1">
        <f t="array" ref="L132">IFERROR(
IF(
    AND($H132="Zoning: Tree Points", NOT(ISNUMBER(SEARCH("sp.", $C132)))),
    _xlfn.IFS(
        (COUNTIFS('Tree List'!$C$3:$C$601,$C132,'Tree List'!$D$3:$D$601,"Coniferous")
        + COUNTIFS('Tree List'!$C$3:$C$601,$C132,'Tree List'!$D$3:$D$601,"Deciduous Conifer")) &gt; 0,
            _xlfn.IFS($K132="Small",0.5,$K132="Small/Medium",1,$K132="Medium/Large",1.4,$K132="Large",1.8),
        (COUNTIFS('Tree List'!$C$3:$C$601,$C132,'Tree List'!$D$3:$D$601,"Deciduous")
        + COUNTIFS('Tree List'!$C$3:$C$601,$C132,'Tree List'!$D$3:$D$601,"Broadleaf Evergreen")) &gt; 0,
            _xlfn.IFS($K132="Small",0.4,$K132="Small/Medium",0.8,$K132="Medium/Large",1.2,$K132="Large",1.6)
    ),
    ""
),
"")</f>
        <v/>
      </c>
      <c r="M132" s="475" t="str">
        <f t="shared" si="0"/>
        <v/>
      </c>
      <c r="N132" s="346" t="str" cm="1">
        <f t="array" aca="1" ref="N13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IF(AND(_xlpm.baseRow,ISNA(MATCH($C132,'Tree List'!$C$3:$C$601,0)),SUMPRODUCT(--ISNUMBER(SEARCH(Tables2!$C$677:$C$772,$O132)))&gt;0),
Error!$B$57,
IF(AND(_xlpm.hasDM,$F132="Remove",$H132&lt;&gt;"",OR($I132="On-site replacement",$I132="Off-site replacement",$I132="Payment In Lieu")),
Error!$B$56,
IF(AND(_xlpm.hasDM,$F132="Remove",$H132&lt;&gt;"",$I132="Relocation"),
Error!$B$66,
IF(AND(OR(_xlpm.hasCN,_xlpm.hasPH,_xlpm.hasGR),$H132&lt;&gt;"",COUNTIF(Tables!$B$132:$B$134,$H132)&gt;0,$I132="N/A (No replacement required)"),
Error!$B$62,
IF(AND(_xlpm.baseRow,$E132&lt;&gt;"",ISNA(MATCH($E132,Tables!$B$225:$B$232,0))),
Error!$B$2,
IF(AND(_xlpm.baseRow,$F132&lt;&gt;"",ISNA(MATCH($F132,Tables!$B$234:$B$235,0))),
Error!$B$24,
IF(AND(_xlpm.baseRow,_xlpm.ECA_H&gt;0,_xlpm.Shore_H&gt;0),
Error!$B$16,
IF(AND(_xlpm.baseRow,$E132&lt;&gt;"",$D132=""),
Error!$B$3,
IF(AND(_xlpm.baseRow,OR($E132="Tier 3",$E132="Tier 4"),$C132&lt;&gt;"",$D132&gt;=24,COUNTIF(Tables2!$B$166:$B$674,$C132)&gt;0),
Error!$B$44,
IF(AND(_xlpm.baseRow,OR($E132="Tier 3",$E132="Tier 4"),$C132&lt;&gt;"",$D132&lt;&gt;"",COUNTIF(Tables2!$B$73:$B$152,$C132)&gt;0,
$D132&gt;=IFERROR(INDEX(Tables2!$C$73:$C$152,MATCH($C132,Tables2!$B$73:$B$152,0)),-1)),
Error!$B$44,
IF(AND(_xlpm.baseRow,OR($E132="Tier 2",$E132="Tier 2 Grove"),$C132&lt;&gt;"",$D132&gt;=12,COUNTIF(Tables2!$B$153:$B$162,$C132)&gt;0),
Error!$B$45,
IF(AND(_xlpm.baseRow,$E132="Tier 2 Grove",$D132&lt;12),
Error!$B$41,
IF(AND(_xlpm.baseRow,$E132="Tier 2",$D132&lt;5.88),
Error!$B$40,
IF(AND(_xlpm.baseRow,OR($E132="Tier 2",$E132="Tier 2 Grove"),$C132&lt;&gt;"",$D132&lt;12,$D132&gt;=6,COUNTIF(Tables2!$B$153:$B$162,$C132)&gt;0),
Error!$B$54,
IF(AND(_xlpm.baseRow,$E132="Tier 2",COUNTIF(Tables2!$B$166:$B$674,$C132)&gt;0,$D132&lt;24),
Error!$B$54,
IF(AND(_xlpm.baseRow,$E132="Tier 3",ISNA(MATCH($C132,Tables2!$B$153:$B$162,0)),OR($D132&lt;12,$D132&gt;=24)),
Error!$B$9,
IF(AND(_xlpm.baseRow,$E132="Tier 3",COUNTIF(Tables2!$B$153:$B$162,$C132)&gt;0,$D132&lt;12),
Error!$B$46,
IF(AND(_xlpm.baseRow,$E132="Tier 4",OR($D132&lt;6,$D132&gt;=12)),
Error!$B$10,
IF(AND(_xlpm.baseRow,$E132="&lt;6in DSH for Tree Points",OR($D132&gt;=6,$D132="")),
Error!$B$8,
IF(AND(_xlpm.baseRow,$E132="Street Tree for Green Factor",$F132&lt;&gt;"",$F132&lt;&gt;"Retain"),
Error!$B$14,
IF(AND($E132="&lt;6in DSH for Tree Points",$F132="Retain",$H132&lt;&gt;"",ISNA(MATCH($H132,Tables!$B$174:$B$174,0))),
Error!$B$15,
IF(AND($E132="Street Tree for Green Factor",$F132="Retain",$H132&lt;&gt;"",$H132&lt;&gt;"Zoning: Green Factor"),
Error!$B$15,
IF(AND($E132="ECA / Shoreline Tree",$F132="Remove",$H132&lt;&gt;"",ISNA(MATCH($H132,Tables!$B$189:$B$190,0))),
Error!$B$15,
IF(AND($E132="ECA / Shoreline Tree",$F132="Retain",$H132&lt;&gt;"",ISNA(MATCH($H132,Tables!$B$184:$B$186,0))),
Error!$B$15,
IF(AND($E132="Tier 4",$F132="Remove",$H132&lt;&gt;"",ISNA(MATCH($H132,Tables!$B$171,0))),
Error!$B$15,
IF(AND($E132="Tier 4",$F132="Retain",$H132&lt;&gt;"",ISNA(MATCH($H132,Tables!$B$166:$B$168,0))),
Error!$B$15,
IF(AND($E132="Tier 3",$F132="Retain",$H132&lt;&gt;"",ISNA(MATCH($H132,Tables!$B$158:$B$160,0))),
Error!$B$15,
IF(AND($E132="Tier 3",$F132="Remove",$H132&lt;&gt;"",ISNA(MATCH($H132,Tables!$B$163,0))),
Error!$B$15,
IF(AND(OR($E132="Tier 2",$E132="Tier 2 Grove"),$F132="Remove",$H132&lt;&gt;"",ISNA(MATCH($H132,Tables!$B$153:$B$155,0))),
Error!$B$15,
IF(AND(OR($E132="Tier 2",$E132="Tier 2 Grove"),$F132="Retain",$H132&lt;&gt;"",ISNA(MATCH($H132,Tables!$B$147:$B$150,0))),
Error!$B$15,
IF(AND($E132="Tier 1",$F132="Remove",$H132&lt;&gt;"",ISNA(MATCH($H132,Tables!$B$143:$B$144,0))),
Error!$B$15,
IF(AND($E132="Tier 1",$F132="Retain",$H132&lt;&gt;"",ISNA(MATCH($H132,Tables!$B$137:$B$140,0))),
Error!$B$15,
IF(AND($E132&lt;&gt;"Tier 2",$E132&lt;&gt;"Tier 2 Grove",$E132&lt;&gt;"Tier 3",$E132&lt;&gt;"Tier 4",$H132="Zoning: Green Factor",OR($D132="",$D132&lt;6)),
Error!$B$11,
IF(AND(_xlpm.baseRow,$D132&lt;6,$E132="&lt;6in DSH for Tree Points",_xlpm.TreePoints_H=0),
Error!$B$21,
IF(AND(_xlpm.baseRow,$E132&lt;&gt;"",$D132&lt;&gt;"",$F132=""),
Error!$B$4,
IF(AND(_xlpm.baseRow,$F132="Remove",OR($E132="Tier 1",$E132="Tier 2",$E132="Tier 2 Grove"),COUNTBLANK(_xlpm.HRange)&lt;3,_xlpm.uniqueH&gt;=2),
Error!$B$48,
IF(AND(_xlpm.baseRow,$F132="Retain",OR($E132="Tier 1",$E132="Tier 2",$E132="Tier 2 Grove"),COUNTIF(_xlpm.HRange,"Tree Code: Required to Retain Tier 1-2 Tree")=0),
Error!$B$47,
IF(AND(_xlpm.baseRow,$E132&lt;&gt;"",$D132&lt;&gt;"",$F132&lt;&gt;"",COUNTBLANK(_xlpm.HRange)=4),
Error!$B$5,
IF(AND($F132="Remove",$H132&lt;&gt;"",$I132=""),
Error!$B$18,
IF(AND($E132="Tier 4",$F132="Remove",$H132="Tree Protection Code: Tier 3 or Tier 4 Allowance",$H132&lt;&gt;"",ISNA(MATCH($I132,Tables!$B$200,0))),
Error!$B$17,
IF(AND($E132="Tier 3",$F132="Remove",$H132&lt;&gt;"",$H132="Tree Protection Code: Tier 3 or Tier 4 Allowance",OR($I132="",ISNA(MATCH($I132,Tables!$B$193:$B$197,0)))),
Error!$B$17,
IF(AND(OR($E132="Tier 2",$E132="Tier 2 Grove"),$F132="Remove",$H132="Tree Protection Code: Other removal allowance or exemption",$I132&lt;&gt;"",ISNA(MATCH($I132,Tables!$B$215:$B$218,0))),
Error!$B$17,
IF(AND(OR($E132="Tier 2",$E132="Tier 2 Grove"),$F132="Remove",$H132="Tree Protection Code: Development Capacity",$I132&lt;&gt;"",ISNA(MATCH($I132,Tables!$B$193:$B$197,0))),
Error!$B$17,
IF(AND(OR($E132="Tier 2",$E132="Tier 2 Grove"),$F132="Remove",$H132="Tree Protection Code: Necessary for Construction",$I132&lt;&gt;"",ISNA(MATCH($I132,Tables!$B$193:$B$197,0))),
Error!$B$17,
IF(AND($E132="Tier 1",$F132="Remove",$H132="Tree Protection Code: Special Exception",$I132&lt;&gt;"",ISNA(MATCH($I132,Tables!$B$215:$B$218,0))),
Error!$B$17,
IF(AND($E132="Tier 1",$F132="Remove",$H132="Tree Protection Code: Other removal allowance or exemption",$I132&lt;&gt;"",ISNA(MATCH($I132,Tables!$B$215:$B$218,0))),
Error!$B$17,
IF(AND($E132="ECA / Shoreline Tree",$F132="Remove",$H132&lt;&gt;"",OR($H132="Shoreline",$H132="Environmental Critical Area (ECA)"),ISNA(MATCH($I132,Tables!$B$209:$B$212,0))),
Error!$B$17,
IF(AND(_xlpm.baseRow,$F132="Retain",$E132="ECA / Shoreline Tree",_xlpm.ECA_Short=0),
Error!$B$61,
IF(AND($F132="Remove",ISNUMBER(MATCH($E132,{"Tier 1","Tier 2","Tier 3","Tier 4","Tier 2 Grove"},0)),ISNUMBER(MATCH($I132,{"On-site replacement","Off-site replacement"},0)),$J132="",$H132&lt;&gt;""),
Error!$B$19,
IF(AND(_xlpm.baseRow,$E132&lt;&gt;"",$D132&lt;&gt;"",$F132&lt;&gt;"",COUNTBLANK($B132:$C132)&gt;0,COUNTBLANK(_xlpm.HRange)&lt;&gt;4),
Error!$B$22,
IF(AND($H132="Zoning: Tree Points",$K132&lt;&gt;"",ISNA(MATCH($K132,Tables!$B$242:$B$253,0))),
Error!$B$58,
IF(AND($H132="Zoning: Tree Points",$K132="Small",$L132&lt;&gt;"",ISNA(MATCH($L132,Tables!$C$243:$C$244,0))),
Error!$B$59,
IF(AND($H132="Zoning: Tree Points",$K132="Small/Medium",$L132&lt;&gt;"",ISNA(MATCH($L132,Tables!$C$246:$C$247,0))),
Error!$B$59,
IF(AND($H132="Zoning: Tree Points",$K132="Medium/Large",$L132&lt;&gt;"",ISNA(MATCH($L132,Tables!$C$249:$C$250,0))),
Error!$B$59,
IF(AND($H132="Zoning: Tree Points",$K132="Large",$L132&lt;&gt;"",ISNA(MATCH($L132,Tables!$C$252:$C$253,0))),
Error!$B$59,
IF(AND($F132="Retain",$H132="Zoning: Tree Points",$C132&lt;&gt;"",$D132&lt;&gt;"",OR($K132="",$L132="",$M132="")),
Error!$B$20,
""
)))))))))))))))))))))))))))))))))))))))))))))))))))))))),
Error!$B$23))</f>
        <v/>
      </c>
      <c r="O132" s="343" t="str" cm="1">
        <f t="array" aca="1" ref="O132" ca="1">IFERROR(_xlfn.LET(
    _xlpm.txt, $C132,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3" spans="1:15" x14ac:dyDescent="0.3">
      <c r="A133" s="320"/>
      <c r="B133" s="616" t="str">
        <f t="shared" si="108"/>
        <v/>
      </c>
      <c r="C133" s="617" t="str">
        <f t="shared" si="109"/>
        <v/>
      </c>
      <c r="D133" s="618" t="str">
        <f t="shared" si="110"/>
        <v/>
      </c>
      <c r="E133" s="616" t="str">
        <f t="shared" si="111"/>
        <v/>
      </c>
      <c r="F133" s="616" t="str">
        <f t="shared" si="112"/>
        <v/>
      </c>
      <c r="G133" s="619" t="str">
        <f>IF(Tree_Table1[[#This Row],[Tree Status  &amp;]]="Retain", Tables!$B$237, IF(Tree_Table1[[#This Row],[Tree Status  &amp;]]="Remove", Tables!$B$238, ""))</f>
        <v/>
      </c>
      <c r="H133" s="321"/>
      <c r="I133" s="322"/>
      <c r="J133" s="453"/>
      <c r="K133" s="323" t="str">
        <f>IFERROR(
    IF(
        AND($H133="Zoning: Tree Points", NOT(ISNUMBER(SEARCH("sp.", $C133)))),
        VLOOKUP($C133, 'Tree List'!$C$3:$F$601, 4, FALSE),
        ""
    ),
"")</f>
        <v/>
      </c>
      <c r="L133" s="324" t="str" cm="1">
        <f t="array" ref="L133">IFERROR(
IF(
    AND($H133="Zoning: Tree Points", NOT(ISNUMBER(SEARCH("sp.", $C133)))),
    _xlfn.IFS(
        (COUNTIFS('Tree List'!$C$3:$C$601,$C133,'Tree List'!$D$3:$D$601,"Coniferous")
        + COUNTIFS('Tree List'!$C$3:$C$601,$C133,'Tree List'!$D$3:$D$601,"Deciduous Conifer")) &gt; 0,
            _xlfn.IFS($K133="Small",0.5,$K133="Small/Medium",1,$K133="Medium/Large",1.4,$K133="Large",1.8),
        (COUNTIFS('Tree List'!$C$3:$C$601,$C133,'Tree List'!$D$3:$D$601,"Deciduous")
        + COUNTIFS('Tree List'!$C$3:$C$601,$C133,'Tree List'!$D$3:$D$601,"Broadleaf Evergreen")) &gt; 0,
            _xlfn.IFS($K133="Small",0.4,$K133="Small/Medium",0.8,$K133="Medium/Large",1.2,$K133="Large",1.6)
    ),
    ""
),
"")</f>
        <v/>
      </c>
      <c r="M133" s="475" t="str">
        <f t="shared" si="0"/>
        <v/>
      </c>
      <c r="N133" s="346" t="str" cm="1">
        <f t="array" aca="1" ref="N13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IF(AND(_xlpm.baseRow,ISNA(MATCH($C133,'Tree List'!$C$3:$C$601,0)),SUMPRODUCT(--ISNUMBER(SEARCH(Tables2!$C$677:$C$772,$O133)))&gt;0),
Error!$B$57,
IF(AND(_xlpm.hasDM,$F133="Remove",$H133&lt;&gt;"",OR($I133="On-site replacement",$I133="Off-site replacement",$I133="Payment In Lieu")),
Error!$B$56,
IF(AND(_xlpm.hasDM,$F133="Remove",$H133&lt;&gt;"",$I133="Relocation"),
Error!$B$66,
IF(AND(OR(_xlpm.hasCN,_xlpm.hasPH,_xlpm.hasGR),$H133&lt;&gt;"",COUNTIF(Tables!$B$132:$B$134,$H133)&gt;0,$I133="N/A (No replacement required)"),
Error!$B$62,
IF(AND(_xlpm.baseRow,$E133&lt;&gt;"",ISNA(MATCH($E133,Tables!$B$225:$B$232,0))),
Error!$B$2,
IF(AND(_xlpm.baseRow,$F133&lt;&gt;"",ISNA(MATCH($F133,Tables!$B$234:$B$235,0))),
Error!$B$24,
IF(AND(_xlpm.baseRow,_xlpm.ECA_H&gt;0,_xlpm.Shore_H&gt;0),
Error!$B$16,
IF(AND(_xlpm.baseRow,$E133&lt;&gt;"",$D133=""),
Error!$B$3,
IF(AND(_xlpm.baseRow,OR($E133="Tier 3",$E133="Tier 4"),$C133&lt;&gt;"",$D133&gt;=24,COUNTIF(Tables2!$B$166:$B$674,$C133)&gt;0),
Error!$B$44,
IF(AND(_xlpm.baseRow,OR($E133="Tier 3",$E133="Tier 4"),$C133&lt;&gt;"",$D133&lt;&gt;"",COUNTIF(Tables2!$B$73:$B$152,$C133)&gt;0,
$D133&gt;=IFERROR(INDEX(Tables2!$C$73:$C$152,MATCH($C133,Tables2!$B$73:$B$152,0)),-1)),
Error!$B$44,
IF(AND(_xlpm.baseRow,OR($E133="Tier 2",$E133="Tier 2 Grove"),$C133&lt;&gt;"",$D133&gt;=12,COUNTIF(Tables2!$B$153:$B$162,$C133)&gt;0),
Error!$B$45,
IF(AND(_xlpm.baseRow,$E133="Tier 2 Grove",$D133&lt;12),
Error!$B$41,
IF(AND(_xlpm.baseRow,$E133="Tier 2",$D133&lt;5.88),
Error!$B$40,
IF(AND(_xlpm.baseRow,OR($E133="Tier 2",$E133="Tier 2 Grove"),$C133&lt;&gt;"",$D133&lt;12,$D133&gt;=6,COUNTIF(Tables2!$B$153:$B$162,$C133)&gt;0),
Error!$B$54,
IF(AND(_xlpm.baseRow,$E133="Tier 2",COUNTIF(Tables2!$B$166:$B$674,$C133)&gt;0,$D133&lt;24),
Error!$B$54,
IF(AND(_xlpm.baseRow,$E133="Tier 3",ISNA(MATCH($C133,Tables2!$B$153:$B$162,0)),OR($D133&lt;12,$D133&gt;=24)),
Error!$B$9,
IF(AND(_xlpm.baseRow,$E133="Tier 3",COUNTIF(Tables2!$B$153:$B$162,$C133)&gt;0,$D133&lt;12),
Error!$B$46,
IF(AND(_xlpm.baseRow,$E133="Tier 4",OR($D133&lt;6,$D133&gt;=12)),
Error!$B$10,
IF(AND(_xlpm.baseRow,$E133="&lt;6in DSH for Tree Points",OR($D133&gt;=6,$D133="")),
Error!$B$8,
IF(AND(_xlpm.baseRow,$E133="Street Tree for Green Factor",$F133&lt;&gt;"",$F133&lt;&gt;"Retain"),
Error!$B$14,
IF(AND($E133="&lt;6in DSH for Tree Points",$F133="Retain",$H133&lt;&gt;"",ISNA(MATCH($H133,Tables!$B$174:$B$174,0))),
Error!$B$15,
IF(AND($E133="Street Tree for Green Factor",$F133="Retain",$H133&lt;&gt;"",$H133&lt;&gt;"Zoning: Green Factor"),
Error!$B$15,
IF(AND($E133="ECA / Shoreline Tree",$F133="Remove",$H133&lt;&gt;"",ISNA(MATCH($H133,Tables!$B$189:$B$190,0))),
Error!$B$15,
IF(AND($E133="ECA / Shoreline Tree",$F133="Retain",$H133&lt;&gt;"",ISNA(MATCH($H133,Tables!$B$184:$B$186,0))),
Error!$B$15,
IF(AND($E133="Tier 4",$F133="Remove",$H133&lt;&gt;"",ISNA(MATCH($H133,Tables!$B$171,0))),
Error!$B$15,
IF(AND($E133="Tier 4",$F133="Retain",$H133&lt;&gt;"",ISNA(MATCH($H133,Tables!$B$166:$B$168,0))),
Error!$B$15,
IF(AND($E133="Tier 3",$F133="Retain",$H133&lt;&gt;"",ISNA(MATCH($H133,Tables!$B$158:$B$160,0))),
Error!$B$15,
IF(AND($E133="Tier 3",$F133="Remove",$H133&lt;&gt;"",ISNA(MATCH($H133,Tables!$B$163,0))),
Error!$B$15,
IF(AND(OR($E133="Tier 2",$E133="Tier 2 Grove"),$F133="Remove",$H133&lt;&gt;"",ISNA(MATCH($H133,Tables!$B$153:$B$155,0))),
Error!$B$15,
IF(AND(OR($E133="Tier 2",$E133="Tier 2 Grove"),$F133="Retain",$H133&lt;&gt;"",ISNA(MATCH($H133,Tables!$B$147:$B$150,0))),
Error!$B$15,
IF(AND($E133="Tier 1",$F133="Remove",$H133&lt;&gt;"",ISNA(MATCH($H133,Tables!$B$143:$B$144,0))),
Error!$B$15,
IF(AND($E133="Tier 1",$F133="Retain",$H133&lt;&gt;"",ISNA(MATCH($H133,Tables!$B$137:$B$140,0))),
Error!$B$15,
IF(AND($E133&lt;&gt;"Tier 2",$E133&lt;&gt;"Tier 2 Grove",$E133&lt;&gt;"Tier 3",$E133&lt;&gt;"Tier 4",$H133="Zoning: Green Factor",OR($D133="",$D133&lt;6)),
Error!$B$11,
IF(AND(_xlpm.baseRow,$D133&lt;6,$E133="&lt;6in DSH for Tree Points",_xlpm.TreePoints_H=0),
Error!$B$21,
IF(AND(_xlpm.baseRow,$E133&lt;&gt;"",$D133&lt;&gt;"",$F133=""),
Error!$B$4,
IF(AND(_xlpm.baseRow,$F133="Remove",OR($E133="Tier 1",$E133="Tier 2",$E133="Tier 2 Grove"),COUNTBLANK(_xlpm.HRange)&lt;3,_xlpm.uniqueH&gt;=2),
Error!$B$48,
IF(AND(_xlpm.baseRow,$F133="Retain",OR($E133="Tier 1",$E133="Tier 2",$E133="Tier 2 Grove"),COUNTIF(_xlpm.HRange,"Tree Code: Required to Retain Tier 1-2 Tree")=0),
Error!$B$47,
IF(AND(_xlpm.baseRow,$E133&lt;&gt;"",$D133&lt;&gt;"",$F133&lt;&gt;"",COUNTBLANK(_xlpm.HRange)=4),
Error!$B$5,
IF(AND($F133="Remove",$H133&lt;&gt;"",$I133=""),
Error!$B$18,
IF(AND($E133="Tier 4",$F133="Remove",$H133="Tree Protection Code: Tier 3 or Tier 4 Allowance",$H133&lt;&gt;"",ISNA(MATCH($I133,Tables!$B$200,0))),
Error!$B$17,
IF(AND($E133="Tier 3",$F133="Remove",$H133&lt;&gt;"",$H133="Tree Protection Code: Tier 3 or Tier 4 Allowance",OR($I133="",ISNA(MATCH($I133,Tables!$B$193:$B$197,0)))),
Error!$B$17,
IF(AND(OR($E133="Tier 2",$E133="Tier 2 Grove"),$F133="Remove",$H133="Tree Protection Code: Other removal allowance or exemption",$I133&lt;&gt;"",ISNA(MATCH($I133,Tables!$B$215:$B$218,0))),
Error!$B$17,
IF(AND(OR($E133="Tier 2",$E133="Tier 2 Grove"),$F133="Remove",$H133="Tree Protection Code: Development Capacity",$I133&lt;&gt;"",ISNA(MATCH($I133,Tables!$B$193:$B$197,0))),
Error!$B$17,
IF(AND(OR($E133="Tier 2",$E133="Tier 2 Grove"),$F133="Remove",$H133="Tree Protection Code: Necessary for Construction",$I133&lt;&gt;"",ISNA(MATCH($I133,Tables!$B$193:$B$197,0))),
Error!$B$17,
IF(AND($E133="Tier 1",$F133="Remove",$H133="Tree Protection Code: Special Exception",$I133&lt;&gt;"",ISNA(MATCH($I133,Tables!$B$215:$B$218,0))),
Error!$B$17,
IF(AND($E133="Tier 1",$F133="Remove",$H133="Tree Protection Code: Other removal allowance or exemption",$I133&lt;&gt;"",ISNA(MATCH($I133,Tables!$B$215:$B$218,0))),
Error!$B$17,
IF(AND($E133="ECA / Shoreline Tree",$F133="Remove",$H133&lt;&gt;"",OR($H133="Shoreline",$H133="Environmental Critical Area (ECA)"),ISNA(MATCH($I133,Tables!$B$209:$B$212,0))),
Error!$B$17,
IF(AND(_xlpm.baseRow,$F133="Retain",$E133="ECA / Shoreline Tree",_xlpm.ECA_Short=0),
Error!$B$61,
IF(AND($F133="Remove",ISNUMBER(MATCH($E133,{"Tier 1","Tier 2","Tier 3","Tier 4","Tier 2 Grove"},0)),ISNUMBER(MATCH($I133,{"On-site replacement","Off-site replacement"},0)),$J133="",$H133&lt;&gt;""),
Error!$B$19,
IF(AND(_xlpm.baseRow,$E133&lt;&gt;"",$D133&lt;&gt;"",$F133&lt;&gt;"",COUNTBLANK($B133:$C133)&gt;0,COUNTBLANK(_xlpm.HRange)&lt;&gt;4),
Error!$B$22,
IF(AND($H133="Zoning: Tree Points",$K133&lt;&gt;"",ISNA(MATCH($K133,Tables!$B$242:$B$253,0))),
Error!$B$58,
IF(AND($H133="Zoning: Tree Points",$K133="Small",$L133&lt;&gt;"",ISNA(MATCH($L133,Tables!$C$243:$C$244,0))),
Error!$B$59,
IF(AND($H133="Zoning: Tree Points",$K133="Small/Medium",$L133&lt;&gt;"",ISNA(MATCH($L133,Tables!$C$246:$C$247,0))),
Error!$B$59,
IF(AND($H133="Zoning: Tree Points",$K133="Medium/Large",$L133&lt;&gt;"",ISNA(MATCH($L133,Tables!$C$249:$C$250,0))),
Error!$B$59,
IF(AND($H133="Zoning: Tree Points",$K133="Large",$L133&lt;&gt;"",ISNA(MATCH($L133,Tables!$C$252:$C$253,0))),
Error!$B$59,
IF(AND($F133="Retain",$H133="Zoning: Tree Points",$C133&lt;&gt;"",$D133&lt;&gt;"",OR($K133="",$L133="",$M133="")),
Error!$B$20,
""
)))))))))))))))))))))))))))))))))))))))))))))))))))))))),
Error!$B$23))</f>
        <v/>
      </c>
      <c r="O133" s="343" t="str" cm="1">
        <f t="array" aca="1" ref="O133" ca="1">IFERROR(_xlfn.LET(
    _xlpm.txt, $C133,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4" spans="1:15" ht="15" thickBot="1" x14ac:dyDescent="0.35">
      <c r="A134" s="320"/>
      <c r="B134" s="616" t="str">
        <f t="shared" si="108"/>
        <v/>
      </c>
      <c r="C134" s="617" t="str">
        <f t="shared" si="109"/>
        <v/>
      </c>
      <c r="D134" s="618" t="str">
        <f t="shared" si="110"/>
        <v/>
      </c>
      <c r="E134" s="616" t="str">
        <f t="shared" si="111"/>
        <v/>
      </c>
      <c r="F134" s="616" t="str">
        <f t="shared" si="112"/>
        <v/>
      </c>
      <c r="G134" s="619" t="str">
        <f>IF(Tree_Table1[[#This Row],[Tree Status  &amp;]]="Retain", Tables!$B$237, IF(Tree_Table1[[#This Row],[Tree Status  &amp;]]="Remove", Tables!$B$238, ""))</f>
        <v/>
      </c>
      <c r="H134" s="329"/>
      <c r="I134" s="330"/>
      <c r="J134" s="455"/>
      <c r="K134" s="327" t="str">
        <f>IFERROR(
    IF(
        AND($H134="Zoning: Tree Points", NOT(ISNUMBER(SEARCH("sp.", $C134)))),
        VLOOKUP($C134, 'Tree List'!$C$3:$F$601, 4, FALSE),
        ""
    ),
"")</f>
        <v/>
      </c>
      <c r="L134" s="328" t="str" cm="1">
        <f t="array" ref="L134">IFERROR(
IF(
    AND($H134="Zoning: Tree Points", NOT(ISNUMBER(SEARCH("sp.", $C134)))),
    _xlfn.IFS(
        (COUNTIFS('Tree List'!$C$3:$C$601,$C134,'Tree List'!$D$3:$D$601,"Coniferous")
        + COUNTIFS('Tree List'!$C$3:$C$601,$C134,'Tree List'!$D$3:$D$601,"Deciduous Conifer")) &gt; 0,
            _xlfn.IFS($K134="Small",0.5,$K134="Small/Medium",1,$K134="Medium/Large",1.4,$K134="Large",1.8),
        (COUNTIFS('Tree List'!$C$3:$C$601,$C134,'Tree List'!$D$3:$D$601,"Deciduous")
        + COUNTIFS('Tree List'!$C$3:$C$601,$C134,'Tree List'!$D$3:$D$601,"Broadleaf Evergreen")) &gt; 0,
            _xlfn.IFS($K134="Small",0.4,$K134="Small/Medium",0.8,$K134="Medium/Large",1.2,$K134="Large",1.6)
    ),
    ""
),
"")</f>
        <v/>
      </c>
      <c r="M134" s="476" t="str">
        <f t="shared" si="0"/>
        <v/>
      </c>
      <c r="N134" s="347" t="str" cm="1">
        <f t="array" aca="1" ref="N13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IF(AND(_xlpm.baseRow,ISNA(MATCH($C134,'Tree List'!$C$3:$C$601,0)),SUMPRODUCT(--ISNUMBER(SEARCH(Tables2!$C$677:$C$772,$O134)))&gt;0),
Error!$B$57,
IF(AND(_xlpm.hasDM,$F134="Remove",$H134&lt;&gt;"",OR($I134="On-site replacement",$I134="Off-site replacement",$I134="Payment In Lieu")),
Error!$B$56,
IF(AND(_xlpm.hasDM,$F134="Remove",$H134&lt;&gt;"",$I134="Relocation"),
Error!$B$66,
IF(AND(OR(_xlpm.hasCN,_xlpm.hasPH,_xlpm.hasGR),$H134&lt;&gt;"",COUNTIF(Tables!$B$132:$B$134,$H134)&gt;0,$I134="N/A (No replacement required)"),
Error!$B$62,
IF(AND(_xlpm.baseRow,$E134&lt;&gt;"",ISNA(MATCH($E134,Tables!$B$225:$B$232,0))),
Error!$B$2,
IF(AND(_xlpm.baseRow,$F134&lt;&gt;"",ISNA(MATCH($F134,Tables!$B$234:$B$235,0))),
Error!$B$24,
IF(AND(_xlpm.baseRow,_xlpm.ECA_H&gt;0,_xlpm.Shore_H&gt;0),
Error!$B$16,
IF(AND(_xlpm.baseRow,$E134&lt;&gt;"",$D134=""),
Error!$B$3,
IF(AND(_xlpm.baseRow,OR($E134="Tier 3",$E134="Tier 4"),$C134&lt;&gt;"",$D134&gt;=24,COUNTIF(Tables2!$B$166:$B$674,$C134)&gt;0),
Error!$B$44,
IF(AND(_xlpm.baseRow,OR($E134="Tier 3",$E134="Tier 4"),$C134&lt;&gt;"",$D134&lt;&gt;"",COUNTIF(Tables2!$B$73:$B$152,$C134)&gt;0,
$D134&gt;=IFERROR(INDEX(Tables2!$C$73:$C$152,MATCH($C134,Tables2!$B$73:$B$152,0)),-1)),
Error!$B$44,
IF(AND(_xlpm.baseRow,OR($E134="Tier 2",$E134="Tier 2 Grove"),$C134&lt;&gt;"",$D134&gt;=12,COUNTIF(Tables2!$B$153:$B$162,$C134)&gt;0),
Error!$B$45,
IF(AND(_xlpm.baseRow,$E134="Tier 2 Grove",$D134&lt;12),
Error!$B$41,
IF(AND(_xlpm.baseRow,$E134="Tier 2",$D134&lt;5.88),
Error!$B$40,
IF(AND(_xlpm.baseRow,OR($E134="Tier 2",$E134="Tier 2 Grove"),$C134&lt;&gt;"",$D134&lt;12,$D134&gt;=6,COUNTIF(Tables2!$B$153:$B$162,$C134)&gt;0),
Error!$B$54,
IF(AND(_xlpm.baseRow,$E134="Tier 2",COUNTIF(Tables2!$B$166:$B$674,$C134)&gt;0,$D134&lt;24),
Error!$B$54,
IF(AND(_xlpm.baseRow,$E134="Tier 3",ISNA(MATCH($C134,Tables2!$B$153:$B$162,0)),OR($D134&lt;12,$D134&gt;=24)),
Error!$B$9,
IF(AND(_xlpm.baseRow,$E134="Tier 3",COUNTIF(Tables2!$B$153:$B$162,$C134)&gt;0,$D134&lt;12),
Error!$B$46,
IF(AND(_xlpm.baseRow,$E134="Tier 4",OR($D134&lt;6,$D134&gt;=12)),
Error!$B$10,
IF(AND(_xlpm.baseRow,$E134="&lt;6in DSH for Tree Points",OR($D134&gt;=6,$D134="")),
Error!$B$8,
IF(AND(_xlpm.baseRow,$E134="Street Tree for Green Factor",$F134&lt;&gt;"",$F134&lt;&gt;"Retain"),
Error!$B$14,
IF(AND($E134="&lt;6in DSH for Tree Points",$F134="Retain",$H134&lt;&gt;"",ISNA(MATCH($H134,Tables!$B$174:$B$174,0))),
Error!$B$15,
IF(AND($E134="Street Tree for Green Factor",$F134="Retain",$H134&lt;&gt;"",$H134&lt;&gt;"Zoning: Green Factor"),
Error!$B$15,
IF(AND($E134="ECA / Shoreline Tree",$F134="Remove",$H134&lt;&gt;"",ISNA(MATCH($H134,Tables!$B$189:$B$190,0))),
Error!$B$15,
IF(AND($E134="ECA / Shoreline Tree",$F134="Retain",$H134&lt;&gt;"",ISNA(MATCH($H134,Tables!$B$184:$B$186,0))),
Error!$B$15,
IF(AND($E134="Tier 4",$F134="Remove",$H134&lt;&gt;"",ISNA(MATCH($H134,Tables!$B$171,0))),
Error!$B$15,
IF(AND($E134="Tier 4",$F134="Retain",$H134&lt;&gt;"",ISNA(MATCH($H134,Tables!$B$166:$B$168,0))),
Error!$B$15,
IF(AND($E134="Tier 3",$F134="Retain",$H134&lt;&gt;"",ISNA(MATCH($H134,Tables!$B$158:$B$160,0))),
Error!$B$15,
IF(AND($E134="Tier 3",$F134="Remove",$H134&lt;&gt;"",ISNA(MATCH($H134,Tables!$B$163,0))),
Error!$B$15,
IF(AND(OR($E134="Tier 2",$E134="Tier 2 Grove"),$F134="Remove",$H134&lt;&gt;"",ISNA(MATCH($H134,Tables!$B$153:$B$155,0))),
Error!$B$15,
IF(AND(OR($E134="Tier 2",$E134="Tier 2 Grove"),$F134="Retain",$H134&lt;&gt;"",ISNA(MATCH($H134,Tables!$B$147:$B$150,0))),
Error!$B$15,
IF(AND($E134="Tier 1",$F134="Remove",$H134&lt;&gt;"",ISNA(MATCH($H134,Tables!$B$143:$B$144,0))),
Error!$B$15,
IF(AND($E134="Tier 1",$F134="Retain",$H134&lt;&gt;"",ISNA(MATCH($H134,Tables!$B$137:$B$140,0))),
Error!$B$15,
IF(AND($E134&lt;&gt;"Tier 2",$E134&lt;&gt;"Tier 2 Grove",$E134&lt;&gt;"Tier 3",$E134&lt;&gt;"Tier 4",$H134="Zoning: Green Factor",OR($D134="",$D134&lt;6)),
Error!$B$11,
IF(AND(_xlpm.baseRow,$D134&lt;6,$E134="&lt;6in DSH for Tree Points",_xlpm.TreePoints_H=0),
Error!$B$21,
IF(AND(_xlpm.baseRow,$E134&lt;&gt;"",$D134&lt;&gt;"",$F134=""),
Error!$B$4,
IF(AND(_xlpm.baseRow,$F134="Remove",OR($E134="Tier 1",$E134="Tier 2",$E134="Tier 2 Grove"),COUNTBLANK(_xlpm.HRange)&lt;3,_xlpm.uniqueH&gt;=2),
Error!$B$48,
IF(AND(_xlpm.baseRow,$F134="Retain",OR($E134="Tier 1",$E134="Tier 2",$E134="Tier 2 Grove"),COUNTIF(_xlpm.HRange,"Tree Code: Required to Retain Tier 1-2 Tree")=0),
Error!$B$47,
IF(AND(_xlpm.baseRow,$E134&lt;&gt;"",$D134&lt;&gt;"",$F134&lt;&gt;"",COUNTBLANK(_xlpm.HRange)=4),
Error!$B$5,
IF(AND($F134="Remove",$H134&lt;&gt;"",$I134=""),
Error!$B$18,
IF(AND($E134="Tier 4",$F134="Remove",$H134="Tree Protection Code: Tier 3 or Tier 4 Allowance",$H134&lt;&gt;"",ISNA(MATCH($I134,Tables!$B$200,0))),
Error!$B$17,
IF(AND($E134="Tier 3",$F134="Remove",$H134&lt;&gt;"",$H134="Tree Protection Code: Tier 3 or Tier 4 Allowance",OR($I134="",ISNA(MATCH($I134,Tables!$B$193:$B$197,0)))),
Error!$B$17,
IF(AND(OR($E134="Tier 2",$E134="Tier 2 Grove"),$F134="Remove",$H134="Tree Protection Code: Other removal allowance or exemption",$I134&lt;&gt;"",ISNA(MATCH($I134,Tables!$B$215:$B$218,0))),
Error!$B$17,
IF(AND(OR($E134="Tier 2",$E134="Tier 2 Grove"),$F134="Remove",$H134="Tree Protection Code: Development Capacity",$I134&lt;&gt;"",ISNA(MATCH($I134,Tables!$B$193:$B$197,0))),
Error!$B$17,
IF(AND(OR($E134="Tier 2",$E134="Tier 2 Grove"),$F134="Remove",$H134="Tree Protection Code: Necessary for Construction",$I134&lt;&gt;"",ISNA(MATCH($I134,Tables!$B$193:$B$197,0))),
Error!$B$17,
IF(AND($E134="Tier 1",$F134="Remove",$H134="Tree Protection Code: Special Exception",$I134&lt;&gt;"",ISNA(MATCH($I134,Tables!$B$215:$B$218,0))),
Error!$B$17,
IF(AND($E134="Tier 1",$F134="Remove",$H134="Tree Protection Code: Other removal allowance or exemption",$I134&lt;&gt;"",ISNA(MATCH($I134,Tables!$B$215:$B$218,0))),
Error!$B$17,
IF(AND($E134="ECA / Shoreline Tree",$F134="Remove",$H134&lt;&gt;"",OR($H134="Shoreline",$H134="Environmental Critical Area (ECA)"),ISNA(MATCH($I134,Tables!$B$209:$B$212,0))),
Error!$B$17,
IF(AND(_xlpm.baseRow,$F134="Retain",$E134="ECA / Shoreline Tree",_xlpm.ECA_Short=0),
Error!$B$61,
IF(AND($F134="Remove",ISNUMBER(MATCH($E134,{"Tier 1","Tier 2","Tier 3","Tier 4","Tier 2 Grove"},0)),ISNUMBER(MATCH($I134,{"On-site replacement","Off-site replacement"},0)),$J134="",$H134&lt;&gt;""),
Error!$B$19,
IF(AND(_xlpm.baseRow,$E134&lt;&gt;"",$D134&lt;&gt;"",$F134&lt;&gt;"",COUNTBLANK($B134:$C134)&gt;0,COUNTBLANK(_xlpm.HRange)&lt;&gt;4),
Error!$B$22,
IF(AND($H134="Zoning: Tree Points",$K134&lt;&gt;"",ISNA(MATCH($K134,Tables!$B$242:$B$253,0))),
Error!$B$58,
IF(AND($H134="Zoning: Tree Points",$K134="Small",$L134&lt;&gt;"",ISNA(MATCH($L134,Tables!$C$243:$C$244,0))),
Error!$B$59,
IF(AND($H134="Zoning: Tree Points",$K134="Small/Medium",$L134&lt;&gt;"",ISNA(MATCH($L134,Tables!$C$246:$C$247,0))),
Error!$B$59,
IF(AND($H134="Zoning: Tree Points",$K134="Medium/Large",$L134&lt;&gt;"",ISNA(MATCH($L134,Tables!$C$249:$C$250,0))),
Error!$B$59,
IF(AND($H134="Zoning: Tree Points",$K134="Large",$L134&lt;&gt;"",ISNA(MATCH($L134,Tables!$C$252:$C$253,0))),
Error!$B$59,
IF(AND($F134="Retain",$H134="Zoning: Tree Points",$C134&lt;&gt;"",$D134&lt;&gt;"",OR($K134="",$L134="",$M134="")),
Error!$B$20,
""
)))))))))))))))))))))))))))))))))))))))))))))))))))))))),
Error!$B$23))</f>
        <v/>
      </c>
      <c r="O134" s="343" t="str" cm="1">
        <f t="array" aca="1" ref="O134" ca="1">IFERROR(_xlfn.LET(
    _xlpm.txt, $C134,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5" spans="1:15" ht="15" thickBot="1" x14ac:dyDescent="0.35">
      <c r="A135" s="311">
        <v>32</v>
      </c>
      <c r="B135" s="312"/>
      <c r="C135" s="313"/>
      <c r="D135" s="478"/>
      <c r="E135" s="314"/>
      <c r="F135" s="314"/>
      <c r="G135" s="315" t="str">
        <f>IF(Tree_Table1[[#This Row],[Tree Status  &amp;]]="Retain", Tables!$B$237, IF(Tree_Table1[[#This Row],[Tree Status  &amp;]]="Remove", Tables!$B$238, ""))</f>
        <v/>
      </c>
      <c r="H135" s="316"/>
      <c r="I135" s="317"/>
      <c r="J135" s="452"/>
      <c r="K135" s="318" t="str">
        <f>IFERROR(
    IF(
        AND($H135="Zoning: Tree Points", NOT(ISNUMBER(SEARCH("sp.", $C135)))),
        VLOOKUP($C135, 'Tree List'!$C$3:$F$601, 4, FALSE),
        ""
    ),
"")</f>
        <v/>
      </c>
      <c r="L135" s="319" t="str" cm="1">
        <f t="array" ref="L135">IFERROR(
IF(
    AND($H135="Zoning: Tree Points", NOT(ISNUMBER(SEARCH("sp.", $C135)))),
    _xlfn.IFS(
        (COUNTIFS('Tree List'!$C$3:$C$601,$C135,'Tree List'!$D$3:$D$601,"Coniferous")
        + COUNTIFS('Tree List'!$C$3:$C$601,$C135,'Tree List'!$D$3:$D$601,"Deciduous Conifer")) &gt; 0,
            _xlfn.IFS($K135="Small",0.5,$K135="Small/Medium",1,$K135="Medium/Large",1.4,$K135="Large",1.8),
        (COUNTIFS('Tree List'!$C$3:$C$601,$C135,'Tree List'!$D$3:$D$601,"Deciduous")
        + COUNTIFS('Tree List'!$C$3:$C$601,$C135,'Tree List'!$D$3:$D$601,"Broadleaf Evergreen")) &gt; 0,
            _xlfn.IFS($K135="Small",0.4,$K135="Small/Medium",0.8,$K135="Medium/Large",1.2,$K135="Large",1.6)
    ),
    ""
),
"")</f>
        <v/>
      </c>
      <c r="M135" s="474" t="str">
        <f t="shared" si="0"/>
        <v/>
      </c>
      <c r="N135" s="620" t="str" cm="1">
        <f t="array" aca="1" ref="N13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IF(AND(_xlpm.baseRow,ISNA(MATCH($C135,'Tree List'!$C$3:$C$601,0)),SUMPRODUCT(--ISNUMBER(SEARCH(Tables2!$C$677:$C$772,$O135)))&gt;0),
Error!$B$57,
IF(AND(_xlpm.hasDM,$F135="Remove",$H135&lt;&gt;"",OR($I135="On-site replacement",$I135="Off-site replacement",$I135="Payment In Lieu")),
Error!$B$56,
IF(AND(_xlpm.hasDM,$F135="Remove",$H135&lt;&gt;"",$I135="Relocation"),
Error!$B$66,
IF(AND(OR(_xlpm.hasCN,_xlpm.hasPH,_xlpm.hasGR),$H135&lt;&gt;"",COUNTIF(Tables!$B$132:$B$134,$H135)&gt;0,$I135="N/A (No replacement required)"),
Error!$B$62,
IF(AND(_xlpm.baseRow,$E135&lt;&gt;"",ISNA(MATCH($E135,Tables!$B$225:$B$232,0))),
Error!$B$2,
IF(AND(_xlpm.baseRow,$F135&lt;&gt;"",ISNA(MATCH($F135,Tables!$B$234:$B$235,0))),
Error!$B$24,
IF(AND(_xlpm.baseRow,_xlpm.ECA_H&gt;0,_xlpm.Shore_H&gt;0),
Error!$B$16,
IF(AND(_xlpm.baseRow,$E135&lt;&gt;"",$D135=""),
Error!$B$3,
IF(AND(_xlpm.baseRow,OR($E135="Tier 3",$E135="Tier 4"),$C135&lt;&gt;"",$D135&gt;=24,COUNTIF(Tables2!$B$166:$B$674,$C135)&gt;0),
Error!$B$44,
IF(AND(_xlpm.baseRow,OR($E135="Tier 3",$E135="Tier 4"),$C135&lt;&gt;"",$D135&lt;&gt;"",COUNTIF(Tables2!$B$73:$B$152,$C135)&gt;0,
$D135&gt;=IFERROR(INDEX(Tables2!$C$73:$C$152,MATCH($C135,Tables2!$B$73:$B$152,0)),-1)),
Error!$B$44,
IF(AND(_xlpm.baseRow,OR($E135="Tier 2",$E135="Tier 2 Grove"),$C135&lt;&gt;"",$D135&gt;=12,COUNTIF(Tables2!$B$153:$B$162,$C135)&gt;0),
Error!$B$45,
IF(AND(_xlpm.baseRow,$E135="Tier 2 Grove",$D135&lt;12),
Error!$B$41,
IF(AND(_xlpm.baseRow,$E135="Tier 2",$D135&lt;5.88),
Error!$B$40,
IF(AND(_xlpm.baseRow,OR($E135="Tier 2",$E135="Tier 2 Grove"),$C135&lt;&gt;"",$D135&lt;12,$D135&gt;=6,COUNTIF(Tables2!$B$153:$B$162,$C135)&gt;0),
Error!$B$54,
IF(AND(_xlpm.baseRow,$E135="Tier 2",COUNTIF(Tables2!$B$166:$B$674,$C135)&gt;0,$D135&lt;24),
Error!$B$54,
IF(AND(_xlpm.baseRow,$E135="Tier 3",ISNA(MATCH($C135,Tables2!$B$153:$B$162,0)),OR($D135&lt;12,$D135&gt;=24)),
Error!$B$9,
IF(AND(_xlpm.baseRow,$E135="Tier 3",COUNTIF(Tables2!$B$153:$B$162,$C135)&gt;0,$D135&lt;12),
Error!$B$46,
IF(AND(_xlpm.baseRow,$E135="Tier 4",OR($D135&lt;6,$D135&gt;=12)),
Error!$B$10,
IF(AND(_xlpm.baseRow,$E135="&lt;6in DSH for Tree Points",OR($D135&gt;=6,$D135="")),
Error!$B$8,
IF(AND(_xlpm.baseRow,$E135="Street Tree for Green Factor",$F135&lt;&gt;"",$F135&lt;&gt;"Retain"),
Error!$B$14,
IF(AND($E135="&lt;6in DSH for Tree Points",$F135="Retain",$H135&lt;&gt;"",ISNA(MATCH($H135,Tables!$B$174:$B$174,0))),
Error!$B$15,
IF(AND($E135="Street Tree for Green Factor",$F135="Retain",$H135&lt;&gt;"",$H135&lt;&gt;"Zoning: Green Factor"),
Error!$B$15,
IF(AND($E135="ECA / Shoreline Tree",$F135="Remove",$H135&lt;&gt;"",ISNA(MATCH($H135,Tables!$B$189:$B$190,0))),
Error!$B$15,
IF(AND($E135="ECA / Shoreline Tree",$F135="Retain",$H135&lt;&gt;"",ISNA(MATCH($H135,Tables!$B$184:$B$186,0))),
Error!$B$15,
IF(AND($E135="Tier 4",$F135="Remove",$H135&lt;&gt;"",ISNA(MATCH($H135,Tables!$B$171,0))),
Error!$B$15,
IF(AND($E135="Tier 4",$F135="Retain",$H135&lt;&gt;"",ISNA(MATCH($H135,Tables!$B$166:$B$168,0))),
Error!$B$15,
IF(AND($E135="Tier 3",$F135="Retain",$H135&lt;&gt;"",ISNA(MATCH($H135,Tables!$B$158:$B$160,0))),
Error!$B$15,
IF(AND($E135="Tier 3",$F135="Remove",$H135&lt;&gt;"",ISNA(MATCH($H135,Tables!$B$163,0))),
Error!$B$15,
IF(AND(OR($E135="Tier 2",$E135="Tier 2 Grove"),$F135="Remove",$H135&lt;&gt;"",ISNA(MATCH($H135,Tables!$B$153:$B$155,0))),
Error!$B$15,
IF(AND(OR($E135="Tier 2",$E135="Tier 2 Grove"),$F135="Retain",$H135&lt;&gt;"",ISNA(MATCH($H135,Tables!$B$147:$B$150,0))),
Error!$B$15,
IF(AND($E135="Tier 1",$F135="Remove",$H135&lt;&gt;"",ISNA(MATCH($H135,Tables!$B$143:$B$144,0))),
Error!$B$15,
IF(AND($E135="Tier 1",$F135="Retain",$H135&lt;&gt;"",ISNA(MATCH($H135,Tables!$B$137:$B$140,0))),
Error!$B$15,
IF(AND($E135&lt;&gt;"Tier 2",$E135&lt;&gt;"Tier 2 Grove",$E135&lt;&gt;"Tier 3",$E135&lt;&gt;"Tier 4",$H135="Zoning: Green Factor",OR($D135="",$D135&lt;6)),
Error!$B$11,
IF(AND(_xlpm.baseRow,$D135&lt;6,$E135="&lt;6in DSH for Tree Points",_xlpm.TreePoints_H=0),
Error!$B$21,
IF(AND(_xlpm.baseRow,$E135&lt;&gt;"",$D135&lt;&gt;"",$F135=""),
Error!$B$4,
IF(AND(_xlpm.baseRow,$F135="Remove",OR($E135="Tier 1",$E135="Tier 2",$E135="Tier 2 Grove"),COUNTBLANK(_xlpm.HRange)&lt;3,_xlpm.uniqueH&gt;=2),
Error!$B$48,
IF(AND(_xlpm.baseRow,$F135="Retain",OR($E135="Tier 1",$E135="Tier 2",$E135="Tier 2 Grove"),COUNTIF(_xlpm.HRange,"Tree Code: Required to Retain Tier 1-2 Tree")=0),
Error!$B$47,
IF(AND(_xlpm.baseRow,$E135&lt;&gt;"",$D135&lt;&gt;"",$F135&lt;&gt;"",COUNTBLANK(_xlpm.HRange)=4),
Error!$B$5,
IF(AND($F135="Remove",$H135&lt;&gt;"",$I135=""),
Error!$B$18,
IF(AND($E135="Tier 4",$F135="Remove",$H135="Tree Protection Code: Tier 3 or Tier 4 Allowance",$H135&lt;&gt;"",ISNA(MATCH($I135,Tables!$B$200,0))),
Error!$B$17,
IF(AND($E135="Tier 3",$F135="Remove",$H135&lt;&gt;"",$H135="Tree Protection Code: Tier 3 or Tier 4 Allowance",OR($I135="",ISNA(MATCH($I135,Tables!$B$193:$B$197,0)))),
Error!$B$17,
IF(AND(OR($E135="Tier 2",$E135="Tier 2 Grove"),$F135="Remove",$H135="Tree Protection Code: Other removal allowance or exemption",$I135&lt;&gt;"",ISNA(MATCH($I135,Tables!$B$215:$B$218,0))),
Error!$B$17,
IF(AND(OR($E135="Tier 2",$E135="Tier 2 Grove"),$F135="Remove",$H135="Tree Protection Code: Development Capacity",$I135&lt;&gt;"",ISNA(MATCH($I135,Tables!$B$193:$B$197,0))),
Error!$B$17,
IF(AND(OR($E135="Tier 2",$E135="Tier 2 Grove"),$F135="Remove",$H135="Tree Protection Code: Necessary for Construction",$I135&lt;&gt;"",ISNA(MATCH($I135,Tables!$B$193:$B$197,0))),
Error!$B$17,
IF(AND($E135="Tier 1",$F135="Remove",$H135="Tree Protection Code: Special Exception",$I135&lt;&gt;"",ISNA(MATCH($I135,Tables!$B$215:$B$218,0))),
Error!$B$17,
IF(AND($E135="Tier 1",$F135="Remove",$H135="Tree Protection Code: Other removal allowance or exemption",$I135&lt;&gt;"",ISNA(MATCH($I135,Tables!$B$215:$B$218,0))),
Error!$B$17,
IF(AND($E135="ECA / Shoreline Tree",$F135="Remove",$H135&lt;&gt;"",OR($H135="Shoreline",$H135="Environmental Critical Area (ECA)"),ISNA(MATCH($I135,Tables!$B$209:$B$212,0))),
Error!$B$17,
IF(AND(_xlpm.baseRow,$F135="Retain",$E135="ECA / Shoreline Tree",_xlpm.ECA_Short=0),
Error!$B$61,
IF(AND($F135="Remove",ISNUMBER(MATCH($E135,{"Tier 1","Tier 2","Tier 3","Tier 4","Tier 2 Grove"},0)),ISNUMBER(MATCH($I135,{"On-site replacement","Off-site replacement"},0)),$J135="",$H135&lt;&gt;""),
Error!$B$19,
IF(AND(_xlpm.baseRow,$E135&lt;&gt;"",$D135&lt;&gt;"",$F135&lt;&gt;"",COUNTBLANK($B135:$C135)&gt;0,COUNTBLANK(_xlpm.HRange)&lt;&gt;4),
Error!$B$22,
IF(AND($H135="Zoning: Tree Points",$K135&lt;&gt;"",ISNA(MATCH($K135,Tables!$B$242:$B$253,0))),
Error!$B$58,
IF(AND($H135="Zoning: Tree Points",$K135="Small",$L135&lt;&gt;"",ISNA(MATCH($L135,Tables!$C$243:$C$244,0))),
Error!$B$59,
IF(AND($H135="Zoning: Tree Points",$K135="Small/Medium",$L135&lt;&gt;"",ISNA(MATCH($L135,Tables!$C$246:$C$247,0))),
Error!$B$59,
IF(AND($H135="Zoning: Tree Points",$K135="Medium/Large",$L135&lt;&gt;"",ISNA(MATCH($L135,Tables!$C$249:$C$250,0))),
Error!$B$59,
IF(AND($H135="Zoning: Tree Points",$K135="Large",$L135&lt;&gt;"",ISNA(MATCH($L135,Tables!$C$252:$C$253,0))),
Error!$B$59,
IF(AND($F135="Retain",$H135="Zoning: Tree Points",$C135&lt;&gt;"",$D135&lt;&gt;"",OR($K135="",$L135="",$M135="")),
Error!$B$20,
""
)))))))))))))))))))))))))))))))))))))))))))))))))))))))),
Error!$B$23))</f>
        <v/>
      </c>
      <c r="O135" s="343" t="str" cm="1">
        <f t="array" aca="1" ref="O135" ca="1">IFERROR(_xlfn.LET(
    _xlpm.txt, $C135,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6" spans="1:15" x14ac:dyDescent="0.3">
      <c r="A136" s="320"/>
      <c r="B136" s="616" t="str">
        <f t="shared" ref="B136:B138" si="113">IF($B135="", "", $B135)</f>
        <v/>
      </c>
      <c r="C136" s="617" t="str">
        <f t="shared" ref="C136:C138" si="114">IF($C135="", "", $C135)</f>
        <v/>
      </c>
      <c r="D136" s="618" t="str">
        <f t="shared" ref="D136:D138" si="115">IF($D135="", "", $D135)</f>
        <v/>
      </c>
      <c r="E136" s="616" t="str">
        <f t="shared" ref="E136:E138" si="116">IF($E135="", "", $E135)</f>
        <v/>
      </c>
      <c r="F136" s="616" t="str">
        <f t="shared" ref="F136:F138" si="117">IF($F135="", "", $F135)</f>
        <v/>
      </c>
      <c r="G136" s="619" t="str">
        <f>IF(Tree_Table1[[#This Row],[Tree Status  &amp;]]="Retain", Tables!$B$237, IF(Tree_Table1[[#This Row],[Tree Status  &amp;]]="Remove", Tables!$B$238, ""))</f>
        <v/>
      </c>
      <c r="H136" s="321"/>
      <c r="I136" s="322"/>
      <c r="J136" s="453"/>
      <c r="K136" s="323" t="str">
        <f>IFERROR(
    IF(
        AND($H136="Zoning: Tree Points", NOT(ISNUMBER(SEARCH("sp.", $C136)))),
        VLOOKUP($C136, 'Tree List'!$C$3:$F$601, 4, FALSE),
        ""
    ),
"")</f>
        <v/>
      </c>
      <c r="L136" s="324" t="str" cm="1">
        <f t="array" ref="L136">IFERROR(
IF(
    AND($H136="Zoning: Tree Points", NOT(ISNUMBER(SEARCH("sp.", $C136)))),
    _xlfn.IFS(
        (COUNTIFS('Tree List'!$C$3:$C$601,$C136,'Tree List'!$D$3:$D$601,"Coniferous")
        + COUNTIFS('Tree List'!$C$3:$C$601,$C136,'Tree List'!$D$3:$D$601,"Deciduous Conifer")) &gt; 0,
            _xlfn.IFS($K136="Small",0.5,$K136="Small/Medium",1,$K136="Medium/Large",1.4,$K136="Large",1.8),
        (COUNTIFS('Tree List'!$C$3:$C$601,$C136,'Tree List'!$D$3:$D$601,"Deciduous")
        + COUNTIFS('Tree List'!$C$3:$C$601,$C136,'Tree List'!$D$3:$D$601,"Broadleaf Evergreen")) &gt; 0,
            _xlfn.IFS($K136="Small",0.4,$K136="Small/Medium",0.8,$K136="Medium/Large",1.2,$K136="Large",1.6)
    ),
    ""
),
"")</f>
        <v/>
      </c>
      <c r="M136" s="475" t="str">
        <f t="shared" si="0"/>
        <v/>
      </c>
      <c r="N136" s="346" t="str" cm="1">
        <f t="array" aca="1" ref="N13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IF(AND(_xlpm.baseRow,ISNA(MATCH($C136,'Tree List'!$C$3:$C$601,0)),SUMPRODUCT(--ISNUMBER(SEARCH(Tables2!$C$677:$C$772,$O136)))&gt;0),
Error!$B$57,
IF(AND(_xlpm.hasDM,$F136="Remove",$H136&lt;&gt;"",OR($I136="On-site replacement",$I136="Off-site replacement",$I136="Payment In Lieu")),
Error!$B$56,
IF(AND(_xlpm.hasDM,$F136="Remove",$H136&lt;&gt;"",$I136="Relocation"),
Error!$B$66,
IF(AND(OR(_xlpm.hasCN,_xlpm.hasPH,_xlpm.hasGR),$H136&lt;&gt;"",COUNTIF(Tables!$B$132:$B$134,$H136)&gt;0,$I136="N/A (No replacement required)"),
Error!$B$62,
IF(AND(_xlpm.baseRow,$E136&lt;&gt;"",ISNA(MATCH($E136,Tables!$B$225:$B$232,0))),
Error!$B$2,
IF(AND(_xlpm.baseRow,$F136&lt;&gt;"",ISNA(MATCH($F136,Tables!$B$234:$B$235,0))),
Error!$B$24,
IF(AND(_xlpm.baseRow,_xlpm.ECA_H&gt;0,_xlpm.Shore_H&gt;0),
Error!$B$16,
IF(AND(_xlpm.baseRow,$E136&lt;&gt;"",$D136=""),
Error!$B$3,
IF(AND(_xlpm.baseRow,OR($E136="Tier 3",$E136="Tier 4"),$C136&lt;&gt;"",$D136&gt;=24,COUNTIF(Tables2!$B$166:$B$674,$C136)&gt;0),
Error!$B$44,
IF(AND(_xlpm.baseRow,OR($E136="Tier 3",$E136="Tier 4"),$C136&lt;&gt;"",$D136&lt;&gt;"",COUNTIF(Tables2!$B$73:$B$152,$C136)&gt;0,
$D136&gt;=IFERROR(INDEX(Tables2!$C$73:$C$152,MATCH($C136,Tables2!$B$73:$B$152,0)),-1)),
Error!$B$44,
IF(AND(_xlpm.baseRow,OR($E136="Tier 2",$E136="Tier 2 Grove"),$C136&lt;&gt;"",$D136&gt;=12,COUNTIF(Tables2!$B$153:$B$162,$C136)&gt;0),
Error!$B$45,
IF(AND(_xlpm.baseRow,$E136="Tier 2 Grove",$D136&lt;12),
Error!$B$41,
IF(AND(_xlpm.baseRow,$E136="Tier 2",$D136&lt;5.88),
Error!$B$40,
IF(AND(_xlpm.baseRow,OR($E136="Tier 2",$E136="Tier 2 Grove"),$C136&lt;&gt;"",$D136&lt;12,$D136&gt;=6,COUNTIF(Tables2!$B$153:$B$162,$C136)&gt;0),
Error!$B$54,
IF(AND(_xlpm.baseRow,$E136="Tier 2",COUNTIF(Tables2!$B$166:$B$674,$C136)&gt;0,$D136&lt;24),
Error!$B$54,
IF(AND(_xlpm.baseRow,$E136="Tier 3",ISNA(MATCH($C136,Tables2!$B$153:$B$162,0)),OR($D136&lt;12,$D136&gt;=24)),
Error!$B$9,
IF(AND(_xlpm.baseRow,$E136="Tier 3",COUNTIF(Tables2!$B$153:$B$162,$C136)&gt;0,$D136&lt;12),
Error!$B$46,
IF(AND(_xlpm.baseRow,$E136="Tier 4",OR($D136&lt;6,$D136&gt;=12)),
Error!$B$10,
IF(AND(_xlpm.baseRow,$E136="&lt;6in DSH for Tree Points",OR($D136&gt;=6,$D136="")),
Error!$B$8,
IF(AND(_xlpm.baseRow,$E136="Street Tree for Green Factor",$F136&lt;&gt;"",$F136&lt;&gt;"Retain"),
Error!$B$14,
IF(AND($E136="&lt;6in DSH for Tree Points",$F136="Retain",$H136&lt;&gt;"",ISNA(MATCH($H136,Tables!$B$174:$B$174,0))),
Error!$B$15,
IF(AND($E136="Street Tree for Green Factor",$F136="Retain",$H136&lt;&gt;"",$H136&lt;&gt;"Zoning: Green Factor"),
Error!$B$15,
IF(AND($E136="ECA / Shoreline Tree",$F136="Remove",$H136&lt;&gt;"",ISNA(MATCH($H136,Tables!$B$189:$B$190,0))),
Error!$B$15,
IF(AND($E136="ECA / Shoreline Tree",$F136="Retain",$H136&lt;&gt;"",ISNA(MATCH($H136,Tables!$B$184:$B$186,0))),
Error!$B$15,
IF(AND($E136="Tier 4",$F136="Remove",$H136&lt;&gt;"",ISNA(MATCH($H136,Tables!$B$171,0))),
Error!$B$15,
IF(AND($E136="Tier 4",$F136="Retain",$H136&lt;&gt;"",ISNA(MATCH($H136,Tables!$B$166:$B$168,0))),
Error!$B$15,
IF(AND($E136="Tier 3",$F136="Retain",$H136&lt;&gt;"",ISNA(MATCH($H136,Tables!$B$158:$B$160,0))),
Error!$B$15,
IF(AND($E136="Tier 3",$F136="Remove",$H136&lt;&gt;"",ISNA(MATCH($H136,Tables!$B$163,0))),
Error!$B$15,
IF(AND(OR($E136="Tier 2",$E136="Tier 2 Grove"),$F136="Remove",$H136&lt;&gt;"",ISNA(MATCH($H136,Tables!$B$153:$B$155,0))),
Error!$B$15,
IF(AND(OR($E136="Tier 2",$E136="Tier 2 Grove"),$F136="Retain",$H136&lt;&gt;"",ISNA(MATCH($H136,Tables!$B$147:$B$150,0))),
Error!$B$15,
IF(AND($E136="Tier 1",$F136="Remove",$H136&lt;&gt;"",ISNA(MATCH($H136,Tables!$B$143:$B$144,0))),
Error!$B$15,
IF(AND($E136="Tier 1",$F136="Retain",$H136&lt;&gt;"",ISNA(MATCH($H136,Tables!$B$137:$B$140,0))),
Error!$B$15,
IF(AND($E136&lt;&gt;"Tier 2",$E136&lt;&gt;"Tier 2 Grove",$E136&lt;&gt;"Tier 3",$E136&lt;&gt;"Tier 4",$H136="Zoning: Green Factor",OR($D136="",$D136&lt;6)),
Error!$B$11,
IF(AND(_xlpm.baseRow,$D136&lt;6,$E136="&lt;6in DSH for Tree Points",_xlpm.TreePoints_H=0),
Error!$B$21,
IF(AND(_xlpm.baseRow,$E136&lt;&gt;"",$D136&lt;&gt;"",$F136=""),
Error!$B$4,
IF(AND(_xlpm.baseRow,$F136="Remove",OR($E136="Tier 1",$E136="Tier 2",$E136="Tier 2 Grove"),COUNTBLANK(_xlpm.HRange)&lt;3,_xlpm.uniqueH&gt;=2),
Error!$B$48,
IF(AND(_xlpm.baseRow,$F136="Retain",OR($E136="Tier 1",$E136="Tier 2",$E136="Tier 2 Grove"),COUNTIF(_xlpm.HRange,"Tree Code: Required to Retain Tier 1-2 Tree")=0),
Error!$B$47,
IF(AND(_xlpm.baseRow,$E136&lt;&gt;"",$D136&lt;&gt;"",$F136&lt;&gt;"",COUNTBLANK(_xlpm.HRange)=4),
Error!$B$5,
IF(AND($F136="Remove",$H136&lt;&gt;"",$I136=""),
Error!$B$18,
IF(AND($E136="Tier 4",$F136="Remove",$H136="Tree Protection Code: Tier 3 or Tier 4 Allowance",$H136&lt;&gt;"",ISNA(MATCH($I136,Tables!$B$200,0))),
Error!$B$17,
IF(AND($E136="Tier 3",$F136="Remove",$H136&lt;&gt;"",$H136="Tree Protection Code: Tier 3 or Tier 4 Allowance",OR($I136="",ISNA(MATCH($I136,Tables!$B$193:$B$197,0)))),
Error!$B$17,
IF(AND(OR($E136="Tier 2",$E136="Tier 2 Grove"),$F136="Remove",$H136="Tree Protection Code: Other removal allowance or exemption",$I136&lt;&gt;"",ISNA(MATCH($I136,Tables!$B$215:$B$218,0))),
Error!$B$17,
IF(AND(OR($E136="Tier 2",$E136="Tier 2 Grove"),$F136="Remove",$H136="Tree Protection Code: Development Capacity",$I136&lt;&gt;"",ISNA(MATCH($I136,Tables!$B$193:$B$197,0))),
Error!$B$17,
IF(AND(OR($E136="Tier 2",$E136="Tier 2 Grove"),$F136="Remove",$H136="Tree Protection Code: Necessary for Construction",$I136&lt;&gt;"",ISNA(MATCH($I136,Tables!$B$193:$B$197,0))),
Error!$B$17,
IF(AND($E136="Tier 1",$F136="Remove",$H136="Tree Protection Code: Special Exception",$I136&lt;&gt;"",ISNA(MATCH($I136,Tables!$B$215:$B$218,0))),
Error!$B$17,
IF(AND($E136="Tier 1",$F136="Remove",$H136="Tree Protection Code: Other removal allowance or exemption",$I136&lt;&gt;"",ISNA(MATCH($I136,Tables!$B$215:$B$218,0))),
Error!$B$17,
IF(AND($E136="ECA / Shoreline Tree",$F136="Remove",$H136&lt;&gt;"",OR($H136="Shoreline",$H136="Environmental Critical Area (ECA)"),ISNA(MATCH($I136,Tables!$B$209:$B$212,0))),
Error!$B$17,
IF(AND(_xlpm.baseRow,$F136="Retain",$E136="ECA / Shoreline Tree",_xlpm.ECA_Short=0),
Error!$B$61,
IF(AND($F136="Remove",ISNUMBER(MATCH($E136,{"Tier 1","Tier 2","Tier 3","Tier 4","Tier 2 Grove"},0)),ISNUMBER(MATCH($I136,{"On-site replacement","Off-site replacement"},0)),$J136="",$H136&lt;&gt;""),
Error!$B$19,
IF(AND(_xlpm.baseRow,$E136&lt;&gt;"",$D136&lt;&gt;"",$F136&lt;&gt;"",COUNTBLANK($B136:$C136)&gt;0,COUNTBLANK(_xlpm.HRange)&lt;&gt;4),
Error!$B$22,
IF(AND($H136="Zoning: Tree Points",$K136&lt;&gt;"",ISNA(MATCH($K136,Tables!$B$242:$B$253,0))),
Error!$B$58,
IF(AND($H136="Zoning: Tree Points",$K136="Small",$L136&lt;&gt;"",ISNA(MATCH($L136,Tables!$C$243:$C$244,0))),
Error!$B$59,
IF(AND($H136="Zoning: Tree Points",$K136="Small/Medium",$L136&lt;&gt;"",ISNA(MATCH($L136,Tables!$C$246:$C$247,0))),
Error!$B$59,
IF(AND($H136="Zoning: Tree Points",$K136="Medium/Large",$L136&lt;&gt;"",ISNA(MATCH($L136,Tables!$C$249:$C$250,0))),
Error!$B$59,
IF(AND($H136="Zoning: Tree Points",$K136="Large",$L136&lt;&gt;"",ISNA(MATCH($L136,Tables!$C$252:$C$253,0))),
Error!$B$59,
IF(AND($F136="Retain",$H136="Zoning: Tree Points",$C136&lt;&gt;"",$D136&lt;&gt;"",OR($K136="",$L136="",$M136="")),
Error!$B$20,
""
)))))))))))))))))))))))))))))))))))))))))))))))))))))))),
Error!$B$23))</f>
        <v/>
      </c>
      <c r="O136" s="343" t="str" cm="1">
        <f t="array" aca="1" ref="O136" ca="1">IFERROR(_xlfn.LET(
    _xlpm.txt, $C136,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7" spans="1:15" x14ac:dyDescent="0.3">
      <c r="A137" s="320"/>
      <c r="B137" s="616" t="str">
        <f t="shared" si="113"/>
        <v/>
      </c>
      <c r="C137" s="617" t="str">
        <f t="shared" si="114"/>
        <v/>
      </c>
      <c r="D137" s="618" t="str">
        <f t="shared" si="115"/>
        <v/>
      </c>
      <c r="E137" s="616" t="str">
        <f t="shared" si="116"/>
        <v/>
      </c>
      <c r="F137" s="616" t="str">
        <f t="shared" si="117"/>
        <v/>
      </c>
      <c r="G137" s="619" t="str">
        <f>IF(Tree_Table1[[#This Row],[Tree Status  &amp;]]="Retain", Tables!$B$237, IF(Tree_Table1[[#This Row],[Tree Status  &amp;]]="Remove", Tables!$B$238, ""))</f>
        <v/>
      </c>
      <c r="H137" s="321"/>
      <c r="I137" s="322"/>
      <c r="J137" s="453"/>
      <c r="K137" s="323" t="str">
        <f>IFERROR(
    IF(
        AND($H137="Zoning: Tree Points", NOT(ISNUMBER(SEARCH("sp.", $C137)))),
        VLOOKUP($C137, 'Tree List'!$C$3:$F$601, 4, FALSE),
        ""
    ),
"")</f>
        <v/>
      </c>
      <c r="L137" s="324" t="str" cm="1">
        <f t="array" ref="L137">IFERROR(
IF(
    AND($H137="Zoning: Tree Points", NOT(ISNUMBER(SEARCH("sp.", $C137)))),
    _xlfn.IFS(
        (COUNTIFS('Tree List'!$C$3:$C$601,$C137,'Tree List'!$D$3:$D$601,"Coniferous")
        + COUNTIFS('Tree List'!$C$3:$C$601,$C137,'Tree List'!$D$3:$D$601,"Deciduous Conifer")) &gt; 0,
            _xlfn.IFS($K137="Small",0.5,$K137="Small/Medium",1,$K137="Medium/Large",1.4,$K137="Large",1.8),
        (COUNTIFS('Tree List'!$C$3:$C$601,$C137,'Tree List'!$D$3:$D$601,"Deciduous")
        + COUNTIFS('Tree List'!$C$3:$C$601,$C137,'Tree List'!$D$3:$D$601,"Broadleaf Evergreen")) &gt; 0,
            _xlfn.IFS($K137="Small",0.4,$K137="Small/Medium",0.8,$K137="Medium/Large",1.2,$K137="Large",1.6)
    ),
    ""
),
"")</f>
        <v/>
      </c>
      <c r="M137" s="475" t="str">
        <f t="shared" si="0"/>
        <v/>
      </c>
      <c r="N137" s="346" t="str" cm="1">
        <f t="array" aca="1" ref="N13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IF(AND(_xlpm.baseRow,ISNA(MATCH($C137,'Tree List'!$C$3:$C$601,0)),SUMPRODUCT(--ISNUMBER(SEARCH(Tables2!$C$677:$C$772,$O137)))&gt;0),
Error!$B$57,
IF(AND(_xlpm.hasDM,$F137="Remove",$H137&lt;&gt;"",OR($I137="On-site replacement",$I137="Off-site replacement",$I137="Payment In Lieu")),
Error!$B$56,
IF(AND(_xlpm.hasDM,$F137="Remove",$H137&lt;&gt;"",$I137="Relocation"),
Error!$B$66,
IF(AND(OR(_xlpm.hasCN,_xlpm.hasPH,_xlpm.hasGR),$H137&lt;&gt;"",COUNTIF(Tables!$B$132:$B$134,$H137)&gt;0,$I137="N/A (No replacement required)"),
Error!$B$62,
IF(AND(_xlpm.baseRow,$E137&lt;&gt;"",ISNA(MATCH($E137,Tables!$B$225:$B$232,0))),
Error!$B$2,
IF(AND(_xlpm.baseRow,$F137&lt;&gt;"",ISNA(MATCH($F137,Tables!$B$234:$B$235,0))),
Error!$B$24,
IF(AND(_xlpm.baseRow,_xlpm.ECA_H&gt;0,_xlpm.Shore_H&gt;0),
Error!$B$16,
IF(AND(_xlpm.baseRow,$E137&lt;&gt;"",$D137=""),
Error!$B$3,
IF(AND(_xlpm.baseRow,OR($E137="Tier 3",$E137="Tier 4"),$C137&lt;&gt;"",$D137&gt;=24,COUNTIF(Tables2!$B$166:$B$674,$C137)&gt;0),
Error!$B$44,
IF(AND(_xlpm.baseRow,OR($E137="Tier 3",$E137="Tier 4"),$C137&lt;&gt;"",$D137&lt;&gt;"",COUNTIF(Tables2!$B$73:$B$152,$C137)&gt;0,
$D137&gt;=IFERROR(INDEX(Tables2!$C$73:$C$152,MATCH($C137,Tables2!$B$73:$B$152,0)),-1)),
Error!$B$44,
IF(AND(_xlpm.baseRow,OR($E137="Tier 2",$E137="Tier 2 Grove"),$C137&lt;&gt;"",$D137&gt;=12,COUNTIF(Tables2!$B$153:$B$162,$C137)&gt;0),
Error!$B$45,
IF(AND(_xlpm.baseRow,$E137="Tier 2 Grove",$D137&lt;12),
Error!$B$41,
IF(AND(_xlpm.baseRow,$E137="Tier 2",$D137&lt;5.88),
Error!$B$40,
IF(AND(_xlpm.baseRow,OR($E137="Tier 2",$E137="Tier 2 Grove"),$C137&lt;&gt;"",$D137&lt;12,$D137&gt;=6,COUNTIF(Tables2!$B$153:$B$162,$C137)&gt;0),
Error!$B$54,
IF(AND(_xlpm.baseRow,$E137="Tier 2",COUNTIF(Tables2!$B$166:$B$674,$C137)&gt;0,$D137&lt;24),
Error!$B$54,
IF(AND(_xlpm.baseRow,$E137="Tier 3",ISNA(MATCH($C137,Tables2!$B$153:$B$162,0)),OR($D137&lt;12,$D137&gt;=24)),
Error!$B$9,
IF(AND(_xlpm.baseRow,$E137="Tier 3",COUNTIF(Tables2!$B$153:$B$162,$C137)&gt;0,$D137&lt;12),
Error!$B$46,
IF(AND(_xlpm.baseRow,$E137="Tier 4",OR($D137&lt;6,$D137&gt;=12)),
Error!$B$10,
IF(AND(_xlpm.baseRow,$E137="&lt;6in DSH for Tree Points",OR($D137&gt;=6,$D137="")),
Error!$B$8,
IF(AND(_xlpm.baseRow,$E137="Street Tree for Green Factor",$F137&lt;&gt;"",$F137&lt;&gt;"Retain"),
Error!$B$14,
IF(AND($E137="&lt;6in DSH for Tree Points",$F137="Retain",$H137&lt;&gt;"",ISNA(MATCH($H137,Tables!$B$174:$B$174,0))),
Error!$B$15,
IF(AND($E137="Street Tree for Green Factor",$F137="Retain",$H137&lt;&gt;"",$H137&lt;&gt;"Zoning: Green Factor"),
Error!$B$15,
IF(AND($E137="ECA / Shoreline Tree",$F137="Remove",$H137&lt;&gt;"",ISNA(MATCH($H137,Tables!$B$189:$B$190,0))),
Error!$B$15,
IF(AND($E137="ECA / Shoreline Tree",$F137="Retain",$H137&lt;&gt;"",ISNA(MATCH($H137,Tables!$B$184:$B$186,0))),
Error!$B$15,
IF(AND($E137="Tier 4",$F137="Remove",$H137&lt;&gt;"",ISNA(MATCH($H137,Tables!$B$171,0))),
Error!$B$15,
IF(AND($E137="Tier 4",$F137="Retain",$H137&lt;&gt;"",ISNA(MATCH($H137,Tables!$B$166:$B$168,0))),
Error!$B$15,
IF(AND($E137="Tier 3",$F137="Retain",$H137&lt;&gt;"",ISNA(MATCH($H137,Tables!$B$158:$B$160,0))),
Error!$B$15,
IF(AND($E137="Tier 3",$F137="Remove",$H137&lt;&gt;"",ISNA(MATCH($H137,Tables!$B$163,0))),
Error!$B$15,
IF(AND(OR($E137="Tier 2",$E137="Tier 2 Grove"),$F137="Remove",$H137&lt;&gt;"",ISNA(MATCH($H137,Tables!$B$153:$B$155,0))),
Error!$B$15,
IF(AND(OR($E137="Tier 2",$E137="Tier 2 Grove"),$F137="Retain",$H137&lt;&gt;"",ISNA(MATCH($H137,Tables!$B$147:$B$150,0))),
Error!$B$15,
IF(AND($E137="Tier 1",$F137="Remove",$H137&lt;&gt;"",ISNA(MATCH($H137,Tables!$B$143:$B$144,0))),
Error!$B$15,
IF(AND($E137="Tier 1",$F137="Retain",$H137&lt;&gt;"",ISNA(MATCH($H137,Tables!$B$137:$B$140,0))),
Error!$B$15,
IF(AND($E137&lt;&gt;"Tier 2",$E137&lt;&gt;"Tier 2 Grove",$E137&lt;&gt;"Tier 3",$E137&lt;&gt;"Tier 4",$H137="Zoning: Green Factor",OR($D137="",$D137&lt;6)),
Error!$B$11,
IF(AND(_xlpm.baseRow,$D137&lt;6,$E137="&lt;6in DSH for Tree Points",_xlpm.TreePoints_H=0),
Error!$B$21,
IF(AND(_xlpm.baseRow,$E137&lt;&gt;"",$D137&lt;&gt;"",$F137=""),
Error!$B$4,
IF(AND(_xlpm.baseRow,$F137="Remove",OR($E137="Tier 1",$E137="Tier 2",$E137="Tier 2 Grove"),COUNTBLANK(_xlpm.HRange)&lt;3,_xlpm.uniqueH&gt;=2),
Error!$B$48,
IF(AND(_xlpm.baseRow,$F137="Retain",OR($E137="Tier 1",$E137="Tier 2",$E137="Tier 2 Grove"),COUNTIF(_xlpm.HRange,"Tree Code: Required to Retain Tier 1-2 Tree")=0),
Error!$B$47,
IF(AND(_xlpm.baseRow,$E137&lt;&gt;"",$D137&lt;&gt;"",$F137&lt;&gt;"",COUNTBLANK(_xlpm.HRange)=4),
Error!$B$5,
IF(AND($F137="Remove",$H137&lt;&gt;"",$I137=""),
Error!$B$18,
IF(AND($E137="Tier 4",$F137="Remove",$H137="Tree Protection Code: Tier 3 or Tier 4 Allowance",$H137&lt;&gt;"",ISNA(MATCH($I137,Tables!$B$200,0))),
Error!$B$17,
IF(AND($E137="Tier 3",$F137="Remove",$H137&lt;&gt;"",$H137="Tree Protection Code: Tier 3 or Tier 4 Allowance",OR($I137="",ISNA(MATCH($I137,Tables!$B$193:$B$197,0)))),
Error!$B$17,
IF(AND(OR($E137="Tier 2",$E137="Tier 2 Grove"),$F137="Remove",$H137="Tree Protection Code: Other removal allowance or exemption",$I137&lt;&gt;"",ISNA(MATCH($I137,Tables!$B$215:$B$218,0))),
Error!$B$17,
IF(AND(OR($E137="Tier 2",$E137="Tier 2 Grove"),$F137="Remove",$H137="Tree Protection Code: Development Capacity",$I137&lt;&gt;"",ISNA(MATCH($I137,Tables!$B$193:$B$197,0))),
Error!$B$17,
IF(AND(OR($E137="Tier 2",$E137="Tier 2 Grove"),$F137="Remove",$H137="Tree Protection Code: Necessary for Construction",$I137&lt;&gt;"",ISNA(MATCH($I137,Tables!$B$193:$B$197,0))),
Error!$B$17,
IF(AND($E137="Tier 1",$F137="Remove",$H137="Tree Protection Code: Special Exception",$I137&lt;&gt;"",ISNA(MATCH($I137,Tables!$B$215:$B$218,0))),
Error!$B$17,
IF(AND($E137="Tier 1",$F137="Remove",$H137="Tree Protection Code: Other removal allowance or exemption",$I137&lt;&gt;"",ISNA(MATCH($I137,Tables!$B$215:$B$218,0))),
Error!$B$17,
IF(AND($E137="ECA / Shoreline Tree",$F137="Remove",$H137&lt;&gt;"",OR($H137="Shoreline",$H137="Environmental Critical Area (ECA)"),ISNA(MATCH($I137,Tables!$B$209:$B$212,0))),
Error!$B$17,
IF(AND(_xlpm.baseRow,$F137="Retain",$E137="ECA / Shoreline Tree",_xlpm.ECA_Short=0),
Error!$B$61,
IF(AND($F137="Remove",ISNUMBER(MATCH($E137,{"Tier 1","Tier 2","Tier 3","Tier 4","Tier 2 Grove"},0)),ISNUMBER(MATCH($I137,{"On-site replacement","Off-site replacement"},0)),$J137="",$H137&lt;&gt;""),
Error!$B$19,
IF(AND(_xlpm.baseRow,$E137&lt;&gt;"",$D137&lt;&gt;"",$F137&lt;&gt;"",COUNTBLANK($B137:$C137)&gt;0,COUNTBLANK(_xlpm.HRange)&lt;&gt;4),
Error!$B$22,
IF(AND($H137="Zoning: Tree Points",$K137&lt;&gt;"",ISNA(MATCH($K137,Tables!$B$242:$B$253,0))),
Error!$B$58,
IF(AND($H137="Zoning: Tree Points",$K137="Small",$L137&lt;&gt;"",ISNA(MATCH($L137,Tables!$C$243:$C$244,0))),
Error!$B$59,
IF(AND($H137="Zoning: Tree Points",$K137="Small/Medium",$L137&lt;&gt;"",ISNA(MATCH($L137,Tables!$C$246:$C$247,0))),
Error!$B$59,
IF(AND($H137="Zoning: Tree Points",$K137="Medium/Large",$L137&lt;&gt;"",ISNA(MATCH($L137,Tables!$C$249:$C$250,0))),
Error!$B$59,
IF(AND($H137="Zoning: Tree Points",$K137="Large",$L137&lt;&gt;"",ISNA(MATCH($L137,Tables!$C$252:$C$253,0))),
Error!$B$59,
IF(AND($F137="Retain",$H137="Zoning: Tree Points",$C137&lt;&gt;"",$D137&lt;&gt;"",OR($K137="",$L137="",$M137="")),
Error!$B$20,
""
)))))))))))))))))))))))))))))))))))))))))))))))))))))))),
Error!$B$23))</f>
        <v/>
      </c>
      <c r="O137" s="343" t="str" cm="1">
        <f t="array" aca="1" ref="O137" ca="1">IFERROR(_xlfn.LET(
    _xlpm.txt, $C137,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8" spans="1:15" ht="15" thickBot="1" x14ac:dyDescent="0.35">
      <c r="A138" s="320"/>
      <c r="B138" s="616" t="str">
        <f t="shared" si="113"/>
        <v/>
      </c>
      <c r="C138" s="617" t="str">
        <f t="shared" si="114"/>
        <v/>
      </c>
      <c r="D138" s="618" t="str">
        <f t="shared" si="115"/>
        <v/>
      </c>
      <c r="E138" s="616" t="str">
        <f t="shared" si="116"/>
        <v/>
      </c>
      <c r="F138" s="616" t="str">
        <f t="shared" si="117"/>
        <v/>
      </c>
      <c r="G138" s="619" t="str">
        <f>IF(Tree_Table1[[#This Row],[Tree Status  &amp;]]="Retain", Tables!$B$237, IF(Tree_Table1[[#This Row],[Tree Status  &amp;]]="Remove", Tables!$B$238, ""))</f>
        <v/>
      </c>
      <c r="H138" s="329"/>
      <c r="I138" s="330"/>
      <c r="J138" s="455"/>
      <c r="K138" s="327" t="str">
        <f>IFERROR(
    IF(
        AND($H138="Zoning: Tree Points", NOT(ISNUMBER(SEARCH("sp.", $C138)))),
        VLOOKUP($C138, 'Tree List'!$C$3:$F$601, 4, FALSE),
        ""
    ),
"")</f>
        <v/>
      </c>
      <c r="L138" s="328" t="str" cm="1">
        <f t="array" ref="L138">IFERROR(
IF(
    AND($H138="Zoning: Tree Points", NOT(ISNUMBER(SEARCH("sp.", $C138)))),
    _xlfn.IFS(
        (COUNTIFS('Tree List'!$C$3:$C$601,$C138,'Tree List'!$D$3:$D$601,"Coniferous")
        + COUNTIFS('Tree List'!$C$3:$C$601,$C138,'Tree List'!$D$3:$D$601,"Deciduous Conifer")) &gt; 0,
            _xlfn.IFS($K138="Small",0.5,$K138="Small/Medium",1,$K138="Medium/Large",1.4,$K138="Large",1.8),
        (COUNTIFS('Tree List'!$C$3:$C$601,$C138,'Tree List'!$D$3:$D$601,"Deciduous")
        + COUNTIFS('Tree List'!$C$3:$C$601,$C138,'Tree List'!$D$3:$D$601,"Broadleaf Evergreen")) &gt; 0,
            _xlfn.IFS($K138="Small",0.4,$K138="Small/Medium",0.8,$K138="Medium/Large",1.2,$K138="Large",1.6)
    ),
    ""
),
"")</f>
        <v/>
      </c>
      <c r="M138" s="476" t="str">
        <f t="shared" si="0"/>
        <v/>
      </c>
      <c r="N138" s="347" t="str" cm="1">
        <f t="array" aca="1" ref="N13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IF(AND(_xlpm.baseRow,ISNA(MATCH($C138,'Tree List'!$C$3:$C$601,0)),SUMPRODUCT(--ISNUMBER(SEARCH(Tables2!$C$677:$C$772,$O138)))&gt;0),
Error!$B$57,
IF(AND(_xlpm.hasDM,$F138="Remove",$H138&lt;&gt;"",OR($I138="On-site replacement",$I138="Off-site replacement",$I138="Payment In Lieu")),
Error!$B$56,
IF(AND(_xlpm.hasDM,$F138="Remove",$H138&lt;&gt;"",$I138="Relocation"),
Error!$B$66,
IF(AND(OR(_xlpm.hasCN,_xlpm.hasPH,_xlpm.hasGR),$H138&lt;&gt;"",COUNTIF(Tables!$B$132:$B$134,$H138)&gt;0,$I138="N/A (No replacement required)"),
Error!$B$62,
IF(AND(_xlpm.baseRow,$E138&lt;&gt;"",ISNA(MATCH($E138,Tables!$B$225:$B$232,0))),
Error!$B$2,
IF(AND(_xlpm.baseRow,$F138&lt;&gt;"",ISNA(MATCH($F138,Tables!$B$234:$B$235,0))),
Error!$B$24,
IF(AND(_xlpm.baseRow,_xlpm.ECA_H&gt;0,_xlpm.Shore_H&gt;0),
Error!$B$16,
IF(AND(_xlpm.baseRow,$E138&lt;&gt;"",$D138=""),
Error!$B$3,
IF(AND(_xlpm.baseRow,OR($E138="Tier 3",$E138="Tier 4"),$C138&lt;&gt;"",$D138&gt;=24,COUNTIF(Tables2!$B$166:$B$674,$C138)&gt;0),
Error!$B$44,
IF(AND(_xlpm.baseRow,OR($E138="Tier 3",$E138="Tier 4"),$C138&lt;&gt;"",$D138&lt;&gt;"",COUNTIF(Tables2!$B$73:$B$152,$C138)&gt;0,
$D138&gt;=IFERROR(INDEX(Tables2!$C$73:$C$152,MATCH($C138,Tables2!$B$73:$B$152,0)),-1)),
Error!$B$44,
IF(AND(_xlpm.baseRow,OR($E138="Tier 2",$E138="Tier 2 Grove"),$C138&lt;&gt;"",$D138&gt;=12,COUNTIF(Tables2!$B$153:$B$162,$C138)&gt;0),
Error!$B$45,
IF(AND(_xlpm.baseRow,$E138="Tier 2 Grove",$D138&lt;12),
Error!$B$41,
IF(AND(_xlpm.baseRow,$E138="Tier 2",$D138&lt;5.88),
Error!$B$40,
IF(AND(_xlpm.baseRow,OR($E138="Tier 2",$E138="Tier 2 Grove"),$C138&lt;&gt;"",$D138&lt;12,$D138&gt;=6,COUNTIF(Tables2!$B$153:$B$162,$C138)&gt;0),
Error!$B$54,
IF(AND(_xlpm.baseRow,$E138="Tier 2",COUNTIF(Tables2!$B$166:$B$674,$C138)&gt;0,$D138&lt;24),
Error!$B$54,
IF(AND(_xlpm.baseRow,$E138="Tier 3",ISNA(MATCH($C138,Tables2!$B$153:$B$162,0)),OR($D138&lt;12,$D138&gt;=24)),
Error!$B$9,
IF(AND(_xlpm.baseRow,$E138="Tier 3",COUNTIF(Tables2!$B$153:$B$162,$C138)&gt;0,$D138&lt;12),
Error!$B$46,
IF(AND(_xlpm.baseRow,$E138="Tier 4",OR($D138&lt;6,$D138&gt;=12)),
Error!$B$10,
IF(AND(_xlpm.baseRow,$E138="&lt;6in DSH for Tree Points",OR($D138&gt;=6,$D138="")),
Error!$B$8,
IF(AND(_xlpm.baseRow,$E138="Street Tree for Green Factor",$F138&lt;&gt;"",$F138&lt;&gt;"Retain"),
Error!$B$14,
IF(AND($E138="&lt;6in DSH for Tree Points",$F138="Retain",$H138&lt;&gt;"",ISNA(MATCH($H138,Tables!$B$174:$B$174,0))),
Error!$B$15,
IF(AND($E138="Street Tree for Green Factor",$F138="Retain",$H138&lt;&gt;"",$H138&lt;&gt;"Zoning: Green Factor"),
Error!$B$15,
IF(AND($E138="ECA / Shoreline Tree",$F138="Remove",$H138&lt;&gt;"",ISNA(MATCH($H138,Tables!$B$189:$B$190,0))),
Error!$B$15,
IF(AND($E138="ECA / Shoreline Tree",$F138="Retain",$H138&lt;&gt;"",ISNA(MATCH($H138,Tables!$B$184:$B$186,0))),
Error!$B$15,
IF(AND($E138="Tier 4",$F138="Remove",$H138&lt;&gt;"",ISNA(MATCH($H138,Tables!$B$171,0))),
Error!$B$15,
IF(AND($E138="Tier 4",$F138="Retain",$H138&lt;&gt;"",ISNA(MATCH($H138,Tables!$B$166:$B$168,0))),
Error!$B$15,
IF(AND($E138="Tier 3",$F138="Retain",$H138&lt;&gt;"",ISNA(MATCH($H138,Tables!$B$158:$B$160,0))),
Error!$B$15,
IF(AND($E138="Tier 3",$F138="Remove",$H138&lt;&gt;"",ISNA(MATCH($H138,Tables!$B$163,0))),
Error!$B$15,
IF(AND(OR($E138="Tier 2",$E138="Tier 2 Grove"),$F138="Remove",$H138&lt;&gt;"",ISNA(MATCH($H138,Tables!$B$153:$B$155,0))),
Error!$B$15,
IF(AND(OR($E138="Tier 2",$E138="Tier 2 Grove"),$F138="Retain",$H138&lt;&gt;"",ISNA(MATCH($H138,Tables!$B$147:$B$150,0))),
Error!$B$15,
IF(AND($E138="Tier 1",$F138="Remove",$H138&lt;&gt;"",ISNA(MATCH($H138,Tables!$B$143:$B$144,0))),
Error!$B$15,
IF(AND($E138="Tier 1",$F138="Retain",$H138&lt;&gt;"",ISNA(MATCH($H138,Tables!$B$137:$B$140,0))),
Error!$B$15,
IF(AND($E138&lt;&gt;"Tier 2",$E138&lt;&gt;"Tier 2 Grove",$E138&lt;&gt;"Tier 3",$E138&lt;&gt;"Tier 4",$H138="Zoning: Green Factor",OR($D138="",$D138&lt;6)),
Error!$B$11,
IF(AND(_xlpm.baseRow,$D138&lt;6,$E138="&lt;6in DSH for Tree Points",_xlpm.TreePoints_H=0),
Error!$B$21,
IF(AND(_xlpm.baseRow,$E138&lt;&gt;"",$D138&lt;&gt;"",$F138=""),
Error!$B$4,
IF(AND(_xlpm.baseRow,$F138="Remove",OR($E138="Tier 1",$E138="Tier 2",$E138="Tier 2 Grove"),COUNTBLANK(_xlpm.HRange)&lt;3,_xlpm.uniqueH&gt;=2),
Error!$B$48,
IF(AND(_xlpm.baseRow,$F138="Retain",OR($E138="Tier 1",$E138="Tier 2",$E138="Tier 2 Grove"),COUNTIF(_xlpm.HRange,"Tree Code: Required to Retain Tier 1-2 Tree")=0),
Error!$B$47,
IF(AND(_xlpm.baseRow,$E138&lt;&gt;"",$D138&lt;&gt;"",$F138&lt;&gt;"",COUNTBLANK(_xlpm.HRange)=4),
Error!$B$5,
IF(AND($F138="Remove",$H138&lt;&gt;"",$I138=""),
Error!$B$18,
IF(AND($E138="Tier 4",$F138="Remove",$H138="Tree Protection Code: Tier 3 or Tier 4 Allowance",$H138&lt;&gt;"",ISNA(MATCH($I138,Tables!$B$200,0))),
Error!$B$17,
IF(AND($E138="Tier 3",$F138="Remove",$H138&lt;&gt;"",$H138="Tree Protection Code: Tier 3 or Tier 4 Allowance",OR($I138="",ISNA(MATCH($I138,Tables!$B$193:$B$197,0)))),
Error!$B$17,
IF(AND(OR($E138="Tier 2",$E138="Tier 2 Grove"),$F138="Remove",$H138="Tree Protection Code: Other removal allowance or exemption",$I138&lt;&gt;"",ISNA(MATCH($I138,Tables!$B$215:$B$218,0))),
Error!$B$17,
IF(AND(OR($E138="Tier 2",$E138="Tier 2 Grove"),$F138="Remove",$H138="Tree Protection Code: Development Capacity",$I138&lt;&gt;"",ISNA(MATCH($I138,Tables!$B$193:$B$197,0))),
Error!$B$17,
IF(AND(OR($E138="Tier 2",$E138="Tier 2 Grove"),$F138="Remove",$H138="Tree Protection Code: Necessary for Construction",$I138&lt;&gt;"",ISNA(MATCH($I138,Tables!$B$193:$B$197,0))),
Error!$B$17,
IF(AND($E138="Tier 1",$F138="Remove",$H138="Tree Protection Code: Special Exception",$I138&lt;&gt;"",ISNA(MATCH($I138,Tables!$B$215:$B$218,0))),
Error!$B$17,
IF(AND($E138="Tier 1",$F138="Remove",$H138="Tree Protection Code: Other removal allowance or exemption",$I138&lt;&gt;"",ISNA(MATCH($I138,Tables!$B$215:$B$218,0))),
Error!$B$17,
IF(AND($E138="ECA / Shoreline Tree",$F138="Remove",$H138&lt;&gt;"",OR($H138="Shoreline",$H138="Environmental Critical Area (ECA)"),ISNA(MATCH($I138,Tables!$B$209:$B$212,0))),
Error!$B$17,
IF(AND(_xlpm.baseRow,$F138="Retain",$E138="ECA / Shoreline Tree",_xlpm.ECA_Short=0),
Error!$B$61,
IF(AND($F138="Remove",ISNUMBER(MATCH($E138,{"Tier 1","Tier 2","Tier 3","Tier 4","Tier 2 Grove"},0)),ISNUMBER(MATCH($I138,{"On-site replacement","Off-site replacement"},0)),$J138="",$H138&lt;&gt;""),
Error!$B$19,
IF(AND(_xlpm.baseRow,$E138&lt;&gt;"",$D138&lt;&gt;"",$F138&lt;&gt;"",COUNTBLANK($B138:$C138)&gt;0,COUNTBLANK(_xlpm.HRange)&lt;&gt;4),
Error!$B$22,
IF(AND($H138="Zoning: Tree Points",$K138&lt;&gt;"",ISNA(MATCH($K138,Tables!$B$242:$B$253,0))),
Error!$B$58,
IF(AND($H138="Zoning: Tree Points",$K138="Small",$L138&lt;&gt;"",ISNA(MATCH($L138,Tables!$C$243:$C$244,0))),
Error!$B$59,
IF(AND($H138="Zoning: Tree Points",$K138="Small/Medium",$L138&lt;&gt;"",ISNA(MATCH($L138,Tables!$C$246:$C$247,0))),
Error!$B$59,
IF(AND($H138="Zoning: Tree Points",$K138="Medium/Large",$L138&lt;&gt;"",ISNA(MATCH($L138,Tables!$C$249:$C$250,0))),
Error!$B$59,
IF(AND($H138="Zoning: Tree Points",$K138="Large",$L138&lt;&gt;"",ISNA(MATCH($L138,Tables!$C$252:$C$253,0))),
Error!$B$59,
IF(AND($F138="Retain",$H138="Zoning: Tree Points",$C138&lt;&gt;"",$D138&lt;&gt;"",OR($K138="",$L138="",$M138="")),
Error!$B$20,
""
)))))))))))))))))))))))))))))))))))))))))))))))))))))))),
Error!$B$23))</f>
        <v/>
      </c>
      <c r="O138" s="343" t="str" cm="1">
        <f t="array" aca="1" ref="O138" ca="1">IFERROR(_xlfn.LET(
    _xlpm.txt, $C138,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9" spans="1:15" ht="15" thickBot="1" x14ac:dyDescent="0.35">
      <c r="A139" s="311">
        <v>33</v>
      </c>
      <c r="B139" s="312"/>
      <c r="C139" s="313"/>
      <c r="D139" s="478"/>
      <c r="E139" s="314"/>
      <c r="F139" s="314"/>
      <c r="G139" s="315" t="str">
        <f>IF(Tree_Table1[[#This Row],[Tree Status  &amp;]]="Retain", Tables!$B$237, IF(Tree_Table1[[#This Row],[Tree Status  &amp;]]="Remove", Tables!$B$238, ""))</f>
        <v/>
      </c>
      <c r="H139" s="316"/>
      <c r="I139" s="317"/>
      <c r="J139" s="452"/>
      <c r="K139" s="318" t="str">
        <f>IFERROR(
    IF(
        AND($H139="Zoning: Tree Points", NOT(ISNUMBER(SEARCH("sp.", $C139)))),
        VLOOKUP($C139, 'Tree List'!$C$3:$F$601, 4, FALSE),
        ""
    ),
"")</f>
        <v/>
      </c>
      <c r="L139" s="319" t="str" cm="1">
        <f t="array" ref="L139">IFERROR(
IF(
    AND($H139="Zoning: Tree Points", NOT(ISNUMBER(SEARCH("sp.", $C139)))),
    _xlfn.IFS(
        (COUNTIFS('Tree List'!$C$3:$C$601,$C139,'Tree List'!$D$3:$D$601,"Coniferous")
        + COUNTIFS('Tree List'!$C$3:$C$601,$C139,'Tree List'!$D$3:$D$601,"Deciduous Conifer")) &gt; 0,
            _xlfn.IFS($K139="Small",0.5,$K139="Small/Medium",1,$K139="Medium/Large",1.4,$K139="Large",1.8),
        (COUNTIFS('Tree List'!$C$3:$C$601,$C139,'Tree List'!$D$3:$D$601,"Deciduous")
        + COUNTIFS('Tree List'!$C$3:$C$601,$C139,'Tree List'!$D$3:$D$601,"Broadleaf Evergreen")) &gt; 0,
            _xlfn.IFS($K139="Small",0.4,$K139="Small/Medium",0.8,$K139="Medium/Large",1.2,$K139="Large",1.6)
    ),
    ""
),
"")</f>
        <v/>
      </c>
      <c r="M139" s="474" t="str">
        <f t="shared" si="0"/>
        <v/>
      </c>
      <c r="N139" s="620" t="str" cm="1">
        <f t="array" aca="1" ref="N13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IF(AND(_xlpm.baseRow,ISNA(MATCH($C139,'Tree List'!$C$3:$C$601,0)),SUMPRODUCT(--ISNUMBER(SEARCH(Tables2!$C$677:$C$772,$O139)))&gt;0),
Error!$B$57,
IF(AND(_xlpm.hasDM,$F139="Remove",$H139&lt;&gt;"",OR($I139="On-site replacement",$I139="Off-site replacement",$I139="Payment In Lieu")),
Error!$B$56,
IF(AND(_xlpm.hasDM,$F139="Remove",$H139&lt;&gt;"",$I139="Relocation"),
Error!$B$66,
IF(AND(OR(_xlpm.hasCN,_xlpm.hasPH,_xlpm.hasGR),$H139&lt;&gt;"",COUNTIF(Tables!$B$132:$B$134,$H139)&gt;0,$I139="N/A (No replacement required)"),
Error!$B$62,
IF(AND(_xlpm.baseRow,$E139&lt;&gt;"",ISNA(MATCH($E139,Tables!$B$225:$B$232,0))),
Error!$B$2,
IF(AND(_xlpm.baseRow,$F139&lt;&gt;"",ISNA(MATCH($F139,Tables!$B$234:$B$235,0))),
Error!$B$24,
IF(AND(_xlpm.baseRow,_xlpm.ECA_H&gt;0,_xlpm.Shore_H&gt;0),
Error!$B$16,
IF(AND(_xlpm.baseRow,$E139&lt;&gt;"",$D139=""),
Error!$B$3,
IF(AND(_xlpm.baseRow,OR($E139="Tier 3",$E139="Tier 4"),$C139&lt;&gt;"",$D139&gt;=24,COUNTIF(Tables2!$B$166:$B$674,$C139)&gt;0),
Error!$B$44,
IF(AND(_xlpm.baseRow,OR($E139="Tier 3",$E139="Tier 4"),$C139&lt;&gt;"",$D139&lt;&gt;"",COUNTIF(Tables2!$B$73:$B$152,$C139)&gt;0,
$D139&gt;=IFERROR(INDEX(Tables2!$C$73:$C$152,MATCH($C139,Tables2!$B$73:$B$152,0)),-1)),
Error!$B$44,
IF(AND(_xlpm.baseRow,OR($E139="Tier 2",$E139="Tier 2 Grove"),$C139&lt;&gt;"",$D139&gt;=12,COUNTIF(Tables2!$B$153:$B$162,$C139)&gt;0),
Error!$B$45,
IF(AND(_xlpm.baseRow,$E139="Tier 2 Grove",$D139&lt;12),
Error!$B$41,
IF(AND(_xlpm.baseRow,$E139="Tier 2",$D139&lt;5.88),
Error!$B$40,
IF(AND(_xlpm.baseRow,OR($E139="Tier 2",$E139="Tier 2 Grove"),$C139&lt;&gt;"",$D139&lt;12,$D139&gt;=6,COUNTIF(Tables2!$B$153:$B$162,$C139)&gt;0),
Error!$B$54,
IF(AND(_xlpm.baseRow,$E139="Tier 2",COUNTIF(Tables2!$B$166:$B$674,$C139)&gt;0,$D139&lt;24),
Error!$B$54,
IF(AND(_xlpm.baseRow,$E139="Tier 3",ISNA(MATCH($C139,Tables2!$B$153:$B$162,0)),OR($D139&lt;12,$D139&gt;=24)),
Error!$B$9,
IF(AND(_xlpm.baseRow,$E139="Tier 3",COUNTIF(Tables2!$B$153:$B$162,$C139)&gt;0,$D139&lt;12),
Error!$B$46,
IF(AND(_xlpm.baseRow,$E139="Tier 4",OR($D139&lt;6,$D139&gt;=12)),
Error!$B$10,
IF(AND(_xlpm.baseRow,$E139="&lt;6in DSH for Tree Points",OR($D139&gt;=6,$D139="")),
Error!$B$8,
IF(AND(_xlpm.baseRow,$E139="Street Tree for Green Factor",$F139&lt;&gt;"",$F139&lt;&gt;"Retain"),
Error!$B$14,
IF(AND($E139="&lt;6in DSH for Tree Points",$F139="Retain",$H139&lt;&gt;"",ISNA(MATCH($H139,Tables!$B$174:$B$174,0))),
Error!$B$15,
IF(AND($E139="Street Tree for Green Factor",$F139="Retain",$H139&lt;&gt;"",$H139&lt;&gt;"Zoning: Green Factor"),
Error!$B$15,
IF(AND($E139="ECA / Shoreline Tree",$F139="Remove",$H139&lt;&gt;"",ISNA(MATCH($H139,Tables!$B$189:$B$190,0))),
Error!$B$15,
IF(AND($E139="ECA / Shoreline Tree",$F139="Retain",$H139&lt;&gt;"",ISNA(MATCH($H139,Tables!$B$184:$B$186,0))),
Error!$B$15,
IF(AND($E139="Tier 4",$F139="Remove",$H139&lt;&gt;"",ISNA(MATCH($H139,Tables!$B$171,0))),
Error!$B$15,
IF(AND($E139="Tier 4",$F139="Retain",$H139&lt;&gt;"",ISNA(MATCH($H139,Tables!$B$166:$B$168,0))),
Error!$B$15,
IF(AND($E139="Tier 3",$F139="Retain",$H139&lt;&gt;"",ISNA(MATCH($H139,Tables!$B$158:$B$160,0))),
Error!$B$15,
IF(AND($E139="Tier 3",$F139="Remove",$H139&lt;&gt;"",ISNA(MATCH($H139,Tables!$B$163,0))),
Error!$B$15,
IF(AND(OR($E139="Tier 2",$E139="Tier 2 Grove"),$F139="Remove",$H139&lt;&gt;"",ISNA(MATCH($H139,Tables!$B$153:$B$155,0))),
Error!$B$15,
IF(AND(OR($E139="Tier 2",$E139="Tier 2 Grove"),$F139="Retain",$H139&lt;&gt;"",ISNA(MATCH($H139,Tables!$B$147:$B$150,0))),
Error!$B$15,
IF(AND($E139="Tier 1",$F139="Remove",$H139&lt;&gt;"",ISNA(MATCH($H139,Tables!$B$143:$B$144,0))),
Error!$B$15,
IF(AND($E139="Tier 1",$F139="Retain",$H139&lt;&gt;"",ISNA(MATCH($H139,Tables!$B$137:$B$140,0))),
Error!$B$15,
IF(AND($E139&lt;&gt;"Tier 2",$E139&lt;&gt;"Tier 2 Grove",$E139&lt;&gt;"Tier 3",$E139&lt;&gt;"Tier 4",$H139="Zoning: Green Factor",OR($D139="",$D139&lt;6)),
Error!$B$11,
IF(AND(_xlpm.baseRow,$D139&lt;6,$E139="&lt;6in DSH for Tree Points",_xlpm.TreePoints_H=0),
Error!$B$21,
IF(AND(_xlpm.baseRow,$E139&lt;&gt;"",$D139&lt;&gt;"",$F139=""),
Error!$B$4,
IF(AND(_xlpm.baseRow,$F139="Remove",OR($E139="Tier 1",$E139="Tier 2",$E139="Tier 2 Grove"),COUNTBLANK(_xlpm.HRange)&lt;3,_xlpm.uniqueH&gt;=2),
Error!$B$48,
IF(AND(_xlpm.baseRow,$F139="Retain",OR($E139="Tier 1",$E139="Tier 2",$E139="Tier 2 Grove"),COUNTIF(_xlpm.HRange,"Tree Code: Required to Retain Tier 1-2 Tree")=0),
Error!$B$47,
IF(AND(_xlpm.baseRow,$E139&lt;&gt;"",$D139&lt;&gt;"",$F139&lt;&gt;"",COUNTBLANK(_xlpm.HRange)=4),
Error!$B$5,
IF(AND($F139="Remove",$H139&lt;&gt;"",$I139=""),
Error!$B$18,
IF(AND($E139="Tier 4",$F139="Remove",$H139="Tree Protection Code: Tier 3 or Tier 4 Allowance",$H139&lt;&gt;"",ISNA(MATCH($I139,Tables!$B$200,0))),
Error!$B$17,
IF(AND($E139="Tier 3",$F139="Remove",$H139&lt;&gt;"",$H139="Tree Protection Code: Tier 3 or Tier 4 Allowance",OR($I139="",ISNA(MATCH($I139,Tables!$B$193:$B$197,0)))),
Error!$B$17,
IF(AND(OR($E139="Tier 2",$E139="Tier 2 Grove"),$F139="Remove",$H139="Tree Protection Code: Other removal allowance or exemption",$I139&lt;&gt;"",ISNA(MATCH($I139,Tables!$B$215:$B$218,0))),
Error!$B$17,
IF(AND(OR($E139="Tier 2",$E139="Tier 2 Grove"),$F139="Remove",$H139="Tree Protection Code: Development Capacity",$I139&lt;&gt;"",ISNA(MATCH($I139,Tables!$B$193:$B$197,0))),
Error!$B$17,
IF(AND(OR($E139="Tier 2",$E139="Tier 2 Grove"),$F139="Remove",$H139="Tree Protection Code: Necessary for Construction",$I139&lt;&gt;"",ISNA(MATCH($I139,Tables!$B$193:$B$197,0))),
Error!$B$17,
IF(AND($E139="Tier 1",$F139="Remove",$H139="Tree Protection Code: Special Exception",$I139&lt;&gt;"",ISNA(MATCH($I139,Tables!$B$215:$B$218,0))),
Error!$B$17,
IF(AND($E139="Tier 1",$F139="Remove",$H139="Tree Protection Code: Other removal allowance or exemption",$I139&lt;&gt;"",ISNA(MATCH($I139,Tables!$B$215:$B$218,0))),
Error!$B$17,
IF(AND($E139="ECA / Shoreline Tree",$F139="Remove",$H139&lt;&gt;"",OR($H139="Shoreline",$H139="Environmental Critical Area (ECA)"),ISNA(MATCH($I139,Tables!$B$209:$B$212,0))),
Error!$B$17,
IF(AND(_xlpm.baseRow,$F139="Retain",$E139="ECA / Shoreline Tree",_xlpm.ECA_Short=0),
Error!$B$61,
IF(AND($F139="Remove",ISNUMBER(MATCH($E139,{"Tier 1","Tier 2","Tier 3","Tier 4","Tier 2 Grove"},0)),ISNUMBER(MATCH($I139,{"On-site replacement","Off-site replacement"},0)),$J139="",$H139&lt;&gt;""),
Error!$B$19,
IF(AND(_xlpm.baseRow,$E139&lt;&gt;"",$D139&lt;&gt;"",$F139&lt;&gt;"",COUNTBLANK($B139:$C139)&gt;0,COUNTBLANK(_xlpm.HRange)&lt;&gt;4),
Error!$B$22,
IF(AND($H139="Zoning: Tree Points",$K139&lt;&gt;"",ISNA(MATCH($K139,Tables!$B$242:$B$253,0))),
Error!$B$58,
IF(AND($H139="Zoning: Tree Points",$K139="Small",$L139&lt;&gt;"",ISNA(MATCH($L139,Tables!$C$243:$C$244,0))),
Error!$B$59,
IF(AND($H139="Zoning: Tree Points",$K139="Small/Medium",$L139&lt;&gt;"",ISNA(MATCH($L139,Tables!$C$246:$C$247,0))),
Error!$B$59,
IF(AND($H139="Zoning: Tree Points",$K139="Medium/Large",$L139&lt;&gt;"",ISNA(MATCH($L139,Tables!$C$249:$C$250,0))),
Error!$B$59,
IF(AND($H139="Zoning: Tree Points",$K139="Large",$L139&lt;&gt;"",ISNA(MATCH($L139,Tables!$C$252:$C$253,0))),
Error!$B$59,
IF(AND($F139="Retain",$H139="Zoning: Tree Points",$C139&lt;&gt;"",$D139&lt;&gt;"",OR($K139="",$L139="",$M139="")),
Error!$B$20,
""
)))))))))))))))))))))))))))))))))))))))))))))))))))))))),
Error!$B$23))</f>
        <v/>
      </c>
      <c r="O139" s="343" t="str" cm="1">
        <f t="array" aca="1" ref="O139" ca="1">IFERROR(_xlfn.LET(
    _xlpm.txt, $C139,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40" spans="1:15" x14ac:dyDescent="0.3">
      <c r="A140" s="320"/>
      <c r="B140" s="616" t="str">
        <f t="shared" ref="B140:B142" si="118">IF($B139="", "", $B139)</f>
        <v/>
      </c>
      <c r="C140" s="617" t="str">
        <f t="shared" ref="C140:C142" si="119">IF($C139="", "", $C139)</f>
        <v/>
      </c>
      <c r="D140" s="618" t="str">
        <f t="shared" ref="D140:D142" si="120">IF($D139="", "", $D139)</f>
        <v/>
      </c>
      <c r="E140" s="616" t="str">
        <f t="shared" ref="E140:E142" si="121">IF($E139="", "", $E139)</f>
        <v/>
      </c>
      <c r="F140" s="616" t="str">
        <f t="shared" ref="F140:F142" si="122">IF($F139="", "", $F139)</f>
        <v/>
      </c>
      <c r="G140" s="619" t="str">
        <f>IF(Tree_Table1[[#This Row],[Tree Status  &amp;]]="Retain", Tables!$B$237, IF(Tree_Table1[[#This Row],[Tree Status  &amp;]]="Remove", Tables!$B$238, ""))</f>
        <v/>
      </c>
      <c r="H140" s="321"/>
      <c r="I140" s="322"/>
      <c r="J140" s="453"/>
      <c r="K140" s="323" t="str">
        <f>IFERROR(
    IF(
        AND($H140="Zoning: Tree Points", NOT(ISNUMBER(SEARCH("sp.", $C140)))),
        VLOOKUP($C140, 'Tree List'!$C$3:$F$601, 4, FALSE),
        ""
    ),
"")</f>
        <v/>
      </c>
      <c r="L140" s="324" t="str" cm="1">
        <f t="array" ref="L140">IFERROR(
IF(
    AND($H140="Zoning: Tree Points", NOT(ISNUMBER(SEARCH("sp.", $C140)))),
    _xlfn.IFS(
        (COUNTIFS('Tree List'!$C$3:$C$601,$C140,'Tree List'!$D$3:$D$601,"Coniferous")
        + COUNTIFS('Tree List'!$C$3:$C$601,$C140,'Tree List'!$D$3:$D$601,"Deciduous Conifer")) &gt; 0,
            _xlfn.IFS($K140="Small",0.5,$K140="Small/Medium",1,$K140="Medium/Large",1.4,$K140="Large",1.8),
        (COUNTIFS('Tree List'!$C$3:$C$601,$C140,'Tree List'!$D$3:$D$601,"Deciduous")
        + COUNTIFS('Tree List'!$C$3:$C$601,$C140,'Tree List'!$D$3:$D$601,"Broadleaf Evergreen")) &gt; 0,
            _xlfn.IFS($K140="Small",0.4,$K140="Small/Medium",0.8,$K140="Medium/Large",1.2,$K140="Large",1.6)
    ),
    ""
),
"")</f>
        <v/>
      </c>
      <c r="M140" s="475" t="str">
        <f t="shared" si="0"/>
        <v/>
      </c>
      <c r="N140" s="346" t="str" cm="1">
        <f t="array" aca="1" ref="N14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IF(AND(_xlpm.baseRow,ISNA(MATCH($C140,'Tree List'!$C$3:$C$601,0)),SUMPRODUCT(--ISNUMBER(SEARCH(Tables2!$C$677:$C$772,$O140)))&gt;0),
Error!$B$57,
IF(AND(_xlpm.hasDM,$F140="Remove",$H140&lt;&gt;"",OR($I140="On-site replacement",$I140="Off-site replacement",$I140="Payment In Lieu")),
Error!$B$56,
IF(AND(_xlpm.hasDM,$F140="Remove",$H140&lt;&gt;"",$I140="Relocation"),
Error!$B$66,
IF(AND(OR(_xlpm.hasCN,_xlpm.hasPH,_xlpm.hasGR),$H140&lt;&gt;"",COUNTIF(Tables!$B$132:$B$134,$H140)&gt;0,$I140="N/A (No replacement required)"),
Error!$B$62,
IF(AND(_xlpm.baseRow,$E140&lt;&gt;"",ISNA(MATCH($E140,Tables!$B$225:$B$232,0))),
Error!$B$2,
IF(AND(_xlpm.baseRow,$F140&lt;&gt;"",ISNA(MATCH($F140,Tables!$B$234:$B$235,0))),
Error!$B$24,
IF(AND(_xlpm.baseRow,_xlpm.ECA_H&gt;0,_xlpm.Shore_H&gt;0),
Error!$B$16,
IF(AND(_xlpm.baseRow,$E140&lt;&gt;"",$D140=""),
Error!$B$3,
IF(AND(_xlpm.baseRow,OR($E140="Tier 3",$E140="Tier 4"),$C140&lt;&gt;"",$D140&gt;=24,COUNTIF(Tables2!$B$166:$B$674,$C140)&gt;0),
Error!$B$44,
IF(AND(_xlpm.baseRow,OR($E140="Tier 3",$E140="Tier 4"),$C140&lt;&gt;"",$D140&lt;&gt;"",COUNTIF(Tables2!$B$73:$B$152,$C140)&gt;0,
$D140&gt;=IFERROR(INDEX(Tables2!$C$73:$C$152,MATCH($C140,Tables2!$B$73:$B$152,0)),-1)),
Error!$B$44,
IF(AND(_xlpm.baseRow,OR($E140="Tier 2",$E140="Tier 2 Grove"),$C140&lt;&gt;"",$D140&gt;=12,COUNTIF(Tables2!$B$153:$B$162,$C140)&gt;0),
Error!$B$45,
IF(AND(_xlpm.baseRow,$E140="Tier 2 Grove",$D140&lt;12),
Error!$B$41,
IF(AND(_xlpm.baseRow,$E140="Tier 2",$D140&lt;5.88),
Error!$B$40,
IF(AND(_xlpm.baseRow,OR($E140="Tier 2",$E140="Tier 2 Grove"),$C140&lt;&gt;"",$D140&lt;12,$D140&gt;=6,COUNTIF(Tables2!$B$153:$B$162,$C140)&gt;0),
Error!$B$54,
IF(AND(_xlpm.baseRow,$E140="Tier 2",COUNTIF(Tables2!$B$166:$B$674,$C140)&gt;0,$D140&lt;24),
Error!$B$54,
IF(AND(_xlpm.baseRow,$E140="Tier 3",ISNA(MATCH($C140,Tables2!$B$153:$B$162,0)),OR($D140&lt;12,$D140&gt;=24)),
Error!$B$9,
IF(AND(_xlpm.baseRow,$E140="Tier 3",COUNTIF(Tables2!$B$153:$B$162,$C140)&gt;0,$D140&lt;12),
Error!$B$46,
IF(AND(_xlpm.baseRow,$E140="Tier 4",OR($D140&lt;6,$D140&gt;=12)),
Error!$B$10,
IF(AND(_xlpm.baseRow,$E140="&lt;6in DSH for Tree Points",OR($D140&gt;=6,$D140="")),
Error!$B$8,
IF(AND(_xlpm.baseRow,$E140="Street Tree for Green Factor",$F140&lt;&gt;"",$F140&lt;&gt;"Retain"),
Error!$B$14,
IF(AND($E140="&lt;6in DSH for Tree Points",$F140="Retain",$H140&lt;&gt;"",ISNA(MATCH($H140,Tables!$B$174:$B$174,0))),
Error!$B$15,
IF(AND($E140="Street Tree for Green Factor",$F140="Retain",$H140&lt;&gt;"",$H140&lt;&gt;"Zoning: Green Factor"),
Error!$B$15,
IF(AND($E140="ECA / Shoreline Tree",$F140="Remove",$H140&lt;&gt;"",ISNA(MATCH($H140,Tables!$B$189:$B$190,0))),
Error!$B$15,
IF(AND($E140="ECA / Shoreline Tree",$F140="Retain",$H140&lt;&gt;"",ISNA(MATCH($H140,Tables!$B$184:$B$186,0))),
Error!$B$15,
IF(AND($E140="Tier 4",$F140="Remove",$H140&lt;&gt;"",ISNA(MATCH($H140,Tables!$B$171,0))),
Error!$B$15,
IF(AND($E140="Tier 4",$F140="Retain",$H140&lt;&gt;"",ISNA(MATCH($H140,Tables!$B$166:$B$168,0))),
Error!$B$15,
IF(AND($E140="Tier 3",$F140="Retain",$H140&lt;&gt;"",ISNA(MATCH($H140,Tables!$B$158:$B$160,0))),
Error!$B$15,
IF(AND($E140="Tier 3",$F140="Remove",$H140&lt;&gt;"",ISNA(MATCH($H140,Tables!$B$163,0))),
Error!$B$15,
IF(AND(OR($E140="Tier 2",$E140="Tier 2 Grove"),$F140="Remove",$H140&lt;&gt;"",ISNA(MATCH($H140,Tables!$B$153:$B$155,0))),
Error!$B$15,
IF(AND(OR($E140="Tier 2",$E140="Tier 2 Grove"),$F140="Retain",$H140&lt;&gt;"",ISNA(MATCH($H140,Tables!$B$147:$B$150,0))),
Error!$B$15,
IF(AND($E140="Tier 1",$F140="Remove",$H140&lt;&gt;"",ISNA(MATCH($H140,Tables!$B$143:$B$144,0))),
Error!$B$15,
IF(AND($E140="Tier 1",$F140="Retain",$H140&lt;&gt;"",ISNA(MATCH($H140,Tables!$B$137:$B$140,0))),
Error!$B$15,
IF(AND($E140&lt;&gt;"Tier 2",$E140&lt;&gt;"Tier 2 Grove",$E140&lt;&gt;"Tier 3",$E140&lt;&gt;"Tier 4",$H140="Zoning: Green Factor",OR($D140="",$D140&lt;6)),
Error!$B$11,
IF(AND(_xlpm.baseRow,$D140&lt;6,$E140="&lt;6in DSH for Tree Points",_xlpm.TreePoints_H=0),
Error!$B$21,
IF(AND(_xlpm.baseRow,$E140&lt;&gt;"",$D140&lt;&gt;"",$F140=""),
Error!$B$4,
IF(AND(_xlpm.baseRow,$F140="Remove",OR($E140="Tier 1",$E140="Tier 2",$E140="Tier 2 Grove"),COUNTBLANK(_xlpm.HRange)&lt;3,_xlpm.uniqueH&gt;=2),
Error!$B$48,
IF(AND(_xlpm.baseRow,$F140="Retain",OR($E140="Tier 1",$E140="Tier 2",$E140="Tier 2 Grove"),COUNTIF(_xlpm.HRange,"Tree Code: Required to Retain Tier 1-2 Tree")=0),
Error!$B$47,
IF(AND(_xlpm.baseRow,$E140&lt;&gt;"",$D140&lt;&gt;"",$F140&lt;&gt;"",COUNTBLANK(_xlpm.HRange)=4),
Error!$B$5,
IF(AND($F140="Remove",$H140&lt;&gt;"",$I140=""),
Error!$B$18,
IF(AND($E140="Tier 4",$F140="Remove",$H140="Tree Protection Code: Tier 3 or Tier 4 Allowance",$H140&lt;&gt;"",ISNA(MATCH($I140,Tables!$B$200,0))),
Error!$B$17,
IF(AND($E140="Tier 3",$F140="Remove",$H140&lt;&gt;"",$H140="Tree Protection Code: Tier 3 or Tier 4 Allowance",OR($I140="",ISNA(MATCH($I140,Tables!$B$193:$B$197,0)))),
Error!$B$17,
IF(AND(OR($E140="Tier 2",$E140="Tier 2 Grove"),$F140="Remove",$H140="Tree Protection Code: Other removal allowance or exemption",$I140&lt;&gt;"",ISNA(MATCH($I140,Tables!$B$215:$B$218,0))),
Error!$B$17,
IF(AND(OR($E140="Tier 2",$E140="Tier 2 Grove"),$F140="Remove",$H140="Tree Protection Code: Development Capacity",$I140&lt;&gt;"",ISNA(MATCH($I140,Tables!$B$193:$B$197,0))),
Error!$B$17,
IF(AND(OR($E140="Tier 2",$E140="Tier 2 Grove"),$F140="Remove",$H140="Tree Protection Code: Necessary for Construction",$I140&lt;&gt;"",ISNA(MATCH($I140,Tables!$B$193:$B$197,0))),
Error!$B$17,
IF(AND($E140="Tier 1",$F140="Remove",$H140="Tree Protection Code: Special Exception",$I140&lt;&gt;"",ISNA(MATCH($I140,Tables!$B$215:$B$218,0))),
Error!$B$17,
IF(AND($E140="Tier 1",$F140="Remove",$H140="Tree Protection Code: Other removal allowance or exemption",$I140&lt;&gt;"",ISNA(MATCH($I140,Tables!$B$215:$B$218,0))),
Error!$B$17,
IF(AND($E140="ECA / Shoreline Tree",$F140="Remove",$H140&lt;&gt;"",OR($H140="Shoreline",$H140="Environmental Critical Area (ECA)"),ISNA(MATCH($I140,Tables!$B$209:$B$212,0))),
Error!$B$17,
IF(AND(_xlpm.baseRow,$F140="Retain",$E140="ECA / Shoreline Tree",_xlpm.ECA_Short=0),
Error!$B$61,
IF(AND($F140="Remove",ISNUMBER(MATCH($E140,{"Tier 1","Tier 2","Tier 3","Tier 4","Tier 2 Grove"},0)),ISNUMBER(MATCH($I140,{"On-site replacement","Off-site replacement"},0)),$J140="",$H140&lt;&gt;""),
Error!$B$19,
IF(AND(_xlpm.baseRow,$E140&lt;&gt;"",$D140&lt;&gt;"",$F140&lt;&gt;"",COUNTBLANK($B140:$C140)&gt;0,COUNTBLANK(_xlpm.HRange)&lt;&gt;4),
Error!$B$22,
IF(AND($H140="Zoning: Tree Points",$K140&lt;&gt;"",ISNA(MATCH($K140,Tables!$B$242:$B$253,0))),
Error!$B$58,
IF(AND($H140="Zoning: Tree Points",$K140="Small",$L140&lt;&gt;"",ISNA(MATCH($L140,Tables!$C$243:$C$244,0))),
Error!$B$59,
IF(AND($H140="Zoning: Tree Points",$K140="Small/Medium",$L140&lt;&gt;"",ISNA(MATCH($L140,Tables!$C$246:$C$247,0))),
Error!$B$59,
IF(AND($H140="Zoning: Tree Points",$K140="Medium/Large",$L140&lt;&gt;"",ISNA(MATCH($L140,Tables!$C$249:$C$250,0))),
Error!$B$59,
IF(AND($H140="Zoning: Tree Points",$K140="Large",$L140&lt;&gt;"",ISNA(MATCH($L140,Tables!$C$252:$C$253,0))),
Error!$B$59,
IF(AND($F140="Retain",$H140="Zoning: Tree Points",$C140&lt;&gt;"",$D140&lt;&gt;"",OR($K140="",$L140="",$M140="")),
Error!$B$20,
""
)))))))))))))))))))))))))))))))))))))))))))))))))))))))),
Error!$B$23))</f>
        <v/>
      </c>
      <c r="O140" s="343" t="str" cm="1">
        <f t="array" aca="1" ref="O140" ca="1">IFERROR(_xlfn.LET(
    _xlpm.txt, $C140,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41" spans="1:15" x14ac:dyDescent="0.3">
      <c r="A141" s="320"/>
      <c r="B141" s="616" t="str">
        <f t="shared" si="118"/>
        <v/>
      </c>
      <c r="C141" s="617" t="str">
        <f t="shared" si="119"/>
        <v/>
      </c>
      <c r="D141" s="618" t="str">
        <f t="shared" si="120"/>
        <v/>
      </c>
      <c r="E141" s="616" t="str">
        <f t="shared" si="121"/>
        <v/>
      </c>
      <c r="F141" s="616" t="str">
        <f t="shared" si="122"/>
        <v/>
      </c>
      <c r="G141" s="619" t="str">
        <f>IF(Tree_Table1[[#This Row],[Tree Status  &amp;]]="Retain", Tables!$B$237, IF(Tree_Table1[[#This Row],[Tree Status  &amp;]]="Remove", Tables!$B$238, ""))</f>
        <v/>
      </c>
      <c r="H141" s="321"/>
      <c r="I141" s="322"/>
      <c r="J141" s="453"/>
      <c r="K141" s="323" t="str">
        <f>IFERROR(
    IF(
        AND($H141="Zoning: Tree Points", NOT(ISNUMBER(SEARCH("sp.", $C141)))),
        VLOOKUP($C141, 'Tree List'!$C$3:$F$601, 4, FALSE),
        ""
    ),
"")</f>
        <v/>
      </c>
      <c r="L141" s="324" t="str" cm="1">
        <f t="array" ref="L141">IFERROR(
IF(
    AND($H141="Zoning: Tree Points", NOT(ISNUMBER(SEARCH("sp.", $C141)))),
    _xlfn.IFS(
        (COUNTIFS('Tree List'!$C$3:$C$601,$C141,'Tree List'!$D$3:$D$601,"Coniferous")
        + COUNTIFS('Tree List'!$C$3:$C$601,$C141,'Tree List'!$D$3:$D$601,"Deciduous Conifer")) &gt; 0,
            _xlfn.IFS($K141="Small",0.5,$K141="Small/Medium",1,$K141="Medium/Large",1.4,$K141="Large",1.8),
        (COUNTIFS('Tree List'!$C$3:$C$601,$C141,'Tree List'!$D$3:$D$601,"Deciduous")
        + COUNTIFS('Tree List'!$C$3:$C$601,$C141,'Tree List'!$D$3:$D$601,"Broadleaf Evergreen")) &gt; 0,
            _xlfn.IFS($K141="Small",0.4,$K141="Small/Medium",0.8,$K141="Medium/Large",1.2,$K141="Large",1.6)
    ),
    ""
),
"")</f>
        <v/>
      </c>
      <c r="M141" s="475" t="str">
        <f t="shared" si="0"/>
        <v/>
      </c>
      <c r="N141" s="346" t="str" cm="1">
        <f t="array" aca="1" ref="N14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IF(AND(_xlpm.baseRow,ISNA(MATCH($C141,'Tree List'!$C$3:$C$601,0)),SUMPRODUCT(--ISNUMBER(SEARCH(Tables2!$C$677:$C$772,$O141)))&gt;0),
Error!$B$57,
IF(AND(_xlpm.hasDM,$F141="Remove",$H141&lt;&gt;"",OR($I141="On-site replacement",$I141="Off-site replacement",$I141="Payment In Lieu")),
Error!$B$56,
IF(AND(_xlpm.hasDM,$F141="Remove",$H141&lt;&gt;"",$I141="Relocation"),
Error!$B$66,
IF(AND(OR(_xlpm.hasCN,_xlpm.hasPH,_xlpm.hasGR),$H141&lt;&gt;"",COUNTIF(Tables!$B$132:$B$134,$H141)&gt;0,$I141="N/A (No replacement required)"),
Error!$B$62,
IF(AND(_xlpm.baseRow,$E141&lt;&gt;"",ISNA(MATCH($E141,Tables!$B$225:$B$232,0))),
Error!$B$2,
IF(AND(_xlpm.baseRow,$F141&lt;&gt;"",ISNA(MATCH($F141,Tables!$B$234:$B$235,0))),
Error!$B$24,
IF(AND(_xlpm.baseRow,_xlpm.ECA_H&gt;0,_xlpm.Shore_H&gt;0),
Error!$B$16,
IF(AND(_xlpm.baseRow,$E141&lt;&gt;"",$D141=""),
Error!$B$3,
IF(AND(_xlpm.baseRow,OR($E141="Tier 3",$E141="Tier 4"),$C141&lt;&gt;"",$D141&gt;=24,COUNTIF(Tables2!$B$166:$B$674,$C141)&gt;0),
Error!$B$44,
IF(AND(_xlpm.baseRow,OR($E141="Tier 3",$E141="Tier 4"),$C141&lt;&gt;"",$D141&lt;&gt;"",COUNTIF(Tables2!$B$73:$B$152,$C141)&gt;0,
$D141&gt;=IFERROR(INDEX(Tables2!$C$73:$C$152,MATCH($C141,Tables2!$B$73:$B$152,0)),-1)),
Error!$B$44,
IF(AND(_xlpm.baseRow,OR($E141="Tier 2",$E141="Tier 2 Grove"),$C141&lt;&gt;"",$D141&gt;=12,COUNTIF(Tables2!$B$153:$B$162,$C141)&gt;0),
Error!$B$45,
IF(AND(_xlpm.baseRow,$E141="Tier 2 Grove",$D141&lt;12),
Error!$B$41,
IF(AND(_xlpm.baseRow,$E141="Tier 2",$D141&lt;5.88),
Error!$B$40,
IF(AND(_xlpm.baseRow,OR($E141="Tier 2",$E141="Tier 2 Grove"),$C141&lt;&gt;"",$D141&lt;12,$D141&gt;=6,COUNTIF(Tables2!$B$153:$B$162,$C141)&gt;0),
Error!$B$54,
IF(AND(_xlpm.baseRow,$E141="Tier 2",COUNTIF(Tables2!$B$166:$B$674,$C141)&gt;0,$D141&lt;24),
Error!$B$54,
IF(AND(_xlpm.baseRow,$E141="Tier 3",ISNA(MATCH($C141,Tables2!$B$153:$B$162,0)),OR($D141&lt;12,$D141&gt;=24)),
Error!$B$9,
IF(AND(_xlpm.baseRow,$E141="Tier 3",COUNTIF(Tables2!$B$153:$B$162,$C141)&gt;0,$D141&lt;12),
Error!$B$46,
IF(AND(_xlpm.baseRow,$E141="Tier 4",OR($D141&lt;6,$D141&gt;=12)),
Error!$B$10,
IF(AND(_xlpm.baseRow,$E141="&lt;6in DSH for Tree Points",OR($D141&gt;=6,$D141="")),
Error!$B$8,
IF(AND(_xlpm.baseRow,$E141="Street Tree for Green Factor",$F141&lt;&gt;"",$F141&lt;&gt;"Retain"),
Error!$B$14,
IF(AND($E141="&lt;6in DSH for Tree Points",$F141="Retain",$H141&lt;&gt;"",ISNA(MATCH($H141,Tables!$B$174:$B$174,0))),
Error!$B$15,
IF(AND($E141="Street Tree for Green Factor",$F141="Retain",$H141&lt;&gt;"",$H141&lt;&gt;"Zoning: Green Factor"),
Error!$B$15,
IF(AND($E141="ECA / Shoreline Tree",$F141="Remove",$H141&lt;&gt;"",ISNA(MATCH($H141,Tables!$B$189:$B$190,0))),
Error!$B$15,
IF(AND($E141="ECA / Shoreline Tree",$F141="Retain",$H141&lt;&gt;"",ISNA(MATCH($H141,Tables!$B$184:$B$186,0))),
Error!$B$15,
IF(AND($E141="Tier 4",$F141="Remove",$H141&lt;&gt;"",ISNA(MATCH($H141,Tables!$B$171,0))),
Error!$B$15,
IF(AND($E141="Tier 4",$F141="Retain",$H141&lt;&gt;"",ISNA(MATCH($H141,Tables!$B$166:$B$168,0))),
Error!$B$15,
IF(AND($E141="Tier 3",$F141="Retain",$H141&lt;&gt;"",ISNA(MATCH($H141,Tables!$B$158:$B$160,0))),
Error!$B$15,
IF(AND($E141="Tier 3",$F141="Remove",$H141&lt;&gt;"",ISNA(MATCH($H141,Tables!$B$163,0))),
Error!$B$15,
IF(AND(OR($E141="Tier 2",$E141="Tier 2 Grove"),$F141="Remove",$H141&lt;&gt;"",ISNA(MATCH($H141,Tables!$B$153:$B$155,0))),
Error!$B$15,
IF(AND(OR($E141="Tier 2",$E141="Tier 2 Grove"),$F141="Retain",$H141&lt;&gt;"",ISNA(MATCH($H141,Tables!$B$147:$B$150,0))),
Error!$B$15,
IF(AND($E141="Tier 1",$F141="Remove",$H141&lt;&gt;"",ISNA(MATCH($H141,Tables!$B$143:$B$144,0))),
Error!$B$15,
IF(AND($E141="Tier 1",$F141="Retain",$H141&lt;&gt;"",ISNA(MATCH($H141,Tables!$B$137:$B$140,0))),
Error!$B$15,
IF(AND($E141&lt;&gt;"Tier 2",$E141&lt;&gt;"Tier 2 Grove",$E141&lt;&gt;"Tier 3",$E141&lt;&gt;"Tier 4",$H141="Zoning: Green Factor",OR($D141="",$D141&lt;6)),
Error!$B$11,
IF(AND(_xlpm.baseRow,$D141&lt;6,$E141="&lt;6in DSH for Tree Points",_xlpm.TreePoints_H=0),
Error!$B$21,
IF(AND(_xlpm.baseRow,$E141&lt;&gt;"",$D141&lt;&gt;"",$F141=""),
Error!$B$4,
IF(AND(_xlpm.baseRow,$F141="Remove",OR($E141="Tier 1",$E141="Tier 2",$E141="Tier 2 Grove"),COUNTBLANK(_xlpm.HRange)&lt;3,_xlpm.uniqueH&gt;=2),
Error!$B$48,
IF(AND(_xlpm.baseRow,$F141="Retain",OR($E141="Tier 1",$E141="Tier 2",$E141="Tier 2 Grove"),COUNTIF(_xlpm.HRange,"Tree Code: Required to Retain Tier 1-2 Tree")=0),
Error!$B$47,
IF(AND(_xlpm.baseRow,$E141&lt;&gt;"",$D141&lt;&gt;"",$F141&lt;&gt;"",COUNTBLANK(_xlpm.HRange)=4),
Error!$B$5,
IF(AND($F141="Remove",$H141&lt;&gt;"",$I141=""),
Error!$B$18,
IF(AND($E141="Tier 4",$F141="Remove",$H141="Tree Protection Code: Tier 3 or Tier 4 Allowance",$H141&lt;&gt;"",ISNA(MATCH($I141,Tables!$B$200,0))),
Error!$B$17,
IF(AND($E141="Tier 3",$F141="Remove",$H141&lt;&gt;"",$H141="Tree Protection Code: Tier 3 or Tier 4 Allowance",OR($I141="",ISNA(MATCH($I141,Tables!$B$193:$B$197,0)))),
Error!$B$17,
IF(AND(OR($E141="Tier 2",$E141="Tier 2 Grove"),$F141="Remove",$H141="Tree Protection Code: Other removal allowance or exemption",$I141&lt;&gt;"",ISNA(MATCH($I141,Tables!$B$215:$B$218,0))),
Error!$B$17,
IF(AND(OR($E141="Tier 2",$E141="Tier 2 Grove"),$F141="Remove",$H141="Tree Protection Code: Development Capacity",$I141&lt;&gt;"",ISNA(MATCH($I141,Tables!$B$193:$B$197,0))),
Error!$B$17,
IF(AND(OR($E141="Tier 2",$E141="Tier 2 Grove"),$F141="Remove",$H141="Tree Protection Code: Necessary for Construction",$I141&lt;&gt;"",ISNA(MATCH($I141,Tables!$B$193:$B$197,0))),
Error!$B$17,
IF(AND($E141="Tier 1",$F141="Remove",$H141="Tree Protection Code: Special Exception",$I141&lt;&gt;"",ISNA(MATCH($I141,Tables!$B$215:$B$218,0))),
Error!$B$17,
IF(AND($E141="Tier 1",$F141="Remove",$H141="Tree Protection Code: Other removal allowance or exemption",$I141&lt;&gt;"",ISNA(MATCH($I141,Tables!$B$215:$B$218,0))),
Error!$B$17,
IF(AND($E141="ECA / Shoreline Tree",$F141="Remove",$H141&lt;&gt;"",OR($H141="Shoreline",$H141="Environmental Critical Area (ECA)"),ISNA(MATCH($I141,Tables!$B$209:$B$212,0))),
Error!$B$17,
IF(AND(_xlpm.baseRow,$F141="Retain",$E141="ECA / Shoreline Tree",_xlpm.ECA_Short=0),
Error!$B$61,
IF(AND($F141="Remove",ISNUMBER(MATCH($E141,{"Tier 1","Tier 2","Tier 3","Tier 4","Tier 2 Grove"},0)),ISNUMBER(MATCH($I141,{"On-site replacement","Off-site replacement"},0)),$J141="",$H141&lt;&gt;""),
Error!$B$19,
IF(AND(_xlpm.baseRow,$E141&lt;&gt;"",$D141&lt;&gt;"",$F141&lt;&gt;"",COUNTBLANK($B141:$C141)&gt;0,COUNTBLANK(_xlpm.HRange)&lt;&gt;4),
Error!$B$22,
IF(AND($H141="Zoning: Tree Points",$K141&lt;&gt;"",ISNA(MATCH($K141,Tables!$B$242:$B$253,0))),
Error!$B$58,
IF(AND($H141="Zoning: Tree Points",$K141="Small",$L141&lt;&gt;"",ISNA(MATCH($L141,Tables!$C$243:$C$244,0))),
Error!$B$59,
IF(AND($H141="Zoning: Tree Points",$K141="Small/Medium",$L141&lt;&gt;"",ISNA(MATCH($L141,Tables!$C$246:$C$247,0))),
Error!$B$59,
IF(AND($H141="Zoning: Tree Points",$K141="Medium/Large",$L141&lt;&gt;"",ISNA(MATCH($L141,Tables!$C$249:$C$250,0))),
Error!$B$59,
IF(AND($H141="Zoning: Tree Points",$K141="Large",$L141&lt;&gt;"",ISNA(MATCH($L141,Tables!$C$252:$C$253,0))),
Error!$B$59,
IF(AND($F141="Retain",$H141="Zoning: Tree Points",$C141&lt;&gt;"",$D141&lt;&gt;"",OR($K141="",$L141="",$M141="")),
Error!$B$20,
""
)))))))))))))))))))))))))))))))))))))))))))))))))))))))),
Error!$B$23))</f>
        <v/>
      </c>
      <c r="O141" s="343" t="str" cm="1">
        <f t="array" aca="1" ref="O141" ca="1">IFERROR(_xlfn.LET(
    _xlpm.txt, $C141,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42" spans="1:15" ht="15" thickBot="1" x14ac:dyDescent="0.35">
      <c r="A142" s="331"/>
      <c r="B142" s="616" t="str">
        <f t="shared" si="118"/>
        <v/>
      </c>
      <c r="C142" s="617" t="str">
        <f t="shared" si="119"/>
        <v/>
      </c>
      <c r="D142" s="618" t="str">
        <f t="shared" si="120"/>
        <v/>
      </c>
      <c r="E142" s="616" t="str">
        <f t="shared" si="121"/>
        <v/>
      </c>
      <c r="F142" s="616" t="str">
        <f t="shared" si="122"/>
        <v/>
      </c>
      <c r="G142" s="619" t="str">
        <f>IF(Tree_Table1[[#This Row],[Tree Status  &amp;]]="Retain", Tables!$B$237, IF(Tree_Table1[[#This Row],[Tree Status  &amp;]]="Remove", Tables!$B$238, ""))</f>
        <v/>
      </c>
      <c r="H142" s="329"/>
      <c r="I142" s="330"/>
      <c r="J142" s="455"/>
      <c r="K142" s="327" t="str">
        <f>IFERROR(
    IF(
        AND($H142="Zoning: Tree Points", NOT(ISNUMBER(SEARCH("sp.", $C142)))),
        VLOOKUP($C142, 'Tree List'!$C$3:$F$601, 4, FALSE),
        ""
    ),
"")</f>
        <v/>
      </c>
      <c r="L142" s="328" t="str" cm="1">
        <f t="array" ref="L142">IFERROR(
IF(
    AND($H142="Zoning: Tree Points", NOT(ISNUMBER(SEARCH("sp.", $C142)))),
    _xlfn.IFS(
        (COUNTIFS('Tree List'!$C$3:$C$601,$C142,'Tree List'!$D$3:$D$601,"Coniferous")
        + COUNTIFS('Tree List'!$C$3:$C$601,$C142,'Tree List'!$D$3:$D$601,"Deciduous Conifer")) &gt; 0,
            _xlfn.IFS($K142="Small",0.5,$K142="Small/Medium",1,$K142="Medium/Large",1.4,$K142="Large",1.8),
        (COUNTIFS('Tree List'!$C$3:$C$601,$C142,'Tree List'!$D$3:$D$601,"Deciduous")
        + COUNTIFS('Tree List'!$C$3:$C$601,$C142,'Tree List'!$D$3:$D$601,"Broadleaf Evergreen")) &gt; 0,
            _xlfn.IFS($K142="Small",0.4,$K142="Small/Medium",0.8,$K142="Medium/Large",1.2,$K142="Large",1.6)
    ),
    ""
),
"")</f>
        <v/>
      </c>
      <c r="M142" s="476" t="str">
        <f t="shared" si="0"/>
        <v/>
      </c>
      <c r="N142" s="347" t="str" cm="1">
        <f t="array" aca="1" ref="N14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IF(AND(_xlpm.baseRow,ISNA(MATCH($C142,'Tree List'!$C$3:$C$601,0)),SUMPRODUCT(--ISNUMBER(SEARCH(Tables2!$C$677:$C$772,$O142)))&gt;0),
Error!$B$57,
IF(AND(_xlpm.hasDM,$F142="Remove",$H142&lt;&gt;"",OR($I142="On-site replacement",$I142="Off-site replacement",$I142="Payment In Lieu")),
Error!$B$56,
IF(AND(_xlpm.hasDM,$F142="Remove",$H142&lt;&gt;"",$I142="Relocation"),
Error!$B$66,
IF(AND(OR(_xlpm.hasCN,_xlpm.hasPH,_xlpm.hasGR),$H142&lt;&gt;"",COUNTIF(Tables!$B$132:$B$134,$H142)&gt;0,$I142="N/A (No replacement required)"),
Error!$B$62,
IF(AND(_xlpm.baseRow,$E142&lt;&gt;"",ISNA(MATCH($E142,Tables!$B$225:$B$232,0))),
Error!$B$2,
IF(AND(_xlpm.baseRow,$F142&lt;&gt;"",ISNA(MATCH($F142,Tables!$B$234:$B$235,0))),
Error!$B$24,
IF(AND(_xlpm.baseRow,_xlpm.ECA_H&gt;0,_xlpm.Shore_H&gt;0),
Error!$B$16,
IF(AND(_xlpm.baseRow,$E142&lt;&gt;"",$D142=""),
Error!$B$3,
IF(AND(_xlpm.baseRow,OR($E142="Tier 3",$E142="Tier 4"),$C142&lt;&gt;"",$D142&gt;=24,COUNTIF(Tables2!$B$166:$B$674,$C142)&gt;0),
Error!$B$44,
IF(AND(_xlpm.baseRow,OR($E142="Tier 3",$E142="Tier 4"),$C142&lt;&gt;"",$D142&lt;&gt;"",COUNTIF(Tables2!$B$73:$B$152,$C142)&gt;0,
$D142&gt;=IFERROR(INDEX(Tables2!$C$73:$C$152,MATCH($C142,Tables2!$B$73:$B$152,0)),-1)),
Error!$B$44,
IF(AND(_xlpm.baseRow,OR($E142="Tier 2",$E142="Tier 2 Grove"),$C142&lt;&gt;"",$D142&gt;=12,COUNTIF(Tables2!$B$153:$B$162,$C142)&gt;0),
Error!$B$45,
IF(AND(_xlpm.baseRow,$E142="Tier 2 Grove",$D142&lt;12),
Error!$B$41,
IF(AND(_xlpm.baseRow,$E142="Tier 2",$D142&lt;5.88),
Error!$B$40,
IF(AND(_xlpm.baseRow,OR($E142="Tier 2",$E142="Tier 2 Grove"),$C142&lt;&gt;"",$D142&lt;12,$D142&gt;=6,COUNTIF(Tables2!$B$153:$B$162,$C142)&gt;0),
Error!$B$54,
IF(AND(_xlpm.baseRow,$E142="Tier 2",COUNTIF(Tables2!$B$166:$B$674,$C142)&gt;0,$D142&lt;24),
Error!$B$54,
IF(AND(_xlpm.baseRow,$E142="Tier 3",ISNA(MATCH($C142,Tables2!$B$153:$B$162,0)),OR($D142&lt;12,$D142&gt;=24)),
Error!$B$9,
IF(AND(_xlpm.baseRow,$E142="Tier 3",COUNTIF(Tables2!$B$153:$B$162,$C142)&gt;0,$D142&lt;12),
Error!$B$46,
IF(AND(_xlpm.baseRow,$E142="Tier 4",OR($D142&lt;6,$D142&gt;=12)),
Error!$B$10,
IF(AND(_xlpm.baseRow,$E142="&lt;6in DSH for Tree Points",OR($D142&gt;=6,$D142="")),
Error!$B$8,
IF(AND(_xlpm.baseRow,$E142="Street Tree for Green Factor",$F142&lt;&gt;"",$F142&lt;&gt;"Retain"),
Error!$B$14,
IF(AND($E142="&lt;6in DSH for Tree Points",$F142="Retain",$H142&lt;&gt;"",ISNA(MATCH($H142,Tables!$B$174:$B$174,0))),
Error!$B$15,
IF(AND($E142="Street Tree for Green Factor",$F142="Retain",$H142&lt;&gt;"",$H142&lt;&gt;"Zoning: Green Factor"),
Error!$B$15,
IF(AND($E142="ECA / Shoreline Tree",$F142="Remove",$H142&lt;&gt;"",ISNA(MATCH($H142,Tables!$B$189:$B$190,0))),
Error!$B$15,
IF(AND($E142="ECA / Shoreline Tree",$F142="Retain",$H142&lt;&gt;"",ISNA(MATCH($H142,Tables!$B$184:$B$186,0))),
Error!$B$15,
IF(AND($E142="Tier 4",$F142="Remove",$H142&lt;&gt;"",ISNA(MATCH($H142,Tables!$B$171,0))),
Error!$B$15,
IF(AND($E142="Tier 4",$F142="Retain",$H142&lt;&gt;"",ISNA(MATCH($H142,Tables!$B$166:$B$168,0))),
Error!$B$15,
IF(AND($E142="Tier 3",$F142="Retain",$H142&lt;&gt;"",ISNA(MATCH($H142,Tables!$B$158:$B$160,0))),
Error!$B$15,
IF(AND($E142="Tier 3",$F142="Remove",$H142&lt;&gt;"",ISNA(MATCH($H142,Tables!$B$163,0))),
Error!$B$15,
IF(AND(OR($E142="Tier 2",$E142="Tier 2 Grove"),$F142="Remove",$H142&lt;&gt;"",ISNA(MATCH($H142,Tables!$B$153:$B$155,0))),
Error!$B$15,
IF(AND(OR($E142="Tier 2",$E142="Tier 2 Grove"),$F142="Retain",$H142&lt;&gt;"",ISNA(MATCH($H142,Tables!$B$147:$B$150,0))),
Error!$B$15,
IF(AND($E142="Tier 1",$F142="Remove",$H142&lt;&gt;"",ISNA(MATCH($H142,Tables!$B$143:$B$144,0))),
Error!$B$15,
IF(AND($E142="Tier 1",$F142="Retain",$H142&lt;&gt;"",ISNA(MATCH($H142,Tables!$B$137:$B$140,0))),
Error!$B$15,
IF(AND($E142&lt;&gt;"Tier 2",$E142&lt;&gt;"Tier 2 Grove",$E142&lt;&gt;"Tier 3",$E142&lt;&gt;"Tier 4",$H142="Zoning: Green Factor",OR($D142="",$D142&lt;6)),
Error!$B$11,
IF(AND(_xlpm.baseRow,$D142&lt;6,$E142="&lt;6in DSH for Tree Points",_xlpm.TreePoints_H=0),
Error!$B$21,
IF(AND(_xlpm.baseRow,$E142&lt;&gt;"",$D142&lt;&gt;"",$F142=""),
Error!$B$4,
IF(AND(_xlpm.baseRow,$F142="Remove",OR($E142="Tier 1",$E142="Tier 2",$E142="Tier 2 Grove"),COUNTBLANK(_xlpm.HRange)&lt;3,_xlpm.uniqueH&gt;=2),
Error!$B$48,
IF(AND(_xlpm.baseRow,$F142="Retain",OR($E142="Tier 1",$E142="Tier 2",$E142="Tier 2 Grove"),COUNTIF(_xlpm.HRange,"Tree Code: Required to Retain Tier 1-2 Tree")=0),
Error!$B$47,
IF(AND(_xlpm.baseRow,$E142&lt;&gt;"",$D142&lt;&gt;"",$F142&lt;&gt;"",COUNTBLANK(_xlpm.HRange)=4),
Error!$B$5,
IF(AND($F142="Remove",$H142&lt;&gt;"",$I142=""),
Error!$B$18,
IF(AND($E142="Tier 4",$F142="Remove",$H142="Tree Protection Code: Tier 3 or Tier 4 Allowance",$H142&lt;&gt;"",ISNA(MATCH($I142,Tables!$B$200,0))),
Error!$B$17,
IF(AND($E142="Tier 3",$F142="Remove",$H142&lt;&gt;"",$H142="Tree Protection Code: Tier 3 or Tier 4 Allowance",OR($I142="",ISNA(MATCH($I142,Tables!$B$193:$B$197,0)))),
Error!$B$17,
IF(AND(OR($E142="Tier 2",$E142="Tier 2 Grove"),$F142="Remove",$H142="Tree Protection Code: Other removal allowance or exemption",$I142&lt;&gt;"",ISNA(MATCH($I142,Tables!$B$215:$B$218,0))),
Error!$B$17,
IF(AND(OR($E142="Tier 2",$E142="Tier 2 Grove"),$F142="Remove",$H142="Tree Protection Code: Development Capacity",$I142&lt;&gt;"",ISNA(MATCH($I142,Tables!$B$193:$B$197,0))),
Error!$B$17,
IF(AND(OR($E142="Tier 2",$E142="Tier 2 Grove"),$F142="Remove",$H142="Tree Protection Code: Necessary for Construction",$I142&lt;&gt;"",ISNA(MATCH($I142,Tables!$B$193:$B$197,0))),
Error!$B$17,
IF(AND($E142="Tier 1",$F142="Remove",$H142="Tree Protection Code: Special Exception",$I142&lt;&gt;"",ISNA(MATCH($I142,Tables!$B$215:$B$218,0))),
Error!$B$17,
IF(AND($E142="Tier 1",$F142="Remove",$H142="Tree Protection Code: Other removal allowance or exemption",$I142&lt;&gt;"",ISNA(MATCH($I142,Tables!$B$215:$B$218,0))),
Error!$B$17,
IF(AND($E142="ECA / Shoreline Tree",$F142="Remove",$H142&lt;&gt;"",OR($H142="Shoreline",$H142="Environmental Critical Area (ECA)"),ISNA(MATCH($I142,Tables!$B$209:$B$212,0))),
Error!$B$17,
IF(AND(_xlpm.baseRow,$F142="Retain",$E142="ECA / Shoreline Tree",_xlpm.ECA_Short=0),
Error!$B$61,
IF(AND($F142="Remove",ISNUMBER(MATCH($E142,{"Tier 1","Tier 2","Tier 3","Tier 4","Tier 2 Grove"},0)),ISNUMBER(MATCH($I142,{"On-site replacement","Off-site replacement"},0)),$J142="",$H142&lt;&gt;""),
Error!$B$19,
IF(AND(_xlpm.baseRow,$E142&lt;&gt;"",$D142&lt;&gt;"",$F142&lt;&gt;"",COUNTBLANK($B142:$C142)&gt;0,COUNTBLANK(_xlpm.HRange)&lt;&gt;4),
Error!$B$22,
IF(AND($H142="Zoning: Tree Points",$K142&lt;&gt;"",ISNA(MATCH($K142,Tables!$B$242:$B$253,0))),
Error!$B$58,
IF(AND($H142="Zoning: Tree Points",$K142="Small",$L142&lt;&gt;"",ISNA(MATCH($L142,Tables!$C$243:$C$244,0))),
Error!$B$59,
IF(AND($H142="Zoning: Tree Points",$K142="Small/Medium",$L142&lt;&gt;"",ISNA(MATCH($L142,Tables!$C$246:$C$247,0))),
Error!$B$59,
IF(AND($H142="Zoning: Tree Points",$K142="Medium/Large",$L142&lt;&gt;"",ISNA(MATCH($L142,Tables!$C$249:$C$250,0))),
Error!$B$59,
IF(AND($H142="Zoning: Tree Points",$K142="Large",$L142&lt;&gt;"",ISNA(MATCH($L142,Tables!$C$252:$C$253,0))),
Error!$B$59,
IF(AND($F142="Retain",$H142="Zoning: Tree Points",$C142&lt;&gt;"",$D142&lt;&gt;"",OR($K142="",$L142="",$M142="")),
Error!$B$20,
""
)))))))))))))))))))))))))))))))))))))))))))))))))))))))),
Error!$B$23))</f>
        <v/>
      </c>
      <c r="O142" s="343" t="str" cm="1">
        <f t="array" aca="1" ref="O142" ca="1">IFERROR(_xlfn.LET(
    _xlpm.txt, $C142,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43" spans="1:15" ht="15" thickBot="1" x14ac:dyDescent="0.35">
      <c r="A143" s="311">
        <v>34</v>
      </c>
      <c r="B143" s="312"/>
      <c r="C143" s="313"/>
      <c r="D143" s="478"/>
      <c r="E143" s="314"/>
      <c r="F143" s="314"/>
      <c r="G143" s="315" t="str">
        <f>IF(Tree_Table1[[#This Row],[Tree Status  &amp;]]="Retain", Tables!$B$237, IF(Tree_Table1[[#This Row],[Tree Status  &amp;]]="Remove", Tables!$B$238, ""))</f>
        <v/>
      </c>
      <c r="H143" s="316"/>
      <c r="I143" s="317"/>
      <c r="J143" s="452"/>
      <c r="K143" s="318" t="str">
        <f>IFERROR(
    IF(
        AND($H143="Zoning: Tree Points", NOT(ISNUMBER(SEARCH("sp.", $C143)))),
        VLOOKUP($C143, 'Tree List'!$C$3:$F$601, 4, FALSE),
        ""
    ),
"")</f>
        <v/>
      </c>
      <c r="L143" s="319" t="str" cm="1">
        <f t="array" ref="L143">IFERROR(
IF(
    AND($H143="Zoning: Tree Points", NOT(ISNUMBER(SEARCH("sp.", $C143)))),
    _xlfn.IFS(
        (COUNTIFS('Tree List'!$C$3:$C$601,$C143,'Tree List'!$D$3:$D$601,"Coniferous")
        + COUNTIFS('Tree List'!$C$3:$C$601,$C143,'Tree List'!$D$3:$D$601,"Deciduous Conifer")) &gt; 0,
            _xlfn.IFS($K143="Small",0.5,$K143="Small/Medium",1,$K143="Medium/Large",1.4,$K143="Large",1.8),
        (COUNTIFS('Tree List'!$C$3:$C$601,$C143,'Tree List'!$D$3:$D$601,"Deciduous")
        + COUNTIFS('Tree List'!$C$3:$C$601,$C143,'Tree List'!$D$3:$D$601,"Broadleaf Evergreen")) &gt; 0,
            _xlfn.IFS($K143="Small",0.4,$K143="Small/Medium",0.8,$K143="Medium/Large",1.2,$K143="Large",1.6)
    ),
    ""
),
"")</f>
        <v/>
      </c>
      <c r="M143" s="474" t="str">
        <f t="shared" si="0"/>
        <v/>
      </c>
      <c r="N143" s="620" t="str" cm="1">
        <f t="array" aca="1" ref="N14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IF(AND(_xlpm.baseRow,ISNA(MATCH($C143,'Tree List'!$C$3:$C$601,0)),SUMPRODUCT(--ISNUMBER(SEARCH(Tables2!$C$677:$C$772,$O143)))&gt;0),
Error!$B$57,
IF(AND(_xlpm.hasDM,$F143="Remove",$H143&lt;&gt;"",OR($I143="On-site replacement",$I143="Off-site replacement",$I143="Payment In Lieu")),
Error!$B$56,
IF(AND(_xlpm.hasDM,$F143="Remove",$H143&lt;&gt;"",$I143="Relocation"),
Error!$B$66,
IF(AND(OR(_xlpm.hasCN,_xlpm.hasPH,_xlpm.hasGR),$H143&lt;&gt;"",COUNTIF(Tables!$B$132:$B$134,$H143)&gt;0,$I143="N/A (No replacement required)"),
Error!$B$62,
IF(AND(_xlpm.baseRow,$E143&lt;&gt;"",ISNA(MATCH($E143,Tables!$B$225:$B$232,0))),
Error!$B$2,
IF(AND(_xlpm.baseRow,$F143&lt;&gt;"",ISNA(MATCH($F143,Tables!$B$234:$B$235,0))),
Error!$B$24,
IF(AND(_xlpm.baseRow,_xlpm.ECA_H&gt;0,_xlpm.Shore_H&gt;0),
Error!$B$16,
IF(AND(_xlpm.baseRow,$E143&lt;&gt;"",$D143=""),
Error!$B$3,
IF(AND(_xlpm.baseRow,OR($E143="Tier 3",$E143="Tier 4"),$C143&lt;&gt;"",$D143&gt;=24,COUNTIF(Tables2!$B$166:$B$674,$C143)&gt;0),
Error!$B$44,
IF(AND(_xlpm.baseRow,OR($E143="Tier 3",$E143="Tier 4"),$C143&lt;&gt;"",$D143&lt;&gt;"",COUNTIF(Tables2!$B$73:$B$152,$C143)&gt;0,
$D143&gt;=IFERROR(INDEX(Tables2!$C$73:$C$152,MATCH($C143,Tables2!$B$73:$B$152,0)),-1)),
Error!$B$44,
IF(AND(_xlpm.baseRow,OR($E143="Tier 2",$E143="Tier 2 Grove"),$C143&lt;&gt;"",$D143&gt;=12,COUNTIF(Tables2!$B$153:$B$162,$C143)&gt;0),
Error!$B$45,
IF(AND(_xlpm.baseRow,$E143="Tier 2 Grove",$D143&lt;12),
Error!$B$41,
IF(AND(_xlpm.baseRow,$E143="Tier 2",$D143&lt;5.88),
Error!$B$40,
IF(AND(_xlpm.baseRow,OR($E143="Tier 2",$E143="Tier 2 Grove"),$C143&lt;&gt;"",$D143&lt;12,$D143&gt;=6,COUNTIF(Tables2!$B$153:$B$162,$C143)&gt;0),
Error!$B$54,
IF(AND(_xlpm.baseRow,$E143="Tier 2",COUNTIF(Tables2!$B$166:$B$674,$C143)&gt;0,$D143&lt;24),
Error!$B$54,
IF(AND(_xlpm.baseRow,$E143="Tier 3",ISNA(MATCH($C143,Tables2!$B$153:$B$162,0)),OR($D143&lt;12,$D143&gt;=24)),
Error!$B$9,
IF(AND(_xlpm.baseRow,$E143="Tier 3",COUNTIF(Tables2!$B$153:$B$162,$C143)&gt;0,$D143&lt;12),
Error!$B$46,
IF(AND(_xlpm.baseRow,$E143="Tier 4",OR($D143&lt;6,$D143&gt;=12)),
Error!$B$10,
IF(AND(_xlpm.baseRow,$E143="&lt;6in DSH for Tree Points",OR($D143&gt;=6,$D143="")),
Error!$B$8,
IF(AND(_xlpm.baseRow,$E143="Street Tree for Green Factor",$F143&lt;&gt;"",$F143&lt;&gt;"Retain"),
Error!$B$14,
IF(AND($E143="&lt;6in DSH for Tree Points",$F143="Retain",$H143&lt;&gt;"",ISNA(MATCH($H143,Tables!$B$174:$B$174,0))),
Error!$B$15,
IF(AND($E143="Street Tree for Green Factor",$F143="Retain",$H143&lt;&gt;"",$H143&lt;&gt;"Zoning: Green Factor"),
Error!$B$15,
IF(AND($E143="ECA / Shoreline Tree",$F143="Remove",$H143&lt;&gt;"",ISNA(MATCH($H143,Tables!$B$189:$B$190,0))),
Error!$B$15,
IF(AND($E143="ECA / Shoreline Tree",$F143="Retain",$H143&lt;&gt;"",ISNA(MATCH($H143,Tables!$B$184:$B$186,0))),
Error!$B$15,
IF(AND($E143="Tier 4",$F143="Remove",$H143&lt;&gt;"",ISNA(MATCH($H143,Tables!$B$171,0))),
Error!$B$15,
IF(AND($E143="Tier 4",$F143="Retain",$H143&lt;&gt;"",ISNA(MATCH($H143,Tables!$B$166:$B$168,0))),
Error!$B$15,
IF(AND($E143="Tier 3",$F143="Retain",$H143&lt;&gt;"",ISNA(MATCH($H143,Tables!$B$158:$B$160,0))),
Error!$B$15,
IF(AND($E143="Tier 3",$F143="Remove",$H143&lt;&gt;"",ISNA(MATCH($H143,Tables!$B$163,0))),
Error!$B$15,
IF(AND(OR($E143="Tier 2",$E143="Tier 2 Grove"),$F143="Remove",$H143&lt;&gt;"",ISNA(MATCH($H143,Tables!$B$153:$B$155,0))),
Error!$B$15,
IF(AND(OR($E143="Tier 2",$E143="Tier 2 Grove"),$F143="Retain",$H143&lt;&gt;"",ISNA(MATCH($H143,Tables!$B$147:$B$150,0))),
Error!$B$15,
IF(AND($E143="Tier 1",$F143="Remove",$H143&lt;&gt;"",ISNA(MATCH($H143,Tables!$B$143:$B$144,0))),
Error!$B$15,
IF(AND($E143="Tier 1",$F143="Retain",$H143&lt;&gt;"",ISNA(MATCH($H143,Tables!$B$137:$B$140,0))),
Error!$B$15,
IF(AND($E143&lt;&gt;"Tier 2",$E143&lt;&gt;"Tier 2 Grove",$E143&lt;&gt;"Tier 3",$E143&lt;&gt;"Tier 4",$H143="Zoning: Green Factor",OR($D143="",$D143&lt;6)),
Error!$B$11,
IF(AND(_xlpm.baseRow,$D143&lt;6,$E143="&lt;6in DSH for Tree Points",_xlpm.TreePoints_H=0),
Error!$B$21,
IF(AND(_xlpm.baseRow,$E143&lt;&gt;"",$D143&lt;&gt;"",$F143=""),
Error!$B$4,
IF(AND(_xlpm.baseRow,$F143="Remove",OR($E143="Tier 1",$E143="Tier 2",$E143="Tier 2 Grove"),COUNTBLANK(_xlpm.HRange)&lt;3,_xlpm.uniqueH&gt;=2),
Error!$B$48,
IF(AND(_xlpm.baseRow,$F143="Retain",OR($E143="Tier 1",$E143="Tier 2",$E143="Tier 2 Grove"),COUNTIF(_xlpm.HRange,"Tree Code: Required to Retain Tier 1-2 Tree")=0),
Error!$B$47,
IF(AND(_xlpm.baseRow,$E143&lt;&gt;"",$D143&lt;&gt;"",$F143&lt;&gt;"",COUNTBLANK(_xlpm.HRange)=4),
Error!$B$5,
IF(AND($F143="Remove",$H143&lt;&gt;"",$I143=""),
Error!$B$18,
IF(AND($E143="Tier 4",$F143="Remove",$H143="Tree Protection Code: Tier 3 or Tier 4 Allowance",$H143&lt;&gt;"",ISNA(MATCH($I143,Tables!$B$200,0))),
Error!$B$17,
IF(AND($E143="Tier 3",$F143="Remove",$H143&lt;&gt;"",$H143="Tree Protection Code: Tier 3 or Tier 4 Allowance",OR($I143="",ISNA(MATCH($I143,Tables!$B$193:$B$197,0)))),
Error!$B$17,
IF(AND(OR($E143="Tier 2",$E143="Tier 2 Grove"),$F143="Remove",$H143="Tree Protection Code: Other removal allowance or exemption",$I143&lt;&gt;"",ISNA(MATCH($I143,Tables!$B$215:$B$218,0))),
Error!$B$17,
IF(AND(OR($E143="Tier 2",$E143="Tier 2 Grove"),$F143="Remove",$H143="Tree Protection Code: Development Capacity",$I143&lt;&gt;"",ISNA(MATCH($I143,Tables!$B$193:$B$197,0))),
Error!$B$17,
IF(AND(OR($E143="Tier 2",$E143="Tier 2 Grove"),$F143="Remove",$H143="Tree Protection Code: Necessary for Construction",$I143&lt;&gt;"",ISNA(MATCH($I143,Tables!$B$193:$B$197,0))),
Error!$B$17,
IF(AND($E143="Tier 1",$F143="Remove",$H143="Tree Protection Code: Special Exception",$I143&lt;&gt;"",ISNA(MATCH($I143,Tables!$B$215:$B$218,0))),
Error!$B$17,
IF(AND($E143="Tier 1",$F143="Remove",$H143="Tree Protection Code: Other removal allowance or exemption",$I143&lt;&gt;"",ISNA(MATCH($I143,Tables!$B$215:$B$218,0))),
Error!$B$17,
IF(AND($E143="ECA / Shoreline Tree",$F143="Remove",$H143&lt;&gt;"",OR($H143="Shoreline",$H143="Environmental Critical Area (ECA)"),ISNA(MATCH($I143,Tables!$B$209:$B$212,0))),
Error!$B$17,
IF(AND(_xlpm.baseRow,$F143="Retain",$E143="ECA / Shoreline Tree",_xlpm.ECA_Short=0),
Error!$B$61,
IF(AND($F143="Remove",ISNUMBER(MATCH($E143,{"Tier 1","Tier 2","Tier 3","Tier 4","Tier 2 Grove"},0)),ISNUMBER(MATCH($I143,{"On-site replacement","Off-site replacement"},0)),$J143="",$H143&lt;&gt;""),
Error!$B$19,
IF(AND(_xlpm.baseRow,$E143&lt;&gt;"",$D143&lt;&gt;"",$F143&lt;&gt;"",COUNTBLANK($B143:$C143)&gt;0,COUNTBLANK(_xlpm.HRange)&lt;&gt;4),
Error!$B$22,
IF(AND($H143="Zoning: Tree Points",$K143&lt;&gt;"",ISNA(MATCH($K143,Tables!$B$242:$B$253,0))),
Error!$B$58,
IF(AND($H143="Zoning: Tree Points",$K143="Small",$L143&lt;&gt;"",ISNA(MATCH($L143,Tables!$C$243:$C$244,0))),
Error!$B$59,
IF(AND($H143="Zoning: Tree Points",$K143="Small/Medium",$L143&lt;&gt;"",ISNA(MATCH($L143,Tables!$C$246:$C$247,0))),
Error!$B$59,
IF(AND($H143="Zoning: Tree Points",$K143="Medium/Large",$L143&lt;&gt;"",ISNA(MATCH($L143,Tables!$C$249:$C$250,0))),
Error!$B$59,
IF(AND($H143="Zoning: Tree Points",$K143="Large",$L143&lt;&gt;"",ISNA(MATCH($L143,Tables!$C$252:$C$253,0))),
Error!$B$59,
IF(AND($F143="Retain",$H143="Zoning: Tree Points",$C143&lt;&gt;"",$D143&lt;&gt;"",OR($K143="",$L143="",$M143="")),
Error!$B$20,
""
)))))))))))))))))))))))))))))))))))))))))))))))))))))))),
Error!$B$23))</f>
        <v/>
      </c>
      <c r="O143" s="343" t="str" cm="1">
        <f t="array" aca="1" ref="O143" ca="1">IFERROR(_xlfn.LET(
    _xlpm.txt, $C143,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44" spans="1:15" x14ac:dyDescent="0.3">
      <c r="A144" s="320"/>
      <c r="B144" s="616" t="str">
        <f t="shared" ref="B144:B146" si="123">IF($B143="", "", $B143)</f>
        <v/>
      </c>
      <c r="C144" s="617" t="str">
        <f t="shared" ref="C144:C146" si="124">IF($C143="", "", $C143)</f>
        <v/>
      </c>
      <c r="D144" s="618" t="str">
        <f t="shared" ref="D144:D146" si="125">IF($D143="", "", $D143)</f>
        <v/>
      </c>
      <c r="E144" s="616" t="str">
        <f t="shared" ref="E144:E146" si="126">IF($E143="", "", $E143)</f>
        <v/>
      </c>
      <c r="F144" s="616" t="str">
        <f t="shared" ref="F144:F146" si="127">IF($F143="", "", $F143)</f>
        <v/>
      </c>
      <c r="G144" s="619" t="str">
        <f>IF(Tree_Table1[[#This Row],[Tree Status  &amp;]]="Retain", Tables!$B$237, IF(Tree_Table1[[#This Row],[Tree Status  &amp;]]="Remove", Tables!$B$238, ""))</f>
        <v/>
      </c>
      <c r="H144" s="321"/>
      <c r="I144" s="322"/>
      <c r="J144" s="453"/>
      <c r="K144" s="323" t="str">
        <f>IFERROR(
    IF(
        AND($H144="Zoning: Tree Points", NOT(ISNUMBER(SEARCH("sp.", $C144)))),
        VLOOKUP($C144, 'Tree List'!$C$3:$F$601, 4, FALSE),
        ""
    ),
"")</f>
        <v/>
      </c>
      <c r="L144" s="324" t="str" cm="1">
        <f t="array" ref="L144">IFERROR(
IF(
    AND($H144="Zoning: Tree Points", NOT(ISNUMBER(SEARCH("sp.", $C144)))),
    _xlfn.IFS(
        (COUNTIFS('Tree List'!$C$3:$C$601,$C144,'Tree List'!$D$3:$D$601,"Coniferous")
        + COUNTIFS('Tree List'!$C$3:$C$601,$C144,'Tree List'!$D$3:$D$601,"Deciduous Conifer")) &gt; 0,
            _xlfn.IFS($K144="Small",0.5,$K144="Small/Medium",1,$K144="Medium/Large",1.4,$K144="Large",1.8),
        (COUNTIFS('Tree List'!$C$3:$C$601,$C144,'Tree List'!$D$3:$D$601,"Deciduous")
        + COUNTIFS('Tree List'!$C$3:$C$601,$C144,'Tree List'!$D$3:$D$601,"Broadleaf Evergreen")) &gt; 0,
            _xlfn.IFS($K144="Small",0.4,$K144="Small/Medium",0.8,$K144="Medium/Large",1.2,$K144="Large",1.6)
    ),
    ""
),
"")</f>
        <v/>
      </c>
      <c r="M144" s="475" t="str">
        <f t="shared" si="0"/>
        <v/>
      </c>
      <c r="N144" s="346" t="str" cm="1">
        <f t="array" aca="1" ref="N14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IF(AND(_xlpm.baseRow,ISNA(MATCH($C144,'Tree List'!$C$3:$C$601,0)),SUMPRODUCT(--ISNUMBER(SEARCH(Tables2!$C$677:$C$772,$O144)))&gt;0),
Error!$B$57,
IF(AND(_xlpm.hasDM,$F144="Remove",$H144&lt;&gt;"",OR($I144="On-site replacement",$I144="Off-site replacement",$I144="Payment In Lieu")),
Error!$B$56,
IF(AND(_xlpm.hasDM,$F144="Remove",$H144&lt;&gt;"",$I144="Relocation"),
Error!$B$66,
IF(AND(OR(_xlpm.hasCN,_xlpm.hasPH,_xlpm.hasGR),$H144&lt;&gt;"",COUNTIF(Tables!$B$132:$B$134,$H144)&gt;0,$I144="N/A (No replacement required)"),
Error!$B$62,
IF(AND(_xlpm.baseRow,$E144&lt;&gt;"",ISNA(MATCH($E144,Tables!$B$225:$B$232,0))),
Error!$B$2,
IF(AND(_xlpm.baseRow,$F144&lt;&gt;"",ISNA(MATCH($F144,Tables!$B$234:$B$235,0))),
Error!$B$24,
IF(AND(_xlpm.baseRow,_xlpm.ECA_H&gt;0,_xlpm.Shore_H&gt;0),
Error!$B$16,
IF(AND(_xlpm.baseRow,$E144&lt;&gt;"",$D144=""),
Error!$B$3,
IF(AND(_xlpm.baseRow,OR($E144="Tier 3",$E144="Tier 4"),$C144&lt;&gt;"",$D144&gt;=24,COUNTIF(Tables2!$B$166:$B$674,$C144)&gt;0),
Error!$B$44,
IF(AND(_xlpm.baseRow,OR($E144="Tier 3",$E144="Tier 4"),$C144&lt;&gt;"",$D144&lt;&gt;"",COUNTIF(Tables2!$B$73:$B$152,$C144)&gt;0,
$D144&gt;=IFERROR(INDEX(Tables2!$C$73:$C$152,MATCH($C144,Tables2!$B$73:$B$152,0)),-1)),
Error!$B$44,
IF(AND(_xlpm.baseRow,OR($E144="Tier 2",$E144="Tier 2 Grove"),$C144&lt;&gt;"",$D144&gt;=12,COUNTIF(Tables2!$B$153:$B$162,$C144)&gt;0),
Error!$B$45,
IF(AND(_xlpm.baseRow,$E144="Tier 2 Grove",$D144&lt;12),
Error!$B$41,
IF(AND(_xlpm.baseRow,$E144="Tier 2",$D144&lt;5.88),
Error!$B$40,
IF(AND(_xlpm.baseRow,OR($E144="Tier 2",$E144="Tier 2 Grove"),$C144&lt;&gt;"",$D144&lt;12,$D144&gt;=6,COUNTIF(Tables2!$B$153:$B$162,$C144)&gt;0),
Error!$B$54,
IF(AND(_xlpm.baseRow,$E144="Tier 2",COUNTIF(Tables2!$B$166:$B$674,$C144)&gt;0,$D144&lt;24),
Error!$B$54,
IF(AND(_xlpm.baseRow,$E144="Tier 3",ISNA(MATCH($C144,Tables2!$B$153:$B$162,0)),OR($D144&lt;12,$D144&gt;=24)),
Error!$B$9,
IF(AND(_xlpm.baseRow,$E144="Tier 3",COUNTIF(Tables2!$B$153:$B$162,$C144)&gt;0,$D144&lt;12),
Error!$B$46,
IF(AND(_xlpm.baseRow,$E144="Tier 4",OR($D144&lt;6,$D144&gt;=12)),
Error!$B$10,
IF(AND(_xlpm.baseRow,$E144="&lt;6in DSH for Tree Points",OR($D144&gt;=6,$D144="")),
Error!$B$8,
IF(AND(_xlpm.baseRow,$E144="Street Tree for Green Factor",$F144&lt;&gt;"",$F144&lt;&gt;"Retain"),
Error!$B$14,
IF(AND($E144="&lt;6in DSH for Tree Points",$F144="Retain",$H144&lt;&gt;"",ISNA(MATCH($H144,Tables!$B$174:$B$174,0))),
Error!$B$15,
IF(AND($E144="Street Tree for Green Factor",$F144="Retain",$H144&lt;&gt;"",$H144&lt;&gt;"Zoning: Green Factor"),
Error!$B$15,
IF(AND($E144="ECA / Shoreline Tree",$F144="Remove",$H144&lt;&gt;"",ISNA(MATCH($H144,Tables!$B$189:$B$190,0))),
Error!$B$15,
IF(AND($E144="ECA / Shoreline Tree",$F144="Retain",$H144&lt;&gt;"",ISNA(MATCH($H144,Tables!$B$184:$B$186,0))),
Error!$B$15,
IF(AND($E144="Tier 4",$F144="Remove",$H144&lt;&gt;"",ISNA(MATCH($H144,Tables!$B$171,0))),
Error!$B$15,
IF(AND($E144="Tier 4",$F144="Retain",$H144&lt;&gt;"",ISNA(MATCH($H144,Tables!$B$166:$B$168,0))),
Error!$B$15,
IF(AND($E144="Tier 3",$F144="Retain",$H144&lt;&gt;"",ISNA(MATCH($H144,Tables!$B$158:$B$160,0))),
Error!$B$15,
IF(AND($E144="Tier 3",$F144="Remove",$H144&lt;&gt;"",ISNA(MATCH($H144,Tables!$B$163,0))),
Error!$B$15,
IF(AND(OR($E144="Tier 2",$E144="Tier 2 Grove"),$F144="Remove",$H144&lt;&gt;"",ISNA(MATCH($H144,Tables!$B$153:$B$155,0))),
Error!$B$15,
IF(AND(OR($E144="Tier 2",$E144="Tier 2 Grove"),$F144="Retain",$H144&lt;&gt;"",ISNA(MATCH($H144,Tables!$B$147:$B$150,0))),
Error!$B$15,
IF(AND($E144="Tier 1",$F144="Remove",$H144&lt;&gt;"",ISNA(MATCH($H144,Tables!$B$143:$B$144,0))),
Error!$B$15,
IF(AND($E144="Tier 1",$F144="Retain",$H144&lt;&gt;"",ISNA(MATCH($H144,Tables!$B$137:$B$140,0))),
Error!$B$15,
IF(AND($E144&lt;&gt;"Tier 2",$E144&lt;&gt;"Tier 2 Grove",$E144&lt;&gt;"Tier 3",$E144&lt;&gt;"Tier 4",$H144="Zoning: Green Factor",OR($D144="",$D144&lt;6)),
Error!$B$11,
IF(AND(_xlpm.baseRow,$D144&lt;6,$E144="&lt;6in DSH for Tree Points",_xlpm.TreePoints_H=0),
Error!$B$21,
IF(AND(_xlpm.baseRow,$E144&lt;&gt;"",$D144&lt;&gt;"",$F144=""),
Error!$B$4,
IF(AND(_xlpm.baseRow,$F144="Remove",OR($E144="Tier 1",$E144="Tier 2",$E144="Tier 2 Grove"),COUNTBLANK(_xlpm.HRange)&lt;3,_xlpm.uniqueH&gt;=2),
Error!$B$48,
IF(AND(_xlpm.baseRow,$F144="Retain",OR($E144="Tier 1",$E144="Tier 2",$E144="Tier 2 Grove"),COUNTIF(_xlpm.HRange,"Tree Code: Required to Retain Tier 1-2 Tree")=0),
Error!$B$47,
IF(AND(_xlpm.baseRow,$E144&lt;&gt;"",$D144&lt;&gt;"",$F144&lt;&gt;"",COUNTBLANK(_xlpm.HRange)=4),
Error!$B$5,
IF(AND($F144="Remove",$H144&lt;&gt;"",$I144=""),
Error!$B$18,
IF(AND($E144="Tier 4",$F144="Remove",$H144="Tree Protection Code: Tier 3 or Tier 4 Allowance",$H144&lt;&gt;"",ISNA(MATCH($I144,Tables!$B$200,0))),
Error!$B$17,
IF(AND($E144="Tier 3",$F144="Remove",$H144&lt;&gt;"",$H144="Tree Protection Code: Tier 3 or Tier 4 Allowance",OR($I144="",ISNA(MATCH($I144,Tables!$B$193:$B$197,0)))),
Error!$B$17,
IF(AND(OR($E144="Tier 2",$E144="Tier 2 Grove"),$F144="Remove",$H144="Tree Protection Code: Other removal allowance or exemption",$I144&lt;&gt;"",ISNA(MATCH($I144,Tables!$B$215:$B$218,0))),
Error!$B$17,
IF(AND(OR($E144="Tier 2",$E144="Tier 2 Grove"),$F144="Remove",$H144="Tree Protection Code: Development Capacity",$I144&lt;&gt;"",ISNA(MATCH($I144,Tables!$B$193:$B$197,0))),
Error!$B$17,
IF(AND(OR($E144="Tier 2",$E144="Tier 2 Grove"),$F144="Remove",$H144="Tree Protection Code: Necessary for Construction",$I144&lt;&gt;"",ISNA(MATCH($I144,Tables!$B$193:$B$197,0))),
Error!$B$17,
IF(AND($E144="Tier 1",$F144="Remove",$H144="Tree Protection Code: Special Exception",$I144&lt;&gt;"",ISNA(MATCH($I144,Tables!$B$215:$B$218,0))),
Error!$B$17,
IF(AND($E144="Tier 1",$F144="Remove",$H144="Tree Protection Code: Other removal allowance or exemption",$I144&lt;&gt;"",ISNA(MATCH($I144,Tables!$B$215:$B$218,0))),
Error!$B$17,
IF(AND($E144="ECA / Shoreline Tree",$F144="Remove",$H144&lt;&gt;"",OR($H144="Shoreline",$H144="Environmental Critical Area (ECA)"),ISNA(MATCH($I144,Tables!$B$209:$B$212,0))),
Error!$B$17,
IF(AND(_xlpm.baseRow,$F144="Retain",$E144="ECA / Shoreline Tree",_xlpm.ECA_Short=0),
Error!$B$61,
IF(AND($F144="Remove",ISNUMBER(MATCH($E144,{"Tier 1","Tier 2","Tier 3","Tier 4","Tier 2 Grove"},0)),ISNUMBER(MATCH($I144,{"On-site replacement","Off-site replacement"},0)),$J144="",$H144&lt;&gt;""),
Error!$B$19,
IF(AND(_xlpm.baseRow,$E144&lt;&gt;"",$D144&lt;&gt;"",$F144&lt;&gt;"",COUNTBLANK($B144:$C144)&gt;0,COUNTBLANK(_xlpm.HRange)&lt;&gt;4),
Error!$B$22,
IF(AND($H144="Zoning: Tree Points",$K144&lt;&gt;"",ISNA(MATCH($K144,Tables!$B$242:$B$253,0))),
Error!$B$58,
IF(AND($H144="Zoning: Tree Points",$K144="Small",$L144&lt;&gt;"",ISNA(MATCH($L144,Tables!$C$243:$C$244,0))),
Error!$B$59,
IF(AND($H144="Zoning: Tree Points",$K144="Small/Medium",$L144&lt;&gt;"",ISNA(MATCH($L144,Tables!$C$246:$C$247,0))),
Error!$B$59,
IF(AND($H144="Zoning: Tree Points",$K144="Medium/Large",$L144&lt;&gt;"",ISNA(MATCH($L144,Tables!$C$249:$C$250,0))),
Error!$B$59,
IF(AND($H144="Zoning: Tree Points",$K144="Large",$L144&lt;&gt;"",ISNA(MATCH($L144,Tables!$C$252:$C$253,0))),
Error!$B$59,
IF(AND($F144="Retain",$H144="Zoning: Tree Points",$C144&lt;&gt;"",$D144&lt;&gt;"",OR($K144="",$L144="",$M144="")),
Error!$B$20,
""
)))))))))))))))))))))))))))))))))))))))))))))))))))))))),
Error!$B$23))</f>
        <v/>
      </c>
      <c r="O144" s="343" t="str" cm="1">
        <f t="array" aca="1" ref="O144" ca="1">IFERROR(_xlfn.LET(
    _xlpm.txt, $C144,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45" spans="1:15" x14ac:dyDescent="0.3">
      <c r="A145" s="320"/>
      <c r="B145" s="616" t="str">
        <f t="shared" si="123"/>
        <v/>
      </c>
      <c r="C145" s="617" t="str">
        <f t="shared" si="124"/>
        <v/>
      </c>
      <c r="D145" s="618" t="str">
        <f t="shared" si="125"/>
        <v/>
      </c>
      <c r="E145" s="616" t="str">
        <f t="shared" si="126"/>
        <v/>
      </c>
      <c r="F145" s="616" t="str">
        <f t="shared" si="127"/>
        <v/>
      </c>
      <c r="G145" s="619" t="str">
        <f>IF(Tree_Table1[[#This Row],[Tree Status  &amp;]]="Retain", Tables!$B$237, IF(Tree_Table1[[#This Row],[Tree Status  &amp;]]="Remove", Tables!$B$238, ""))</f>
        <v/>
      </c>
      <c r="H145" s="321"/>
      <c r="I145" s="322"/>
      <c r="J145" s="453"/>
      <c r="K145" s="323" t="str">
        <f>IFERROR(
    IF(
        AND($H145="Zoning: Tree Points", NOT(ISNUMBER(SEARCH("sp.", $C145)))),
        VLOOKUP($C145, 'Tree List'!$C$3:$F$601, 4, FALSE),
        ""
    ),
"")</f>
        <v/>
      </c>
      <c r="L145" s="324" t="str" cm="1">
        <f t="array" ref="L145">IFERROR(
IF(
    AND($H145="Zoning: Tree Points", NOT(ISNUMBER(SEARCH("sp.", $C145)))),
    _xlfn.IFS(
        (COUNTIFS('Tree List'!$C$3:$C$601,$C145,'Tree List'!$D$3:$D$601,"Coniferous")
        + COUNTIFS('Tree List'!$C$3:$C$601,$C145,'Tree List'!$D$3:$D$601,"Deciduous Conifer")) &gt; 0,
            _xlfn.IFS($K145="Small",0.5,$K145="Small/Medium",1,$K145="Medium/Large",1.4,$K145="Large",1.8),
        (COUNTIFS('Tree List'!$C$3:$C$601,$C145,'Tree List'!$D$3:$D$601,"Deciduous")
        + COUNTIFS('Tree List'!$C$3:$C$601,$C145,'Tree List'!$D$3:$D$601,"Broadleaf Evergreen")) &gt; 0,
            _xlfn.IFS($K145="Small",0.4,$K145="Small/Medium",0.8,$K145="Medium/Large",1.2,$K145="Large",1.6)
    ),
    ""
),
"")</f>
        <v/>
      </c>
      <c r="M145" s="475" t="str">
        <f t="shared" si="0"/>
        <v/>
      </c>
      <c r="N145" s="346" t="str" cm="1">
        <f t="array" aca="1" ref="N14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IF(AND(_xlpm.baseRow,ISNA(MATCH($C145,'Tree List'!$C$3:$C$601,0)),SUMPRODUCT(--ISNUMBER(SEARCH(Tables2!$C$677:$C$772,$O145)))&gt;0),
Error!$B$57,
IF(AND(_xlpm.hasDM,$F145="Remove",$H145&lt;&gt;"",OR($I145="On-site replacement",$I145="Off-site replacement",$I145="Payment In Lieu")),
Error!$B$56,
IF(AND(_xlpm.hasDM,$F145="Remove",$H145&lt;&gt;"",$I145="Relocation"),
Error!$B$66,
IF(AND(OR(_xlpm.hasCN,_xlpm.hasPH,_xlpm.hasGR),$H145&lt;&gt;"",COUNTIF(Tables!$B$132:$B$134,$H145)&gt;0,$I145="N/A (No replacement required)"),
Error!$B$62,
IF(AND(_xlpm.baseRow,$E145&lt;&gt;"",ISNA(MATCH($E145,Tables!$B$225:$B$232,0))),
Error!$B$2,
IF(AND(_xlpm.baseRow,$F145&lt;&gt;"",ISNA(MATCH($F145,Tables!$B$234:$B$235,0))),
Error!$B$24,
IF(AND(_xlpm.baseRow,_xlpm.ECA_H&gt;0,_xlpm.Shore_H&gt;0),
Error!$B$16,
IF(AND(_xlpm.baseRow,$E145&lt;&gt;"",$D145=""),
Error!$B$3,
IF(AND(_xlpm.baseRow,OR($E145="Tier 3",$E145="Tier 4"),$C145&lt;&gt;"",$D145&gt;=24,COUNTIF(Tables2!$B$166:$B$674,$C145)&gt;0),
Error!$B$44,
IF(AND(_xlpm.baseRow,OR($E145="Tier 3",$E145="Tier 4"),$C145&lt;&gt;"",$D145&lt;&gt;"",COUNTIF(Tables2!$B$73:$B$152,$C145)&gt;0,
$D145&gt;=IFERROR(INDEX(Tables2!$C$73:$C$152,MATCH($C145,Tables2!$B$73:$B$152,0)),-1)),
Error!$B$44,
IF(AND(_xlpm.baseRow,OR($E145="Tier 2",$E145="Tier 2 Grove"),$C145&lt;&gt;"",$D145&gt;=12,COUNTIF(Tables2!$B$153:$B$162,$C145)&gt;0),
Error!$B$45,
IF(AND(_xlpm.baseRow,$E145="Tier 2 Grove",$D145&lt;12),
Error!$B$41,
IF(AND(_xlpm.baseRow,$E145="Tier 2",$D145&lt;5.88),
Error!$B$40,
IF(AND(_xlpm.baseRow,OR($E145="Tier 2",$E145="Tier 2 Grove"),$C145&lt;&gt;"",$D145&lt;12,$D145&gt;=6,COUNTIF(Tables2!$B$153:$B$162,$C145)&gt;0),
Error!$B$54,
IF(AND(_xlpm.baseRow,$E145="Tier 2",COUNTIF(Tables2!$B$166:$B$674,$C145)&gt;0,$D145&lt;24),
Error!$B$54,
IF(AND(_xlpm.baseRow,$E145="Tier 3",ISNA(MATCH($C145,Tables2!$B$153:$B$162,0)),OR($D145&lt;12,$D145&gt;=24)),
Error!$B$9,
IF(AND(_xlpm.baseRow,$E145="Tier 3",COUNTIF(Tables2!$B$153:$B$162,$C145)&gt;0,$D145&lt;12),
Error!$B$46,
IF(AND(_xlpm.baseRow,$E145="Tier 4",OR($D145&lt;6,$D145&gt;=12)),
Error!$B$10,
IF(AND(_xlpm.baseRow,$E145="&lt;6in DSH for Tree Points",OR($D145&gt;=6,$D145="")),
Error!$B$8,
IF(AND(_xlpm.baseRow,$E145="Street Tree for Green Factor",$F145&lt;&gt;"",$F145&lt;&gt;"Retain"),
Error!$B$14,
IF(AND($E145="&lt;6in DSH for Tree Points",$F145="Retain",$H145&lt;&gt;"",ISNA(MATCH($H145,Tables!$B$174:$B$174,0))),
Error!$B$15,
IF(AND($E145="Street Tree for Green Factor",$F145="Retain",$H145&lt;&gt;"",$H145&lt;&gt;"Zoning: Green Factor"),
Error!$B$15,
IF(AND($E145="ECA / Shoreline Tree",$F145="Remove",$H145&lt;&gt;"",ISNA(MATCH($H145,Tables!$B$189:$B$190,0))),
Error!$B$15,
IF(AND($E145="ECA / Shoreline Tree",$F145="Retain",$H145&lt;&gt;"",ISNA(MATCH($H145,Tables!$B$184:$B$186,0))),
Error!$B$15,
IF(AND($E145="Tier 4",$F145="Remove",$H145&lt;&gt;"",ISNA(MATCH($H145,Tables!$B$171,0))),
Error!$B$15,
IF(AND($E145="Tier 4",$F145="Retain",$H145&lt;&gt;"",ISNA(MATCH($H145,Tables!$B$166:$B$168,0))),
Error!$B$15,
IF(AND($E145="Tier 3",$F145="Retain",$H145&lt;&gt;"",ISNA(MATCH($H145,Tables!$B$158:$B$160,0))),
Error!$B$15,
IF(AND($E145="Tier 3",$F145="Remove",$H145&lt;&gt;"",ISNA(MATCH($H145,Tables!$B$163,0))),
Error!$B$15,
IF(AND(OR($E145="Tier 2",$E145="Tier 2 Grove"),$F145="Remove",$H145&lt;&gt;"",ISNA(MATCH($H145,Tables!$B$153:$B$155,0))),
Error!$B$15,
IF(AND(OR($E145="Tier 2",$E145="Tier 2 Grove"),$F145="Retain",$H145&lt;&gt;"",ISNA(MATCH($H145,Tables!$B$147:$B$150,0))),
Error!$B$15,
IF(AND($E145="Tier 1",$F145="Remove",$H145&lt;&gt;"",ISNA(MATCH($H145,Tables!$B$143:$B$144,0))),
Error!$B$15,
IF(AND($E145="Tier 1",$F145="Retain",$H145&lt;&gt;"",ISNA(MATCH($H145,Tables!$B$137:$B$140,0))),
Error!$B$15,
IF(AND($E145&lt;&gt;"Tier 2",$E145&lt;&gt;"Tier 2 Grove",$E145&lt;&gt;"Tier 3",$E145&lt;&gt;"Tier 4",$H145="Zoning: Green Factor",OR($D145="",$D145&lt;6)),
Error!$B$11,
IF(AND(_xlpm.baseRow,$D145&lt;6,$E145="&lt;6in DSH for Tree Points",_xlpm.TreePoints_H=0),
Error!$B$21,
IF(AND(_xlpm.baseRow,$E145&lt;&gt;"",$D145&lt;&gt;"",$F145=""),
Error!$B$4,
IF(AND(_xlpm.baseRow,$F145="Remove",OR($E145="Tier 1",$E145="Tier 2",$E145="Tier 2 Grove"),COUNTBLANK(_xlpm.HRange)&lt;3,_xlpm.uniqueH&gt;=2),
Error!$B$48,
IF(AND(_xlpm.baseRow,$F145="Retain",OR($E145="Tier 1",$E145="Tier 2",$E145="Tier 2 Grove"),COUNTIF(_xlpm.HRange,"Tree Code: Required to Retain Tier 1-2 Tree")=0),
Error!$B$47,
IF(AND(_xlpm.baseRow,$E145&lt;&gt;"",$D145&lt;&gt;"",$F145&lt;&gt;"",COUNTBLANK(_xlpm.HRange)=4),
Error!$B$5,
IF(AND($F145="Remove",$H145&lt;&gt;"",$I145=""),
Error!$B$18,
IF(AND($E145="Tier 4",$F145="Remove",$H145="Tree Protection Code: Tier 3 or Tier 4 Allowance",$H145&lt;&gt;"",ISNA(MATCH($I145,Tables!$B$200,0))),
Error!$B$17,
IF(AND($E145="Tier 3",$F145="Remove",$H145&lt;&gt;"",$H145="Tree Protection Code: Tier 3 or Tier 4 Allowance",OR($I145="",ISNA(MATCH($I145,Tables!$B$193:$B$197,0)))),
Error!$B$17,
IF(AND(OR($E145="Tier 2",$E145="Tier 2 Grove"),$F145="Remove",$H145="Tree Protection Code: Other removal allowance or exemption",$I145&lt;&gt;"",ISNA(MATCH($I145,Tables!$B$215:$B$218,0))),
Error!$B$17,
IF(AND(OR($E145="Tier 2",$E145="Tier 2 Grove"),$F145="Remove",$H145="Tree Protection Code: Development Capacity",$I145&lt;&gt;"",ISNA(MATCH($I145,Tables!$B$193:$B$197,0))),
Error!$B$17,
IF(AND(OR($E145="Tier 2",$E145="Tier 2 Grove"),$F145="Remove",$H145="Tree Protection Code: Necessary for Construction",$I145&lt;&gt;"",ISNA(MATCH($I145,Tables!$B$193:$B$197,0))),
Error!$B$17,
IF(AND($E145="Tier 1",$F145="Remove",$H145="Tree Protection Code: Special Exception",$I145&lt;&gt;"",ISNA(MATCH($I145,Tables!$B$215:$B$218,0))),
Error!$B$17,
IF(AND($E145="Tier 1",$F145="Remove",$H145="Tree Protection Code: Other removal allowance or exemption",$I145&lt;&gt;"",ISNA(MATCH($I145,Tables!$B$215:$B$218,0))),
Error!$B$17,
IF(AND($E145="ECA / Shoreline Tree",$F145="Remove",$H145&lt;&gt;"",OR($H145="Shoreline",$H145="Environmental Critical Area (ECA)"),ISNA(MATCH($I145,Tables!$B$209:$B$212,0))),
Error!$B$17,
IF(AND(_xlpm.baseRow,$F145="Retain",$E145="ECA / Shoreline Tree",_xlpm.ECA_Short=0),
Error!$B$61,
IF(AND($F145="Remove",ISNUMBER(MATCH($E145,{"Tier 1","Tier 2","Tier 3","Tier 4","Tier 2 Grove"},0)),ISNUMBER(MATCH($I145,{"On-site replacement","Off-site replacement"},0)),$J145="",$H145&lt;&gt;""),
Error!$B$19,
IF(AND(_xlpm.baseRow,$E145&lt;&gt;"",$D145&lt;&gt;"",$F145&lt;&gt;"",COUNTBLANK($B145:$C145)&gt;0,COUNTBLANK(_xlpm.HRange)&lt;&gt;4),
Error!$B$22,
IF(AND($H145="Zoning: Tree Points",$K145&lt;&gt;"",ISNA(MATCH($K145,Tables!$B$242:$B$253,0))),
Error!$B$58,
IF(AND($H145="Zoning: Tree Points",$K145="Small",$L145&lt;&gt;"",ISNA(MATCH($L145,Tables!$C$243:$C$244,0))),
Error!$B$59,
IF(AND($H145="Zoning: Tree Points",$K145="Small/Medium",$L145&lt;&gt;"",ISNA(MATCH($L145,Tables!$C$246:$C$247,0))),
Error!$B$59,
IF(AND($H145="Zoning: Tree Points",$K145="Medium/Large",$L145&lt;&gt;"",ISNA(MATCH($L145,Tables!$C$249:$C$250,0))),
Error!$B$59,
IF(AND($H145="Zoning: Tree Points",$K145="Large",$L145&lt;&gt;"",ISNA(MATCH($L145,Tables!$C$252:$C$253,0))),
Error!$B$59,
IF(AND($F145="Retain",$H145="Zoning: Tree Points",$C145&lt;&gt;"",$D145&lt;&gt;"",OR($K145="",$L145="",$M145="")),
Error!$B$20,
""
)))))))))))))))))))))))))))))))))))))))))))))))))))))))),
Error!$B$23))</f>
        <v/>
      </c>
      <c r="O145" s="343" t="str" cm="1">
        <f t="array" aca="1" ref="O145" ca="1">IFERROR(_xlfn.LET(
    _xlpm.txt, $C145,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46" spans="1:15" ht="15" thickBot="1" x14ac:dyDescent="0.35">
      <c r="A146" s="331"/>
      <c r="B146" s="616" t="str">
        <f t="shared" si="123"/>
        <v/>
      </c>
      <c r="C146" s="617" t="str">
        <f t="shared" si="124"/>
        <v/>
      </c>
      <c r="D146" s="618" t="str">
        <f t="shared" si="125"/>
        <v/>
      </c>
      <c r="E146" s="616" t="str">
        <f t="shared" si="126"/>
        <v/>
      </c>
      <c r="F146" s="616" t="str">
        <f t="shared" si="127"/>
        <v/>
      </c>
      <c r="G146" s="619" t="str">
        <f>IF(Tree_Table1[[#This Row],[Tree Status  &amp;]]="Retain", Tables!$B$237, IF(Tree_Table1[[#This Row],[Tree Status  &amp;]]="Remove", Tables!$B$238, ""))</f>
        <v/>
      </c>
      <c r="H146" s="329"/>
      <c r="I146" s="330"/>
      <c r="J146" s="455"/>
      <c r="K146" s="327" t="str">
        <f>IFERROR(
    IF(
        AND($H146="Zoning: Tree Points", NOT(ISNUMBER(SEARCH("sp.", $C146)))),
        VLOOKUP($C146, 'Tree List'!$C$3:$F$601, 4, FALSE),
        ""
    ),
"")</f>
        <v/>
      </c>
      <c r="L146" s="328" t="str" cm="1">
        <f t="array" ref="L146">IFERROR(
IF(
    AND($H146="Zoning: Tree Points", NOT(ISNUMBER(SEARCH("sp.", $C146)))),
    _xlfn.IFS(
        (COUNTIFS('Tree List'!$C$3:$C$601,$C146,'Tree List'!$D$3:$D$601,"Coniferous")
        + COUNTIFS('Tree List'!$C$3:$C$601,$C146,'Tree List'!$D$3:$D$601,"Deciduous Conifer")) &gt; 0,
            _xlfn.IFS($K146="Small",0.5,$K146="Small/Medium",1,$K146="Medium/Large",1.4,$K146="Large",1.8),
        (COUNTIFS('Tree List'!$C$3:$C$601,$C146,'Tree List'!$D$3:$D$601,"Deciduous")
        + COUNTIFS('Tree List'!$C$3:$C$601,$C146,'Tree List'!$D$3:$D$601,"Broadleaf Evergreen")) &gt; 0,
            _xlfn.IFS($K146="Small",0.4,$K146="Small/Medium",0.8,$K146="Medium/Large",1.2,$K146="Large",1.6)
    ),
    ""
),
"")</f>
        <v/>
      </c>
      <c r="M146" s="476" t="str">
        <f t="shared" si="0"/>
        <v/>
      </c>
      <c r="N146" s="347" t="str" cm="1">
        <f t="array" aca="1" ref="N14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IF(AND(_xlpm.baseRow,ISNA(MATCH($C146,'Tree List'!$C$3:$C$601,0)),SUMPRODUCT(--ISNUMBER(SEARCH(Tables2!$C$677:$C$772,$O146)))&gt;0),
Error!$B$57,
IF(AND(_xlpm.hasDM,$F146="Remove",$H146&lt;&gt;"",OR($I146="On-site replacement",$I146="Off-site replacement",$I146="Payment In Lieu")),
Error!$B$56,
IF(AND(_xlpm.hasDM,$F146="Remove",$H146&lt;&gt;"",$I146="Relocation"),
Error!$B$66,
IF(AND(OR(_xlpm.hasCN,_xlpm.hasPH,_xlpm.hasGR),$H146&lt;&gt;"",COUNTIF(Tables!$B$132:$B$134,$H146)&gt;0,$I146="N/A (No replacement required)"),
Error!$B$62,
IF(AND(_xlpm.baseRow,$E146&lt;&gt;"",ISNA(MATCH($E146,Tables!$B$225:$B$232,0))),
Error!$B$2,
IF(AND(_xlpm.baseRow,$F146&lt;&gt;"",ISNA(MATCH($F146,Tables!$B$234:$B$235,0))),
Error!$B$24,
IF(AND(_xlpm.baseRow,_xlpm.ECA_H&gt;0,_xlpm.Shore_H&gt;0),
Error!$B$16,
IF(AND(_xlpm.baseRow,$E146&lt;&gt;"",$D146=""),
Error!$B$3,
IF(AND(_xlpm.baseRow,OR($E146="Tier 3",$E146="Tier 4"),$C146&lt;&gt;"",$D146&gt;=24,COUNTIF(Tables2!$B$166:$B$674,$C146)&gt;0),
Error!$B$44,
IF(AND(_xlpm.baseRow,OR($E146="Tier 3",$E146="Tier 4"),$C146&lt;&gt;"",$D146&lt;&gt;"",COUNTIF(Tables2!$B$73:$B$152,$C146)&gt;0,
$D146&gt;=IFERROR(INDEX(Tables2!$C$73:$C$152,MATCH($C146,Tables2!$B$73:$B$152,0)),-1)),
Error!$B$44,
IF(AND(_xlpm.baseRow,OR($E146="Tier 2",$E146="Tier 2 Grove"),$C146&lt;&gt;"",$D146&gt;=12,COUNTIF(Tables2!$B$153:$B$162,$C146)&gt;0),
Error!$B$45,
IF(AND(_xlpm.baseRow,$E146="Tier 2 Grove",$D146&lt;12),
Error!$B$41,
IF(AND(_xlpm.baseRow,$E146="Tier 2",$D146&lt;5.88),
Error!$B$40,
IF(AND(_xlpm.baseRow,OR($E146="Tier 2",$E146="Tier 2 Grove"),$C146&lt;&gt;"",$D146&lt;12,$D146&gt;=6,COUNTIF(Tables2!$B$153:$B$162,$C146)&gt;0),
Error!$B$54,
IF(AND(_xlpm.baseRow,$E146="Tier 2",COUNTIF(Tables2!$B$166:$B$674,$C146)&gt;0,$D146&lt;24),
Error!$B$54,
IF(AND(_xlpm.baseRow,$E146="Tier 3",ISNA(MATCH($C146,Tables2!$B$153:$B$162,0)),OR($D146&lt;12,$D146&gt;=24)),
Error!$B$9,
IF(AND(_xlpm.baseRow,$E146="Tier 3",COUNTIF(Tables2!$B$153:$B$162,$C146)&gt;0,$D146&lt;12),
Error!$B$46,
IF(AND(_xlpm.baseRow,$E146="Tier 4",OR($D146&lt;6,$D146&gt;=12)),
Error!$B$10,
IF(AND(_xlpm.baseRow,$E146="&lt;6in DSH for Tree Points",OR($D146&gt;=6,$D146="")),
Error!$B$8,
IF(AND(_xlpm.baseRow,$E146="Street Tree for Green Factor",$F146&lt;&gt;"",$F146&lt;&gt;"Retain"),
Error!$B$14,
IF(AND($E146="&lt;6in DSH for Tree Points",$F146="Retain",$H146&lt;&gt;"",ISNA(MATCH($H146,Tables!$B$174:$B$174,0))),
Error!$B$15,
IF(AND($E146="Street Tree for Green Factor",$F146="Retain",$H146&lt;&gt;"",$H146&lt;&gt;"Zoning: Green Factor"),
Error!$B$15,
IF(AND($E146="ECA / Shoreline Tree",$F146="Remove",$H146&lt;&gt;"",ISNA(MATCH($H146,Tables!$B$189:$B$190,0))),
Error!$B$15,
IF(AND($E146="ECA / Shoreline Tree",$F146="Retain",$H146&lt;&gt;"",ISNA(MATCH($H146,Tables!$B$184:$B$186,0))),
Error!$B$15,
IF(AND($E146="Tier 4",$F146="Remove",$H146&lt;&gt;"",ISNA(MATCH($H146,Tables!$B$171,0))),
Error!$B$15,
IF(AND($E146="Tier 4",$F146="Retain",$H146&lt;&gt;"",ISNA(MATCH($H146,Tables!$B$166:$B$168,0))),
Error!$B$15,
IF(AND($E146="Tier 3",$F146="Retain",$H146&lt;&gt;"",ISNA(MATCH($H146,Tables!$B$158:$B$160,0))),
Error!$B$15,
IF(AND($E146="Tier 3",$F146="Remove",$H146&lt;&gt;"",ISNA(MATCH($H146,Tables!$B$163,0))),
Error!$B$15,
IF(AND(OR($E146="Tier 2",$E146="Tier 2 Grove"),$F146="Remove",$H146&lt;&gt;"",ISNA(MATCH($H146,Tables!$B$153:$B$155,0))),
Error!$B$15,
IF(AND(OR($E146="Tier 2",$E146="Tier 2 Grove"),$F146="Retain",$H146&lt;&gt;"",ISNA(MATCH($H146,Tables!$B$147:$B$150,0))),
Error!$B$15,
IF(AND($E146="Tier 1",$F146="Remove",$H146&lt;&gt;"",ISNA(MATCH($H146,Tables!$B$143:$B$144,0))),
Error!$B$15,
IF(AND($E146="Tier 1",$F146="Retain",$H146&lt;&gt;"",ISNA(MATCH($H146,Tables!$B$137:$B$140,0))),
Error!$B$15,
IF(AND($E146&lt;&gt;"Tier 2",$E146&lt;&gt;"Tier 2 Grove",$E146&lt;&gt;"Tier 3",$E146&lt;&gt;"Tier 4",$H146="Zoning: Green Factor",OR($D146="",$D146&lt;6)),
Error!$B$11,
IF(AND(_xlpm.baseRow,$D146&lt;6,$E146="&lt;6in DSH for Tree Points",_xlpm.TreePoints_H=0),
Error!$B$21,
IF(AND(_xlpm.baseRow,$E146&lt;&gt;"",$D146&lt;&gt;"",$F146=""),
Error!$B$4,
IF(AND(_xlpm.baseRow,$F146="Remove",OR($E146="Tier 1",$E146="Tier 2",$E146="Tier 2 Grove"),COUNTBLANK(_xlpm.HRange)&lt;3,_xlpm.uniqueH&gt;=2),
Error!$B$48,
IF(AND(_xlpm.baseRow,$F146="Retain",OR($E146="Tier 1",$E146="Tier 2",$E146="Tier 2 Grove"),COUNTIF(_xlpm.HRange,"Tree Code: Required to Retain Tier 1-2 Tree")=0),
Error!$B$47,
IF(AND(_xlpm.baseRow,$E146&lt;&gt;"",$D146&lt;&gt;"",$F146&lt;&gt;"",COUNTBLANK(_xlpm.HRange)=4),
Error!$B$5,
IF(AND($F146="Remove",$H146&lt;&gt;"",$I146=""),
Error!$B$18,
IF(AND($E146="Tier 4",$F146="Remove",$H146="Tree Protection Code: Tier 3 or Tier 4 Allowance",$H146&lt;&gt;"",ISNA(MATCH($I146,Tables!$B$200,0))),
Error!$B$17,
IF(AND($E146="Tier 3",$F146="Remove",$H146&lt;&gt;"",$H146="Tree Protection Code: Tier 3 or Tier 4 Allowance",OR($I146="",ISNA(MATCH($I146,Tables!$B$193:$B$197,0)))),
Error!$B$17,
IF(AND(OR($E146="Tier 2",$E146="Tier 2 Grove"),$F146="Remove",$H146="Tree Protection Code: Other removal allowance or exemption",$I146&lt;&gt;"",ISNA(MATCH($I146,Tables!$B$215:$B$218,0))),
Error!$B$17,
IF(AND(OR($E146="Tier 2",$E146="Tier 2 Grove"),$F146="Remove",$H146="Tree Protection Code: Development Capacity",$I146&lt;&gt;"",ISNA(MATCH($I146,Tables!$B$193:$B$197,0))),
Error!$B$17,
IF(AND(OR($E146="Tier 2",$E146="Tier 2 Grove"),$F146="Remove",$H146="Tree Protection Code: Necessary for Construction",$I146&lt;&gt;"",ISNA(MATCH($I146,Tables!$B$193:$B$197,0))),
Error!$B$17,
IF(AND($E146="Tier 1",$F146="Remove",$H146="Tree Protection Code: Special Exception",$I146&lt;&gt;"",ISNA(MATCH($I146,Tables!$B$215:$B$218,0))),
Error!$B$17,
IF(AND($E146="Tier 1",$F146="Remove",$H146="Tree Protection Code: Other removal allowance or exemption",$I146&lt;&gt;"",ISNA(MATCH($I146,Tables!$B$215:$B$218,0))),
Error!$B$17,
IF(AND($E146="ECA / Shoreline Tree",$F146="Remove",$H146&lt;&gt;"",OR($H146="Shoreline",$H146="Environmental Critical Area (ECA)"),ISNA(MATCH($I146,Tables!$B$209:$B$212,0))),
Error!$B$17,
IF(AND(_xlpm.baseRow,$F146="Retain",$E146="ECA / Shoreline Tree",_xlpm.ECA_Short=0),
Error!$B$61,
IF(AND($F146="Remove",ISNUMBER(MATCH($E146,{"Tier 1","Tier 2","Tier 3","Tier 4","Tier 2 Grove"},0)),ISNUMBER(MATCH($I146,{"On-site replacement","Off-site replacement"},0)),$J146="",$H146&lt;&gt;""),
Error!$B$19,
IF(AND(_xlpm.baseRow,$E146&lt;&gt;"",$D146&lt;&gt;"",$F146&lt;&gt;"",COUNTBLANK($B146:$C146)&gt;0,COUNTBLANK(_xlpm.HRange)&lt;&gt;4),
Error!$B$22,
IF(AND($H146="Zoning: Tree Points",$K146&lt;&gt;"",ISNA(MATCH($K146,Tables!$B$242:$B$253,0))),
Error!$B$58,
IF(AND($H146="Zoning: Tree Points",$K146="Small",$L146&lt;&gt;"",ISNA(MATCH($L146,Tables!$C$243:$C$244,0))),
Error!$B$59,
IF(AND($H146="Zoning: Tree Points",$K146="Small/Medium",$L146&lt;&gt;"",ISNA(MATCH($L146,Tables!$C$246:$C$247,0))),
Error!$B$59,
IF(AND($H146="Zoning: Tree Points",$K146="Medium/Large",$L146&lt;&gt;"",ISNA(MATCH($L146,Tables!$C$249:$C$250,0))),
Error!$B$59,
IF(AND($H146="Zoning: Tree Points",$K146="Large",$L146&lt;&gt;"",ISNA(MATCH($L146,Tables!$C$252:$C$253,0))),
Error!$B$59,
IF(AND($F146="Retain",$H146="Zoning: Tree Points",$C146&lt;&gt;"",$D146&lt;&gt;"",OR($K146="",$L146="",$M146="")),
Error!$B$20,
""
)))))))))))))))))))))))))))))))))))))))))))))))))))))))),
Error!$B$23))</f>
        <v/>
      </c>
      <c r="O146" s="343" t="str" cm="1">
        <f t="array" aca="1" ref="O146" ca="1">IFERROR(_xlfn.LET(
    _xlpm.txt, $C146,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47" spans="1:15" ht="15" thickBot="1" x14ac:dyDescent="0.35">
      <c r="A147" s="311">
        <v>35</v>
      </c>
      <c r="B147" s="312"/>
      <c r="C147" s="313"/>
      <c r="D147" s="478"/>
      <c r="E147" s="314"/>
      <c r="F147" s="314"/>
      <c r="G147" s="315" t="str">
        <f>IF(Tree_Table1[[#This Row],[Tree Status  &amp;]]="Retain", Tables!$B$237, IF(Tree_Table1[[#This Row],[Tree Status  &amp;]]="Remove", Tables!$B$238, ""))</f>
        <v/>
      </c>
      <c r="H147" s="316"/>
      <c r="I147" s="317"/>
      <c r="J147" s="452"/>
      <c r="K147" s="318" t="str">
        <f>IFERROR(
    IF(
        AND($H147="Zoning: Tree Points", NOT(ISNUMBER(SEARCH("sp.", $C147)))),
        VLOOKUP($C147, 'Tree List'!$C$3:$F$601, 4, FALSE),
        ""
    ),
"")</f>
        <v/>
      </c>
      <c r="L147" s="319" t="str" cm="1">
        <f t="array" ref="L147">IFERROR(
IF(
    AND($H147="Zoning: Tree Points", NOT(ISNUMBER(SEARCH("sp.", $C147)))),
    _xlfn.IFS(
        (COUNTIFS('Tree List'!$C$3:$C$601,$C147,'Tree List'!$D$3:$D$601,"Coniferous")
        + COUNTIFS('Tree List'!$C$3:$C$601,$C147,'Tree List'!$D$3:$D$601,"Deciduous Conifer")) &gt; 0,
            _xlfn.IFS($K147="Small",0.5,$K147="Small/Medium",1,$K147="Medium/Large",1.4,$K147="Large",1.8),
        (COUNTIFS('Tree List'!$C$3:$C$601,$C147,'Tree List'!$D$3:$D$601,"Deciduous")
        + COUNTIFS('Tree List'!$C$3:$C$601,$C147,'Tree List'!$D$3:$D$601,"Broadleaf Evergreen")) &gt; 0,
            _xlfn.IFS($K147="Small",0.4,$K147="Small/Medium",0.8,$K147="Medium/Large",1.2,$K147="Large",1.6)
    ),
    ""
),
"")</f>
        <v/>
      </c>
      <c r="M147" s="474" t="str">
        <f t="shared" si="0"/>
        <v/>
      </c>
      <c r="N147" s="620" t="str" cm="1">
        <f t="array" aca="1" ref="N14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IF(AND(_xlpm.baseRow,ISNA(MATCH($C147,'Tree List'!$C$3:$C$601,0)),SUMPRODUCT(--ISNUMBER(SEARCH(Tables2!$C$677:$C$772,$O147)))&gt;0),
Error!$B$57,
IF(AND(_xlpm.hasDM,$F147="Remove",$H147&lt;&gt;"",OR($I147="On-site replacement",$I147="Off-site replacement",$I147="Payment In Lieu")),
Error!$B$56,
IF(AND(_xlpm.hasDM,$F147="Remove",$H147&lt;&gt;"",$I147="Relocation"),
Error!$B$66,
IF(AND(OR(_xlpm.hasCN,_xlpm.hasPH,_xlpm.hasGR),$H147&lt;&gt;"",COUNTIF(Tables!$B$132:$B$134,$H147)&gt;0,$I147="N/A (No replacement required)"),
Error!$B$62,
IF(AND(_xlpm.baseRow,$E147&lt;&gt;"",ISNA(MATCH($E147,Tables!$B$225:$B$232,0))),
Error!$B$2,
IF(AND(_xlpm.baseRow,$F147&lt;&gt;"",ISNA(MATCH($F147,Tables!$B$234:$B$235,0))),
Error!$B$24,
IF(AND(_xlpm.baseRow,_xlpm.ECA_H&gt;0,_xlpm.Shore_H&gt;0),
Error!$B$16,
IF(AND(_xlpm.baseRow,$E147&lt;&gt;"",$D147=""),
Error!$B$3,
IF(AND(_xlpm.baseRow,OR($E147="Tier 3",$E147="Tier 4"),$C147&lt;&gt;"",$D147&gt;=24,COUNTIF(Tables2!$B$166:$B$674,$C147)&gt;0),
Error!$B$44,
IF(AND(_xlpm.baseRow,OR($E147="Tier 3",$E147="Tier 4"),$C147&lt;&gt;"",$D147&lt;&gt;"",COUNTIF(Tables2!$B$73:$B$152,$C147)&gt;0,
$D147&gt;=IFERROR(INDEX(Tables2!$C$73:$C$152,MATCH($C147,Tables2!$B$73:$B$152,0)),-1)),
Error!$B$44,
IF(AND(_xlpm.baseRow,OR($E147="Tier 2",$E147="Tier 2 Grove"),$C147&lt;&gt;"",$D147&gt;=12,COUNTIF(Tables2!$B$153:$B$162,$C147)&gt;0),
Error!$B$45,
IF(AND(_xlpm.baseRow,$E147="Tier 2 Grove",$D147&lt;12),
Error!$B$41,
IF(AND(_xlpm.baseRow,$E147="Tier 2",$D147&lt;5.88),
Error!$B$40,
IF(AND(_xlpm.baseRow,OR($E147="Tier 2",$E147="Tier 2 Grove"),$C147&lt;&gt;"",$D147&lt;12,$D147&gt;=6,COUNTIF(Tables2!$B$153:$B$162,$C147)&gt;0),
Error!$B$54,
IF(AND(_xlpm.baseRow,$E147="Tier 2",COUNTIF(Tables2!$B$166:$B$674,$C147)&gt;0,$D147&lt;24),
Error!$B$54,
IF(AND(_xlpm.baseRow,$E147="Tier 3",ISNA(MATCH($C147,Tables2!$B$153:$B$162,0)),OR($D147&lt;12,$D147&gt;=24)),
Error!$B$9,
IF(AND(_xlpm.baseRow,$E147="Tier 3",COUNTIF(Tables2!$B$153:$B$162,$C147)&gt;0,$D147&lt;12),
Error!$B$46,
IF(AND(_xlpm.baseRow,$E147="Tier 4",OR($D147&lt;6,$D147&gt;=12)),
Error!$B$10,
IF(AND(_xlpm.baseRow,$E147="&lt;6in DSH for Tree Points",OR($D147&gt;=6,$D147="")),
Error!$B$8,
IF(AND(_xlpm.baseRow,$E147="Street Tree for Green Factor",$F147&lt;&gt;"",$F147&lt;&gt;"Retain"),
Error!$B$14,
IF(AND($E147="&lt;6in DSH for Tree Points",$F147="Retain",$H147&lt;&gt;"",ISNA(MATCH($H147,Tables!$B$174:$B$174,0))),
Error!$B$15,
IF(AND($E147="Street Tree for Green Factor",$F147="Retain",$H147&lt;&gt;"",$H147&lt;&gt;"Zoning: Green Factor"),
Error!$B$15,
IF(AND($E147="ECA / Shoreline Tree",$F147="Remove",$H147&lt;&gt;"",ISNA(MATCH($H147,Tables!$B$189:$B$190,0))),
Error!$B$15,
IF(AND($E147="ECA / Shoreline Tree",$F147="Retain",$H147&lt;&gt;"",ISNA(MATCH($H147,Tables!$B$184:$B$186,0))),
Error!$B$15,
IF(AND($E147="Tier 4",$F147="Remove",$H147&lt;&gt;"",ISNA(MATCH($H147,Tables!$B$171,0))),
Error!$B$15,
IF(AND($E147="Tier 4",$F147="Retain",$H147&lt;&gt;"",ISNA(MATCH($H147,Tables!$B$166:$B$168,0))),
Error!$B$15,
IF(AND($E147="Tier 3",$F147="Retain",$H147&lt;&gt;"",ISNA(MATCH($H147,Tables!$B$158:$B$160,0))),
Error!$B$15,
IF(AND($E147="Tier 3",$F147="Remove",$H147&lt;&gt;"",ISNA(MATCH($H147,Tables!$B$163,0))),
Error!$B$15,
IF(AND(OR($E147="Tier 2",$E147="Tier 2 Grove"),$F147="Remove",$H147&lt;&gt;"",ISNA(MATCH($H147,Tables!$B$153:$B$155,0))),
Error!$B$15,
IF(AND(OR($E147="Tier 2",$E147="Tier 2 Grove"),$F147="Retain",$H147&lt;&gt;"",ISNA(MATCH($H147,Tables!$B$147:$B$150,0))),
Error!$B$15,
IF(AND($E147="Tier 1",$F147="Remove",$H147&lt;&gt;"",ISNA(MATCH($H147,Tables!$B$143:$B$144,0))),
Error!$B$15,
IF(AND($E147="Tier 1",$F147="Retain",$H147&lt;&gt;"",ISNA(MATCH($H147,Tables!$B$137:$B$140,0))),
Error!$B$15,
IF(AND($E147&lt;&gt;"Tier 2",$E147&lt;&gt;"Tier 2 Grove",$E147&lt;&gt;"Tier 3",$E147&lt;&gt;"Tier 4",$H147="Zoning: Green Factor",OR($D147="",$D147&lt;6)),
Error!$B$11,
IF(AND(_xlpm.baseRow,$D147&lt;6,$E147="&lt;6in DSH for Tree Points",_xlpm.TreePoints_H=0),
Error!$B$21,
IF(AND(_xlpm.baseRow,$E147&lt;&gt;"",$D147&lt;&gt;"",$F147=""),
Error!$B$4,
IF(AND(_xlpm.baseRow,$F147="Remove",OR($E147="Tier 1",$E147="Tier 2",$E147="Tier 2 Grove"),COUNTBLANK(_xlpm.HRange)&lt;3,_xlpm.uniqueH&gt;=2),
Error!$B$48,
IF(AND(_xlpm.baseRow,$F147="Retain",OR($E147="Tier 1",$E147="Tier 2",$E147="Tier 2 Grove"),COUNTIF(_xlpm.HRange,"Tree Code: Required to Retain Tier 1-2 Tree")=0),
Error!$B$47,
IF(AND(_xlpm.baseRow,$E147&lt;&gt;"",$D147&lt;&gt;"",$F147&lt;&gt;"",COUNTBLANK(_xlpm.HRange)=4),
Error!$B$5,
IF(AND($F147="Remove",$H147&lt;&gt;"",$I147=""),
Error!$B$18,
IF(AND($E147="Tier 4",$F147="Remove",$H147="Tree Protection Code: Tier 3 or Tier 4 Allowance",$H147&lt;&gt;"",ISNA(MATCH($I147,Tables!$B$200,0))),
Error!$B$17,
IF(AND($E147="Tier 3",$F147="Remove",$H147&lt;&gt;"",$H147="Tree Protection Code: Tier 3 or Tier 4 Allowance",OR($I147="",ISNA(MATCH($I147,Tables!$B$193:$B$197,0)))),
Error!$B$17,
IF(AND(OR($E147="Tier 2",$E147="Tier 2 Grove"),$F147="Remove",$H147="Tree Protection Code: Other removal allowance or exemption",$I147&lt;&gt;"",ISNA(MATCH($I147,Tables!$B$215:$B$218,0))),
Error!$B$17,
IF(AND(OR($E147="Tier 2",$E147="Tier 2 Grove"),$F147="Remove",$H147="Tree Protection Code: Development Capacity",$I147&lt;&gt;"",ISNA(MATCH($I147,Tables!$B$193:$B$197,0))),
Error!$B$17,
IF(AND(OR($E147="Tier 2",$E147="Tier 2 Grove"),$F147="Remove",$H147="Tree Protection Code: Necessary for Construction",$I147&lt;&gt;"",ISNA(MATCH($I147,Tables!$B$193:$B$197,0))),
Error!$B$17,
IF(AND($E147="Tier 1",$F147="Remove",$H147="Tree Protection Code: Special Exception",$I147&lt;&gt;"",ISNA(MATCH($I147,Tables!$B$215:$B$218,0))),
Error!$B$17,
IF(AND($E147="Tier 1",$F147="Remove",$H147="Tree Protection Code: Other removal allowance or exemption",$I147&lt;&gt;"",ISNA(MATCH($I147,Tables!$B$215:$B$218,0))),
Error!$B$17,
IF(AND($E147="ECA / Shoreline Tree",$F147="Remove",$H147&lt;&gt;"",OR($H147="Shoreline",$H147="Environmental Critical Area (ECA)"),ISNA(MATCH($I147,Tables!$B$209:$B$212,0))),
Error!$B$17,
IF(AND(_xlpm.baseRow,$F147="Retain",$E147="ECA / Shoreline Tree",_xlpm.ECA_Short=0),
Error!$B$61,
IF(AND($F147="Remove",ISNUMBER(MATCH($E147,{"Tier 1","Tier 2","Tier 3","Tier 4","Tier 2 Grove"},0)),ISNUMBER(MATCH($I147,{"On-site replacement","Off-site replacement"},0)),$J147="",$H147&lt;&gt;""),
Error!$B$19,
IF(AND(_xlpm.baseRow,$E147&lt;&gt;"",$D147&lt;&gt;"",$F147&lt;&gt;"",COUNTBLANK($B147:$C147)&gt;0,COUNTBLANK(_xlpm.HRange)&lt;&gt;4),
Error!$B$22,
IF(AND($H147="Zoning: Tree Points",$K147&lt;&gt;"",ISNA(MATCH($K147,Tables!$B$242:$B$253,0))),
Error!$B$58,
IF(AND($H147="Zoning: Tree Points",$K147="Small",$L147&lt;&gt;"",ISNA(MATCH($L147,Tables!$C$243:$C$244,0))),
Error!$B$59,
IF(AND($H147="Zoning: Tree Points",$K147="Small/Medium",$L147&lt;&gt;"",ISNA(MATCH($L147,Tables!$C$246:$C$247,0))),
Error!$B$59,
IF(AND($H147="Zoning: Tree Points",$K147="Medium/Large",$L147&lt;&gt;"",ISNA(MATCH($L147,Tables!$C$249:$C$250,0))),
Error!$B$59,
IF(AND($H147="Zoning: Tree Points",$K147="Large",$L147&lt;&gt;"",ISNA(MATCH($L147,Tables!$C$252:$C$253,0))),
Error!$B$59,
IF(AND($F147="Retain",$H147="Zoning: Tree Points",$C147&lt;&gt;"",$D147&lt;&gt;"",OR($K147="",$L147="",$M147="")),
Error!$B$20,
""
)))))))))))))))))))))))))))))))))))))))))))))))))))))))),
Error!$B$23))</f>
        <v/>
      </c>
      <c r="O147" s="343" t="str" cm="1">
        <f t="array" aca="1" ref="O147" ca="1">IFERROR(_xlfn.LET(
    _xlpm.txt, $C147,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48" spans="1:15" x14ac:dyDescent="0.3">
      <c r="A148" s="320"/>
      <c r="B148" s="616" t="str">
        <f t="shared" ref="B148:B150" si="128">IF($B147="", "", $B147)</f>
        <v/>
      </c>
      <c r="C148" s="617" t="str">
        <f t="shared" ref="C148:C150" si="129">IF($C147="", "", $C147)</f>
        <v/>
      </c>
      <c r="D148" s="618" t="str">
        <f t="shared" ref="D148:D150" si="130">IF($D147="", "", $D147)</f>
        <v/>
      </c>
      <c r="E148" s="616" t="str">
        <f t="shared" ref="E148:E150" si="131">IF($E147="", "", $E147)</f>
        <v/>
      </c>
      <c r="F148" s="616" t="str">
        <f t="shared" ref="F148:F150" si="132">IF($F147="", "", $F147)</f>
        <v/>
      </c>
      <c r="G148" s="619" t="str">
        <f>IF(Tree_Table1[[#This Row],[Tree Status  &amp;]]="Retain", Tables!$B$237, IF(Tree_Table1[[#This Row],[Tree Status  &amp;]]="Remove", Tables!$B$238, ""))</f>
        <v/>
      </c>
      <c r="H148" s="321"/>
      <c r="I148" s="322"/>
      <c r="J148" s="453"/>
      <c r="K148" s="323" t="str">
        <f>IFERROR(
    IF(
        AND($H148="Zoning: Tree Points", NOT(ISNUMBER(SEARCH("sp.", $C148)))),
        VLOOKUP($C148, 'Tree List'!$C$3:$F$601, 4, FALSE),
        ""
    ),
"")</f>
        <v/>
      </c>
      <c r="L148" s="324" t="str" cm="1">
        <f t="array" ref="L148">IFERROR(
IF(
    AND($H148="Zoning: Tree Points", NOT(ISNUMBER(SEARCH("sp.", $C148)))),
    _xlfn.IFS(
        (COUNTIFS('Tree List'!$C$3:$C$601,$C148,'Tree List'!$D$3:$D$601,"Coniferous")
        + COUNTIFS('Tree List'!$C$3:$C$601,$C148,'Tree List'!$D$3:$D$601,"Deciduous Conifer")) &gt; 0,
            _xlfn.IFS($K148="Small",0.5,$K148="Small/Medium",1,$K148="Medium/Large",1.4,$K148="Large",1.8),
        (COUNTIFS('Tree List'!$C$3:$C$601,$C148,'Tree List'!$D$3:$D$601,"Deciduous")
        + COUNTIFS('Tree List'!$C$3:$C$601,$C148,'Tree List'!$D$3:$D$601,"Broadleaf Evergreen")) &gt; 0,
            _xlfn.IFS($K148="Small",0.4,$K148="Small/Medium",0.8,$K148="Medium/Large",1.2,$K148="Large",1.6)
    ),
    ""
),
"")</f>
        <v/>
      </c>
      <c r="M148" s="475" t="str">
        <f t="shared" si="0"/>
        <v/>
      </c>
      <c r="N148" s="346" t="str" cm="1">
        <f t="array" aca="1" ref="N14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IF(AND(_xlpm.baseRow,ISNA(MATCH($C148,'Tree List'!$C$3:$C$601,0)),SUMPRODUCT(--ISNUMBER(SEARCH(Tables2!$C$677:$C$772,$O148)))&gt;0),
Error!$B$57,
IF(AND(_xlpm.hasDM,$F148="Remove",$H148&lt;&gt;"",OR($I148="On-site replacement",$I148="Off-site replacement",$I148="Payment In Lieu")),
Error!$B$56,
IF(AND(_xlpm.hasDM,$F148="Remove",$H148&lt;&gt;"",$I148="Relocation"),
Error!$B$66,
IF(AND(OR(_xlpm.hasCN,_xlpm.hasPH,_xlpm.hasGR),$H148&lt;&gt;"",COUNTIF(Tables!$B$132:$B$134,$H148)&gt;0,$I148="N/A (No replacement required)"),
Error!$B$62,
IF(AND(_xlpm.baseRow,$E148&lt;&gt;"",ISNA(MATCH($E148,Tables!$B$225:$B$232,0))),
Error!$B$2,
IF(AND(_xlpm.baseRow,$F148&lt;&gt;"",ISNA(MATCH($F148,Tables!$B$234:$B$235,0))),
Error!$B$24,
IF(AND(_xlpm.baseRow,_xlpm.ECA_H&gt;0,_xlpm.Shore_H&gt;0),
Error!$B$16,
IF(AND(_xlpm.baseRow,$E148&lt;&gt;"",$D148=""),
Error!$B$3,
IF(AND(_xlpm.baseRow,OR($E148="Tier 3",$E148="Tier 4"),$C148&lt;&gt;"",$D148&gt;=24,COUNTIF(Tables2!$B$166:$B$674,$C148)&gt;0),
Error!$B$44,
IF(AND(_xlpm.baseRow,OR($E148="Tier 3",$E148="Tier 4"),$C148&lt;&gt;"",$D148&lt;&gt;"",COUNTIF(Tables2!$B$73:$B$152,$C148)&gt;0,
$D148&gt;=IFERROR(INDEX(Tables2!$C$73:$C$152,MATCH($C148,Tables2!$B$73:$B$152,0)),-1)),
Error!$B$44,
IF(AND(_xlpm.baseRow,OR($E148="Tier 2",$E148="Tier 2 Grove"),$C148&lt;&gt;"",$D148&gt;=12,COUNTIF(Tables2!$B$153:$B$162,$C148)&gt;0),
Error!$B$45,
IF(AND(_xlpm.baseRow,$E148="Tier 2 Grove",$D148&lt;12),
Error!$B$41,
IF(AND(_xlpm.baseRow,$E148="Tier 2",$D148&lt;5.88),
Error!$B$40,
IF(AND(_xlpm.baseRow,OR($E148="Tier 2",$E148="Tier 2 Grove"),$C148&lt;&gt;"",$D148&lt;12,$D148&gt;=6,COUNTIF(Tables2!$B$153:$B$162,$C148)&gt;0),
Error!$B$54,
IF(AND(_xlpm.baseRow,$E148="Tier 2",COUNTIF(Tables2!$B$166:$B$674,$C148)&gt;0,$D148&lt;24),
Error!$B$54,
IF(AND(_xlpm.baseRow,$E148="Tier 3",ISNA(MATCH($C148,Tables2!$B$153:$B$162,0)),OR($D148&lt;12,$D148&gt;=24)),
Error!$B$9,
IF(AND(_xlpm.baseRow,$E148="Tier 3",COUNTIF(Tables2!$B$153:$B$162,$C148)&gt;0,$D148&lt;12),
Error!$B$46,
IF(AND(_xlpm.baseRow,$E148="Tier 4",OR($D148&lt;6,$D148&gt;=12)),
Error!$B$10,
IF(AND(_xlpm.baseRow,$E148="&lt;6in DSH for Tree Points",OR($D148&gt;=6,$D148="")),
Error!$B$8,
IF(AND(_xlpm.baseRow,$E148="Street Tree for Green Factor",$F148&lt;&gt;"",$F148&lt;&gt;"Retain"),
Error!$B$14,
IF(AND($E148="&lt;6in DSH for Tree Points",$F148="Retain",$H148&lt;&gt;"",ISNA(MATCH($H148,Tables!$B$174:$B$174,0))),
Error!$B$15,
IF(AND($E148="Street Tree for Green Factor",$F148="Retain",$H148&lt;&gt;"",$H148&lt;&gt;"Zoning: Green Factor"),
Error!$B$15,
IF(AND($E148="ECA / Shoreline Tree",$F148="Remove",$H148&lt;&gt;"",ISNA(MATCH($H148,Tables!$B$189:$B$190,0))),
Error!$B$15,
IF(AND($E148="ECA / Shoreline Tree",$F148="Retain",$H148&lt;&gt;"",ISNA(MATCH($H148,Tables!$B$184:$B$186,0))),
Error!$B$15,
IF(AND($E148="Tier 4",$F148="Remove",$H148&lt;&gt;"",ISNA(MATCH($H148,Tables!$B$171,0))),
Error!$B$15,
IF(AND($E148="Tier 4",$F148="Retain",$H148&lt;&gt;"",ISNA(MATCH($H148,Tables!$B$166:$B$168,0))),
Error!$B$15,
IF(AND($E148="Tier 3",$F148="Retain",$H148&lt;&gt;"",ISNA(MATCH($H148,Tables!$B$158:$B$160,0))),
Error!$B$15,
IF(AND($E148="Tier 3",$F148="Remove",$H148&lt;&gt;"",ISNA(MATCH($H148,Tables!$B$163,0))),
Error!$B$15,
IF(AND(OR($E148="Tier 2",$E148="Tier 2 Grove"),$F148="Remove",$H148&lt;&gt;"",ISNA(MATCH($H148,Tables!$B$153:$B$155,0))),
Error!$B$15,
IF(AND(OR($E148="Tier 2",$E148="Tier 2 Grove"),$F148="Retain",$H148&lt;&gt;"",ISNA(MATCH($H148,Tables!$B$147:$B$150,0))),
Error!$B$15,
IF(AND($E148="Tier 1",$F148="Remove",$H148&lt;&gt;"",ISNA(MATCH($H148,Tables!$B$143:$B$144,0))),
Error!$B$15,
IF(AND($E148="Tier 1",$F148="Retain",$H148&lt;&gt;"",ISNA(MATCH($H148,Tables!$B$137:$B$140,0))),
Error!$B$15,
IF(AND($E148&lt;&gt;"Tier 2",$E148&lt;&gt;"Tier 2 Grove",$E148&lt;&gt;"Tier 3",$E148&lt;&gt;"Tier 4",$H148="Zoning: Green Factor",OR($D148="",$D148&lt;6)),
Error!$B$11,
IF(AND(_xlpm.baseRow,$D148&lt;6,$E148="&lt;6in DSH for Tree Points",_xlpm.TreePoints_H=0),
Error!$B$21,
IF(AND(_xlpm.baseRow,$E148&lt;&gt;"",$D148&lt;&gt;"",$F148=""),
Error!$B$4,
IF(AND(_xlpm.baseRow,$F148="Remove",OR($E148="Tier 1",$E148="Tier 2",$E148="Tier 2 Grove"),COUNTBLANK(_xlpm.HRange)&lt;3,_xlpm.uniqueH&gt;=2),
Error!$B$48,
IF(AND(_xlpm.baseRow,$F148="Retain",OR($E148="Tier 1",$E148="Tier 2",$E148="Tier 2 Grove"),COUNTIF(_xlpm.HRange,"Tree Code: Required to Retain Tier 1-2 Tree")=0),
Error!$B$47,
IF(AND(_xlpm.baseRow,$E148&lt;&gt;"",$D148&lt;&gt;"",$F148&lt;&gt;"",COUNTBLANK(_xlpm.HRange)=4),
Error!$B$5,
IF(AND($F148="Remove",$H148&lt;&gt;"",$I148=""),
Error!$B$18,
IF(AND($E148="Tier 4",$F148="Remove",$H148="Tree Protection Code: Tier 3 or Tier 4 Allowance",$H148&lt;&gt;"",ISNA(MATCH($I148,Tables!$B$200,0))),
Error!$B$17,
IF(AND($E148="Tier 3",$F148="Remove",$H148&lt;&gt;"",$H148="Tree Protection Code: Tier 3 or Tier 4 Allowance",OR($I148="",ISNA(MATCH($I148,Tables!$B$193:$B$197,0)))),
Error!$B$17,
IF(AND(OR($E148="Tier 2",$E148="Tier 2 Grove"),$F148="Remove",$H148="Tree Protection Code: Other removal allowance or exemption",$I148&lt;&gt;"",ISNA(MATCH($I148,Tables!$B$215:$B$218,0))),
Error!$B$17,
IF(AND(OR($E148="Tier 2",$E148="Tier 2 Grove"),$F148="Remove",$H148="Tree Protection Code: Development Capacity",$I148&lt;&gt;"",ISNA(MATCH($I148,Tables!$B$193:$B$197,0))),
Error!$B$17,
IF(AND(OR($E148="Tier 2",$E148="Tier 2 Grove"),$F148="Remove",$H148="Tree Protection Code: Necessary for Construction",$I148&lt;&gt;"",ISNA(MATCH($I148,Tables!$B$193:$B$197,0))),
Error!$B$17,
IF(AND($E148="Tier 1",$F148="Remove",$H148="Tree Protection Code: Special Exception",$I148&lt;&gt;"",ISNA(MATCH($I148,Tables!$B$215:$B$218,0))),
Error!$B$17,
IF(AND($E148="Tier 1",$F148="Remove",$H148="Tree Protection Code: Other removal allowance or exemption",$I148&lt;&gt;"",ISNA(MATCH($I148,Tables!$B$215:$B$218,0))),
Error!$B$17,
IF(AND($E148="ECA / Shoreline Tree",$F148="Remove",$H148&lt;&gt;"",OR($H148="Shoreline",$H148="Environmental Critical Area (ECA)"),ISNA(MATCH($I148,Tables!$B$209:$B$212,0))),
Error!$B$17,
IF(AND(_xlpm.baseRow,$F148="Retain",$E148="ECA / Shoreline Tree",_xlpm.ECA_Short=0),
Error!$B$61,
IF(AND($F148="Remove",ISNUMBER(MATCH($E148,{"Tier 1","Tier 2","Tier 3","Tier 4","Tier 2 Grove"},0)),ISNUMBER(MATCH($I148,{"On-site replacement","Off-site replacement"},0)),$J148="",$H148&lt;&gt;""),
Error!$B$19,
IF(AND(_xlpm.baseRow,$E148&lt;&gt;"",$D148&lt;&gt;"",$F148&lt;&gt;"",COUNTBLANK($B148:$C148)&gt;0,COUNTBLANK(_xlpm.HRange)&lt;&gt;4),
Error!$B$22,
IF(AND($H148="Zoning: Tree Points",$K148&lt;&gt;"",ISNA(MATCH($K148,Tables!$B$242:$B$253,0))),
Error!$B$58,
IF(AND($H148="Zoning: Tree Points",$K148="Small",$L148&lt;&gt;"",ISNA(MATCH($L148,Tables!$C$243:$C$244,0))),
Error!$B$59,
IF(AND($H148="Zoning: Tree Points",$K148="Small/Medium",$L148&lt;&gt;"",ISNA(MATCH($L148,Tables!$C$246:$C$247,0))),
Error!$B$59,
IF(AND($H148="Zoning: Tree Points",$K148="Medium/Large",$L148&lt;&gt;"",ISNA(MATCH($L148,Tables!$C$249:$C$250,0))),
Error!$B$59,
IF(AND($H148="Zoning: Tree Points",$K148="Large",$L148&lt;&gt;"",ISNA(MATCH($L148,Tables!$C$252:$C$253,0))),
Error!$B$59,
IF(AND($F148="Retain",$H148="Zoning: Tree Points",$C148&lt;&gt;"",$D148&lt;&gt;"",OR($K148="",$L148="",$M148="")),
Error!$B$20,
""
)))))))))))))))))))))))))))))))))))))))))))))))))))))))),
Error!$B$23))</f>
        <v/>
      </c>
      <c r="O148" s="343" t="str" cm="1">
        <f t="array" aca="1" ref="O148" ca="1">IFERROR(_xlfn.LET(
    _xlpm.txt, $C148,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49" spans="1:15" x14ac:dyDescent="0.3">
      <c r="A149" s="320"/>
      <c r="B149" s="616" t="str">
        <f t="shared" si="128"/>
        <v/>
      </c>
      <c r="C149" s="617" t="str">
        <f t="shared" si="129"/>
        <v/>
      </c>
      <c r="D149" s="618" t="str">
        <f t="shared" si="130"/>
        <v/>
      </c>
      <c r="E149" s="616" t="str">
        <f t="shared" si="131"/>
        <v/>
      </c>
      <c r="F149" s="616" t="str">
        <f t="shared" si="132"/>
        <v/>
      </c>
      <c r="G149" s="619" t="str">
        <f>IF(Tree_Table1[[#This Row],[Tree Status  &amp;]]="Retain", Tables!$B$237, IF(Tree_Table1[[#This Row],[Tree Status  &amp;]]="Remove", Tables!$B$238, ""))</f>
        <v/>
      </c>
      <c r="H149" s="321"/>
      <c r="I149" s="322"/>
      <c r="J149" s="453"/>
      <c r="K149" s="323" t="str">
        <f>IFERROR(
    IF(
        AND($H149="Zoning: Tree Points", NOT(ISNUMBER(SEARCH("sp.", $C149)))),
        VLOOKUP($C149, 'Tree List'!$C$3:$F$601, 4, FALSE),
        ""
    ),
"")</f>
        <v/>
      </c>
      <c r="L149" s="324" t="str" cm="1">
        <f t="array" ref="L149">IFERROR(
IF(
    AND($H149="Zoning: Tree Points", NOT(ISNUMBER(SEARCH("sp.", $C149)))),
    _xlfn.IFS(
        (COUNTIFS('Tree List'!$C$3:$C$601,$C149,'Tree List'!$D$3:$D$601,"Coniferous")
        + COUNTIFS('Tree List'!$C$3:$C$601,$C149,'Tree List'!$D$3:$D$601,"Deciduous Conifer")) &gt; 0,
            _xlfn.IFS($K149="Small",0.5,$K149="Small/Medium",1,$K149="Medium/Large",1.4,$K149="Large",1.8),
        (COUNTIFS('Tree List'!$C$3:$C$601,$C149,'Tree List'!$D$3:$D$601,"Deciduous")
        + COUNTIFS('Tree List'!$C$3:$C$601,$C149,'Tree List'!$D$3:$D$601,"Broadleaf Evergreen")) &gt; 0,
            _xlfn.IFS($K149="Small",0.4,$K149="Small/Medium",0.8,$K149="Medium/Large",1.2,$K149="Large",1.6)
    ),
    ""
),
"")</f>
        <v/>
      </c>
      <c r="M149" s="475" t="str">
        <f t="shared" si="0"/>
        <v/>
      </c>
      <c r="N149" s="346" t="str" cm="1">
        <f t="array" aca="1" ref="N14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IF(AND(_xlpm.baseRow,ISNA(MATCH($C149,'Tree List'!$C$3:$C$601,0)),SUMPRODUCT(--ISNUMBER(SEARCH(Tables2!$C$677:$C$772,$O149)))&gt;0),
Error!$B$57,
IF(AND(_xlpm.hasDM,$F149="Remove",$H149&lt;&gt;"",OR($I149="On-site replacement",$I149="Off-site replacement",$I149="Payment In Lieu")),
Error!$B$56,
IF(AND(_xlpm.hasDM,$F149="Remove",$H149&lt;&gt;"",$I149="Relocation"),
Error!$B$66,
IF(AND(OR(_xlpm.hasCN,_xlpm.hasPH,_xlpm.hasGR),$H149&lt;&gt;"",COUNTIF(Tables!$B$132:$B$134,$H149)&gt;0,$I149="N/A (No replacement required)"),
Error!$B$62,
IF(AND(_xlpm.baseRow,$E149&lt;&gt;"",ISNA(MATCH($E149,Tables!$B$225:$B$232,0))),
Error!$B$2,
IF(AND(_xlpm.baseRow,$F149&lt;&gt;"",ISNA(MATCH($F149,Tables!$B$234:$B$235,0))),
Error!$B$24,
IF(AND(_xlpm.baseRow,_xlpm.ECA_H&gt;0,_xlpm.Shore_H&gt;0),
Error!$B$16,
IF(AND(_xlpm.baseRow,$E149&lt;&gt;"",$D149=""),
Error!$B$3,
IF(AND(_xlpm.baseRow,OR($E149="Tier 3",$E149="Tier 4"),$C149&lt;&gt;"",$D149&gt;=24,COUNTIF(Tables2!$B$166:$B$674,$C149)&gt;0),
Error!$B$44,
IF(AND(_xlpm.baseRow,OR($E149="Tier 3",$E149="Tier 4"),$C149&lt;&gt;"",$D149&lt;&gt;"",COUNTIF(Tables2!$B$73:$B$152,$C149)&gt;0,
$D149&gt;=IFERROR(INDEX(Tables2!$C$73:$C$152,MATCH($C149,Tables2!$B$73:$B$152,0)),-1)),
Error!$B$44,
IF(AND(_xlpm.baseRow,OR($E149="Tier 2",$E149="Tier 2 Grove"),$C149&lt;&gt;"",$D149&gt;=12,COUNTIF(Tables2!$B$153:$B$162,$C149)&gt;0),
Error!$B$45,
IF(AND(_xlpm.baseRow,$E149="Tier 2 Grove",$D149&lt;12),
Error!$B$41,
IF(AND(_xlpm.baseRow,$E149="Tier 2",$D149&lt;5.88),
Error!$B$40,
IF(AND(_xlpm.baseRow,OR($E149="Tier 2",$E149="Tier 2 Grove"),$C149&lt;&gt;"",$D149&lt;12,$D149&gt;=6,COUNTIF(Tables2!$B$153:$B$162,$C149)&gt;0),
Error!$B$54,
IF(AND(_xlpm.baseRow,$E149="Tier 2",COUNTIF(Tables2!$B$166:$B$674,$C149)&gt;0,$D149&lt;24),
Error!$B$54,
IF(AND(_xlpm.baseRow,$E149="Tier 3",ISNA(MATCH($C149,Tables2!$B$153:$B$162,0)),OR($D149&lt;12,$D149&gt;=24)),
Error!$B$9,
IF(AND(_xlpm.baseRow,$E149="Tier 3",COUNTIF(Tables2!$B$153:$B$162,$C149)&gt;0,$D149&lt;12),
Error!$B$46,
IF(AND(_xlpm.baseRow,$E149="Tier 4",OR($D149&lt;6,$D149&gt;=12)),
Error!$B$10,
IF(AND(_xlpm.baseRow,$E149="&lt;6in DSH for Tree Points",OR($D149&gt;=6,$D149="")),
Error!$B$8,
IF(AND(_xlpm.baseRow,$E149="Street Tree for Green Factor",$F149&lt;&gt;"",$F149&lt;&gt;"Retain"),
Error!$B$14,
IF(AND($E149="&lt;6in DSH for Tree Points",$F149="Retain",$H149&lt;&gt;"",ISNA(MATCH($H149,Tables!$B$174:$B$174,0))),
Error!$B$15,
IF(AND($E149="Street Tree for Green Factor",$F149="Retain",$H149&lt;&gt;"",$H149&lt;&gt;"Zoning: Green Factor"),
Error!$B$15,
IF(AND($E149="ECA / Shoreline Tree",$F149="Remove",$H149&lt;&gt;"",ISNA(MATCH($H149,Tables!$B$189:$B$190,0))),
Error!$B$15,
IF(AND($E149="ECA / Shoreline Tree",$F149="Retain",$H149&lt;&gt;"",ISNA(MATCH($H149,Tables!$B$184:$B$186,0))),
Error!$B$15,
IF(AND($E149="Tier 4",$F149="Remove",$H149&lt;&gt;"",ISNA(MATCH($H149,Tables!$B$171,0))),
Error!$B$15,
IF(AND($E149="Tier 4",$F149="Retain",$H149&lt;&gt;"",ISNA(MATCH($H149,Tables!$B$166:$B$168,0))),
Error!$B$15,
IF(AND($E149="Tier 3",$F149="Retain",$H149&lt;&gt;"",ISNA(MATCH($H149,Tables!$B$158:$B$160,0))),
Error!$B$15,
IF(AND($E149="Tier 3",$F149="Remove",$H149&lt;&gt;"",ISNA(MATCH($H149,Tables!$B$163,0))),
Error!$B$15,
IF(AND(OR($E149="Tier 2",$E149="Tier 2 Grove"),$F149="Remove",$H149&lt;&gt;"",ISNA(MATCH($H149,Tables!$B$153:$B$155,0))),
Error!$B$15,
IF(AND(OR($E149="Tier 2",$E149="Tier 2 Grove"),$F149="Retain",$H149&lt;&gt;"",ISNA(MATCH($H149,Tables!$B$147:$B$150,0))),
Error!$B$15,
IF(AND($E149="Tier 1",$F149="Remove",$H149&lt;&gt;"",ISNA(MATCH($H149,Tables!$B$143:$B$144,0))),
Error!$B$15,
IF(AND($E149="Tier 1",$F149="Retain",$H149&lt;&gt;"",ISNA(MATCH($H149,Tables!$B$137:$B$140,0))),
Error!$B$15,
IF(AND($E149&lt;&gt;"Tier 2",$E149&lt;&gt;"Tier 2 Grove",$E149&lt;&gt;"Tier 3",$E149&lt;&gt;"Tier 4",$H149="Zoning: Green Factor",OR($D149="",$D149&lt;6)),
Error!$B$11,
IF(AND(_xlpm.baseRow,$D149&lt;6,$E149="&lt;6in DSH for Tree Points",_xlpm.TreePoints_H=0),
Error!$B$21,
IF(AND(_xlpm.baseRow,$E149&lt;&gt;"",$D149&lt;&gt;"",$F149=""),
Error!$B$4,
IF(AND(_xlpm.baseRow,$F149="Remove",OR($E149="Tier 1",$E149="Tier 2",$E149="Tier 2 Grove"),COUNTBLANK(_xlpm.HRange)&lt;3,_xlpm.uniqueH&gt;=2),
Error!$B$48,
IF(AND(_xlpm.baseRow,$F149="Retain",OR($E149="Tier 1",$E149="Tier 2",$E149="Tier 2 Grove"),COUNTIF(_xlpm.HRange,"Tree Code: Required to Retain Tier 1-2 Tree")=0),
Error!$B$47,
IF(AND(_xlpm.baseRow,$E149&lt;&gt;"",$D149&lt;&gt;"",$F149&lt;&gt;"",COUNTBLANK(_xlpm.HRange)=4),
Error!$B$5,
IF(AND($F149="Remove",$H149&lt;&gt;"",$I149=""),
Error!$B$18,
IF(AND($E149="Tier 4",$F149="Remove",$H149="Tree Protection Code: Tier 3 or Tier 4 Allowance",$H149&lt;&gt;"",ISNA(MATCH($I149,Tables!$B$200,0))),
Error!$B$17,
IF(AND($E149="Tier 3",$F149="Remove",$H149&lt;&gt;"",$H149="Tree Protection Code: Tier 3 or Tier 4 Allowance",OR($I149="",ISNA(MATCH($I149,Tables!$B$193:$B$197,0)))),
Error!$B$17,
IF(AND(OR($E149="Tier 2",$E149="Tier 2 Grove"),$F149="Remove",$H149="Tree Protection Code: Other removal allowance or exemption",$I149&lt;&gt;"",ISNA(MATCH($I149,Tables!$B$215:$B$218,0))),
Error!$B$17,
IF(AND(OR($E149="Tier 2",$E149="Tier 2 Grove"),$F149="Remove",$H149="Tree Protection Code: Development Capacity",$I149&lt;&gt;"",ISNA(MATCH($I149,Tables!$B$193:$B$197,0))),
Error!$B$17,
IF(AND(OR($E149="Tier 2",$E149="Tier 2 Grove"),$F149="Remove",$H149="Tree Protection Code: Necessary for Construction",$I149&lt;&gt;"",ISNA(MATCH($I149,Tables!$B$193:$B$197,0))),
Error!$B$17,
IF(AND($E149="Tier 1",$F149="Remove",$H149="Tree Protection Code: Special Exception",$I149&lt;&gt;"",ISNA(MATCH($I149,Tables!$B$215:$B$218,0))),
Error!$B$17,
IF(AND($E149="Tier 1",$F149="Remove",$H149="Tree Protection Code: Other removal allowance or exemption",$I149&lt;&gt;"",ISNA(MATCH($I149,Tables!$B$215:$B$218,0))),
Error!$B$17,
IF(AND($E149="ECA / Shoreline Tree",$F149="Remove",$H149&lt;&gt;"",OR($H149="Shoreline",$H149="Environmental Critical Area (ECA)"),ISNA(MATCH($I149,Tables!$B$209:$B$212,0))),
Error!$B$17,
IF(AND(_xlpm.baseRow,$F149="Retain",$E149="ECA / Shoreline Tree",_xlpm.ECA_Short=0),
Error!$B$61,
IF(AND($F149="Remove",ISNUMBER(MATCH($E149,{"Tier 1","Tier 2","Tier 3","Tier 4","Tier 2 Grove"},0)),ISNUMBER(MATCH($I149,{"On-site replacement","Off-site replacement"},0)),$J149="",$H149&lt;&gt;""),
Error!$B$19,
IF(AND(_xlpm.baseRow,$E149&lt;&gt;"",$D149&lt;&gt;"",$F149&lt;&gt;"",COUNTBLANK($B149:$C149)&gt;0,COUNTBLANK(_xlpm.HRange)&lt;&gt;4),
Error!$B$22,
IF(AND($H149="Zoning: Tree Points",$K149&lt;&gt;"",ISNA(MATCH($K149,Tables!$B$242:$B$253,0))),
Error!$B$58,
IF(AND($H149="Zoning: Tree Points",$K149="Small",$L149&lt;&gt;"",ISNA(MATCH($L149,Tables!$C$243:$C$244,0))),
Error!$B$59,
IF(AND($H149="Zoning: Tree Points",$K149="Small/Medium",$L149&lt;&gt;"",ISNA(MATCH($L149,Tables!$C$246:$C$247,0))),
Error!$B$59,
IF(AND($H149="Zoning: Tree Points",$K149="Medium/Large",$L149&lt;&gt;"",ISNA(MATCH($L149,Tables!$C$249:$C$250,0))),
Error!$B$59,
IF(AND($H149="Zoning: Tree Points",$K149="Large",$L149&lt;&gt;"",ISNA(MATCH($L149,Tables!$C$252:$C$253,0))),
Error!$B$59,
IF(AND($F149="Retain",$H149="Zoning: Tree Points",$C149&lt;&gt;"",$D149&lt;&gt;"",OR($K149="",$L149="",$M149="")),
Error!$B$20,
""
)))))))))))))))))))))))))))))))))))))))))))))))))))))))),
Error!$B$23))</f>
        <v/>
      </c>
      <c r="O149" s="343" t="str" cm="1">
        <f t="array" aca="1" ref="O149" ca="1">IFERROR(_xlfn.LET(
    _xlpm.txt, $C149,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50" spans="1:15" ht="15" thickBot="1" x14ac:dyDescent="0.35">
      <c r="A150" s="331"/>
      <c r="B150" s="616" t="str">
        <f t="shared" si="128"/>
        <v/>
      </c>
      <c r="C150" s="617" t="str">
        <f t="shared" si="129"/>
        <v/>
      </c>
      <c r="D150" s="618" t="str">
        <f t="shared" si="130"/>
        <v/>
      </c>
      <c r="E150" s="616" t="str">
        <f t="shared" si="131"/>
        <v/>
      </c>
      <c r="F150" s="616" t="str">
        <f t="shared" si="132"/>
        <v/>
      </c>
      <c r="G150" s="619" t="str">
        <f>IF(Tree_Table1[[#This Row],[Tree Status  &amp;]]="Retain", Tables!$B$237, IF(Tree_Table1[[#This Row],[Tree Status  &amp;]]="Remove", Tables!$B$238, ""))</f>
        <v/>
      </c>
      <c r="H150" s="329"/>
      <c r="I150" s="330"/>
      <c r="J150" s="455"/>
      <c r="K150" s="327" t="str">
        <f>IFERROR(
    IF(
        AND($H150="Zoning: Tree Points", NOT(ISNUMBER(SEARCH("sp.", $C150)))),
        VLOOKUP($C150, 'Tree List'!$C$3:$F$601, 4, FALSE),
        ""
    ),
"")</f>
        <v/>
      </c>
      <c r="L150" s="328" t="str" cm="1">
        <f t="array" ref="L150">IFERROR(
IF(
    AND($H150="Zoning: Tree Points", NOT(ISNUMBER(SEARCH("sp.", $C150)))),
    _xlfn.IFS(
        (COUNTIFS('Tree List'!$C$3:$C$601,$C150,'Tree List'!$D$3:$D$601,"Coniferous")
        + COUNTIFS('Tree List'!$C$3:$C$601,$C150,'Tree List'!$D$3:$D$601,"Deciduous Conifer")) &gt; 0,
            _xlfn.IFS($K150="Small",0.5,$K150="Small/Medium",1,$K150="Medium/Large",1.4,$K150="Large",1.8),
        (COUNTIFS('Tree List'!$C$3:$C$601,$C150,'Tree List'!$D$3:$D$601,"Deciduous")
        + COUNTIFS('Tree List'!$C$3:$C$601,$C150,'Tree List'!$D$3:$D$601,"Broadleaf Evergreen")) &gt; 0,
            _xlfn.IFS($K150="Small",0.4,$K150="Small/Medium",0.8,$K150="Medium/Large",1.2,$K150="Large",1.6)
    ),
    ""
),
"")</f>
        <v/>
      </c>
      <c r="M150" s="476" t="str">
        <f t="shared" si="0"/>
        <v/>
      </c>
      <c r="N150" s="347" t="str" cm="1">
        <f t="array" aca="1" ref="N15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IF(AND(_xlpm.baseRow,ISNA(MATCH($C150,'Tree List'!$C$3:$C$601,0)),SUMPRODUCT(--ISNUMBER(SEARCH(Tables2!$C$677:$C$772,$O150)))&gt;0),
Error!$B$57,
IF(AND(_xlpm.hasDM,$F150="Remove",$H150&lt;&gt;"",OR($I150="On-site replacement",$I150="Off-site replacement",$I150="Payment In Lieu")),
Error!$B$56,
IF(AND(_xlpm.hasDM,$F150="Remove",$H150&lt;&gt;"",$I150="Relocation"),
Error!$B$66,
IF(AND(OR(_xlpm.hasCN,_xlpm.hasPH,_xlpm.hasGR),$H150&lt;&gt;"",COUNTIF(Tables!$B$132:$B$134,$H150)&gt;0,$I150="N/A (No replacement required)"),
Error!$B$62,
IF(AND(_xlpm.baseRow,$E150&lt;&gt;"",ISNA(MATCH($E150,Tables!$B$225:$B$232,0))),
Error!$B$2,
IF(AND(_xlpm.baseRow,$F150&lt;&gt;"",ISNA(MATCH($F150,Tables!$B$234:$B$235,0))),
Error!$B$24,
IF(AND(_xlpm.baseRow,_xlpm.ECA_H&gt;0,_xlpm.Shore_H&gt;0),
Error!$B$16,
IF(AND(_xlpm.baseRow,$E150&lt;&gt;"",$D150=""),
Error!$B$3,
IF(AND(_xlpm.baseRow,OR($E150="Tier 3",$E150="Tier 4"),$C150&lt;&gt;"",$D150&gt;=24,COUNTIF(Tables2!$B$166:$B$674,$C150)&gt;0),
Error!$B$44,
IF(AND(_xlpm.baseRow,OR($E150="Tier 3",$E150="Tier 4"),$C150&lt;&gt;"",$D150&lt;&gt;"",COUNTIF(Tables2!$B$73:$B$152,$C150)&gt;0,
$D150&gt;=IFERROR(INDEX(Tables2!$C$73:$C$152,MATCH($C150,Tables2!$B$73:$B$152,0)),-1)),
Error!$B$44,
IF(AND(_xlpm.baseRow,OR($E150="Tier 2",$E150="Tier 2 Grove"),$C150&lt;&gt;"",$D150&gt;=12,COUNTIF(Tables2!$B$153:$B$162,$C150)&gt;0),
Error!$B$45,
IF(AND(_xlpm.baseRow,$E150="Tier 2 Grove",$D150&lt;12),
Error!$B$41,
IF(AND(_xlpm.baseRow,$E150="Tier 2",$D150&lt;5.88),
Error!$B$40,
IF(AND(_xlpm.baseRow,OR($E150="Tier 2",$E150="Tier 2 Grove"),$C150&lt;&gt;"",$D150&lt;12,$D150&gt;=6,COUNTIF(Tables2!$B$153:$B$162,$C150)&gt;0),
Error!$B$54,
IF(AND(_xlpm.baseRow,$E150="Tier 2",COUNTIF(Tables2!$B$166:$B$674,$C150)&gt;0,$D150&lt;24),
Error!$B$54,
IF(AND(_xlpm.baseRow,$E150="Tier 3",ISNA(MATCH($C150,Tables2!$B$153:$B$162,0)),OR($D150&lt;12,$D150&gt;=24)),
Error!$B$9,
IF(AND(_xlpm.baseRow,$E150="Tier 3",COUNTIF(Tables2!$B$153:$B$162,$C150)&gt;0,$D150&lt;12),
Error!$B$46,
IF(AND(_xlpm.baseRow,$E150="Tier 4",OR($D150&lt;6,$D150&gt;=12)),
Error!$B$10,
IF(AND(_xlpm.baseRow,$E150="&lt;6in DSH for Tree Points",OR($D150&gt;=6,$D150="")),
Error!$B$8,
IF(AND(_xlpm.baseRow,$E150="Street Tree for Green Factor",$F150&lt;&gt;"",$F150&lt;&gt;"Retain"),
Error!$B$14,
IF(AND($E150="&lt;6in DSH for Tree Points",$F150="Retain",$H150&lt;&gt;"",ISNA(MATCH($H150,Tables!$B$174:$B$174,0))),
Error!$B$15,
IF(AND($E150="Street Tree for Green Factor",$F150="Retain",$H150&lt;&gt;"",$H150&lt;&gt;"Zoning: Green Factor"),
Error!$B$15,
IF(AND($E150="ECA / Shoreline Tree",$F150="Remove",$H150&lt;&gt;"",ISNA(MATCH($H150,Tables!$B$189:$B$190,0))),
Error!$B$15,
IF(AND($E150="ECA / Shoreline Tree",$F150="Retain",$H150&lt;&gt;"",ISNA(MATCH($H150,Tables!$B$184:$B$186,0))),
Error!$B$15,
IF(AND($E150="Tier 4",$F150="Remove",$H150&lt;&gt;"",ISNA(MATCH($H150,Tables!$B$171,0))),
Error!$B$15,
IF(AND($E150="Tier 4",$F150="Retain",$H150&lt;&gt;"",ISNA(MATCH($H150,Tables!$B$166:$B$168,0))),
Error!$B$15,
IF(AND($E150="Tier 3",$F150="Retain",$H150&lt;&gt;"",ISNA(MATCH($H150,Tables!$B$158:$B$160,0))),
Error!$B$15,
IF(AND($E150="Tier 3",$F150="Remove",$H150&lt;&gt;"",ISNA(MATCH($H150,Tables!$B$163,0))),
Error!$B$15,
IF(AND(OR($E150="Tier 2",$E150="Tier 2 Grove"),$F150="Remove",$H150&lt;&gt;"",ISNA(MATCH($H150,Tables!$B$153:$B$155,0))),
Error!$B$15,
IF(AND(OR($E150="Tier 2",$E150="Tier 2 Grove"),$F150="Retain",$H150&lt;&gt;"",ISNA(MATCH($H150,Tables!$B$147:$B$150,0))),
Error!$B$15,
IF(AND($E150="Tier 1",$F150="Remove",$H150&lt;&gt;"",ISNA(MATCH($H150,Tables!$B$143:$B$144,0))),
Error!$B$15,
IF(AND($E150="Tier 1",$F150="Retain",$H150&lt;&gt;"",ISNA(MATCH($H150,Tables!$B$137:$B$140,0))),
Error!$B$15,
IF(AND($E150&lt;&gt;"Tier 2",$E150&lt;&gt;"Tier 2 Grove",$E150&lt;&gt;"Tier 3",$E150&lt;&gt;"Tier 4",$H150="Zoning: Green Factor",OR($D150="",$D150&lt;6)),
Error!$B$11,
IF(AND(_xlpm.baseRow,$D150&lt;6,$E150="&lt;6in DSH for Tree Points",_xlpm.TreePoints_H=0),
Error!$B$21,
IF(AND(_xlpm.baseRow,$E150&lt;&gt;"",$D150&lt;&gt;"",$F150=""),
Error!$B$4,
IF(AND(_xlpm.baseRow,$F150="Remove",OR($E150="Tier 1",$E150="Tier 2",$E150="Tier 2 Grove"),COUNTBLANK(_xlpm.HRange)&lt;3,_xlpm.uniqueH&gt;=2),
Error!$B$48,
IF(AND(_xlpm.baseRow,$F150="Retain",OR($E150="Tier 1",$E150="Tier 2",$E150="Tier 2 Grove"),COUNTIF(_xlpm.HRange,"Tree Code: Required to Retain Tier 1-2 Tree")=0),
Error!$B$47,
IF(AND(_xlpm.baseRow,$E150&lt;&gt;"",$D150&lt;&gt;"",$F150&lt;&gt;"",COUNTBLANK(_xlpm.HRange)=4),
Error!$B$5,
IF(AND($F150="Remove",$H150&lt;&gt;"",$I150=""),
Error!$B$18,
IF(AND($E150="Tier 4",$F150="Remove",$H150="Tree Protection Code: Tier 3 or Tier 4 Allowance",$H150&lt;&gt;"",ISNA(MATCH($I150,Tables!$B$200,0))),
Error!$B$17,
IF(AND($E150="Tier 3",$F150="Remove",$H150&lt;&gt;"",$H150="Tree Protection Code: Tier 3 or Tier 4 Allowance",OR($I150="",ISNA(MATCH($I150,Tables!$B$193:$B$197,0)))),
Error!$B$17,
IF(AND(OR($E150="Tier 2",$E150="Tier 2 Grove"),$F150="Remove",$H150="Tree Protection Code: Other removal allowance or exemption",$I150&lt;&gt;"",ISNA(MATCH($I150,Tables!$B$215:$B$218,0))),
Error!$B$17,
IF(AND(OR($E150="Tier 2",$E150="Tier 2 Grove"),$F150="Remove",$H150="Tree Protection Code: Development Capacity",$I150&lt;&gt;"",ISNA(MATCH($I150,Tables!$B$193:$B$197,0))),
Error!$B$17,
IF(AND(OR($E150="Tier 2",$E150="Tier 2 Grove"),$F150="Remove",$H150="Tree Protection Code: Necessary for Construction",$I150&lt;&gt;"",ISNA(MATCH($I150,Tables!$B$193:$B$197,0))),
Error!$B$17,
IF(AND($E150="Tier 1",$F150="Remove",$H150="Tree Protection Code: Special Exception",$I150&lt;&gt;"",ISNA(MATCH($I150,Tables!$B$215:$B$218,0))),
Error!$B$17,
IF(AND($E150="Tier 1",$F150="Remove",$H150="Tree Protection Code: Other removal allowance or exemption",$I150&lt;&gt;"",ISNA(MATCH($I150,Tables!$B$215:$B$218,0))),
Error!$B$17,
IF(AND($E150="ECA / Shoreline Tree",$F150="Remove",$H150&lt;&gt;"",OR($H150="Shoreline",$H150="Environmental Critical Area (ECA)"),ISNA(MATCH($I150,Tables!$B$209:$B$212,0))),
Error!$B$17,
IF(AND(_xlpm.baseRow,$F150="Retain",$E150="ECA / Shoreline Tree",_xlpm.ECA_Short=0),
Error!$B$61,
IF(AND($F150="Remove",ISNUMBER(MATCH($E150,{"Tier 1","Tier 2","Tier 3","Tier 4","Tier 2 Grove"},0)),ISNUMBER(MATCH($I150,{"On-site replacement","Off-site replacement"},0)),$J150="",$H150&lt;&gt;""),
Error!$B$19,
IF(AND(_xlpm.baseRow,$E150&lt;&gt;"",$D150&lt;&gt;"",$F150&lt;&gt;"",COUNTBLANK($B150:$C150)&gt;0,COUNTBLANK(_xlpm.HRange)&lt;&gt;4),
Error!$B$22,
IF(AND($H150="Zoning: Tree Points",$K150&lt;&gt;"",ISNA(MATCH($K150,Tables!$B$242:$B$253,0))),
Error!$B$58,
IF(AND($H150="Zoning: Tree Points",$K150="Small",$L150&lt;&gt;"",ISNA(MATCH($L150,Tables!$C$243:$C$244,0))),
Error!$B$59,
IF(AND($H150="Zoning: Tree Points",$K150="Small/Medium",$L150&lt;&gt;"",ISNA(MATCH($L150,Tables!$C$246:$C$247,0))),
Error!$B$59,
IF(AND($H150="Zoning: Tree Points",$K150="Medium/Large",$L150&lt;&gt;"",ISNA(MATCH($L150,Tables!$C$249:$C$250,0))),
Error!$B$59,
IF(AND($H150="Zoning: Tree Points",$K150="Large",$L150&lt;&gt;"",ISNA(MATCH($L150,Tables!$C$252:$C$253,0))),
Error!$B$59,
IF(AND($F150="Retain",$H150="Zoning: Tree Points",$C150&lt;&gt;"",$D150&lt;&gt;"",OR($K150="",$L150="",$M150="")),
Error!$B$20,
""
)))))))))))))))))))))))))))))))))))))))))))))))))))))))),
Error!$B$23))</f>
        <v/>
      </c>
      <c r="O150" s="343" t="str" cm="1">
        <f t="array" aca="1" ref="O150" ca="1">IFERROR(_xlfn.LET(
    _xlpm.txt, $C150,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51" spans="1:15" ht="15" thickBot="1" x14ac:dyDescent="0.35">
      <c r="A151" s="311">
        <v>36</v>
      </c>
      <c r="B151" s="312"/>
      <c r="C151" s="313"/>
      <c r="D151" s="478"/>
      <c r="E151" s="314"/>
      <c r="F151" s="314"/>
      <c r="G151" s="315" t="str">
        <f>IF(Tree_Table1[[#This Row],[Tree Status  &amp;]]="Retain", Tables!$B$237, IF(Tree_Table1[[#This Row],[Tree Status  &amp;]]="Remove", Tables!$B$238, ""))</f>
        <v/>
      </c>
      <c r="H151" s="316"/>
      <c r="I151" s="317"/>
      <c r="J151" s="452"/>
      <c r="K151" s="318" t="str">
        <f>IFERROR(
    IF(
        AND($H151="Zoning: Tree Points", NOT(ISNUMBER(SEARCH("sp.", $C151)))),
        VLOOKUP($C151, 'Tree List'!$C$3:$F$601, 4, FALSE),
        ""
    ),
"")</f>
        <v/>
      </c>
      <c r="L151" s="319" t="str" cm="1">
        <f t="array" ref="L151">IFERROR(
IF(
    AND($H151="Zoning: Tree Points", NOT(ISNUMBER(SEARCH("sp.", $C151)))),
    _xlfn.IFS(
        (COUNTIFS('Tree List'!$C$3:$C$601,$C151,'Tree List'!$D$3:$D$601,"Coniferous")
        + COUNTIFS('Tree List'!$C$3:$C$601,$C151,'Tree List'!$D$3:$D$601,"Deciduous Conifer")) &gt; 0,
            _xlfn.IFS($K151="Small",0.5,$K151="Small/Medium",1,$K151="Medium/Large",1.4,$K151="Large",1.8),
        (COUNTIFS('Tree List'!$C$3:$C$601,$C151,'Tree List'!$D$3:$D$601,"Deciduous")
        + COUNTIFS('Tree List'!$C$3:$C$601,$C151,'Tree List'!$D$3:$D$601,"Broadleaf Evergreen")) &gt; 0,
            _xlfn.IFS($K151="Small",0.4,$K151="Small/Medium",0.8,$K151="Medium/Large",1.2,$K151="Large",1.6)
    ),
    ""
),
"")</f>
        <v/>
      </c>
      <c r="M151" s="474" t="str">
        <f t="shared" si="0"/>
        <v/>
      </c>
      <c r="N151" s="620" t="str" cm="1">
        <f t="array" aca="1" ref="N15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IF(AND(_xlpm.baseRow,ISNA(MATCH($C151,'Tree List'!$C$3:$C$601,0)),SUMPRODUCT(--ISNUMBER(SEARCH(Tables2!$C$677:$C$772,$O151)))&gt;0),
Error!$B$57,
IF(AND(_xlpm.hasDM,$F151="Remove",$H151&lt;&gt;"",OR($I151="On-site replacement",$I151="Off-site replacement",$I151="Payment In Lieu")),
Error!$B$56,
IF(AND(_xlpm.hasDM,$F151="Remove",$H151&lt;&gt;"",$I151="Relocation"),
Error!$B$66,
IF(AND(OR(_xlpm.hasCN,_xlpm.hasPH,_xlpm.hasGR),$H151&lt;&gt;"",COUNTIF(Tables!$B$132:$B$134,$H151)&gt;0,$I151="N/A (No replacement required)"),
Error!$B$62,
IF(AND(_xlpm.baseRow,$E151&lt;&gt;"",ISNA(MATCH($E151,Tables!$B$225:$B$232,0))),
Error!$B$2,
IF(AND(_xlpm.baseRow,$F151&lt;&gt;"",ISNA(MATCH($F151,Tables!$B$234:$B$235,0))),
Error!$B$24,
IF(AND(_xlpm.baseRow,_xlpm.ECA_H&gt;0,_xlpm.Shore_H&gt;0),
Error!$B$16,
IF(AND(_xlpm.baseRow,$E151&lt;&gt;"",$D151=""),
Error!$B$3,
IF(AND(_xlpm.baseRow,OR($E151="Tier 3",$E151="Tier 4"),$C151&lt;&gt;"",$D151&gt;=24,COUNTIF(Tables2!$B$166:$B$674,$C151)&gt;0),
Error!$B$44,
IF(AND(_xlpm.baseRow,OR($E151="Tier 3",$E151="Tier 4"),$C151&lt;&gt;"",$D151&lt;&gt;"",COUNTIF(Tables2!$B$73:$B$152,$C151)&gt;0,
$D151&gt;=IFERROR(INDEX(Tables2!$C$73:$C$152,MATCH($C151,Tables2!$B$73:$B$152,0)),-1)),
Error!$B$44,
IF(AND(_xlpm.baseRow,OR($E151="Tier 2",$E151="Tier 2 Grove"),$C151&lt;&gt;"",$D151&gt;=12,COUNTIF(Tables2!$B$153:$B$162,$C151)&gt;0),
Error!$B$45,
IF(AND(_xlpm.baseRow,$E151="Tier 2 Grove",$D151&lt;12),
Error!$B$41,
IF(AND(_xlpm.baseRow,$E151="Tier 2",$D151&lt;5.88),
Error!$B$40,
IF(AND(_xlpm.baseRow,OR($E151="Tier 2",$E151="Tier 2 Grove"),$C151&lt;&gt;"",$D151&lt;12,$D151&gt;=6,COUNTIF(Tables2!$B$153:$B$162,$C151)&gt;0),
Error!$B$54,
IF(AND(_xlpm.baseRow,$E151="Tier 2",COUNTIF(Tables2!$B$166:$B$674,$C151)&gt;0,$D151&lt;24),
Error!$B$54,
IF(AND(_xlpm.baseRow,$E151="Tier 3",ISNA(MATCH($C151,Tables2!$B$153:$B$162,0)),OR($D151&lt;12,$D151&gt;=24)),
Error!$B$9,
IF(AND(_xlpm.baseRow,$E151="Tier 3",COUNTIF(Tables2!$B$153:$B$162,$C151)&gt;0,$D151&lt;12),
Error!$B$46,
IF(AND(_xlpm.baseRow,$E151="Tier 4",OR($D151&lt;6,$D151&gt;=12)),
Error!$B$10,
IF(AND(_xlpm.baseRow,$E151="&lt;6in DSH for Tree Points",OR($D151&gt;=6,$D151="")),
Error!$B$8,
IF(AND(_xlpm.baseRow,$E151="Street Tree for Green Factor",$F151&lt;&gt;"",$F151&lt;&gt;"Retain"),
Error!$B$14,
IF(AND($E151="&lt;6in DSH for Tree Points",$F151="Retain",$H151&lt;&gt;"",ISNA(MATCH($H151,Tables!$B$174:$B$174,0))),
Error!$B$15,
IF(AND($E151="Street Tree for Green Factor",$F151="Retain",$H151&lt;&gt;"",$H151&lt;&gt;"Zoning: Green Factor"),
Error!$B$15,
IF(AND($E151="ECA / Shoreline Tree",$F151="Remove",$H151&lt;&gt;"",ISNA(MATCH($H151,Tables!$B$189:$B$190,0))),
Error!$B$15,
IF(AND($E151="ECA / Shoreline Tree",$F151="Retain",$H151&lt;&gt;"",ISNA(MATCH($H151,Tables!$B$184:$B$186,0))),
Error!$B$15,
IF(AND($E151="Tier 4",$F151="Remove",$H151&lt;&gt;"",ISNA(MATCH($H151,Tables!$B$171,0))),
Error!$B$15,
IF(AND($E151="Tier 4",$F151="Retain",$H151&lt;&gt;"",ISNA(MATCH($H151,Tables!$B$166:$B$168,0))),
Error!$B$15,
IF(AND($E151="Tier 3",$F151="Retain",$H151&lt;&gt;"",ISNA(MATCH($H151,Tables!$B$158:$B$160,0))),
Error!$B$15,
IF(AND($E151="Tier 3",$F151="Remove",$H151&lt;&gt;"",ISNA(MATCH($H151,Tables!$B$163,0))),
Error!$B$15,
IF(AND(OR($E151="Tier 2",$E151="Tier 2 Grove"),$F151="Remove",$H151&lt;&gt;"",ISNA(MATCH($H151,Tables!$B$153:$B$155,0))),
Error!$B$15,
IF(AND(OR($E151="Tier 2",$E151="Tier 2 Grove"),$F151="Retain",$H151&lt;&gt;"",ISNA(MATCH($H151,Tables!$B$147:$B$150,0))),
Error!$B$15,
IF(AND($E151="Tier 1",$F151="Remove",$H151&lt;&gt;"",ISNA(MATCH($H151,Tables!$B$143:$B$144,0))),
Error!$B$15,
IF(AND($E151="Tier 1",$F151="Retain",$H151&lt;&gt;"",ISNA(MATCH($H151,Tables!$B$137:$B$140,0))),
Error!$B$15,
IF(AND($E151&lt;&gt;"Tier 2",$E151&lt;&gt;"Tier 2 Grove",$E151&lt;&gt;"Tier 3",$E151&lt;&gt;"Tier 4",$H151="Zoning: Green Factor",OR($D151="",$D151&lt;6)),
Error!$B$11,
IF(AND(_xlpm.baseRow,$D151&lt;6,$E151="&lt;6in DSH for Tree Points",_xlpm.TreePoints_H=0),
Error!$B$21,
IF(AND(_xlpm.baseRow,$E151&lt;&gt;"",$D151&lt;&gt;"",$F151=""),
Error!$B$4,
IF(AND(_xlpm.baseRow,$F151="Remove",OR($E151="Tier 1",$E151="Tier 2",$E151="Tier 2 Grove"),COUNTBLANK(_xlpm.HRange)&lt;3,_xlpm.uniqueH&gt;=2),
Error!$B$48,
IF(AND(_xlpm.baseRow,$F151="Retain",OR($E151="Tier 1",$E151="Tier 2",$E151="Tier 2 Grove"),COUNTIF(_xlpm.HRange,"Tree Code: Required to Retain Tier 1-2 Tree")=0),
Error!$B$47,
IF(AND(_xlpm.baseRow,$E151&lt;&gt;"",$D151&lt;&gt;"",$F151&lt;&gt;"",COUNTBLANK(_xlpm.HRange)=4),
Error!$B$5,
IF(AND($F151="Remove",$H151&lt;&gt;"",$I151=""),
Error!$B$18,
IF(AND($E151="Tier 4",$F151="Remove",$H151="Tree Protection Code: Tier 3 or Tier 4 Allowance",$H151&lt;&gt;"",ISNA(MATCH($I151,Tables!$B$200,0))),
Error!$B$17,
IF(AND($E151="Tier 3",$F151="Remove",$H151&lt;&gt;"",$H151="Tree Protection Code: Tier 3 or Tier 4 Allowance",OR($I151="",ISNA(MATCH($I151,Tables!$B$193:$B$197,0)))),
Error!$B$17,
IF(AND(OR($E151="Tier 2",$E151="Tier 2 Grove"),$F151="Remove",$H151="Tree Protection Code: Other removal allowance or exemption",$I151&lt;&gt;"",ISNA(MATCH($I151,Tables!$B$215:$B$218,0))),
Error!$B$17,
IF(AND(OR($E151="Tier 2",$E151="Tier 2 Grove"),$F151="Remove",$H151="Tree Protection Code: Development Capacity",$I151&lt;&gt;"",ISNA(MATCH($I151,Tables!$B$193:$B$197,0))),
Error!$B$17,
IF(AND(OR($E151="Tier 2",$E151="Tier 2 Grove"),$F151="Remove",$H151="Tree Protection Code: Necessary for Construction",$I151&lt;&gt;"",ISNA(MATCH($I151,Tables!$B$193:$B$197,0))),
Error!$B$17,
IF(AND($E151="Tier 1",$F151="Remove",$H151="Tree Protection Code: Special Exception",$I151&lt;&gt;"",ISNA(MATCH($I151,Tables!$B$215:$B$218,0))),
Error!$B$17,
IF(AND($E151="Tier 1",$F151="Remove",$H151="Tree Protection Code: Other removal allowance or exemption",$I151&lt;&gt;"",ISNA(MATCH($I151,Tables!$B$215:$B$218,0))),
Error!$B$17,
IF(AND($E151="ECA / Shoreline Tree",$F151="Remove",$H151&lt;&gt;"",OR($H151="Shoreline",$H151="Environmental Critical Area (ECA)"),ISNA(MATCH($I151,Tables!$B$209:$B$212,0))),
Error!$B$17,
IF(AND(_xlpm.baseRow,$F151="Retain",$E151="ECA / Shoreline Tree",_xlpm.ECA_Short=0),
Error!$B$61,
IF(AND($F151="Remove",ISNUMBER(MATCH($E151,{"Tier 1","Tier 2","Tier 3","Tier 4","Tier 2 Grove"},0)),ISNUMBER(MATCH($I151,{"On-site replacement","Off-site replacement"},0)),$J151="",$H151&lt;&gt;""),
Error!$B$19,
IF(AND(_xlpm.baseRow,$E151&lt;&gt;"",$D151&lt;&gt;"",$F151&lt;&gt;"",COUNTBLANK($B151:$C151)&gt;0,COUNTBLANK(_xlpm.HRange)&lt;&gt;4),
Error!$B$22,
IF(AND($H151="Zoning: Tree Points",$K151&lt;&gt;"",ISNA(MATCH($K151,Tables!$B$242:$B$253,0))),
Error!$B$58,
IF(AND($H151="Zoning: Tree Points",$K151="Small",$L151&lt;&gt;"",ISNA(MATCH($L151,Tables!$C$243:$C$244,0))),
Error!$B$59,
IF(AND($H151="Zoning: Tree Points",$K151="Small/Medium",$L151&lt;&gt;"",ISNA(MATCH($L151,Tables!$C$246:$C$247,0))),
Error!$B$59,
IF(AND($H151="Zoning: Tree Points",$K151="Medium/Large",$L151&lt;&gt;"",ISNA(MATCH($L151,Tables!$C$249:$C$250,0))),
Error!$B$59,
IF(AND($H151="Zoning: Tree Points",$K151="Large",$L151&lt;&gt;"",ISNA(MATCH($L151,Tables!$C$252:$C$253,0))),
Error!$B$59,
IF(AND($F151="Retain",$H151="Zoning: Tree Points",$C151&lt;&gt;"",$D151&lt;&gt;"",OR($K151="",$L151="",$M151="")),
Error!$B$20,
""
)))))))))))))))))))))))))))))))))))))))))))))))))))))))),
Error!$B$23))</f>
        <v/>
      </c>
      <c r="O151" s="343" t="str" cm="1">
        <f t="array" aca="1" ref="O151" ca="1">IFERROR(_xlfn.LET(
    _xlpm.txt, $C151,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52" spans="1:15" x14ac:dyDescent="0.3">
      <c r="A152" s="320"/>
      <c r="B152" s="616" t="str">
        <f t="shared" ref="B152:B154" si="133">IF($B151="", "", $B151)</f>
        <v/>
      </c>
      <c r="C152" s="617" t="str">
        <f t="shared" ref="C152:C154" si="134">IF($C151="", "", $C151)</f>
        <v/>
      </c>
      <c r="D152" s="618" t="str">
        <f t="shared" ref="D152:D154" si="135">IF($D151="", "", $D151)</f>
        <v/>
      </c>
      <c r="E152" s="616" t="str">
        <f t="shared" ref="E152:E154" si="136">IF($E151="", "", $E151)</f>
        <v/>
      </c>
      <c r="F152" s="616" t="str">
        <f t="shared" ref="F152:F154" si="137">IF($F151="", "", $F151)</f>
        <v/>
      </c>
      <c r="G152" s="619" t="str">
        <f>IF(Tree_Table1[[#This Row],[Tree Status  &amp;]]="Retain", Tables!$B$237, IF(Tree_Table1[[#This Row],[Tree Status  &amp;]]="Remove", Tables!$B$238, ""))</f>
        <v/>
      </c>
      <c r="H152" s="321"/>
      <c r="I152" s="322"/>
      <c r="J152" s="453"/>
      <c r="K152" s="323" t="str">
        <f>IFERROR(
    IF(
        AND($H152="Zoning: Tree Points", NOT(ISNUMBER(SEARCH("sp.", $C152)))),
        VLOOKUP($C152, 'Tree List'!$C$3:$F$601, 4, FALSE),
        ""
    ),
"")</f>
        <v/>
      </c>
      <c r="L152" s="324" t="str" cm="1">
        <f t="array" ref="L152">IFERROR(
IF(
    AND($H152="Zoning: Tree Points", NOT(ISNUMBER(SEARCH("sp.", $C152)))),
    _xlfn.IFS(
        (COUNTIFS('Tree List'!$C$3:$C$601,$C152,'Tree List'!$D$3:$D$601,"Coniferous")
        + COUNTIFS('Tree List'!$C$3:$C$601,$C152,'Tree List'!$D$3:$D$601,"Deciduous Conifer")) &gt; 0,
            _xlfn.IFS($K152="Small",0.5,$K152="Small/Medium",1,$K152="Medium/Large",1.4,$K152="Large",1.8),
        (COUNTIFS('Tree List'!$C$3:$C$601,$C152,'Tree List'!$D$3:$D$601,"Deciduous")
        + COUNTIFS('Tree List'!$C$3:$C$601,$C152,'Tree List'!$D$3:$D$601,"Broadleaf Evergreen")) &gt; 0,
            _xlfn.IFS($K152="Small",0.4,$K152="Small/Medium",0.8,$K152="Medium/Large",1.2,$K152="Large",1.6)
    ),
    ""
),
"")</f>
        <v/>
      </c>
      <c r="M152" s="475" t="str">
        <f t="shared" si="0"/>
        <v/>
      </c>
      <c r="N152" s="346" t="str" cm="1">
        <f t="array" aca="1" ref="N15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IF(AND(_xlpm.baseRow,ISNA(MATCH($C152,'Tree List'!$C$3:$C$601,0)),SUMPRODUCT(--ISNUMBER(SEARCH(Tables2!$C$677:$C$772,$O152)))&gt;0),
Error!$B$57,
IF(AND(_xlpm.hasDM,$F152="Remove",$H152&lt;&gt;"",OR($I152="On-site replacement",$I152="Off-site replacement",$I152="Payment In Lieu")),
Error!$B$56,
IF(AND(_xlpm.hasDM,$F152="Remove",$H152&lt;&gt;"",$I152="Relocation"),
Error!$B$66,
IF(AND(OR(_xlpm.hasCN,_xlpm.hasPH,_xlpm.hasGR),$H152&lt;&gt;"",COUNTIF(Tables!$B$132:$B$134,$H152)&gt;0,$I152="N/A (No replacement required)"),
Error!$B$62,
IF(AND(_xlpm.baseRow,$E152&lt;&gt;"",ISNA(MATCH($E152,Tables!$B$225:$B$232,0))),
Error!$B$2,
IF(AND(_xlpm.baseRow,$F152&lt;&gt;"",ISNA(MATCH($F152,Tables!$B$234:$B$235,0))),
Error!$B$24,
IF(AND(_xlpm.baseRow,_xlpm.ECA_H&gt;0,_xlpm.Shore_H&gt;0),
Error!$B$16,
IF(AND(_xlpm.baseRow,$E152&lt;&gt;"",$D152=""),
Error!$B$3,
IF(AND(_xlpm.baseRow,OR($E152="Tier 3",$E152="Tier 4"),$C152&lt;&gt;"",$D152&gt;=24,COUNTIF(Tables2!$B$166:$B$674,$C152)&gt;0),
Error!$B$44,
IF(AND(_xlpm.baseRow,OR($E152="Tier 3",$E152="Tier 4"),$C152&lt;&gt;"",$D152&lt;&gt;"",COUNTIF(Tables2!$B$73:$B$152,$C152)&gt;0,
$D152&gt;=IFERROR(INDEX(Tables2!$C$73:$C$152,MATCH($C152,Tables2!$B$73:$B$152,0)),-1)),
Error!$B$44,
IF(AND(_xlpm.baseRow,OR($E152="Tier 2",$E152="Tier 2 Grove"),$C152&lt;&gt;"",$D152&gt;=12,COUNTIF(Tables2!$B$153:$B$162,$C152)&gt;0),
Error!$B$45,
IF(AND(_xlpm.baseRow,$E152="Tier 2 Grove",$D152&lt;12),
Error!$B$41,
IF(AND(_xlpm.baseRow,$E152="Tier 2",$D152&lt;5.88),
Error!$B$40,
IF(AND(_xlpm.baseRow,OR($E152="Tier 2",$E152="Tier 2 Grove"),$C152&lt;&gt;"",$D152&lt;12,$D152&gt;=6,COUNTIF(Tables2!$B$153:$B$162,$C152)&gt;0),
Error!$B$54,
IF(AND(_xlpm.baseRow,$E152="Tier 2",COUNTIF(Tables2!$B$166:$B$674,$C152)&gt;0,$D152&lt;24),
Error!$B$54,
IF(AND(_xlpm.baseRow,$E152="Tier 3",ISNA(MATCH($C152,Tables2!$B$153:$B$162,0)),OR($D152&lt;12,$D152&gt;=24)),
Error!$B$9,
IF(AND(_xlpm.baseRow,$E152="Tier 3",COUNTIF(Tables2!$B$153:$B$162,$C152)&gt;0,$D152&lt;12),
Error!$B$46,
IF(AND(_xlpm.baseRow,$E152="Tier 4",OR($D152&lt;6,$D152&gt;=12)),
Error!$B$10,
IF(AND(_xlpm.baseRow,$E152="&lt;6in DSH for Tree Points",OR($D152&gt;=6,$D152="")),
Error!$B$8,
IF(AND(_xlpm.baseRow,$E152="Street Tree for Green Factor",$F152&lt;&gt;"",$F152&lt;&gt;"Retain"),
Error!$B$14,
IF(AND($E152="&lt;6in DSH for Tree Points",$F152="Retain",$H152&lt;&gt;"",ISNA(MATCH($H152,Tables!$B$174:$B$174,0))),
Error!$B$15,
IF(AND($E152="Street Tree for Green Factor",$F152="Retain",$H152&lt;&gt;"",$H152&lt;&gt;"Zoning: Green Factor"),
Error!$B$15,
IF(AND($E152="ECA / Shoreline Tree",$F152="Remove",$H152&lt;&gt;"",ISNA(MATCH($H152,Tables!$B$189:$B$190,0))),
Error!$B$15,
IF(AND($E152="ECA / Shoreline Tree",$F152="Retain",$H152&lt;&gt;"",ISNA(MATCH($H152,Tables!$B$184:$B$186,0))),
Error!$B$15,
IF(AND($E152="Tier 4",$F152="Remove",$H152&lt;&gt;"",ISNA(MATCH($H152,Tables!$B$171,0))),
Error!$B$15,
IF(AND($E152="Tier 4",$F152="Retain",$H152&lt;&gt;"",ISNA(MATCH($H152,Tables!$B$166:$B$168,0))),
Error!$B$15,
IF(AND($E152="Tier 3",$F152="Retain",$H152&lt;&gt;"",ISNA(MATCH($H152,Tables!$B$158:$B$160,0))),
Error!$B$15,
IF(AND($E152="Tier 3",$F152="Remove",$H152&lt;&gt;"",ISNA(MATCH($H152,Tables!$B$163,0))),
Error!$B$15,
IF(AND(OR($E152="Tier 2",$E152="Tier 2 Grove"),$F152="Remove",$H152&lt;&gt;"",ISNA(MATCH($H152,Tables!$B$153:$B$155,0))),
Error!$B$15,
IF(AND(OR($E152="Tier 2",$E152="Tier 2 Grove"),$F152="Retain",$H152&lt;&gt;"",ISNA(MATCH($H152,Tables!$B$147:$B$150,0))),
Error!$B$15,
IF(AND($E152="Tier 1",$F152="Remove",$H152&lt;&gt;"",ISNA(MATCH($H152,Tables!$B$143:$B$144,0))),
Error!$B$15,
IF(AND($E152="Tier 1",$F152="Retain",$H152&lt;&gt;"",ISNA(MATCH($H152,Tables!$B$137:$B$140,0))),
Error!$B$15,
IF(AND($E152&lt;&gt;"Tier 2",$E152&lt;&gt;"Tier 2 Grove",$E152&lt;&gt;"Tier 3",$E152&lt;&gt;"Tier 4",$H152="Zoning: Green Factor",OR($D152="",$D152&lt;6)),
Error!$B$11,
IF(AND(_xlpm.baseRow,$D152&lt;6,$E152="&lt;6in DSH for Tree Points",_xlpm.TreePoints_H=0),
Error!$B$21,
IF(AND(_xlpm.baseRow,$E152&lt;&gt;"",$D152&lt;&gt;"",$F152=""),
Error!$B$4,
IF(AND(_xlpm.baseRow,$F152="Remove",OR($E152="Tier 1",$E152="Tier 2",$E152="Tier 2 Grove"),COUNTBLANK(_xlpm.HRange)&lt;3,_xlpm.uniqueH&gt;=2),
Error!$B$48,
IF(AND(_xlpm.baseRow,$F152="Retain",OR($E152="Tier 1",$E152="Tier 2",$E152="Tier 2 Grove"),COUNTIF(_xlpm.HRange,"Tree Code: Required to Retain Tier 1-2 Tree")=0),
Error!$B$47,
IF(AND(_xlpm.baseRow,$E152&lt;&gt;"",$D152&lt;&gt;"",$F152&lt;&gt;"",COUNTBLANK(_xlpm.HRange)=4),
Error!$B$5,
IF(AND($F152="Remove",$H152&lt;&gt;"",$I152=""),
Error!$B$18,
IF(AND($E152="Tier 4",$F152="Remove",$H152="Tree Protection Code: Tier 3 or Tier 4 Allowance",$H152&lt;&gt;"",ISNA(MATCH($I152,Tables!$B$200,0))),
Error!$B$17,
IF(AND($E152="Tier 3",$F152="Remove",$H152&lt;&gt;"",$H152="Tree Protection Code: Tier 3 or Tier 4 Allowance",OR($I152="",ISNA(MATCH($I152,Tables!$B$193:$B$197,0)))),
Error!$B$17,
IF(AND(OR($E152="Tier 2",$E152="Tier 2 Grove"),$F152="Remove",$H152="Tree Protection Code: Other removal allowance or exemption",$I152&lt;&gt;"",ISNA(MATCH($I152,Tables!$B$215:$B$218,0))),
Error!$B$17,
IF(AND(OR($E152="Tier 2",$E152="Tier 2 Grove"),$F152="Remove",$H152="Tree Protection Code: Development Capacity",$I152&lt;&gt;"",ISNA(MATCH($I152,Tables!$B$193:$B$197,0))),
Error!$B$17,
IF(AND(OR($E152="Tier 2",$E152="Tier 2 Grove"),$F152="Remove",$H152="Tree Protection Code: Necessary for Construction",$I152&lt;&gt;"",ISNA(MATCH($I152,Tables!$B$193:$B$197,0))),
Error!$B$17,
IF(AND($E152="Tier 1",$F152="Remove",$H152="Tree Protection Code: Special Exception",$I152&lt;&gt;"",ISNA(MATCH($I152,Tables!$B$215:$B$218,0))),
Error!$B$17,
IF(AND($E152="Tier 1",$F152="Remove",$H152="Tree Protection Code: Other removal allowance or exemption",$I152&lt;&gt;"",ISNA(MATCH($I152,Tables!$B$215:$B$218,0))),
Error!$B$17,
IF(AND($E152="ECA / Shoreline Tree",$F152="Remove",$H152&lt;&gt;"",OR($H152="Shoreline",$H152="Environmental Critical Area (ECA)"),ISNA(MATCH($I152,Tables!$B$209:$B$212,0))),
Error!$B$17,
IF(AND(_xlpm.baseRow,$F152="Retain",$E152="ECA / Shoreline Tree",_xlpm.ECA_Short=0),
Error!$B$61,
IF(AND($F152="Remove",ISNUMBER(MATCH($E152,{"Tier 1","Tier 2","Tier 3","Tier 4","Tier 2 Grove"},0)),ISNUMBER(MATCH($I152,{"On-site replacement","Off-site replacement"},0)),$J152="",$H152&lt;&gt;""),
Error!$B$19,
IF(AND(_xlpm.baseRow,$E152&lt;&gt;"",$D152&lt;&gt;"",$F152&lt;&gt;"",COUNTBLANK($B152:$C152)&gt;0,COUNTBLANK(_xlpm.HRange)&lt;&gt;4),
Error!$B$22,
IF(AND($H152="Zoning: Tree Points",$K152&lt;&gt;"",ISNA(MATCH($K152,Tables!$B$242:$B$253,0))),
Error!$B$58,
IF(AND($H152="Zoning: Tree Points",$K152="Small",$L152&lt;&gt;"",ISNA(MATCH($L152,Tables!$C$243:$C$244,0))),
Error!$B$59,
IF(AND($H152="Zoning: Tree Points",$K152="Small/Medium",$L152&lt;&gt;"",ISNA(MATCH($L152,Tables!$C$246:$C$247,0))),
Error!$B$59,
IF(AND($H152="Zoning: Tree Points",$K152="Medium/Large",$L152&lt;&gt;"",ISNA(MATCH($L152,Tables!$C$249:$C$250,0))),
Error!$B$59,
IF(AND($H152="Zoning: Tree Points",$K152="Large",$L152&lt;&gt;"",ISNA(MATCH($L152,Tables!$C$252:$C$253,0))),
Error!$B$59,
IF(AND($F152="Retain",$H152="Zoning: Tree Points",$C152&lt;&gt;"",$D152&lt;&gt;"",OR($K152="",$L152="",$M152="")),
Error!$B$20,
""
)))))))))))))))))))))))))))))))))))))))))))))))))))))))),
Error!$B$23))</f>
        <v/>
      </c>
      <c r="O152" s="343" t="str" cm="1">
        <f t="array" aca="1" ref="O152" ca="1">IFERROR(_xlfn.LET(
    _xlpm.txt, $C152,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53" spans="1:15" x14ac:dyDescent="0.3">
      <c r="A153" s="320"/>
      <c r="B153" s="616" t="str">
        <f t="shared" si="133"/>
        <v/>
      </c>
      <c r="C153" s="617" t="str">
        <f t="shared" si="134"/>
        <v/>
      </c>
      <c r="D153" s="618" t="str">
        <f t="shared" si="135"/>
        <v/>
      </c>
      <c r="E153" s="616" t="str">
        <f t="shared" si="136"/>
        <v/>
      </c>
      <c r="F153" s="616" t="str">
        <f t="shared" si="137"/>
        <v/>
      </c>
      <c r="G153" s="619" t="str">
        <f>IF(Tree_Table1[[#This Row],[Tree Status  &amp;]]="Retain", Tables!$B$237, IF(Tree_Table1[[#This Row],[Tree Status  &amp;]]="Remove", Tables!$B$238, ""))</f>
        <v/>
      </c>
      <c r="H153" s="321"/>
      <c r="I153" s="322"/>
      <c r="J153" s="453"/>
      <c r="K153" s="323" t="str">
        <f>IFERROR(
    IF(
        AND($H153="Zoning: Tree Points", NOT(ISNUMBER(SEARCH("sp.", $C153)))),
        VLOOKUP($C153, 'Tree List'!$C$3:$F$601, 4, FALSE),
        ""
    ),
"")</f>
        <v/>
      </c>
      <c r="L153" s="324" t="str" cm="1">
        <f t="array" ref="L153">IFERROR(
IF(
    AND($H153="Zoning: Tree Points", NOT(ISNUMBER(SEARCH("sp.", $C153)))),
    _xlfn.IFS(
        (COUNTIFS('Tree List'!$C$3:$C$601,$C153,'Tree List'!$D$3:$D$601,"Coniferous")
        + COUNTIFS('Tree List'!$C$3:$C$601,$C153,'Tree List'!$D$3:$D$601,"Deciduous Conifer")) &gt; 0,
            _xlfn.IFS($K153="Small",0.5,$K153="Small/Medium",1,$K153="Medium/Large",1.4,$K153="Large",1.8),
        (COUNTIFS('Tree List'!$C$3:$C$601,$C153,'Tree List'!$D$3:$D$601,"Deciduous")
        + COUNTIFS('Tree List'!$C$3:$C$601,$C153,'Tree List'!$D$3:$D$601,"Broadleaf Evergreen")) &gt; 0,
            _xlfn.IFS($K153="Small",0.4,$K153="Small/Medium",0.8,$K153="Medium/Large",1.2,$K153="Large",1.6)
    ),
    ""
),
"")</f>
        <v/>
      </c>
      <c r="M153" s="475" t="str">
        <f t="shared" si="0"/>
        <v/>
      </c>
      <c r="N153" s="346" t="str" cm="1">
        <f t="array" aca="1" ref="N15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IF(AND(_xlpm.baseRow,ISNA(MATCH($C153,'Tree List'!$C$3:$C$601,0)),SUMPRODUCT(--ISNUMBER(SEARCH(Tables2!$C$677:$C$772,$O153)))&gt;0),
Error!$B$57,
IF(AND(_xlpm.hasDM,$F153="Remove",$H153&lt;&gt;"",OR($I153="On-site replacement",$I153="Off-site replacement",$I153="Payment In Lieu")),
Error!$B$56,
IF(AND(_xlpm.hasDM,$F153="Remove",$H153&lt;&gt;"",$I153="Relocation"),
Error!$B$66,
IF(AND(OR(_xlpm.hasCN,_xlpm.hasPH,_xlpm.hasGR),$H153&lt;&gt;"",COUNTIF(Tables!$B$132:$B$134,$H153)&gt;0,$I153="N/A (No replacement required)"),
Error!$B$62,
IF(AND(_xlpm.baseRow,$E153&lt;&gt;"",ISNA(MATCH($E153,Tables!$B$225:$B$232,0))),
Error!$B$2,
IF(AND(_xlpm.baseRow,$F153&lt;&gt;"",ISNA(MATCH($F153,Tables!$B$234:$B$235,0))),
Error!$B$24,
IF(AND(_xlpm.baseRow,_xlpm.ECA_H&gt;0,_xlpm.Shore_H&gt;0),
Error!$B$16,
IF(AND(_xlpm.baseRow,$E153&lt;&gt;"",$D153=""),
Error!$B$3,
IF(AND(_xlpm.baseRow,OR($E153="Tier 3",$E153="Tier 4"),$C153&lt;&gt;"",$D153&gt;=24,COUNTIF(Tables2!$B$166:$B$674,$C153)&gt;0),
Error!$B$44,
IF(AND(_xlpm.baseRow,OR($E153="Tier 3",$E153="Tier 4"),$C153&lt;&gt;"",$D153&lt;&gt;"",COUNTIF(Tables2!$B$73:$B$152,$C153)&gt;0,
$D153&gt;=IFERROR(INDEX(Tables2!$C$73:$C$152,MATCH($C153,Tables2!$B$73:$B$152,0)),-1)),
Error!$B$44,
IF(AND(_xlpm.baseRow,OR($E153="Tier 2",$E153="Tier 2 Grove"),$C153&lt;&gt;"",$D153&gt;=12,COUNTIF(Tables2!$B$153:$B$162,$C153)&gt;0),
Error!$B$45,
IF(AND(_xlpm.baseRow,$E153="Tier 2 Grove",$D153&lt;12),
Error!$B$41,
IF(AND(_xlpm.baseRow,$E153="Tier 2",$D153&lt;5.88),
Error!$B$40,
IF(AND(_xlpm.baseRow,OR($E153="Tier 2",$E153="Tier 2 Grove"),$C153&lt;&gt;"",$D153&lt;12,$D153&gt;=6,COUNTIF(Tables2!$B$153:$B$162,$C153)&gt;0),
Error!$B$54,
IF(AND(_xlpm.baseRow,$E153="Tier 2",COUNTIF(Tables2!$B$166:$B$674,$C153)&gt;0,$D153&lt;24),
Error!$B$54,
IF(AND(_xlpm.baseRow,$E153="Tier 3",ISNA(MATCH($C153,Tables2!$B$153:$B$162,0)),OR($D153&lt;12,$D153&gt;=24)),
Error!$B$9,
IF(AND(_xlpm.baseRow,$E153="Tier 3",COUNTIF(Tables2!$B$153:$B$162,$C153)&gt;0,$D153&lt;12),
Error!$B$46,
IF(AND(_xlpm.baseRow,$E153="Tier 4",OR($D153&lt;6,$D153&gt;=12)),
Error!$B$10,
IF(AND(_xlpm.baseRow,$E153="&lt;6in DSH for Tree Points",OR($D153&gt;=6,$D153="")),
Error!$B$8,
IF(AND(_xlpm.baseRow,$E153="Street Tree for Green Factor",$F153&lt;&gt;"",$F153&lt;&gt;"Retain"),
Error!$B$14,
IF(AND($E153="&lt;6in DSH for Tree Points",$F153="Retain",$H153&lt;&gt;"",ISNA(MATCH($H153,Tables!$B$174:$B$174,0))),
Error!$B$15,
IF(AND($E153="Street Tree for Green Factor",$F153="Retain",$H153&lt;&gt;"",$H153&lt;&gt;"Zoning: Green Factor"),
Error!$B$15,
IF(AND($E153="ECA / Shoreline Tree",$F153="Remove",$H153&lt;&gt;"",ISNA(MATCH($H153,Tables!$B$189:$B$190,0))),
Error!$B$15,
IF(AND($E153="ECA / Shoreline Tree",$F153="Retain",$H153&lt;&gt;"",ISNA(MATCH($H153,Tables!$B$184:$B$186,0))),
Error!$B$15,
IF(AND($E153="Tier 4",$F153="Remove",$H153&lt;&gt;"",ISNA(MATCH($H153,Tables!$B$171,0))),
Error!$B$15,
IF(AND($E153="Tier 4",$F153="Retain",$H153&lt;&gt;"",ISNA(MATCH($H153,Tables!$B$166:$B$168,0))),
Error!$B$15,
IF(AND($E153="Tier 3",$F153="Retain",$H153&lt;&gt;"",ISNA(MATCH($H153,Tables!$B$158:$B$160,0))),
Error!$B$15,
IF(AND($E153="Tier 3",$F153="Remove",$H153&lt;&gt;"",ISNA(MATCH($H153,Tables!$B$163,0))),
Error!$B$15,
IF(AND(OR($E153="Tier 2",$E153="Tier 2 Grove"),$F153="Remove",$H153&lt;&gt;"",ISNA(MATCH($H153,Tables!$B$153:$B$155,0))),
Error!$B$15,
IF(AND(OR($E153="Tier 2",$E153="Tier 2 Grove"),$F153="Retain",$H153&lt;&gt;"",ISNA(MATCH($H153,Tables!$B$147:$B$150,0))),
Error!$B$15,
IF(AND($E153="Tier 1",$F153="Remove",$H153&lt;&gt;"",ISNA(MATCH($H153,Tables!$B$143:$B$144,0))),
Error!$B$15,
IF(AND($E153="Tier 1",$F153="Retain",$H153&lt;&gt;"",ISNA(MATCH($H153,Tables!$B$137:$B$140,0))),
Error!$B$15,
IF(AND($E153&lt;&gt;"Tier 2",$E153&lt;&gt;"Tier 2 Grove",$E153&lt;&gt;"Tier 3",$E153&lt;&gt;"Tier 4",$H153="Zoning: Green Factor",OR($D153="",$D153&lt;6)),
Error!$B$11,
IF(AND(_xlpm.baseRow,$D153&lt;6,$E153="&lt;6in DSH for Tree Points",_xlpm.TreePoints_H=0),
Error!$B$21,
IF(AND(_xlpm.baseRow,$E153&lt;&gt;"",$D153&lt;&gt;"",$F153=""),
Error!$B$4,
IF(AND(_xlpm.baseRow,$F153="Remove",OR($E153="Tier 1",$E153="Tier 2",$E153="Tier 2 Grove"),COUNTBLANK(_xlpm.HRange)&lt;3,_xlpm.uniqueH&gt;=2),
Error!$B$48,
IF(AND(_xlpm.baseRow,$F153="Retain",OR($E153="Tier 1",$E153="Tier 2",$E153="Tier 2 Grove"),COUNTIF(_xlpm.HRange,"Tree Code: Required to Retain Tier 1-2 Tree")=0),
Error!$B$47,
IF(AND(_xlpm.baseRow,$E153&lt;&gt;"",$D153&lt;&gt;"",$F153&lt;&gt;"",COUNTBLANK(_xlpm.HRange)=4),
Error!$B$5,
IF(AND($F153="Remove",$H153&lt;&gt;"",$I153=""),
Error!$B$18,
IF(AND($E153="Tier 4",$F153="Remove",$H153="Tree Protection Code: Tier 3 or Tier 4 Allowance",$H153&lt;&gt;"",ISNA(MATCH($I153,Tables!$B$200,0))),
Error!$B$17,
IF(AND($E153="Tier 3",$F153="Remove",$H153&lt;&gt;"",$H153="Tree Protection Code: Tier 3 or Tier 4 Allowance",OR($I153="",ISNA(MATCH($I153,Tables!$B$193:$B$197,0)))),
Error!$B$17,
IF(AND(OR($E153="Tier 2",$E153="Tier 2 Grove"),$F153="Remove",$H153="Tree Protection Code: Other removal allowance or exemption",$I153&lt;&gt;"",ISNA(MATCH($I153,Tables!$B$215:$B$218,0))),
Error!$B$17,
IF(AND(OR($E153="Tier 2",$E153="Tier 2 Grove"),$F153="Remove",$H153="Tree Protection Code: Development Capacity",$I153&lt;&gt;"",ISNA(MATCH($I153,Tables!$B$193:$B$197,0))),
Error!$B$17,
IF(AND(OR($E153="Tier 2",$E153="Tier 2 Grove"),$F153="Remove",$H153="Tree Protection Code: Necessary for Construction",$I153&lt;&gt;"",ISNA(MATCH($I153,Tables!$B$193:$B$197,0))),
Error!$B$17,
IF(AND($E153="Tier 1",$F153="Remove",$H153="Tree Protection Code: Special Exception",$I153&lt;&gt;"",ISNA(MATCH($I153,Tables!$B$215:$B$218,0))),
Error!$B$17,
IF(AND($E153="Tier 1",$F153="Remove",$H153="Tree Protection Code: Other removal allowance or exemption",$I153&lt;&gt;"",ISNA(MATCH($I153,Tables!$B$215:$B$218,0))),
Error!$B$17,
IF(AND($E153="ECA / Shoreline Tree",$F153="Remove",$H153&lt;&gt;"",OR($H153="Shoreline",$H153="Environmental Critical Area (ECA)"),ISNA(MATCH($I153,Tables!$B$209:$B$212,0))),
Error!$B$17,
IF(AND(_xlpm.baseRow,$F153="Retain",$E153="ECA / Shoreline Tree",_xlpm.ECA_Short=0),
Error!$B$61,
IF(AND($F153="Remove",ISNUMBER(MATCH($E153,{"Tier 1","Tier 2","Tier 3","Tier 4","Tier 2 Grove"},0)),ISNUMBER(MATCH($I153,{"On-site replacement","Off-site replacement"},0)),$J153="",$H153&lt;&gt;""),
Error!$B$19,
IF(AND(_xlpm.baseRow,$E153&lt;&gt;"",$D153&lt;&gt;"",$F153&lt;&gt;"",COUNTBLANK($B153:$C153)&gt;0,COUNTBLANK(_xlpm.HRange)&lt;&gt;4),
Error!$B$22,
IF(AND($H153="Zoning: Tree Points",$K153&lt;&gt;"",ISNA(MATCH($K153,Tables!$B$242:$B$253,0))),
Error!$B$58,
IF(AND($H153="Zoning: Tree Points",$K153="Small",$L153&lt;&gt;"",ISNA(MATCH($L153,Tables!$C$243:$C$244,0))),
Error!$B$59,
IF(AND($H153="Zoning: Tree Points",$K153="Small/Medium",$L153&lt;&gt;"",ISNA(MATCH($L153,Tables!$C$246:$C$247,0))),
Error!$B$59,
IF(AND($H153="Zoning: Tree Points",$K153="Medium/Large",$L153&lt;&gt;"",ISNA(MATCH($L153,Tables!$C$249:$C$250,0))),
Error!$B$59,
IF(AND($H153="Zoning: Tree Points",$K153="Large",$L153&lt;&gt;"",ISNA(MATCH($L153,Tables!$C$252:$C$253,0))),
Error!$B$59,
IF(AND($F153="Retain",$H153="Zoning: Tree Points",$C153&lt;&gt;"",$D153&lt;&gt;"",OR($K153="",$L153="",$M153="")),
Error!$B$20,
""
)))))))))))))))))))))))))))))))))))))))))))))))))))))))),
Error!$B$23))</f>
        <v/>
      </c>
      <c r="O153" s="343" t="str" cm="1">
        <f t="array" aca="1" ref="O153" ca="1">IFERROR(_xlfn.LET(
    _xlpm.txt, $C153,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54" spans="1:15" ht="15" thickBot="1" x14ac:dyDescent="0.35">
      <c r="A154" s="331"/>
      <c r="B154" s="616" t="str">
        <f t="shared" si="133"/>
        <v/>
      </c>
      <c r="C154" s="617" t="str">
        <f t="shared" si="134"/>
        <v/>
      </c>
      <c r="D154" s="618" t="str">
        <f t="shared" si="135"/>
        <v/>
      </c>
      <c r="E154" s="616" t="str">
        <f t="shared" si="136"/>
        <v/>
      </c>
      <c r="F154" s="616" t="str">
        <f t="shared" si="137"/>
        <v/>
      </c>
      <c r="G154" s="619" t="str">
        <f>IF(Tree_Table1[[#This Row],[Tree Status  &amp;]]="Retain", Tables!$B$237, IF(Tree_Table1[[#This Row],[Tree Status  &amp;]]="Remove", Tables!$B$238, ""))</f>
        <v/>
      </c>
      <c r="H154" s="329"/>
      <c r="I154" s="330"/>
      <c r="J154" s="455"/>
      <c r="K154" s="327" t="str">
        <f>IFERROR(
    IF(
        AND($H154="Zoning: Tree Points", NOT(ISNUMBER(SEARCH("sp.", $C154)))),
        VLOOKUP($C154, 'Tree List'!$C$3:$F$601, 4, FALSE),
        ""
    ),
"")</f>
        <v/>
      </c>
      <c r="L154" s="328" t="str" cm="1">
        <f t="array" ref="L154">IFERROR(
IF(
    AND($H154="Zoning: Tree Points", NOT(ISNUMBER(SEARCH("sp.", $C154)))),
    _xlfn.IFS(
        (COUNTIFS('Tree List'!$C$3:$C$601,$C154,'Tree List'!$D$3:$D$601,"Coniferous")
        + COUNTIFS('Tree List'!$C$3:$C$601,$C154,'Tree List'!$D$3:$D$601,"Deciduous Conifer")) &gt; 0,
            _xlfn.IFS($K154="Small",0.5,$K154="Small/Medium",1,$K154="Medium/Large",1.4,$K154="Large",1.8),
        (COUNTIFS('Tree List'!$C$3:$C$601,$C154,'Tree List'!$D$3:$D$601,"Deciduous")
        + COUNTIFS('Tree List'!$C$3:$C$601,$C154,'Tree List'!$D$3:$D$601,"Broadleaf Evergreen")) &gt; 0,
            _xlfn.IFS($K154="Small",0.4,$K154="Small/Medium",0.8,$K154="Medium/Large",1.2,$K154="Large",1.6)
    ),
    ""
),
"")</f>
        <v/>
      </c>
      <c r="M154" s="476" t="str">
        <f t="shared" si="0"/>
        <v/>
      </c>
      <c r="N154" s="347" t="str" cm="1">
        <f t="array" aca="1" ref="N15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IF(AND(_xlpm.baseRow,ISNA(MATCH($C154,'Tree List'!$C$3:$C$601,0)),SUMPRODUCT(--ISNUMBER(SEARCH(Tables2!$C$677:$C$772,$O154)))&gt;0),
Error!$B$57,
IF(AND(_xlpm.hasDM,$F154="Remove",$H154&lt;&gt;"",OR($I154="On-site replacement",$I154="Off-site replacement",$I154="Payment In Lieu")),
Error!$B$56,
IF(AND(_xlpm.hasDM,$F154="Remove",$H154&lt;&gt;"",$I154="Relocation"),
Error!$B$66,
IF(AND(OR(_xlpm.hasCN,_xlpm.hasPH,_xlpm.hasGR),$H154&lt;&gt;"",COUNTIF(Tables!$B$132:$B$134,$H154)&gt;0,$I154="N/A (No replacement required)"),
Error!$B$62,
IF(AND(_xlpm.baseRow,$E154&lt;&gt;"",ISNA(MATCH($E154,Tables!$B$225:$B$232,0))),
Error!$B$2,
IF(AND(_xlpm.baseRow,$F154&lt;&gt;"",ISNA(MATCH($F154,Tables!$B$234:$B$235,0))),
Error!$B$24,
IF(AND(_xlpm.baseRow,_xlpm.ECA_H&gt;0,_xlpm.Shore_H&gt;0),
Error!$B$16,
IF(AND(_xlpm.baseRow,$E154&lt;&gt;"",$D154=""),
Error!$B$3,
IF(AND(_xlpm.baseRow,OR($E154="Tier 3",$E154="Tier 4"),$C154&lt;&gt;"",$D154&gt;=24,COUNTIF(Tables2!$B$166:$B$674,$C154)&gt;0),
Error!$B$44,
IF(AND(_xlpm.baseRow,OR($E154="Tier 3",$E154="Tier 4"),$C154&lt;&gt;"",$D154&lt;&gt;"",COUNTIF(Tables2!$B$73:$B$152,$C154)&gt;0,
$D154&gt;=IFERROR(INDEX(Tables2!$C$73:$C$152,MATCH($C154,Tables2!$B$73:$B$152,0)),-1)),
Error!$B$44,
IF(AND(_xlpm.baseRow,OR($E154="Tier 2",$E154="Tier 2 Grove"),$C154&lt;&gt;"",$D154&gt;=12,COUNTIF(Tables2!$B$153:$B$162,$C154)&gt;0),
Error!$B$45,
IF(AND(_xlpm.baseRow,$E154="Tier 2 Grove",$D154&lt;12),
Error!$B$41,
IF(AND(_xlpm.baseRow,$E154="Tier 2",$D154&lt;5.88),
Error!$B$40,
IF(AND(_xlpm.baseRow,OR($E154="Tier 2",$E154="Tier 2 Grove"),$C154&lt;&gt;"",$D154&lt;12,$D154&gt;=6,COUNTIF(Tables2!$B$153:$B$162,$C154)&gt;0),
Error!$B$54,
IF(AND(_xlpm.baseRow,$E154="Tier 2",COUNTIF(Tables2!$B$166:$B$674,$C154)&gt;0,$D154&lt;24),
Error!$B$54,
IF(AND(_xlpm.baseRow,$E154="Tier 3",ISNA(MATCH($C154,Tables2!$B$153:$B$162,0)),OR($D154&lt;12,$D154&gt;=24)),
Error!$B$9,
IF(AND(_xlpm.baseRow,$E154="Tier 3",COUNTIF(Tables2!$B$153:$B$162,$C154)&gt;0,$D154&lt;12),
Error!$B$46,
IF(AND(_xlpm.baseRow,$E154="Tier 4",OR($D154&lt;6,$D154&gt;=12)),
Error!$B$10,
IF(AND(_xlpm.baseRow,$E154="&lt;6in DSH for Tree Points",OR($D154&gt;=6,$D154="")),
Error!$B$8,
IF(AND(_xlpm.baseRow,$E154="Street Tree for Green Factor",$F154&lt;&gt;"",$F154&lt;&gt;"Retain"),
Error!$B$14,
IF(AND($E154="&lt;6in DSH for Tree Points",$F154="Retain",$H154&lt;&gt;"",ISNA(MATCH($H154,Tables!$B$174:$B$174,0))),
Error!$B$15,
IF(AND($E154="Street Tree for Green Factor",$F154="Retain",$H154&lt;&gt;"",$H154&lt;&gt;"Zoning: Green Factor"),
Error!$B$15,
IF(AND($E154="ECA / Shoreline Tree",$F154="Remove",$H154&lt;&gt;"",ISNA(MATCH($H154,Tables!$B$189:$B$190,0))),
Error!$B$15,
IF(AND($E154="ECA / Shoreline Tree",$F154="Retain",$H154&lt;&gt;"",ISNA(MATCH($H154,Tables!$B$184:$B$186,0))),
Error!$B$15,
IF(AND($E154="Tier 4",$F154="Remove",$H154&lt;&gt;"",ISNA(MATCH($H154,Tables!$B$171,0))),
Error!$B$15,
IF(AND($E154="Tier 4",$F154="Retain",$H154&lt;&gt;"",ISNA(MATCH($H154,Tables!$B$166:$B$168,0))),
Error!$B$15,
IF(AND($E154="Tier 3",$F154="Retain",$H154&lt;&gt;"",ISNA(MATCH($H154,Tables!$B$158:$B$160,0))),
Error!$B$15,
IF(AND($E154="Tier 3",$F154="Remove",$H154&lt;&gt;"",ISNA(MATCH($H154,Tables!$B$163,0))),
Error!$B$15,
IF(AND(OR($E154="Tier 2",$E154="Tier 2 Grove"),$F154="Remove",$H154&lt;&gt;"",ISNA(MATCH($H154,Tables!$B$153:$B$155,0))),
Error!$B$15,
IF(AND(OR($E154="Tier 2",$E154="Tier 2 Grove"),$F154="Retain",$H154&lt;&gt;"",ISNA(MATCH($H154,Tables!$B$147:$B$150,0))),
Error!$B$15,
IF(AND($E154="Tier 1",$F154="Remove",$H154&lt;&gt;"",ISNA(MATCH($H154,Tables!$B$143:$B$144,0))),
Error!$B$15,
IF(AND($E154="Tier 1",$F154="Retain",$H154&lt;&gt;"",ISNA(MATCH($H154,Tables!$B$137:$B$140,0))),
Error!$B$15,
IF(AND($E154&lt;&gt;"Tier 2",$E154&lt;&gt;"Tier 2 Grove",$E154&lt;&gt;"Tier 3",$E154&lt;&gt;"Tier 4",$H154="Zoning: Green Factor",OR($D154="",$D154&lt;6)),
Error!$B$11,
IF(AND(_xlpm.baseRow,$D154&lt;6,$E154="&lt;6in DSH for Tree Points",_xlpm.TreePoints_H=0),
Error!$B$21,
IF(AND(_xlpm.baseRow,$E154&lt;&gt;"",$D154&lt;&gt;"",$F154=""),
Error!$B$4,
IF(AND(_xlpm.baseRow,$F154="Remove",OR($E154="Tier 1",$E154="Tier 2",$E154="Tier 2 Grove"),COUNTBLANK(_xlpm.HRange)&lt;3,_xlpm.uniqueH&gt;=2),
Error!$B$48,
IF(AND(_xlpm.baseRow,$F154="Retain",OR($E154="Tier 1",$E154="Tier 2",$E154="Tier 2 Grove"),COUNTIF(_xlpm.HRange,"Tree Code: Required to Retain Tier 1-2 Tree")=0),
Error!$B$47,
IF(AND(_xlpm.baseRow,$E154&lt;&gt;"",$D154&lt;&gt;"",$F154&lt;&gt;"",COUNTBLANK(_xlpm.HRange)=4),
Error!$B$5,
IF(AND($F154="Remove",$H154&lt;&gt;"",$I154=""),
Error!$B$18,
IF(AND($E154="Tier 4",$F154="Remove",$H154="Tree Protection Code: Tier 3 or Tier 4 Allowance",$H154&lt;&gt;"",ISNA(MATCH($I154,Tables!$B$200,0))),
Error!$B$17,
IF(AND($E154="Tier 3",$F154="Remove",$H154&lt;&gt;"",$H154="Tree Protection Code: Tier 3 or Tier 4 Allowance",OR($I154="",ISNA(MATCH($I154,Tables!$B$193:$B$197,0)))),
Error!$B$17,
IF(AND(OR($E154="Tier 2",$E154="Tier 2 Grove"),$F154="Remove",$H154="Tree Protection Code: Other removal allowance or exemption",$I154&lt;&gt;"",ISNA(MATCH($I154,Tables!$B$215:$B$218,0))),
Error!$B$17,
IF(AND(OR($E154="Tier 2",$E154="Tier 2 Grove"),$F154="Remove",$H154="Tree Protection Code: Development Capacity",$I154&lt;&gt;"",ISNA(MATCH($I154,Tables!$B$193:$B$197,0))),
Error!$B$17,
IF(AND(OR($E154="Tier 2",$E154="Tier 2 Grove"),$F154="Remove",$H154="Tree Protection Code: Necessary for Construction",$I154&lt;&gt;"",ISNA(MATCH($I154,Tables!$B$193:$B$197,0))),
Error!$B$17,
IF(AND($E154="Tier 1",$F154="Remove",$H154="Tree Protection Code: Special Exception",$I154&lt;&gt;"",ISNA(MATCH($I154,Tables!$B$215:$B$218,0))),
Error!$B$17,
IF(AND($E154="Tier 1",$F154="Remove",$H154="Tree Protection Code: Other removal allowance or exemption",$I154&lt;&gt;"",ISNA(MATCH($I154,Tables!$B$215:$B$218,0))),
Error!$B$17,
IF(AND($E154="ECA / Shoreline Tree",$F154="Remove",$H154&lt;&gt;"",OR($H154="Shoreline",$H154="Environmental Critical Area (ECA)"),ISNA(MATCH($I154,Tables!$B$209:$B$212,0))),
Error!$B$17,
IF(AND(_xlpm.baseRow,$F154="Retain",$E154="ECA / Shoreline Tree",_xlpm.ECA_Short=0),
Error!$B$61,
IF(AND($F154="Remove",ISNUMBER(MATCH($E154,{"Tier 1","Tier 2","Tier 3","Tier 4","Tier 2 Grove"},0)),ISNUMBER(MATCH($I154,{"On-site replacement","Off-site replacement"},0)),$J154="",$H154&lt;&gt;""),
Error!$B$19,
IF(AND(_xlpm.baseRow,$E154&lt;&gt;"",$D154&lt;&gt;"",$F154&lt;&gt;"",COUNTBLANK($B154:$C154)&gt;0,COUNTBLANK(_xlpm.HRange)&lt;&gt;4),
Error!$B$22,
IF(AND($H154="Zoning: Tree Points",$K154&lt;&gt;"",ISNA(MATCH($K154,Tables!$B$242:$B$253,0))),
Error!$B$58,
IF(AND($H154="Zoning: Tree Points",$K154="Small",$L154&lt;&gt;"",ISNA(MATCH($L154,Tables!$C$243:$C$244,0))),
Error!$B$59,
IF(AND($H154="Zoning: Tree Points",$K154="Small/Medium",$L154&lt;&gt;"",ISNA(MATCH($L154,Tables!$C$246:$C$247,0))),
Error!$B$59,
IF(AND($H154="Zoning: Tree Points",$K154="Medium/Large",$L154&lt;&gt;"",ISNA(MATCH($L154,Tables!$C$249:$C$250,0))),
Error!$B$59,
IF(AND($H154="Zoning: Tree Points",$K154="Large",$L154&lt;&gt;"",ISNA(MATCH($L154,Tables!$C$252:$C$253,0))),
Error!$B$59,
IF(AND($F154="Retain",$H154="Zoning: Tree Points",$C154&lt;&gt;"",$D154&lt;&gt;"",OR($K154="",$L154="",$M154="")),
Error!$B$20,
""
)))))))))))))))))))))))))))))))))))))))))))))))))))))))),
Error!$B$23))</f>
        <v/>
      </c>
      <c r="O154" s="343" t="str" cm="1">
        <f t="array" aca="1" ref="O154" ca="1">IFERROR(_xlfn.LET(
    _xlpm.txt, $C154,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55" spans="1:15" ht="15" thickBot="1" x14ac:dyDescent="0.35">
      <c r="A155" s="311">
        <v>37</v>
      </c>
      <c r="B155" s="312"/>
      <c r="C155" s="313"/>
      <c r="D155" s="478"/>
      <c r="E155" s="314"/>
      <c r="F155" s="314"/>
      <c r="G155" s="315" t="str">
        <f>IF(Tree_Table1[[#This Row],[Tree Status  &amp;]]="Retain", Tables!$B$237, IF(Tree_Table1[[#This Row],[Tree Status  &amp;]]="Remove", Tables!$B$238, ""))</f>
        <v/>
      </c>
      <c r="H155" s="316"/>
      <c r="I155" s="317"/>
      <c r="J155" s="452"/>
      <c r="K155" s="318" t="str">
        <f>IFERROR(
    IF(
        AND($H155="Zoning: Tree Points", NOT(ISNUMBER(SEARCH("sp.", $C155)))),
        VLOOKUP($C155, 'Tree List'!$C$3:$F$601, 4, FALSE),
        ""
    ),
"")</f>
        <v/>
      </c>
      <c r="L155" s="319" t="str" cm="1">
        <f t="array" ref="L155">IFERROR(
IF(
    AND($H155="Zoning: Tree Points", NOT(ISNUMBER(SEARCH("sp.", $C155)))),
    _xlfn.IFS(
        (COUNTIFS('Tree List'!$C$3:$C$601,$C155,'Tree List'!$D$3:$D$601,"Coniferous")
        + COUNTIFS('Tree List'!$C$3:$C$601,$C155,'Tree List'!$D$3:$D$601,"Deciduous Conifer")) &gt; 0,
            _xlfn.IFS($K155="Small",0.5,$K155="Small/Medium",1,$K155="Medium/Large",1.4,$K155="Large",1.8),
        (COUNTIFS('Tree List'!$C$3:$C$601,$C155,'Tree List'!$D$3:$D$601,"Deciduous")
        + COUNTIFS('Tree List'!$C$3:$C$601,$C155,'Tree List'!$D$3:$D$601,"Broadleaf Evergreen")) &gt; 0,
            _xlfn.IFS($K155="Small",0.4,$K155="Small/Medium",0.8,$K155="Medium/Large",1.2,$K155="Large",1.6)
    ),
    ""
),
"")</f>
        <v/>
      </c>
      <c r="M155" s="474" t="str">
        <f t="shared" si="0"/>
        <v/>
      </c>
      <c r="N155" s="620" t="str" cm="1">
        <f t="array" aca="1" ref="N15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IF(AND(_xlpm.baseRow,ISNA(MATCH($C155,'Tree List'!$C$3:$C$601,0)),SUMPRODUCT(--ISNUMBER(SEARCH(Tables2!$C$677:$C$772,$O155)))&gt;0),
Error!$B$57,
IF(AND(_xlpm.hasDM,$F155="Remove",$H155&lt;&gt;"",OR($I155="On-site replacement",$I155="Off-site replacement",$I155="Payment In Lieu")),
Error!$B$56,
IF(AND(_xlpm.hasDM,$F155="Remove",$H155&lt;&gt;"",$I155="Relocation"),
Error!$B$66,
IF(AND(OR(_xlpm.hasCN,_xlpm.hasPH,_xlpm.hasGR),$H155&lt;&gt;"",COUNTIF(Tables!$B$132:$B$134,$H155)&gt;0,$I155="N/A (No replacement required)"),
Error!$B$62,
IF(AND(_xlpm.baseRow,$E155&lt;&gt;"",ISNA(MATCH($E155,Tables!$B$225:$B$232,0))),
Error!$B$2,
IF(AND(_xlpm.baseRow,$F155&lt;&gt;"",ISNA(MATCH($F155,Tables!$B$234:$B$235,0))),
Error!$B$24,
IF(AND(_xlpm.baseRow,_xlpm.ECA_H&gt;0,_xlpm.Shore_H&gt;0),
Error!$B$16,
IF(AND(_xlpm.baseRow,$E155&lt;&gt;"",$D155=""),
Error!$B$3,
IF(AND(_xlpm.baseRow,OR($E155="Tier 3",$E155="Tier 4"),$C155&lt;&gt;"",$D155&gt;=24,COUNTIF(Tables2!$B$166:$B$674,$C155)&gt;0),
Error!$B$44,
IF(AND(_xlpm.baseRow,OR($E155="Tier 3",$E155="Tier 4"),$C155&lt;&gt;"",$D155&lt;&gt;"",COUNTIF(Tables2!$B$73:$B$152,$C155)&gt;0,
$D155&gt;=IFERROR(INDEX(Tables2!$C$73:$C$152,MATCH($C155,Tables2!$B$73:$B$152,0)),-1)),
Error!$B$44,
IF(AND(_xlpm.baseRow,OR($E155="Tier 2",$E155="Tier 2 Grove"),$C155&lt;&gt;"",$D155&gt;=12,COUNTIF(Tables2!$B$153:$B$162,$C155)&gt;0),
Error!$B$45,
IF(AND(_xlpm.baseRow,$E155="Tier 2 Grove",$D155&lt;12),
Error!$B$41,
IF(AND(_xlpm.baseRow,$E155="Tier 2",$D155&lt;5.88),
Error!$B$40,
IF(AND(_xlpm.baseRow,OR($E155="Tier 2",$E155="Tier 2 Grove"),$C155&lt;&gt;"",$D155&lt;12,$D155&gt;=6,COUNTIF(Tables2!$B$153:$B$162,$C155)&gt;0),
Error!$B$54,
IF(AND(_xlpm.baseRow,$E155="Tier 2",COUNTIF(Tables2!$B$166:$B$674,$C155)&gt;0,$D155&lt;24),
Error!$B$54,
IF(AND(_xlpm.baseRow,$E155="Tier 3",ISNA(MATCH($C155,Tables2!$B$153:$B$162,0)),OR($D155&lt;12,$D155&gt;=24)),
Error!$B$9,
IF(AND(_xlpm.baseRow,$E155="Tier 3",COUNTIF(Tables2!$B$153:$B$162,$C155)&gt;0,$D155&lt;12),
Error!$B$46,
IF(AND(_xlpm.baseRow,$E155="Tier 4",OR($D155&lt;6,$D155&gt;=12)),
Error!$B$10,
IF(AND(_xlpm.baseRow,$E155="&lt;6in DSH for Tree Points",OR($D155&gt;=6,$D155="")),
Error!$B$8,
IF(AND(_xlpm.baseRow,$E155="Street Tree for Green Factor",$F155&lt;&gt;"",$F155&lt;&gt;"Retain"),
Error!$B$14,
IF(AND($E155="&lt;6in DSH for Tree Points",$F155="Retain",$H155&lt;&gt;"",ISNA(MATCH($H155,Tables!$B$174:$B$174,0))),
Error!$B$15,
IF(AND($E155="Street Tree for Green Factor",$F155="Retain",$H155&lt;&gt;"",$H155&lt;&gt;"Zoning: Green Factor"),
Error!$B$15,
IF(AND($E155="ECA / Shoreline Tree",$F155="Remove",$H155&lt;&gt;"",ISNA(MATCH($H155,Tables!$B$189:$B$190,0))),
Error!$B$15,
IF(AND($E155="ECA / Shoreline Tree",$F155="Retain",$H155&lt;&gt;"",ISNA(MATCH($H155,Tables!$B$184:$B$186,0))),
Error!$B$15,
IF(AND($E155="Tier 4",$F155="Remove",$H155&lt;&gt;"",ISNA(MATCH($H155,Tables!$B$171,0))),
Error!$B$15,
IF(AND($E155="Tier 4",$F155="Retain",$H155&lt;&gt;"",ISNA(MATCH($H155,Tables!$B$166:$B$168,0))),
Error!$B$15,
IF(AND($E155="Tier 3",$F155="Retain",$H155&lt;&gt;"",ISNA(MATCH($H155,Tables!$B$158:$B$160,0))),
Error!$B$15,
IF(AND($E155="Tier 3",$F155="Remove",$H155&lt;&gt;"",ISNA(MATCH($H155,Tables!$B$163,0))),
Error!$B$15,
IF(AND(OR($E155="Tier 2",$E155="Tier 2 Grove"),$F155="Remove",$H155&lt;&gt;"",ISNA(MATCH($H155,Tables!$B$153:$B$155,0))),
Error!$B$15,
IF(AND(OR($E155="Tier 2",$E155="Tier 2 Grove"),$F155="Retain",$H155&lt;&gt;"",ISNA(MATCH($H155,Tables!$B$147:$B$150,0))),
Error!$B$15,
IF(AND($E155="Tier 1",$F155="Remove",$H155&lt;&gt;"",ISNA(MATCH($H155,Tables!$B$143:$B$144,0))),
Error!$B$15,
IF(AND($E155="Tier 1",$F155="Retain",$H155&lt;&gt;"",ISNA(MATCH($H155,Tables!$B$137:$B$140,0))),
Error!$B$15,
IF(AND($E155&lt;&gt;"Tier 2",$E155&lt;&gt;"Tier 2 Grove",$E155&lt;&gt;"Tier 3",$E155&lt;&gt;"Tier 4",$H155="Zoning: Green Factor",OR($D155="",$D155&lt;6)),
Error!$B$11,
IF(AND(_xlpm.baseRow,$D155&lt;6,$E155="&lt;6in DSH for Tree Points",_xlpm.TreePoints_H=0),
Error!$B$21,
IF(AND(_xlpm.baseRow,$E155&lt;&gt;"",$D155&lt;&gt;"",$F155=""),
Error!$B$4,
IF(AND(_xlpm.baseRow,$F155="Remove",OR($E155="Tier 1",$E155="Tier 2",$E155="Tier 2 Grove"),COUNTBLANK(_xlpm.HRange)&lt;3,_xlpm.uniqueH&gt;=2),
Error!$B$48,
IF(AND(_xlpm.baseRow,$F155="Retain",OR($E155="Tier 1",$E155="Tier 2",$E155="Tier 2 Grove"),COUNTIF(_xlpm.HRange,"Tree Code: Required to Retain Tier 1-2 Tree")=0),
Error!$B$47,
IF(AND(_xlpm.baseRow,$E155&lt;&gt;"",$D155&lt;&gt;"",$F155&lt;&gt;"",COUNTBLANK(_xlpm.HRange)=4),
Error!$B$5,
IF(AND($F155="Remove",$H155&lt;&gt;"",$I155=""),
Error!$B$18,
IF(AND($E155="Tier 4",$F155="Remove",$H155="Tree Protection Code: Tier 3 or Tier 4 Allowance",$H155&lt;&gt;"",ISNA(MATCH($I155,Tables!$B$200,0))),
Error!$B$17,
IF(AND($E155="Tier 3",$F155="Remove",$H155&lt;&gt;"",$H155="Tree Protection Code: Tier 3 or Tier 4 Allowance",OR($I155="",ISNA(MATCH($I155,Tables!$B$193:$B$197,0)))),
Error!$B$17,
IF(AND(OR($E155="Tier 2",$E155="Tier 2 Grove"),$F155="Remove",$H155="Tree Protection Code: Other removal allowance or exemption",$I155&lt;&gt;"",ISNA(MATCH($I155,Tables!$B$215:$B$218,0))),
Error!$B$17,
IF(AND(OR($E155="Tier 2",$E155="Tier 2 Grove"),$F155="Remove",$H155="Tree Protection Code: Development Capacity",$I155&lt;&gt;"",ISNA(MATCH($I155,Tables!$B$193:$B$197,0))),
Error!$B$17,
IF(AND(OR($E155="Tier 2",$E155="Tier 2 Grove"),$F155="Remove",$H155="Tree Protection Code: Necessary for Construction",$I155&lt;&gt;"",ISNA(MATCH($I155,Tables!$B$193:$B$197,0))),
Error!$B$17,
IF(AND($E155="Tier 1",$F155="Remove",$H155="Tree Protection Code: Special Exception",$I155&lt;&gt;"",ISNA(MATCH($I155,Tables!$B$215:$B$218,0))),
Error!$B$17,
IF(AND($E155="Tier 1",$F155="Remove",$H155="Tree Protection Code: Other removal allowance or exemption",$I155&lt;&gt;"",ISNA(MATCH($I155,Tables!$B$215:$B$218,0))),
Error!$B$17,
IF(AND($E155="ECA / Shoreline Tree",$F155="Remove",$H155&lt;&gt;"",OR($H155="Shoreline",$H155="Environmental Critical Area (ECA)"),ISNA(MATCH($I155,Tables!$B$209:$B$212,0))),
Error!$B$17,
IF(AND(_xlpm.baseRow,$F155="Retain",$E155="ECA / Shoreline Tree",_xlpm.ECA_Short=0),
Error!$B$61,
IF(AND($F155="Remove",ISNUMBER(MATCH($E155,{"Tier 1","Tier 2","Tier 3","Tier 4","Tier 2 Grove"},0)),ISNUMBER(MATCH($I155,{"On-site replacement","Off-site replacement"},0)),$J155="",$H155&lt;&gt;""),
Error!$B$19,
IF(AND(_xlpm.baseRow,$E155&lt;&gt;"",$D155&lt;&gt;"",$F155&lt;&gt;"",COUNTBLANK($B155:$C155)&gt;0,COUNTBLANK(_xlpm.HRange)&lt;&gt;4),
Error!$B$22,
IF(AND($H155="Zoning: Tree Points",$K155&lt;&gt;"",ISNA(MATCH($K155,Tables!$B$242:$B$253,0))),
Error!$B$58,
IF(AND($H155="Zoning: Tree Points",$K155="Small",$L155&lt;&gt;"",ISNA(MATCH($L155,Tables!$C$243:$C$244,0))),
Error!$B$59,
IF(AND($H155="Zoning: Tree Points",$K155="Small/Medium",$L155&lt;&gt;"",ISNA(MATCH($L155,Tables!$C$246:$C$247,0))),
Error!$B$59,
IF(AND($H155="Zoning: Tree Points",$K155="Medium/Large",$L155&lt;&gt;"",ISNA(MATCH($L155,Tables!$C$249:$C$250,0))),
Error!$B$59,
IF(AND($H155="Zoning: Tree Points",$K155="Large",$L155&lt;&gt;"",ISNA(MATCH($L155,Tables!$C$252:$C$253,0))),
Error!$B$59,
IF(AND($F155="Retain",$H155="Zoning: Tree Points",$C155&lt;&gt;"",$D155&lt;&gt;"",OR($K155="",$L155="",$M155="")),
Error!$B$20,
""
)))))))))))))))))))))))))))))))))))))))))))))))))))))))),
Error!$B$23))</f>
        <v/>
      </c>
      <c r="O155" s="343" t="str" cm="1">
        <f t="array" aca="1" ref="O155" ca="1">IFERROR(_xlfn.LET(
    _xlpm.txt, $C155,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56" spans="1:15" x14ac:dyDescent="0.3">
      <c r="A156" s="320"/>
      <c r="B156" s="616" t="str">
        <f t="shared" ref="B156:B158" si="138">IF($B155="", "", $B155)</f>
        <v/>
      </c>
      <c r="C156" s="617" t="str">
        <f t="shared" ref="C156:C158" si="139">IF($C155="", "", $C155)</f>
        <v/>
      </c>
      <c r="D156" s="618" t="str">
        <f t="shared" ref="D156:D158" si="140">IF($D155="", "", $D155)</f>
        <v/>
      </c>
      <c r="E156" s="616" t="str">
        <f t="shared" ref="E156:E158" si="141">IF($E155="", "", $E155)</f>
        <v/>
      </c>
      <c r="F156" s="616" t="str">
        <f t="shared" ref="F156:F158" si="142">IF($F155="", "", $F155)</f>
        <v/>
      </c>
      <c r="G156" s="619" t="str">
        <f>IF(Tree_Table1[[#This Row],[Tree Status  &amp;]]="Retain", Tables!$B$237, IF(Tree_Table1[[#This Row],[Tree Status  &amp;]]="Remove", Tables!$B$238, ""))</f>
        <v/>
      </c>
      <c r="H156" s="321"/>
      <c r="I156" s="322"/>
      <c r="J156" s="453"/>
      <c r="K156" s="323" t="str">
        <f>IFERROR(
    IF(
        AND($H156="Zoning: Tree Points", NOT(ISNUMBER(SEARCH("sp.", $C156)))),
        VLOOKUP($C156, 'Tree List'!$C$3:$F$601, 4, FALSE),
        ""
    ),
"")</f>
        <v/>
      </c>
      <c r="L156" s="324" t="str" cm="1">
        <f t="array" ref="L156">IFERROR(
IF(
    AND($H156="Zoning: Tree Points", NOT(ISNUMBER(SEARCH("sp.", $C156)))),
    _xlfn.IFS(
        (COUNTIFS('Tree List'!$C$3:$C$601,$C156,'Tree List'!$D$3:$D$601,"Coniferous")
        + COUNTIFS('Tree List'!$C$3:$C$601,$C156,'Tree List'!$D$3:$D$601,"Deciduous Conifer")) &gt; 0,
            _xlfn.IFS($K156="Small",0.5,$K156="Small/Medium",1,$K156="Medium/Large",1.4,$K156="Large",1.8),
        (COUNTIFS('Tree List'!$C$3:$C$601,$C156,'Tree List'!$D$3:$D$601,"Deciduous")
        + COUNTIFS('Tree List'!$C$3:$C$601,$C156,'Tree List'!$D$3:$D$601,"Broadleaf Evergreen")) &gt; 0,
            _xlfn.IFS($K156="Small",0.4,$K156="Small/Medium",0.8,$K156="Medium/Large",1.2,$K156="Large",1.6)
    ),
    ""
),
"")</f>
        <v/>
      </c>
      <c r="M156" s="475" t="str">
        <f t="shared" si="0"/>
        <v/>
      </c>
      <c r="N156" s="346" t="str" cm="1">
        <f t="array" aca="1" ref="N15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IF(AND(_xlpm.baseRow,ISNA(MATCH($C156,'Tree List'!$C$3:$C$601,0)),SUMPRODUCT(--ISNUMBER(SEARCH(Tables2!$C$677:$C$772,$O156)))&gt;0),
Error!$B$57,
IF(AND(_xlpm.hasDM,$F156="Remove",$H156&lt;&gt;"",OR($I156="On-site replacement",$I156="Off-site replacement",$I156="Payment In Lieu")),
Error!$B$56,
IF(AND(_xlpm.hasDM,$F156="Remove",$H156&lt;&gt;"",$I156="Relocation"),
Error!$B$66,
IF(AND(OR(_xlpm.hasCN,_xlpm.hasPH,_xlpm.hasGR),$H156&lt;&gt;"",COUNTIF(Tables!$B$132:$B$134,$H156)&gt;0,$I156="N/A (No replacement required)"),
Error!$B$62,
IF(AND(_xlpm.baseRow,$E156&lt;&gt;"",ISNA(MATCH($E156,Tables!$B$225:$B$232,0))),
Error!$B$2,
IF(AND(_xlpm.baseRow,$F156&lt;&gt;"",ISNA(MATCH($F156,Tables!$B$234:$B$235,0))),
Error!$B$24,
IF(AND(_xlpm.baseRow,_xlpm.ECA_H&gt;0,_xlpm.Shore_H&gt;0),
Error!$B$16,
IF(AND(_xlpm.baseRow,$E156&lt;&gt;"",$D156=""),
Error!$B$3,
IF(AND(_xlpm.baseRow,OR($E156="Tier 3",$E156="Tier 4"),$C156&lt;&gt;"",$D156&gt;=24,COUNTIF(Tables2!$B$166:$B$674,$C156)&gt;0),
Error!$B$44,
IF(AND(_xlpm.baseRow,OR($E156="Tier 3",$E156="Tier 4"),$C156&lt;&gt;"",$D156&lt;&gt;"",COUNTIF(Tables2!$B$73:$B$152,$C156)&gt;0,
$D156&gt;=IFERROR(INDEX(Tables2!$C$73:$C$152,MATCH($C156,Tables2!$B$73:$B$152,0)),-1)),
Error!$B$44,
IF(AND(_xlpm.baseRow,OR($E156="Tier 2",$E156="Tier 2 Grove"),$C156&lt;&gt;"",$D156&gt;=12,COUNTIF(Tables2!$B$153:$B$162,$C156)&gt;0),
Error!$B$45,
IF(AND(_xlpm.baseRow,$E156="Tier 2 Grove",$D156&lt;12),
Error!$B$41,
IF(AND(_xlpm.baseRow,$E156="Tier 2",$D156&lt;5.88),
Error!$B$40,
IF(AND(_xlpm.baseRow,OR($E156="Tier 2",$E156="Tier 2 Grove"),$C156&lt;&gt;"",$D156&lt;12,$D156&gt;=6,COUNTIF(Tables2!$B$153:$B$162,$C156)&gt;0),
Error!$B$54,
IF(AND(_xlpm.baseRow,$E156="Tier 2",COUNTIF(Tables2!$B$166:$B$674,$C156)&gt;0,$D156&lt;24),
Error!$B$54,
IF(AND(_xlpm.baseRow,$E156="Tier 3",ISNA(MATCH($C156,Tables2!$B$153:$B$162,0)),OR($D156&lt;12,$D156&gt;=24)),
Error!$B$9,
IF(AND(_xlpm.baseRow,$E156="Tier 3",COUNTIF(Tables2!$B$153:$B$162,$C156)&gt;0,$D156&lt;12),
Error!$B$46,
IF(AND(_xlpm.baseRow,$E156="Tier 4",OR($D156&lt;6,$D156&gt;=12)),
Error!$B$10,
IF(AND(_xlpm.baseRow,$E156="&lt;6in DSH for Tree Points",OR($D156&gt;=6,$D156="")),
Error!$B$8,
IF(AND(_xlpm.baseRow,$E156="Street Tree for Green Factor",$F156&lt;&gt;"",$F156&lt;&gt;"Retain"),
Error!$B$14,
IF(AND($E156="&lt;6in DSH for Tree Points",$F156="Retain",$H156&lt;&gt;"",ISNA(MATCH($H156,Tables!$B$174:$B$174,0))),
Error!$B$15,
IF(AND($E156="Street Tree for Green Factor",$F156="Retain",$H156&lt;&gt;"",$H156&lt;&gt;"Zoning: Green Factor"),
Error!$B$15,
IF(AND($E156="ECA / Shoreline Tree",$F156="Remove",$H156&lt;&gt;"",ISNA(MATCH($H156,Tables!$B$189:$B$190,0))),
Error!$B$15,
IF(AND($E156="ECA / Shoreline Tree",$F156="Retain",$H156&lt;&gt;"",ISNA(MATCH($H156,Tables!$B$184:$B$186,0))),
Error!$B$15,
IF(AND($E156="Tier 4",$F156="Remove",$H156&lt;&gt;"",ISNA(MATCH($H156,Tables!$B$171,0))),
Error!$B$15,
IF(AND($E156="Tier 4",$F156="Retain",$H156&lt;&gt;"",ISNA(MATCH($H156,Tables!$B$166:$B$168,0))),
Error!$B$15,
IF(AND($E156="Tier 3",$F156="Retain",$H156&lt;&gt;"",ISNA(MATCH($H156,Tables!$B$158:$B$160,0))),
Error!$B$15,
IF(AND($E156="Tier 3",$F156="Remove",$H156&lt;&gt;"",ISNA(MATCH($H156,Tables!$B$163,0))),
Error!$B$15,
IF(AND(OR($E156="Tier 2",$E156="Tier 2 Grove"),$F156="Remove",$H156&lt;&gt;"",ISNA(MATCH($H156,Tables!$B$153:$B$155,0))),
Error!$B$15,
IF(AND(OR($E156="Tier 2",$E156="Tier 2 Grove"),$F156="Retain",$H156&lt;&gt;"",ISNA(MATCH($H156,Tables!$B$147:$B$150,0))),
Error!$B$15,
IF(AND($E156="Tier 1",$F156="Remove",$H156&lt;&gt;"",ISNA(MATCH($H156,Tables!$B$143:$B$144,0))),
Error!$B$15,
IF(AND($E156="Tier 1",$F156="Retain",$H156&lt;&gt;"",ISNA(MATCH($H156,Tables!$B$137:$B$140,0))),
Error!$B$15,
IF(AND($E156&lt;&gt;"Tier 2",$E156&lt;&gt;"Tier 2 Grove",$E156&lt;&gt;"Tier 3",$E156&lt;&gt;"Tier 4",$H156="Zoning: Green Factor",OR($D156="",$D156&lt;6)),
Error!$B$11,
IF(AND(_xlpm.baseRow,$D156&lt;6,$E156="&lt;6in DSH for Tree Points",_xlpm.TreePoints_H=0),
Error!$B$21,
IF(AND(_xlpm.baseRow,$E156&lt;&gt;"",$D156&lt;&gt;"",$F156=""),
Error!$B$4,
IF(AND(_xlpm.baseRow,$F156="Remove",OR($E156="Tier 1",$E156="Tier 2",$E156="Tier 2 Grove"),COUNTBLANK(_xlpm.HRange)&lt;3,_xlpm.uniqueH&gt;=2),
Error!$B$48,
IF(AND(_xlpm.baseRow,$F156="Retain",OR($E156="Tier 1",$E156="Tier 2",$E156="Tier 2 Grove"),COUNTIF(_xlpm.HRange,"Tree Code: Required to Retain Tier 1-2 Tree")=0),
Error!$B$47,
IF(AND(_xlpm.baseRow,$E156&lt;&gt;"",$D156&lt;&gt;"",$F156&lt;&gt;"",COUNTBLANK(_xlpm.HRange)=4),
Error!$B$5,
IF(AND($F156="Remove",$H156&lt;&gt;"",$I156=""),
Error!$B$18,
IF(AND($E156="Tier 4",$F156="Remove",$H156="Tree Protection Code: Tier 3 or Tier 4 Allowance",$H156&lt;&gt;"",ISNA(MATCH($I156,Tables!$B$200,0))),
Error!$B$17,
IF(AND($E156="Tier 3",$F156="Remove",$H156&lt;&gt;"",$H156="Tree Protection Code: Tier 3 or Tier 4 Allowance",OR($I156="",ISNA(MATCH($I156,Tables!$B$193:$B$197,0)))),
Error!$B$17,
IF(AND(OR($E156="Tier 2",$E156="Tier 2 Grove"),$F156="Remove",$H156="Tree Protection Code: Other removal allowance or exemption",$I156&lt;&gt;"",ISNA(MATCH($I156,Tables!$B$215:$B$218,0))),
Error!$B$17,
IF(AND(OR($E156="Tier 2",$E156="Tier 2 Grove"),$F156="Remove",$H156="Tree Protection Code: Development Capacity",$I156&lt;&gt;"",ISNA(MATCH($I156,Tables!$B$193:$B$197,0))),
Error!$B$17,
IF(AND(OR($E156="Tier 2",$E156="Tier 2 Grove"),$F156="Remove",$H156="Tree Protection Code: Necessary for Construction",$I156&lt;&gt;"",ISNA(MATCH($I156,Tables!$B$193:$B$197,0))),
Error!$B$17,
IF(AND($E156="Tier 1",$F156="Remove",$H156="Tree Protection Code: Special Exception",$I156&lt;&gt;"",ISNA(MATCH($I156,Tables!$B$215:$B$218,0))),
Error!$B$17,
IF(AND($E156="Tier 1",$F156="Remove",$H156="Tree Protection Code: Other removal allowance or exemption",$I156&lt;&gt;"",ISNA(MATCH($I156,Tables!$B$215:$B$218,0))),
Error!$B$17,
IF(AND($E156="ECA / Shoreline Tree",$F156="Remove",$H156&lt;&gt;"",OR($H156="Shoreline",$H156="Environmental Critical Area (ECA)"),ISNA(MATCH($I156,Tables!$B$209:$B$212,0))),
Error!$B$17,
IF(AND(_xlpm.baseRow,$F156="Retain",$E156="ECA / Shoreline Tree",_xlpm.ECA_Short=0),
Error!$B$61,
IF(AND($F156="Remove",ISNUMBER(MATCH($E156,{"Tier 1","Tier 2","Tier 3","Tier 4","Tier 2 Grove"},0)),ISNUMBER(MATCH($I156,{"On-site replacement","Off-site replacement"},0)),$J156="",$H156&lt;&gt;""),
Error!$B$19,
IF(AND(_xlpm.baseRow,$E156&lt;&gt;"",$D156&lt;&gt;"",$F156&lt;&gt;"",COUNTBLANK($B156:$C156)&gt;0,COUNTBLANK(_xlpm.HRange)&lt;&gt;4),
Error!$B$22,
IF(AND($H156="Zoning: Tree Points",$K156&lt;&gt;"",ISNA(MATCH($K156,Tables!$B$242:$B$253,0))),
Error!$B$58,
IF(AND($H156="Zoning: Tree Points",$K156="Small",$L156&lt;&gt;"",ISNA(MATCH($L156,Tables!$C$243:$C$244,0))),
Error!$B$59,
IF(AND($H156="Zoning: Tree Points",$K156="Small/Medium",$L156&lt;&gt;"",ISNA(MATCH($L156,Tables!$C$246:$C$247,0))),
Error!$B$59,
IF(AND($H156="Zoning: Tree Points",$K156="Medium/Large",$L156&lt;&gt;"",ISNA(MATCH($L156,Tables!$C$249:$C$250,0))),
Error!$B$59,
IF(AND($H156="Zoning: Tree Points",$K156="Large",$L156&lt;&gt;"",ISNA(MATCH($L156,Tables!$C$252:$C$253,0))),
Error!$B$59,
IF(AND($F156="Retain",$H156="Zoning: Tree Points",$C156&lt;&gt;"",$D156&lt;&gt;"",OR($K156="",$L156="",$M156="")),
Error!$B$20,
""
)))))))))))))))))))))))))))))))))))))))))))))))))))))))),
Error!$B$23))</f>
        <v/>
      </c>
      <c r="O156" s="343" t="str" cm="1">
        <f t="array" aca="1" ref="O156" ca="1">IFERROR(_xlfn.LET(
    _xlpm.txt, $C156,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57" spans="1:15" x14ac:dyDescent="0.3">
      <c r="A157" s="320"/>
      <c r="B157" s="616" t="str">
        <f t="shared" si="138"/>
        <v/>
      </c>
      <c r="C157" s="617" t="str">
        <f t="shared" si="139"/>
        <v/>
      </c>
      <c r="D157" s="618" t="str">
        <f t="shared" si="140"/>
        <v/>
      </c>
      <c r="E157" s="616" t="str">
        <f t="shared" si="141"/>
        <v/>
      </c>
      <c r="F157" s="616" t="str">
        <f t="shared" si="142"/>
        <v/>
      </c>
      <c r="G157" s="619" t="str">
        <f>IF(Tree_Table1[[#This Row],[Tree Status  &amp;]]="Retain", Tables!$B$237, IF(Tree_Table1[[#This Row],[Tree Status  &amp;]]="Remove", Tables!$B$238, ""))</f>
        <v/>
      </c>
      <c r="H157" s="321"/>
      <c r="I157" s="322"/>
      <c r="J157" s="453"/>
      <c r="K157" s="323" t="str">
        <f>IFERROR(
    IF(
        AND($H157="Zoning: Tree Points", NOT(ISNUMBER(SEARCH("sp.", $C157)))),
        VLOOKUP($C157, 'Tree List'!$C$3:$F$601, 4, FALSE),
        ""
    ),
"")</f>
        <v/>
      </c>
      <c r="L157" s="324" t="str" cm="1">
        <f t="array" ref="L157">IFERROR(
IF(
    AND($H157="Zoning: Tree Points", NOT(ISNUMBER(SEARCH("sp.", $C157)))),
    _xlfn.IFS(
        (COUNTIFS('Tree List'!$C$3:$C$601,$C157,'Tree List'!$D$3:$D$601,"Coniferous")
        + COUNTIFS('Tree List'!$C$3:$C$601,$C157,'Tree List'!$D$3:$D$601,"Deciduous Conifer")) &gt; 0,
            _xlfn.IFS($K157="Small",0.5,$K157="Small/Medium",1,$K157="Medium/Large",1.4,$K157="Large",1.8),
        (COUNTIFS('Tree List'!$C$3:$C$601,$C157,'Tree List'!$D$3:$D$601,"Deciduous")
        + COUNTIFS('Tree List'!$C$3:$C$601,$C157,'Tree List'!$D$3:$D$601,"Broadleaf Evergreen")) &gt; 0,
            _xlfn.IFS($K157="Small",0.4,$K157="Small/Medium",0.8,$K157="Medium/Large",1.2,$K157="Large",1.6)
    ),
    ""
),
"")</f>
        <v/>
      </c>
      <c r="M157" s="475" t="str">
        <f t="shared" si="0"/>
        <v/>
      </c>
      <c r="N157" s="346" t="str" cm="1">
        <f t="array" aca="1" ref="N15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IF(AND(_xlpm.baseRow,ISNA(MATCH($C157,'Tree List'!$C$3:$C$601,0)),SUMPRODUCT(--ISNUMBER(SEARCH(Tables2!$C$677:$C$772,$O157)))&gt;0),
Error!$B$57,
IF(AND(_xlpm.hasDM,$F157="Remove",$H157&lt;&gt;"",OR($I157="On-site replacement",$I157="Off-site replacement",$I157="Payment In Lieu")),
Error!$B$56,
IF(AND(_xlpm.hasDM,$F157="Remove",$H157&lt;&gt;"",$I157="Relocation"),
Error!$B$66,
IF(AND(OR(_xlpm.hasCN,_xlpm.hasPH,_xlpm.hasGR),$H157&lt;&gt;"",COUNTIF(Tables!$B$132:$B$134,$H157)&gt;0,$I157="N/A (No replacement required)"),
Error!$B$62,
IF(AND(_xlpm.baseRow,$E157&lt;&gt;"",ISNA(MATCH($E157,Tables!$B$225:$B$232,0))),
Error!$B$2,
IF(AND(_xlpm.baseRow,$F157&lt;&gt;"",ISNA(MATCH($F157,Tables!$B$234:$B$235,0))),
Error!$B$24,
IF(AND(_xlpm.baseRow,_xlpm.ECA_H&gt;0,_xlpm.Shore_H&gt;0),
Error!$B$16,
IF(AND(_xlpm.baseRow,$E157&lt;&gt;"",$D157=""),
Error!$B$3,
IF(AND(_xlpm.baseRow,OR($E157="Tier 3",$E157="Tier 4"),$C157&lt;&gt;"",$D157&gt;=24,COUNTIF(Tables2!$B$166:$B$674,$C157)&gt;0),
Error!$B$44,
IF(AND(_xlpm.baseRow,OR($E157="Tier 3",$E157="Tier 4"),$C157&lt;&gt;"",$D157&lt;&gt;"",COUNTIF(Tables2!$B$73:$B$152,$C157)&gt;0,
$D157&gt;=IFERROR(INDEX(Tables2!$C$73:$C$152,MATCH($C157,Tables2!$B$73:$B$152,0)),-1)),
Error!$B$44,
IF(AND(_xlpm.baseRow,OR($E157="Tier 2",$E157="Tier 2 Grove"),$C157&lt;&gt;"",$D157&gt;=12,COUNTIF(Tables2!$B$153:$B$162,$C157)&gt;0),
Error!$B$45,
IF(AND(_xlpm.baseRow,$E157="Tier 2 Grove",$D157&lt;12),
Error!$B$41,
IF(AND(_xlpm.baseRow,$E157="Tier 2",$D157&lt;5.88),
Error!$B$40,
IF(AND(_xlpm.baseRow,OR($E157="Tier 2",$E157="Tier 2 Grove"),$C157&lt;&gt;"",$D157&lt;12,$D157&gt;=6,COUNTIF(Tables2!$B$153:$B$162,$C157)&gt;0),
Error!$B$54,
IF(AND(_xlpm.baseRow,$E157="Tier 2",COUNTIF(Tables2!$B$166:$B$674,$C157)&gt;0,$D157&lt;24),
Error!$B$54,
IF(AND(_xlpm.baseRow,$E157="Tier 3",ISNA(MATCH($C157,Tables2!$B$153:$B$162,0)),OR($D157&lt;12,$D157&gt;=24)),
Error!$B$9,
IF(AND(_xlpm.baseRow,$E157="Tier 3",COUNTIF(Tables2!$B$153:$B$162,$C157)&gt;0,$D157&lt;12),
Error!$B$46,
IF(AND(_xlpm.baseRow,$E157="Tier 4",OR($D157&lt;6,$D157&gt;=12)),
Error!$B$10,
IF(AND(_xlpm.baseRow,$E157="&lt;6in DSH for Tree Points",OR($D157&gt;=6,$D157="")),
Error!$B$8,
IF(AND(_xlpm.baseRow,$E157="Street Tree for Green Factor",$F157&lt;&gt;"",$F157&lt;&gt;"Retain"),
Error!$B$14,
IF(AND($E157="&lt;6in DSH for Tree Points",$F157="Retain",$H157&lt;&gt;"",ISNA(MATCH($H157,Tables!$B$174:$B$174,0))),
Error!$B$15,
IF(AND($E157="Street Tree for Green Factor",$F157="Retain",$H157&lt;&gt;"",$H157&lt;&gt;"Zoning: Green Factor"),
Error!$B$15,
IF(AND($E157="ECA / Shoreline Tree",$F157="Remove",$H157&lt;&gt;"",ISNA(MATCH($H157,Tables!$B$189:$B$190,0))),
Error!$B$15,
IF(AND($E157="ECA / Shoreline Tree",$F157="Retain",$H157&lt;&gt;"",ISNA(MATCH($H157,Tables!$B$184:$B$186,0))),
Error!$B$15,
IF(AND($E157="Tier 4",$F157="Remove",$H157&lt;&gt;"",ISNA(MATCH($H157,Tables!$B$171,0))),
Error!$B$15,
IF(AND($E157="Tier 4",$F157="Retain",$H157&lt;&gt;"",ISNA(MATCH($H157,Tables!$B$166:$B$168,0))),
Error!$B$15,
IF(AND($E157="Tier 3",$F157="Retain",$H157&lt;&gt;"",ISNA(MATCH($H157,Tables!$B$158:$B$160,0))),
Error!$B$15,
IF(AND($E157="Tier 3",$F157="Remove",$H157&lt;&gt;"",ISNA(MATCH($H157,Tables!$B$163,0))),
Error!$B$15,
IF(AND(OR($E157="Tier 2",$E157="Tier 2 Grove"),$F157="Remove",$H157&lt;&gt;"",ISNA(MATCH($H157,Tables!$B$153:$B$155,0))),
Error!$B$15,
IF(AND(OR($E157="Tier 2",$E157="Tier 2 Grove"),$F157="Retain",$H157&lt;&gt;"",ISNA(MATCH($H157,Tables!$B$147:$B$150,0))),
Error!$B$15,
IF(AND($E157="Tier 1",$F157="Remove",$H157&lt;&gt;"",ISNA(MATCH($H157,Tables!$B$143:$B$144,0))),
Error!$B$15,
IF(AND($E157="Tier 1",$F157="Retain",$H157&lt;&gt;"",ISNA(MATCH($H157,Tables!$B$137:$B$140,0))),
Error!$B$15,
IF(AND($E157&lt;&gt;"Tier 2",$E157&lt;&gt;"Tier 2 Grove",$E157&lt;&gt;"Tier 3",$E157&lt;&gt;"Tier 4",$H157="Zoning: Green Factor",OR($D157="",$D157&lt;6)),
Error!$B$11,
IF(AND(_xlpm.baseRow,$D157&lt;6,$E157="&lt;6in DSH for Tree Points",_xlpm.TreePoints_H=0),
Error!$B$21,
IF(AND(_xlpm.baseRow,$E157&lt;&gt;"",$D157&lt;&gt;"",$F157=""),
Error!$B$4,
IF(AND(_xlpm.baseRow,$F157="Remove",OR($E157="Tier 1",$E157="Tier 2",$E157="Tier 2 Grove"),COUNTBLANK(_xlpm.HRange)&lt;3,_xlpm.uniqueH&gt;=2),
Error!$B$48,
IF(AND(_xlpm.baseRow,$F157="Retain",OR($E157="Tier 1",$E157="Tier 2",$E157="Tier 2 Grove"),COUNTIF(_xlpm.HRange,"Tree Code: Required to Retain Tier 1-2 Tree")=0),
Error!$B$47,
IF(AND(_xlpm.baseRow,$E157&lt;&gt;"",$D157&lt;&gt;"",$F157&lt;&gt;"",COUNTBLANK(_xlpm.HRange)=4),
Error!$B$5,
IF(AND($F157="Remove",$H157&lt;&gt;"",$I157=""),
Error!$B$18,
IF(AND($E157="Tier 4",$F157="Remove",$H157="Tree Protection Code: Tier 3 or Tier 4 Allowance",$H157&lt;&gt;"",ISNA(MATCH($I157,Tables!$B$200,0))),
Error!$B$17,
IF(AND($E157="Tier 3",$F157="Remove",$H157&lt;&gt;"",$H157="Tree Protection Code: Tier 3 or Tier 4 Allowance",OR($I157="",ISNA(MATCH($I157,Tables!$B$193:$B$197,0)))),
Error!$B$17,
IF(AND(OR($E157="Tier 2",$E157="Tier 2 Grove"),$F157="Remove",$H157="Tree Protection Code: Other removal allowance or exemption",$I157&lt;&gt;"",ISNA(MATCH($I157,Tables!$B$215:$B$218,0))),
Error!$B$17,
IF(AND(OR($E157="Tier 2",$E157="Tier 2 Grove"),$F157="Remove",$H157="Tree Protection Code: Development Capacity",$I157&lt;&gt;"",ISNA(MATCH($I157,Tables!$B$193:$B$197,0))),
Error!$B$17,
IF(AND(OR($E157="Tier 2",$E157="Tier 2 Grove"),$F157="Remove",$H157="Tree Protection Code: Necessary for Construction",$I157&lt;&gt;"",ISNA(MATCH($I157,Tables!$B$193:$B$197,0))),
Error!$B$17,
IF(AND($E157="Tier 1",$F157="Remove",$H157="Tree Protection Code: Special Exception",$I157&lt;&gt;"",ISNA(MATCH($I157,Tables!$B$215:$B$218,0))),
Error!$B$17,
IF(AND($E157="Tier 1",$F157="Remove",$H157="Tree Protection Code: Other removal allowance or exemption",$I157&lt;&gt;"",ISNA(MATCH($I157,Tables!$B$215:$B$218,0))),
Error!$B$17,
IF(AND($E157="ECA / Shoreline Tree",$F157="Remove",$H157&lt;&gt;"",OR($H157="Shoreline",$H157="Environmental Critical Area (ECA)"),ISNA(MATCH($I157,Tables!$B$209:$B$212,0))),
Error!$B$17,
IF(AND(_xlpm.baseRow,$F157="Retain",$E157="ECA / Shoreline Tree",_xlpm.ECA_Short=0),
Error!$B$61,
IF(AND($F157="Remove",ISNUMBER(MATCH($E157,{"Tier 1","Tier 2","Tier 3","Tier 4","Tier 2 Grove"},0)),ISNUMBER(MATCH($I157,{"On-site replacement","Off-site replacement"},0)),$J157="",$H157&lt;&gt;""),
Error!$B$19,
IF(AND(_xlpm.baseRow,$E157&lt;&gt;"",$D157&lt;&gt;"",$F157&lt;&gt;"",COUNTBLANK($B157:$C157)&gt;0,COUNTBLANK(_xlpm.HRange)&lt;&gt;4),
Error!$B$22,
IF(AND($H157="Zoning: Tree Points",$K157&lt;&gt;"",ISNA(MATCH($K157,Tables!$B$242:$B$253,0))),
Error!$B$58,
IF(AND($H157="Zoning: Tree Points",$K157="Small",$L157&lt;&gt;"",ISNA(MATCH($L157,Tables!$C$243:$C$244,0))),
Error!$B$59,
IF(AND($H157="Zoning: Tree Points",$K157="Small/Medium",$L157&lt;&gt;"",ISNA(MATCH($L157,Tables!$C$246:$C$247,0))),
Error!$B$59,
IF(AND($H157="Zoning: Tree Points",$K157="Medium/Large",$L157&lt;&gt;"",ISNA(MATCH($L157,Tables!$C$249:$C$250,0))),
Error!$B$59,
IF(AND($H157="Zoning: Tree Points",$K157="Large",$L157&lt;&gt;"",ISNA(MATCH($L157,Tables!$C$252:$C$253,0))),
Error!$B$59,
IF(AND($F157="Retain",$H157="Zoning: Tree Points",$C157&lt;&gt;"",$D157&lt;&gt;"",OR($K157="",$L157="",$M157="")),
Error!$B$20,
""
)))))))))))))))))))))))))))))))))))))))))))))))))))))))),
Error!$B$23))</f>
        <v/>
      </c>
      <c r="O157" s="343" t="str" cm="1">
        <f t="array" aca="1" ref="O157" ca="1">IFERROR(_xlfn.LET(
    _xlpm.txt, $C157,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58" spans="1:15" ht="15" thickBot="1" x14ac:dyDescent="0.35">
      <c r="A158" s="331"/>
      <c r="B158" s="616" t="str">
        <f t="shared" si="138"/>
        <v/>
      </c>
      <c r="C158" s="617" t="str">
        <f t="shared" si="139"/>
        <v/>
      </c>
      <c r="D158" s="618" t="str">
        <f t="shared" si="140"/>
        <v/>
      </c>
      <c r="E158" s="616" t="str">
        <f t="shared" si="141"/>
        <v/>
      </c>
      <c r="F158" s="616" t="str">
        <f t="shared" si="142"/>
        <v/>
      </c>
      <c r="G158" s="619" t="str">
        <f>IF(Tree_Table1[[#This Row],[Tree Status  &amp;]]="Retain", Tables!$B$237, IF(Tree_Table1[[#This Row],[Tree Status  &amp;]]="Remove", Tables!$B$238, ""))</f>
        <v/>
      </c>
      <c r="H158" s="329"/>
      <c r="I158" s="330"/>
      <c r="J158" s="455"/>
      <c r="K158" s="327" t="str">
        <f>IFERROR(
    IF(
        AND($H158="Zoning: Tree Points", NOT(ISNUMBER(SEARCH("sp.", $C158)))),
        VLOOKUP($C158, 'Tree List'!$C$3:$F$601, 4, FALSE),
        ""
    ),
"")</f>
        <v/>
      </c>
      <c r="L158" s="328" t="str" cm="1">
        <f t="array" ref="L158">IFERROR(
IF(
    AND($H158="Zoning: Tree Points", NOT(ISNUMBER(SEARCH("sp.", $C158)))),
    _xlfn.IFS(
        (COUNTIFS('Tree List'!$C$3:$C$601,$C158,'Tree List'!$D$3:$D$601,"Coniferous")
        + COUNTIFS('Tree List'!$C$3:$C$601,$C158,'Tree List'!$D$3:$D$601,"Deciduous Conifer")) &gt; 0,
            _xlfn.IFS($K158="Small",0.5,$K158="Small/Medium",1,$K158="Medium/Large",1.4,$K158="Large",1.8),
        (COUNTIFS('Tree List'!$C$3:$C$601,$C158,'Tree List'!$D$3:$D$601,"Deciduous")
        + COUNTIFS('Tree List'!$C$3:$C$601,$C158,'Tree List'!$D$3:$D$601,"Broadleaf Evergreen")) &gt; 0,
            _xlfn.IFS($K158="Small",0.4,$K158="Small/Medium",0.8,$K158="Medium/Large",1.2,$K158="Large",1.6)
    ),
    ""
),
"")</f>
        <v/>
      </c>
      <c r="M158" s="476" t="str">
        <f t="shared" si="0"/>
        <v/>
      </c>
      <c r="N158" s="347" t="str" cm="1">
        <f t="array" aca="1" ref="N15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IF(AND(_xlpm.baseRow,ISNA(MATCH($C158,'Tree List'!$C$3:$C$601,0)),SUMPRODUCT(--ISNUMBER(SEARCH(Tables2!$C$677:$C$772,$O158)))&gt;0),
Error!$B$57,
IF(AND(_xlpm.hasDM,$F158="Remove",$H158&lt;&gt;"",OR($I158="On-site replacement",$I158="Off-site replacement",$I158="Payment In Lieu")),
Error!$B$56,
IF(AND(_xlpm.hasDM,$F158="Remove",$H158&lt;&gt;"",$I158="Relocation"),
Error!$B$66,
IF(AND(OR(_xlpm.hasCN,_xlpm.hasPH,_xlpm.hasGR),$H158&lt;&gt;"",COUNTIF(Tables!$B$132:$B$134,$H158)&gt;0,$I158="N/A (No replacement required)"),
Error!$B$62,
IF(AND(_xlpm.baseRow,$E158&lt;&gt;"",ISNA(MATCH($E158,Tables!$B$225:$B$232,0))),
Error!$B$2,
IF(AND(_xlpm.baseRow,$F158&lt;&gt;"",ISNA(MATCH($F158,Tables!$B$234:$B$235,0))),
Error!$B$24,
IF(AND(_xlpm.baseRow,_xlpm.ECA_H&gt;0,_xlpm.Shore_H&gt;0),
Error!$B$16,
IF(AND(_xlpm.baseRow,$E158&lt;&gt;"",$D158=""),
Error!$B$3,
IF(AND(_xlpm.baseRow,OR($E158="Tier 3",$E158="Tier 4"),$C158&lt;&gt;"",$D158&gt;=24,COUNTIF(Tables2!$B$166:$B$674,$C158)&gt;0),
Error!$B$44,
IF(AND(_xlpm.baseRow,OR($E158="Tier 3",$E158="Tier 4"),$C158&lt;&gt;"",$D158&lt;&gt;"",COUNTIF(Tables2!$B$73:$B$152,$C158)&gt;0,
$D158&gt;=IFERROR(INDEX(Tables2!$C$73:$C$152,MATCH($C158,Tables2!$B$73:$B$152,0)),-1)),
Error!$B$44,
IF(AND(_xlpm.baseRow,OR($E158="Tier 2",$E158="Tier 2 Grove"),$C158&lt;&gt;"",$D158&gt;=12,COUNTIF(Tables2!$B$153:$B$162,$C158)&gt;0),
Error!$B$45,
IF(AND(_xlpm.baseRow,$E158="Tier 2 Grove",$D158&lt;12),
Error!$B$41,
IF(AND(_xlpm.baseRow,$E158="Tier 2",$D158&lt;5.88),
Error!$B$40,
IF(AND(_xlpm.baseRow,OR($E158="Tier 2",$E158="Tier 2 Grove"),$C158&lt;&gt;"",$D158&lt;12,$D158&gt;=6,COUNTIF(Tables2!$B$153:$B$162,$C158)&gt;0),
Error!$B$54,
IF(AND(_xlpm.baseRow,$E158="Tier 2",COUNTIF(Tables2!$B$166:$B$674,$C158)&gt;0,$D158&lt;24),
Error!$B$54,
IF(AND(_xlpm.baseRow,$E158="Tier 3",ISNA(MATCH($C158,Tables2!$B$153:$B$162,0)),OR($D158&lt;12,$D158&gt;=24)),
Error!$B$9,
IF(AND(_xlpm.baseRow,$E158="Tier 3",COUNTIF(Tables2!$B$153:$B$162,$C158)&gt;0,$D158&lt;12),
Error!$B$46,
IF(AND(_xlpm.baseRow,$E158="Tier 4",OR($D158&lt;6,$D158&gt;=12)),
Error!$B$10,
IF(AND(_xlpm.baseRow,$E158="&lt;6in DSH for Tree Points",OR($D158&gt;=6,$D158="")),
Error!$B$8,
IF(AND(_xlpm.baseRow,$E158="Street Tree for Green Factor",$F158&lt;&gt;"",$F158&lt;&gt;"Retain"),
Error!$B$14,
IF(AND($E158="&lt;6in DSH for Tree Points",$F158="Retain",$H158&lt;&gt;"",ISNA(MATCH($H158,Tables!$B$174:$B$174,0))),
Error!$B$15,
IF(AND($E158="Street Tree for Green Factor",$F158="Retain",$H158&lt;&gt;"",$H158&lt;&gt;"Zoning: Green Factor"),
Error!$B$15,
IF(AND($E158="ECA / Shoreline Tree",$F158="Remove",$H158&lt;&gt;"",ISNA(MATCH($H158,Tables!$B$189:$B$190,0))),
Error!$B$15,
IF(AND($E158="ECA / Shoreline Tree",$F158="Retain",$H158&lt;&gt;"",ISNA(MATCH($H158,Tables!$B$184:$B$186,0))),
Error!$B$15,
IF(AND($E158="Tier 4",$F158="Remove",$H158&lt;&gt;"",ISNA(MATCH($H158,Tables!$B$171,0))),
Error!$B$15,
IF(AND($E158="Tier 4",$F158="Retain",$H158&lt;&gt;"",ISNA(MATCH($H158,Tables!$B$166:$B$168,0))),
Error!$B$15,
IF(AND($E158="Tier 3",$F158="Retain",$H158&lt;&gt;"",ISNA(MATCH($H158,Tables!$B$158:$B$160,0))),
Error!$B$15,
IF(AND($E158="Tier 3",$F158="Remove",$H158&lt;&gt;"",ISNA(MATCH($H158,Tables!$B$163,0))),
Error!$B$15,
IF(AND(OR($E158="Tier 2",$E158="Tier 2 Grove"),$F158="Remove",$H158&lt;&gt;"",ISNA(MATCH($H158,Tables!$B$153:$B$155,0))),
Error!$B$15,
IF(AND(OR($E158="Tier 2",$E158="Tier 2 Grove"),$F158="Retain",$H158&lt;&gt;"",ISNA(MATCH($H158,Tables!$B$147:$B$150,0))),
Error!$B$15,
IF(AND($E158="Tier 1",$F158="Remove",$H158&lt;&gt;"",ISNA(MATCH($H158,Tables!$B$143:$B$144,0))),
Error!$B$15,
IF(AND($E158="Tier 1",$F158="Retain",$H158&lt;&gt;"",ISNA(MATCH($H158,Tables!$B$137:$B$140,0))),
Error!$B$15,
IF(AND($E158&lt;&gt;"Tier 2",$E158&lt;&gt;"Tier 2 Grove",$E158&lt;&gt;"Tier 3",$E158&lt;&gt;"Tier 4",$H158="Zoning: Green Factor",OR($D158="",$D158&lt;6)),
Error!$B$11,
IF(AND(_xlpm.baseRow,$D158&lt;6,$E158="&lt;6in DSH for Tree Points",_xlpm.TreePoints_H=0),
Error!$B$21,
IF(AND(_xlpm.baseRow,$E158&lt;&gt;"",$D158&lt;&gt;"",$F158=""),
Error!$B$4,
IF(AND(_xlpm.baseRow,$F158="Remove",OR($E158="Tier 1",$E158="Tier 2",$E158="Tier 2 Grove"),COUNTBLANK(_xlpm.HRange)&lt;3,_xlpm.uniqueH&gt;=2),
Error!$B$48,
IF(AND(_xlpm.baseRow,$F158="Retain",OR($E158="Tier 1",$E158="Tier 2",$E158="Tier 2 Grove"),COUNTIF(_xlpm.HRange,"Tree Code: Required to Retain Tier 1-2 Tree")=0),
Error!$B$47,
IF(AND(_xlpm.baseRow,$E158&lt;&gt;"",$D158&lt;&gt;"",$F158&lt;&gt;"",COUNTBLANK(_xlpm.HRange)=4),
Error!$B$5,
IF(AND($F158="Remove",$H158&lt;&gt;"",$I158=""),
Error!$B$18,
IF(AND($E158="Tier 4",$F158="Remove",$H158="Tree Protection Code: Tier 3 or Tier 4 Allowance",$H158&lt;&gt;"",ISNA(MATCH($I158,Tables!$B$200,0))),
Error!$B$17,
IF(AND($E158="Tier 3",$F158="Remove",$H158&lt;&gt;"",$H158="Tree Protection Code: Tier 3 or Tier 4 Allowance",OR($I158="",ISNA(MATCH($I158,Tables!$B$193:$B$197,0)))),
Error!$B$17,
IF(AND(OR($E158="Tier 2",$E158="Tier 2 Grove"),$F158="Remove",$H158="Tree Protection Code: Other removal allowance or exemption",$I158&lt;&gt;"",ISNA(MATCH($I158,Tables!$B$215:$B$218,0))),
Error!$B$17,
IF(AND(OR($E158="Tier 2",$E158="Tier 2 Grove"),$F158="Remove",$H158="Tree Protection Code: Development Capacity",$I158&lt;&gt;"",ISNA(MATCH($I158,Tables!$B$193:$B$197,0))),
Error!$B$17,
IF(AND(OR($E158="Tier 2",$E158="Tier 2 Grove"),$F158="Remove",$H158="Tree Protection Code: Necessary for Construction",$I158&lt;&gt;"",ISNA(MATCH($I158,Tables!$B$193:$B$197,0))),
Error!$B$17,
IF(AND($E158="Tier 1",$F158="Remove",$H158="Tree Protection Code: Special Exception",$I158&lt;&gt;"",ISNA(MATCH($I158,Tables!$B$215:$B$218,0))),
Error!$B$17,
IF(AND($E158="Tier 1",$F158="Remove",$H158="Tree Protection Code: Other removal allowance or exemption",$I158&lt;&gt;"",ISNA(MATCH($I158,Tables!$B$215:$B$218,0))),
Error!$B$17,
IF(AND($E158="ECA / Shoreline Tree",$F158="Remove",$H158&lt;&gt;"",OR($H158="Shoreline",$H158="Environmental Critical Area (ECA)"),ISNA(MATCH($I158,Tables!$B$209:$B$212,0))),
Error!$B$17,
IF(AND(_xlpm.baseRow,$F158="Retain",$E158="ECA / Shoreline Tree",_xlpm.ECA_Short=0),
Error!$B$61,
IF(AND($F158="Remove",ISNUMBER(MATCH($E158,{"Tier 1","Tier 2","Tier 3","Tier 4","Tier 2 Grove"},0)),ISNUMBER(MATCH($I158,{"On-site replacement","Off-site replacement"},0)),$J158="",$H158&lt;&gt;""),
Error!$B$19,
IF(AND(_xlpm.baseRow,$E158&lt;&gt;"",$D158&lt;&gt;"",$F158&lt;&gt;"",COUNTBLANK($B158:$C158)&gt;0,COUNTBLANK(_xlpm.HRange)&lt;&gt;4),
Error!$B$22,
IF(AND($H158="Zoning: Tree Points",$K158&lt;&gt;"",ISNA(MATCH($K158,Tables!$B$242:$B$253,0))),
Error!$B$58,
IF(AND($H158="Zoning: Tree Points",$K158="Small",$L158&lt;&gt;"",ISNA(MATCH($L158,Tables!$C$243:$C$244,0))),
Error!$B$59,
IF(AND($H158="Zoning: Tree Points",$K158="Small/Medium",$L158&lt;&gt;"",ISNA(MATCH($L158,Tables!$C$246:$C$247,0))),
Error!$B$59,
IF(AND($H158="Zoning: Tree Points",$K158="Medium/Large",$L158&lt;&gt;"",ISNA(MATCH($L158,Tables!$C$249:$C$250,0))),
Error!$B$59,
IF(AND($H158="Zoning: Tree Points",$K158="Large",$L158&lt;&gt;"",ISNA(MATCH($L158,Tables!$C$252:$C$253,0))),
Error!$B$59,
IF(AND($F158="Retain",$H158="Zoning: Tree Points",$C158&lt;&gt;"",$D158&lt;&gt;"",OR($K158="",$L158="",$M158="")),
Error!$B$20,
""
)))))))))))))))))))))))))))))))))))))))))))))))))))))))),
Error!$B$23))</f>
        <v/>
      </c>
      <c r="O158" s="343" t="str" cm="1">
        <f t="array" aca="1" ref="O158" ca="1">IFERROR(_xlfn.LET(
    _xlpm.txt, $C158,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59" spans="1:15" ht="15" thickBot="1" x14ac:dyDescent="0.35">
      <c r="A159" s="311">
        <v>38</v>
      </c>
      <c r="B159" s="312"/>
      <c r="C159" s="313"/>
      <c r="D159" s="478"/>
      <c r="E159" s="314"/>
      <c r="F159" s="314"/>
      <c r="G159" s="315" t="str">
        <f>IF(Tree_Table1[[#This Row],[Tree Status  &amp;]]="Retain", Tables!$B$237, IF(Tree_Table1[[#This Row],[Tree Status  &amp;]]="Remove", Tables!$B$238, ""))</f>
        <v/>
      </c>
      <c r="H159" s="316"/>
      <c r="I159" s="317"/>
      <c r="J159" s="452"/>
      <c r="K159" s="318" t="str">
        <f>IFERROR(
    IF(
        AND($H159="Zoning: Tree Points", NOT(ISNUMBER(SEARCH("sp.", $C159)))),
        VLOOKUP($C159, 'Tree List'!$C$3:$F$601, 4, FALSE),
        ""
    ),
"")</f>
        <v/>
      </c>
      <c r="L159" s="319" t="str" cm="1">
        <f t="array" ref="L159">IFERROR(
IF(
    AND($H159="Zoning: Tree Points", NOT(ISNUMBER(SEARCH("sp.", $C159)))),
    _xlfn.IFS(
        (COUNTIFS('Tree List'!$C$3:$C$601,$C159,'Tree List'!$D$3:$D$601,"Coniferous")
        + COUNTIFS('Tree List'!$C$3:$C$601,$C159,'Tree List'!$D$3:$D$601,"Deciduous Conifer")) &gt; 0,
            _xlfn.IFS($K159="Small",0.5,$K159="Small/Medium",1,$K159="Medium/Large",1.4,$K159="Large",1.8),
        (COUNTIFS('Tree List'!$C$3:$C$601,$C159,'Tree List'!$D$3:$D$601,"Deciduous")
        + COUNTIFS('Tree List'!$C$3:$C$601,$C159,'Tree List'!$D$3:$D$601,"Broadleaf Evergreen")) &gt; 0,
            _xlfn.IFS($K159="Small",0.4,$K159="Small/Medium",0.8,$K159="Medium/Large",1.2,$K159="Large",1.6)
    ),
    ""
),
"")</f>
        <v/>
      </c>
      <c r="M159" s="474" t="str">
        <f t="shared" si="0"/>
        <v/>
      </c>
      <c r="N159" s="620" t="str" cm="1">
        <f t="array" aca="1" ref="N15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IF(AND(_xlpm.baseRow,ISNA(MATCH($C159,'Tree List'!$C$3:$C$601,0)),SUMPRODUCT(--ISNUMBER(SEARCH(Tables2!$C$677:$C$772,$O159)))&gt;0),
Error!$B$57,
IF(AND(_xlpm.hasDM,$F159="Remove",$H159&lt;&gt;"",OR($I159="On-site replacement",$I159="Off-site replacement",$I159="Payment In Lieu")),
Error!$B$56,
IF(AND(_xlpm.hasDM,$F159="Remove",$H159&lt;&gt;"",$I159="Relocation"),
Error!$B$66,
IF(AND(OR(_xlpm.hasCN,_xlpm.hasPH,_xlpm.hasGR),$H159&lt;&gt;"",COUNTIF(Tables!$B$132:$B$134,$H159)&gt;0,$I159="N/A (No replacement required)"),
Error!$B$62,
IF(AND(_xlpm.baseRow,$E159&lt;&gt;"",ISNA(MATCH($E159,Tables!$B$225:$B$232,0))),
Error!$B$2,
IF(AND(_xlpm.baseRow,$F159&lt;&gt;"",ISNA(MATCH($F159,Tables!$B$234:$B$235,0))),
Error!$B$24,
IF(AND(_xlpm.baseRow,_xlpm.ECA_H&gt;0,_xlpm.Shore_H&gt;0),
Error!$B$16,
IF(AND(_xlpm.baseRow,$E159&lt;&gt;"",$D159=""),
Error!$B$3,
IF(AND(_xlpm.baseRow,OR($E159="Tier 3",$E159="Tier 4"),$C159&lt;&gt;"",$D159&gt;=24,COUNTIF(Tables2!$B$166:$B$674,$C159)&gt;0),
Error!$B$44,
IF(AND(_xlpm.baseRow,OR($E159="Tier 3",$E159="Tier 4"),$C159&lt;&gt;"",$D159&lt;&gt;"",COUNTIF(Tables2!$B$73:$B$152,$C159)&gt;0,
$D159&gt;=IFERROR(INDEX(Tables2!$C$73:$C$152,MATCH($C159,Tables2!$B$73:$B$152,0)),-1)),
Error!$B$44,
IF(AND(_xlpm.baseRow,OR($E159="Tier 2",$E159="Tier 2 Grove"),$C159&lt;&gt;"",$D159&gt;=12,COUNTIF(Tables2!$B$153:$B$162,$C159)&gt;0),
Error!$B$45,
IF(AND(_xlpm.baseRow,$E159="Tier 2 Grove",$D159&lt;12),
Error!$B$41,
IF(AND(_xlpm.baseRow,$E159="Tier 2",$D159&lt;5.88),
Error!$B$40,
IF(AND(_xlpm.baseRow,OR($E159="Tier 2",$E159="Tier 2 Grove"),$C159&lt;&gt;"",$D159&lt;12,$D159&gt;=6,COUNTIF(Tables2!$B$153:$B$162,$C159)&gt;0),
Error!$B$54,
IF(AND(_xlpm.baseRow,$E159="Tier 2",COUNTIF(Tables2!$B$166:$B$674,$C159)&gt;0,$D159&lt;24),
Error!$B$54,
IF(AND(_xlpm.baseRow,$E159="Tier 3",ISNA(MATCH($C159,Tables2!$B$153:$B$162,0)),OR($D159&lt;12,$D159&gt;=24)),
Error!$B$9,
IF(AND(_xlpm.baseRow,$E159="Tier 3",COUNTIF(Tables2!$B$153:$B$162,$C159)&gt;0,$D159&lt;12),
Error!$B$46,
IF(AND(_xlpm.baseRow,$E159="Tier 4",OR($D159&lt;6,$D159&gt;=12)),
Error!$B$10,
IF(AND(_xlpm.baseRow,$E159="&lt;6in DSH for Tree Points",OR($D159&gt;=6,$D159="")),
Error!$B$8,
IF(AND(_xlpm.baseRow,$E159="Street Tree for Green Factor",$F159&lt;&gt;"",$F159&lt;&gt;"Retain"),
Error!$B$14,
IF(AND($E159="&lt;6in DSH for Tree Points",$F159="Retain",$H159&lt;&gt;"",ISNA(MATCH($H159,Tables!$B$174:$B$174,0))),
Error!$B$15,
IF(AND($E159="Street Tree for Green Factor",$F159="Retain",$H159&lt;&gt;"",$H159&lt;&gt;"Zoning: Green Factor"),
Error!$B$15,
IF(AND($E159="ECA / Shoreline Tree",$F159="Remove",$H159&lt;&gt;"",ISNA(MATCH($H159,Tables!$B$189:$B$190,0))),
Error!$B$15,
IF(AND($E159="ECA / Shoreline Tree",$F159="Retain",$H159&lt;&gt;"",ISNA(MATCH($H159,Tables!$B$184:$B$186,0))),
Error!$B$15,
IF(AND($E159="Tier 4",$F159="Remove",$H159&lt;&gt;"",ISNA(MATCH($H159,Tables!$B$171,0))),
Error!$B$15,
IF(AND($E159="Tier 4",$F159="Retain",$H159&lt;&gt;"",ISNA(MATCH($H159,Tables!$B$166:$B$168,0))),
Error!$B$15,
IF(AND($E159="Tier 3",$F159="Retain",$H159&lt;&gt;"",ISNA(MATCH($H159,Tables!$B$158:$B$160,0))),
Error!$B$15,
IF(AND($E159="Tier 3",$F159="Remove",$H159&lt;&gt;"",ISNA(MATCH($H159,Tables!$B$163,0))),
Error!$B$15,
IF(AND(OR($E159="Tier 2",$E159="Tier 2 Grove"),$F159="Remove",$H159&lt;&gt;"",ISNA(MATCH($H159,Tables!$B$153:$B$155,0))),
Error!$B$15,
IF(AND(OR($E159="Tier 2",$E159="Tier 2 Grove"),$F159="Retain",$H159&lt;&gt;"",ISNA(MATCH($H159,Tables!$B$147:$B$150,0))),
Error!$B$15,
IF(AND($E159="Tier 1",$F159="Remove",$H159&lt;&gt;"",ISNA(MATCH($H159,Tables!$B$143:$B$144,0))),
Error!$B$15,
IF(AND($E159="Tier 1",$F159="Retain",$H159&lt;&gt;"",ISNA(MATCH($H159,Tables!$B$137:$B$140,0))),
Error!$B$15,
IF(AND($E159&lt;&gt;"Tier 2",$E159&lt;&gt;"Tier 2 Grove",$E159&lt;&gt;"Tier 3",$E159&lt;&gt;"Tier 4",$H159="Zoning: Green Factor",OR($D159="",$D159&lt;6)),
Error!$B$11,
IF(AND(_xlpm.baseRow,$D159&lt;6,$E159="&lt;6in DSH for Tree Points",_xlpm.TreePoints_H=0),
Error!$B$21,
IF(AND(_xlpm.baseRow,$E159&lt;&gt;"",$D159&lt;&gt;"",$F159=""),
Error!$B$4,
IF(AND(_xlpm.baseRow,$F159="Remove",OR($E159="Tier 1",$E159="Tier 2",$E159="Tier 2 Grove"),COUNTBLANK(_xlpm.HRange)&lt;3,_xlpm.uniqueH&gt;=2),
Error!$B$48,
IF(AND(_xlpm.baseRow,$F159="Retain",OR($E159="Tier 1",$E159="Tier 2",$E159="Tier 2 Grove"),COUNTIF(_xlpm.HRange,"Tree Code: Required to Retain Tier 1-2 Tree")=0),
Error!$B$47,
IF(AND(_xlpm.baseRow,$E159&lt;&gt;"",$D159&lt;&gt;"",$F159&lt;&gt;"",COUNTBLANK(_xlpm.HRange)=4),
Error!$B$5,
IF(AND($F159="Remove",$H159&lt;&gt;"",$I159=""),
Error!$B$18,
IF(AND($E159="Tier 4",$F159="Remove",$H159="Tree Protection Code: Tier 3 or Tier 4 Allowance",$H159&lt;&gt;"",ISNA(MATCH($I159,Tables!$B$200,0))),
Error!$B$17,
IF(AND($E159="Tier 3",$F159="Remove",$H159&lt;&gt;"",$H159="Tree Protection Code: Tier 3 or Tier 4 Allowance",OR($I159="",ISNA(MATCH($I159,Tables!$B$193:$B$197,0)))),
Error!$B$17,
IF(AND(OR($E159="Tier 2",$E159="Tier 2 Grove"),$F159="Remove",$H159="Tree Protection Code: Other removal allowance or exemption",$I159&lt;&gt;"",ISNA(MATCH($I159,Tables!$B$215:$B$218,0))),
Error!$B$17,
IF(AND(OR($E159="Tier 2",$E159="Tier 2 Grove"),$F159="Remove",$H159="Tree Protection Code: Development Capacity",$I159&lt;&gt;"",ISNA(MATCH($I159,Tables!$B$193:$B$197,0))),
Error!$B$17,
IF(AND(OR($E159="Tier 2",$E159="Tier 2 Grove"),$F159="Remove",$H159="Tree Protection Code: Necessary for Construction",$I159&lt;&gt;"",ISNA(MATCH($I159,Tables!$B$193:$B$197,0))),
Error!$B$17,
IF(AND($E159="Tier 1",$F159="Remove",$H159="Tree Protection Code: Special Exception",$I159&lt;&gt;"",ISNA(MATCH($I159,Tables!$B$215:$B$218,0))),
Error!$B$17,
IF(AND($E159="Tier 1",$F159="Remove",$H159="Tree Protection Code: Other removal allowance or exemption",$I159&lt;&gt;"",ISNA(MATCH($I159,Tables!$B$215:$B$218,0))),
Error!$B$17,
IF(AND($E159="ECA / Shoreline Tree",$F159="Remove",$H159&lt;&gt;"",OR($H159="Shoreline",$H159="Environmental Critical Area (ECA)"),ISNA(MATCH($I159,Tables!$B$209:$B$212,0))),
Error!$B$17,
IF(AND(_xlpm.baseRow,$F159="Retain",$E159="ECA / Shoreline Tree",_xlpm.ECA_Short=0),
Error!$B$61,
IF(AND($F159="Remove",ISNUMBER(MATCH($E159,{"Tier 1","Tier 2","Tier 3","Tier 4","Tier 2 Grove"},0)),ISNUMBER(MATCH($I159,{"On-site replacement","Off-site replacement"},0)),$J159="",$H159&lt;&gt;""),
Error!$B$19,
IF(AND(_xlpm.baseRow,$E159&lt;&gt;"",$D159&lt;&gt;"",$F159&lt;&gt;"",COUNTBLANK($B159:$C159)&gt;0,COUNTBLANK(_xlpm.HRange)&lt;&gt;4),
Error!$B$22,
IF(AND($H159="Zoning: Tree Points",$K159&lt;&gt;"",ISNA(MATCH($K159,Tables!$B$242:$B$253,0))),
Error!$B$58,
IF(AND($H159="Zoning: Tree Points",$K159="Small",$L159&lt;&gt;"",ISNA(MATCH($L159,Tables!$C$243:$C$244,0))),
Error!$B$59,
IF(AND($H159="Zoning: Tree Points",$K159="Small/Medium",$L159&lt;&gt;"",ISNA(MATCH($L159,Tables!$C$246:$C$247,0))),
Error!$B$59,
IF(AND($H159="Zoning: Tree Points",$K159="Medium/Large",$L159&lt;&gt;"",ISNA(MATCH($L159,Tables!$C$249:$C$250,0))),
Error!$B$59,
IF(AND($H159="Zoning: Tree Points",$K159="Large",$L159&lt;&gt;"",ISNA(MATCH($L159,Tables!$C$252:$C$253,0))),
Error!$B$59,
IF(AND($F159="Retain",$H159="Zoning: Tree Points",$C159&lt;&gt;"",$D159&lt;&gt;"",OR($K159="",$L159="",$M159="")),
Error!$B$20,
""
)))))))))))))))))))))))))))))))))))))))))))))))))))))))),
Error!$B$23))</f>
        <v/>
      </c>
      <c r="O159" s="343" t="str" cm="1">
        <f t="array" aca="1" ref="O159" ca="1">IFERROR(_xlfn.LET(
    _xlpm.txt, $C159,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60" spans="1:15" x14ac:dyDescent="0.3">
      <c r="A160" s="320"/>
      <c r="B160" s="616" t="str">
        <f t="shared" ref="B160:B162" si="143">IF($B159="", "", $B159)</f>
        <v/>
      </c>
      <c r="C160" s="617" t="str">
        <f t="shared" ref="C160:C162" si="144">IF($C159="", "", $C159)</f>
        <v/>
      </c>
      <c r="D160" s="618" t="str">
        <f t="shared" ref="D160:D162" si="145">IF($D159="", "", $D159)</f>
        <v/>
      </c>
      <c r="E160" s="616" t="str">
        <f t="shared" ref="E160:E162" si="146">IF($E159="", "", $E159)</f>
        <v/>
      </c>
      <c r="F160" s="616" t="str">
        <f t="shared" ref="F160:F162" si="147">IF($F159="", "", $F159)</f>
        <v/>
      </c>
      <c r="G160" s="619" t="str">
        <f>IF(Tree_Table1[[#This Row],[Tree Status  &amp;]]="Retain", Tables!$B$237, IF(Tree_Table1[[#This Row],[Tree Status  &amp;]]="Remove", Tables!$B$238, ""))</f>
        <v/>
      </c>
      <c r="H160" s="321"/>
      <c r="I160" s="322"/>
      <c r="J160" s="453"/>
      <c r="K160" s="323" t="str">
        <f>IFERROR(
    IF(
        AND($H160="Zoning: Tree Points", NOT(ISNUMBER(SEARCH("sp.", $C160)))),
        VLOOKUP($C160, 'Tree List'!$C$3:$F$601, 4, FALSE),
        ""
    ),
"")</f>
        <v/>
      </c>
      <c r="L160" s="324" t="str" cm="1">
        <f t="array" ref="L160">IFERROR(
IF(
    AND($H160="Zoning: Tree Points", NOT(ISNUMBER(SEARCH("sp.", $C160)))),
    _xlfn.IFS(
        (COUNTIFS('Tree List'!$C$3:$C$601,$C160,'Tree List'!$D$3:$D$601,"Coniferous")
        + COUNTIFS('Tree List'!$C$3:$C$601,$C160,'Tree List'!$D$3:$D$601,"Deciduous Conifer")) &gt; 0,
            _xlfn.IFS($K160="Small",0.5,$K160="Small/Medium",1,$K160="Medium/Large",1.4,$K160="Large",1.8),
        (COUNTIFS('Tree List'!$C$3:$C$601,$C160,'Tree List'!$D$3:$D$601,"Deciduous")
        + COUNTIFS('Tree List'!$C$3:$C$601,$C160,'Tree List'!$D$3:$D$601,"Broadleaf Evergreen")) &gt; 0,
            _xlfn.IFS($K160="Small",0.4,$K160="Small/Medium",0.8,$K160="Medium/Large",1.2,$K160="Large",1.6)
    ),
    ""
),
"")</f>
        <v/>
      </c>
      <c r="M160" s="475" t="str">
        <f t="shared" si="0"/>
        <v/>
      </c>
      <c r="N160" s="346" t="str" cm="1">
        <f t="array" aca="1" ref="N16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IF(AND(_xlpm.baseRow,ISNA(MATCH($C160,'Tree List'!$C$3:$C$601,0)),SUMPRODUCT(--ISNUMBER(SEARCH(Tables2!$C$677:$C$772,$O160)))&gt;0),
Error!$B$57,
IF(AND(_xlpm.hasDM,$F160="Remove",$H160&lt;&gt;"",OR($I160="On-site replacement",$I160="Off-site replacement",$I160="Payment In Lieu")),
Error!$B$56,
IF(AND(_xlpm.hasDM,$F160="Remove",$H160&lt;&gt;"",$I160="Relocation"),
Error!$B$66,
IF(AND(OR(_xlpm.hasCN,_xlpm.hasPH,_xlpm.hasGR),$H160&lt;&gt;"",COUNTIF(Tables!$B$132:$B$134,$H160)&gt;0,$I160="N/A (No replacement required)"),
Error!$B$62,
IF(AND(_xlpm.baseRow,$E160&lt;&gt;"",ISNA(MATCH($E160,Tables!$B$225:$B$232,0))),
Error!$B$2,
IF(AND(_xlpm.baseRow,$F160&lt;&gt;"",ISNA(MATCH($F160,Tables!$B$234:$B$235,0))),
Error!$B$24,
IF(AND(_xlpm.baseRow,_xlpm.ECA_H&gt;0,_xlpm.Shore_H&gt;0),
Error!$B$16,
IF(AND(_xlpm.baseRow,$E160&lt;&gt;"",$D160=""),
Error!$B$3,
IF(AND(_xlpm.baseRow,OR($E160="Tier 3",$E160="Tier 4"),$C160&lt;&gt;"",$D160&gt;=24,COUNTIF(Tables2!$B$166:$B$674,$C160)&gt;0),
Error!$B$44,
IF(AND(_xlpm.baseRow,OR($E160="Tier 3",$E160="Tier 4"),$C160&lt;&gt;"",$D160&lt;&gt;"",COUNTIF(Tables2!$B$73:$B$152,$C160)&gt;0,
$D160&gt;=IFERROR(INDEX(Tables2!$C$73:$C$152,MATCH($C160,Tables2!$B$73:$B$152,0)),-1)),
Error!$B$44,
IF(AND(_xlpm.baseRow,OR($E160="Tier 2",$E160="Tier 2 Grove"),$C160&lt;&gt;"",$D160&gt;=12,COUNTIF(Tables2!$B$153:$B$162,$C160)&gt;0),
Error!$B$45,
IF(AND(_xlpm.baseRow,$E160="Tier 2 Grove",$D160&lt;12),
Error!$B$41,
IF(AND(_xlpm.baseRow,$E160="Tier 2",$D160&lt;5.88),
Error!$B$40,
IF(AND(_xlpm.baseRow,OR($E160="Tier 2",$E160="Tier 2 Grove"),$C160&lt;&gt;"",$D160&lt;12,$D160&gt;=6,COUNTIF(Tables2!$B$153:$B$162,$C160)&gt;0),
Error!$B$54,
IF(AND(_xlpm.baseRow,$E160="Tier 2",COUNTIF(Tables2!$B$166:$B$674,$C160)&gt;0,$D160&lt;24),
Error!$B$54,
IF(AND(_xlpm.baseRow,$E160="Tier 3",ISNA(MATCH($C160,Tables2!$B$153:$B$162,0)),OR($D160&lt;12,$D160&gt;=24)),
Error!$B$9,
IF(AND(_xlpm.baseRow,$E160="Tier 3",COUNTIF(Tables2!$B$153:$B$162,$C160)&gt;0,$D160&lt;12),
Error!$B$46,
IF(AND(_xlpm.baseRow,$E160="Tier 4",OR($D160&lt;6,$D160&gt;=12)),
Error!$B$10,
IF(AND(_xlpm.baseRow,$E160="&lt;6in DSH for Tree Points",OR($D160&gt;=6,$D160="")),
Error!$B$8,
IF(AND(_xlpm.baseRow,$E160="Street Tree for Green Factor",$F160&lt;&gt;"",$F160&lt;&gt;"Retain"),
Error!$B$14,
IF(AND($E160="&lt;6in DSH for Tree Points",$F160="Retain",$H160&lt;&gt;"",ISNA(MATCH($H160,Tables!$B$174:$B$174,0))),
Error!$B$15,
IF(AND($E160="Street Tree for Green Factor",$F160="Retain",$H160&lt;&gt;"",$H160&lt;&gt;"Zoning: Green Factor"),
Error!$B$15,
IF(AND($E160="ECA / Shoreline Tree",$F160="Remove",$H160&lt;&gt;"",ISNA(MATCH($H160,Tables!$B$189:$B$190,0))),
Error!$B$15,
IF(AND($E160="ECA / Shoreline Tree",$F160="Retain",$H160&lt;&gt;"",ISNA(MATCH($H160,Tables!$B$184:$B$186,0))),
Error!$B$15,
IF(AND($E160="Tier 4",$F160="Remove",$H160&lt;&gt;"",ISNA(MATCH($H160,Tables!$B$171,0))),
Error!$B$15,
IF(AND($E160="Tier 4",$F160="Retain",$H160&lt;&gt;"",ISNA(MATCH($H160,Tables!$B$166:$B$168,0))),
Error!$B$15,
IF(AND($E160="Tier 3",$F160="Retain",$H160&lt;&gt;"",ISNA(MATCH($H160,Tables!$B$158:$B$160,0))),
Error!$B$15,
IF(AND($E160="Tier 3",$F160="Remove",$H160&lt;&gt;"",ISNA(MATCH($H160,Tables!$B$163,0))),
Error!$B$15,
IF(AND(OR($E160="Tier 2",$E160="Tier 2 Grove"),$F160="Remove",$H160&lt;&gt;"",ISNA(MATCH($H160,Tables!$B$153:$B$155,0))),
Error!$B$15,
IF(AND(OR($E160="Tier 2",$E160="Tier 2 Grove"),$F160="Retain",$H160&lt;&gt;"",ISNA(MATCH($H160,Tables!$B$147:$B$150,0))),
Error!$B$15,
IF(AND($E160="Tier 1",$F160="Remove",$H160&lt;&gt;"",ISNA(MATCH($H160,Tables!$B$143:$B$144,0))),
Error!$B$15,
IF(AND($E160="Tier 1",$F160="Retain",$H160&lt;&gt;"",ISNA(MATCH($H160,Tables!$B$137:$B$140,0))),
Error!$B$15,
IF(AND($E160&lt;&gt;"Tier 2",$E160&lt;&gt;"Tier 2 Grove",$E160&lt;&gt;"Tier 3",$E160&lt;&gt;"Tier 4",$H160="Zoning: Green Factor",OR($D160="",$D160&lt;6)),
Error!$B$11,
IF(AND(_xlpm.baseRow,$D160&lt;6,$E160="&lt;6in DSH for Tree Points",_xlpm.TreePoints_H=0),
Error!$B$21,
IF(AND(_xlpm.baseRow,$E160&lt;&gt;"",$D160&lt;&gt;"",$F160=""),
Error!$B$4,
IF(AND(_xlpm.baseRow,$F160="Remove",OR($E160="Tier 1",$E160="Tier 2",$E160="Tier 2 Grove"),COUNTBLANK(_xlpm.HRange)&lt;3,_xlpm.uniqueH&gt;=2),
Error!$B$48,
IF(AND(_xlpm.baseRow,$F160="Retain",OR($E160="Tier 1",$E160="Tier 2",$E160="Tier 2 Grove"),COUNTIF(_xlpm.HRange,"Tree Code: Required to Retain Tier 1-2 Tree")=0),
Error!$B$47,
IF(AND(_xlpm.baseRow,$E160&lt;&gt;"",$D160&lt;&gt;"",$F160&lt;&gt;"",COUNTBLANK(_xlpm.HRange)=4),
Error!$B$5,
IF(AND($F160="Remove",$H160&lt;&gt;"",$I160=""),
Error!$B$18,
IF(AND($E160="Tier 4",$F160="Remove",$H160="Tree Protection Code: Tier 3 or Tier 4 Allowance",$H160&lt;&gt;"",ISNA(MATCH($I160,Tables!$B$200,0))),
Error!$B$17,
IF(AND($E160="Tier 3",$F160="Remove",$H160&lt;&gt;"",$H160="Tree Protection Code: Tier 3 or Tier 4 Allowance",OR($I160="",ISNA(MATCH($I160,Tables!$B$193:$B$197,0)))),
Error!$B$17,
IF(AND(OR($E160="Tier 2",$E160="Tier 2 Grove"),$F160="Remove",$H160="Tree Protection Code: Other removal allowance or exemption",$I160&lt;&gt;"",ISNA(MATCH($I160,Tables!$B$215:$B$218,0))),
Error!$B$17,
IF(AND(OR($E160="Tier 2",$E160="Tier 2 Grove"),$F160="Remove",$H160="Tree Protection Code: Development Capacity",$I160&lt;&gt;"",ISNA(MATCH($I160,Tables!$B$193:$B$197,0))),
Error!$B$17,
IF(AND(OR($E160="Tier 2",$E160="Tier 2 Grove"),$F160="Remove",$H160="Tree Protection Code: Necessary for Construction",$I160&lt;&gt;"",ISNA(MATCH($I160,Tables!$B$193:$B$197,0))),
Error!$B$17,
IF(AND($E160="Tier 1",$F160="Remove",$H160="Tree Protection Code: Special Exception",$I160&lt;&gt;"",ISNA(MATCH($I160,Tables!$B$215:$B$218,0))),
Error!$B$17,
IF(AND($E160="Tier 1",$F160="Remove",$H160="Tree Protection Code: Other removal allowance or exemption",$I160&lt;&gt;"",ISNA(MATCH($I160,Tables!$B$215:$B$218,0))),
Error!$B$17,
IF(AND($E160="ECA / Shoreline Tree",$F160="Remove",$H160&lt;&gt;"",OR($H160="Shoreline",$H160="Environmental Critical Area (ECA)"),ISNA(MATCH($I160,Tables!$B$209:$B$212,0))),
Error!$B$17,
IF(AND(_xlpm.baseRow,$F160="Retain",$E160="ECA / Shoreline Tree",_xlpm.ECA_Short=0),
Error!$B$61,
IF(AND($F160="Remove",ISNUMBER(MATCH($E160,{"Tier 1","Tier 2","Tier 3","Tier 4","Tier 2 Grove"},0)),ISNUMBER(MATCH($I160,{"On-site replacement","Off-site replacement"},0)),$J160="",$H160&lt;&gt;""),
Error!$B$19,
IF(AND(_xlpm.baseRow,$E160&lt;&gt;"",$D160&lt;&gt;"",$F160&lt;&gt;"",COUNTBLANK($B160:$C160)&gt;0,COUNTBLANK(_xlpm.HRange)&lt;&gt;4),
Error!$B$22,
IF(AND($H160="Zoning: Tree Points",$K160&lt;&gt;"",ISNA(MATCH($K160,Tables!$B$242:$B$253,0))),
Error!$B$58,
IF(AND($H160="Zoning: Tree Points",$K160="Small",$L160&lt;&gt;"",ISNA(MATCH($L160,Tables!$C$243:$C$244,0))),
Error!$B$59,
IF(AND($H160="Zoning: Tree Points",$K160="Small/Medium",$L160&lt;&gt;"",ISNA(MATCH($L160,Tables!$C$246:$C$247,0))),
Error!$B$59,
IF(AND($H160="Zoning: Tree Points",$K160="Medium/Large",$L160&lt;&gt;"",ISNA(MATCH($L160,Tables!$C$249:$C$250,0))),
Error!$B$59,
IF(AND($H160="Zoning: Tree Points",$K160="Large",$L160&lt;&gt;"",ISNA(MATCH($L160,Tables!$C$252:$C$253,0))),
Error!$B$59,
IF(AND($F160="Retain",$H160="Zoning: Tree Points",$C160&lt;&gt;"",$D160&lt;&gt;"",OR($K160="",$L160="",$M160="")),
Error!$B$20,
""
)))))))))))))))))))))))))))))))))))))))))))))))))))))))),
Error!$B$23))</f>
        <v/>
      </c>
      <c r="O160" s="343" t="str" cm="1">
        <f t="array" aca="1" ref="O160" ca="1">IFERROR(_xlfn.LET(
    _xlpm.txt, $C160,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61" spans="1:15" x14ac:dyDescent="0.3">
      <c r="A161" s="320"/>
      <c r="B161" s="616" t="str">
        <f t="shared" si="143"/>
        <v/>
      </c>
      <c r="C161" s="617" t="str">
        <f t="shared" si="144"/>
        <v/>
      </c>
      <c r="D161" s="618" t="str">
        <f t="shared" si="145"/>
        <v/>
      </c>
      <c r="E161" s="616" t="str">
        <f t="shared" si="146"/>
        <v/>
      </c>
      <c r="F161" s="616" t="str">
        <f t="shared" si="147"/>
        <v/>
      </c>
      <c r="G161" s="619" t="str">
        <f>IF(Tree_Table1[[#This Row],[Tree Status  &amp;]]="Retain", Tables!$B$237, IF(Tree_Table1[[#This Row],[Tree Status  &amp;]]="Remove", Tables!$B$238, ""))</f>
        <v/>
      </c>
      <c r="H161" s="321"/>
      <c r="I161" s="322"/>
      <c r="J161" s="453"/>
      <c r="K161" s="323" t="str">
        <f>IFERROR(
    IF(
        AND($H161="Zoning: Tree Points", NOT(ISNUMBER(SEARCH("sp.", $C161)))),
        VLOOKUP($C161, 'Tree List'!$C$3:$F$601, 4, FALSE),
        ""
    ),
"")</f>
        <v/>
      </c>
      <c r="L161" s="324" t="str" cm="1">
        <f t="array" ref="L161">IFERROR(
IF(
    AND($H161="Zoning: Tree Points", NOT(ISNUMBER(SEARCH("sp.", $C161)))),
    _xlfn.IFS(
        (COUNTIFS('Tree List'!$C$3:$C$601,$C161,'Tree List'!$D$3:$D$601,"Coniferous")
        + COUNTIFS('Tree List'!$C$3:$C$601,$C161,'Tree List'!$D$3:$D$601,"Deciduous Conifer")) &gt; 0,
            _xlfn.IFS($K161="Small",0.5,$K161="Small/Medium",1,$K161="Medium/Large",1.4,$K161="Large",1.8),
        (COUNTIFS('Tree List'!$C$3:$C$601,$C161,'Tree List'!$D$3:$D$601,"Deciduous")
        + COUNTIFS('Tree List'!$C$3:$C$601,$C161,'Tree List'!$D$3:$D$601,"Broadleaf Evergreen")) &gt; 0,
            _xlfn.IFS($K161="Small",0.4,$K161="Small/Medium",0.8,$K161="Medium/Large",1.2,$K161="Large",1.6)
    ),
    ""
),
"")</f>
        <v/>
      </c>
      <c r="M161" s="475" t="str">
        <f t="shared" si="0"/>
        <v/>
      </c>
      <c r="N161" s="346" t="str" cm="1">
        <f t="array" aca="1" ref="N16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IF(AND(_xlpm.baseRow,ISNA(MATCH($C161,'Tree List'!$C$3:$C$601,0)),SUMPRODUCT(--ISNUMBER(SEARCH(Tables2!$C$677:$C$772,$O161)))&gt;0),
Error!$B$57,
IF(AND(_xlpm.hasDM,$F161="Remove",$H161&lt;&gt;"",OR($I161="On-site replacement",$I161="Off-site replacement",$I161="Payment In Lieu")),
Error!$B$56,
IF(AND(_xlpm.hasDM,$F161="Remove",$H161&lt;&gt;"",$I161="Relocation"),
Error!$B$66,
IF(AND(OR(_xlpm.hasCN,_xlpm.hasPH,_xlpm.hasGR),$H161&lt;&gt;"",COUNTIF(Tables!$B$132:$B$134,$H161)&gt;0,$I161="N/A (No replacement required)"),
Error!$B$62,
IF(AND(_xlpm.baseRow,$E161&lt;&gt;"",ISNA(MATCH($E161,Tables!$B$225:$B$232,0))),
Error!$B$2,
IF(AND(_xlpm.baseRow,$F161&lt;&gt;"",ISNA(MATCH($F161,Tables!$B$234:$B$235,0))),
Error!$B$24,
IF(AND(_xlpm.baseRow,_xlpm.ECA_H&gt;0,_xlpm.Shore_H&gt;0),
Error!$B$16,
IF(AND(_xlpm.baseRow,$E161&lt;&gt;"",$D161=""),
Error!$B$3,
IF(AND(_xlpm.baseRow,OR($E161="Tier 3",$E161="Tier 4"),$C161&lt;&gt;"",$D161&gt;=24,COUNTIF(Tables2!$B$166:$B$674,$C161)&gt;0),
Error!$B$44,
IF(AND(_xlpm.baseRow,OR($E161="Tier 3",$E161="Tier 4"),$C161&lt;&gt;"",$D161&lt;&gt;"",COUNTIF(Tables2!$B$73:$B$152,$C161)&gt;0,
$D161&gt;=IFERROR(INDEX(Tables2!$C$73:$C$152,MATCH($C161,Tables2!$B$73:$B$152,0)),-1)),
Error!$B$44,
IF(AND(_xlpm.baseRow,OR($E161="Tier 2",$E161="Tier 2 Grove"),$C161&lt;&gt;"",$D161&gt;=12,COUNTIF(Tables2!$B$153:$B$162,$C161)&gt;0),
Error!$B$45,
IF(AND(_xlpm.baseRow,$E161="Tier 2 Grove",$D161&lt;12),
Error!$B$41,
IF(AND(_xlpm.baseRow,$E161="Tier 2",$D161&lt;5.88),
Error!$B$40,
IF(AND(_xlpm.baseRow,OR($E161="Tier 2",$E161="Tier 2 Grove"),$C161&lt;&gt;"",$D161&lt;12,$D161&gt;=6,COUNTIF(Tables2!$B$153:$B$162,$C161)&gt;0),
Error!$B$54,
IF(AND(_xlpm.baseRow,$E161="Tier 2",COUNTIF(Tables2!$B$166:$B$674,$C161)&gt;0,$D161&lt;24),
Error!$B$54,
IF(AND(_xlpm.baseRow,$E161="Tier 3",ISNA(MATCH($C161,Tables2!$B$153:$B$162,0)),OR($D161&lt;12,$D161&gt;=24)),
Error!$B$9,
IF(AND(_xlpm.baseRow,$E161="Tier 3",COUNTIF(Tables2!$B$153:$B$162,$C161)&gt;0,$D161&lt;12),
Error!$B$46,
IF(AND(_xlpm.baseRow,$E161="Tier 4",OR($D161&lt;6,$D161&gt;=12)),
Error!$B$10,
IF(AND(_xlpm.baseRow,$E161="&lt;6in DSH for Tree Points",OR($D161&gt;=6,$D161="")),
Error!$B$8,
IF(AND(_xlpm.baseRow,$E161="Street Tree for Green Factor",$F161&lt;&gt;"",$F161&lt;&gt;"Retain"),
Error!$B$14,
IF(AND($E161="&lt;6in DSH for Tree Points",$F161="Retain",$H161&lt;&gt;"",ISNA(MATCH($H161,Tables!$B$174:$B$174,0))),
Error!$B$15,
IF(AND($E161="Street Tree for Green Factor",$F161="Retain",$H161&lt;&gt;"",$H161&lt;&gt;"Zoning: Green Factor"),
Error!$B$15,
IF(AND($E161="ECA / Shoreline Tree",$F161="Remove",$H161&lt;&gt;"",ISNA(MATCH($H161,Tables!$B$189:$B$190,0))),
Error!$B$15,
IF(AND($E161="ECA / Shoreline Tree",$F161="Retain",$H161&lt;&gt;"",ISNA(MATCH($H161,Tables!$B$184:$B$186,0))),
Error!$B$15,
IF(AND($E161="Tier 4",$F161="Remove",$H161&lt;&gt;"",ISNA(MATCH($H161,Tables!$B$171,0))),
Error!$B$15,
IF(AND($E161="Tier 4",$F161="Retain",$H161&lt;&gt;"",ISNA(MATCH($H161,Tables!$B$166:$B$168,0))),
Error!$B$15,
IF(AND($E161="Tier 3",$F161="Retain",$H161&lt;&gt;"",ISNA(MATCH($H161,Tables!$B$158:$B$160,0))),
Error!$B$15,
IF(AND($E161="Tier 3",$F161="Remove",$H161&lt;&gt;"",ISNA(MATCH($H161,Tables!$B$163,0))),
Error!$B$15,
IF(AND(OR($E161="Tier 2",$E161="Tier 2 Grove"),$F161="Remove",$H161&lt;&gt;"",ISNA(MATCH($H161,Tables!$B$153:$B$155,0))),
Error!$B$15,
IF(AND(OR($E161="Tier 2",$E161="Tier 2 Grove"),$F161="Retain",$H161&lt;&gt;"",ISNA(MATCH($H161,Tables!$B$147:$B$150,0))),
Error!$B$15,
IF(AND($E161="Tier 1",$F161="Remove",$H161&lt;&gt;"",ISNA(MATCH($H161,Tables!$B$143:$B$144,0))),
Error!$B$15,
IF(AND($E161="Tier 1",$F161="Retain",$H161&lt;&gt;"",ISNA(MATCH($H161,Tables!$B$137:$B$140,0))),
Error!$B$15,
IF(AND($E161&lt;&gt;"Tier 2",$E161&lt;&gt;"Tier 2 Grove",$E161&lt;&gt;"Tier 3",$E161&lt;&gt;"Tier 4",$H161="Zoning: Green Factor",OR($D161="",$D161&lt;6)),
Error!$B$11,
IF(AND(_xlpm.baseRow,$D161&lt;6,$E161="&lt;6in DSH for Tree Points",_xlpm.TreePoints_H=0),
Error!$B$21,
IF(AND(_xlpm.baseRow,$E161&lt;&gt;"",$D161&lt;&gt;"",$F161=""),
Error!$B$4,
IF(AND(_xlpm.baseRow,$F161="Remove",OR($E161="Tier 1",$E161="Tier 2",$E161="Tier 2 Grove"),COUNTBLANK(_xlpm.HRange)&lt;3,_xlpm.uniqueH&gt;=2),
Error!$B$48,
IF(AND(_xlpm.baseRow,$F161="Retain",OR($E161="Tier 1",$E161="Tier 2",$E161="Tier 2 Grove"),COUNTIF(_xlpm.HRange,"Tree Code: Required to Retain Tier 1-2 Tree")=0),
Error!$B$47,
IF(AND(_xlpm.baseRow,$E161&lt;&gt;"",$D161&lt;&gt;"",$F161&lt;&gt;"",COUNTBLANK(_xlpm.HRange)=4),
Error!$B$5,
IF(AND($F161="Remove",$H161&lt;&gt;"",$I161=""),
Error!$B$18,
IF(AND($E161="Tier 4",$F161="Remove",$H161="Tree Protection Code: Tier 3 or Tier 4 Allowance",$H161&lt;&gt;"",ISNA(MATCH($I161,Tables!$B$200,0))),
Error!$B$17,
IF(AND($E161="Tier 3",$F161="Remove",$H161&lt;&gt;"",$H161="Tree Protection Code: Tier 3 or Tier 4 Allowance",OR($I161="",ISNA(MATCH($I161,Tables!$B$193:$B$197,0)))),
Error!$B$17,
IF(AND(OR($E161="Tier 2",$E161="Tier 2 Grove"),$F161="Remove",$H161="Tree Protection Code: Other removal allowance or exemption",$I161&lt;&gt;"",ISNA(MATCH($I161,Tables!$B$215:$B$218,0))),
Error!$B$17,
IF(AND(OR($E161="Tier 2",$E161="Tier 2 Grove"),$F161="Remove",$H161="Tree Protection Code: Development Capacity",$I161&lt;&gt;"",ISNA(MATCH($I161,Tables!$B$193:$B$197,0))),
Error!$B$17,
IF(AND(OR($E161="Tier 2",$E161="Tier 2 Grove"),$F161="Remove",$H161="Tree Protection Code: Necessary for Construction",$I161&lt;&gt;"",ISNA(MATCH($I161,Tables!$B$193:$B$197,0))),
Error!$B$17,
IF(AND($E161="Tier 1",$F161="Remove",$H161="Tree Protection Code: Special Exception",$I161&lt;&gt;"",ISNA(MATCH($I161,Tables!$B$215:$B$218,0))),
Error!$B$17,
IF(AND($E161="Tier 1",$F161="Remove",$H161="Tree Protection Code: Other removal allowance or exemption",$I161&lt;&gt;"",ISNA(MATCH($I161,Tables!$B$215:$B$218,0))),
Error!$B$17,
IF(AND($E161="ECA / Shoreline Tree",$F161="Remove",$H161&lt;&gt;"",OR($H161="Shoreline",$H161="Environmental Critical Area (ECA)"),ISNA(MATCH($I161,Tables!$B$209:$B$212,0))),
Error!$B$17,
IF(AND(_xlpm.baseRow,$F161="Retain",$E161="ECA / Shoreline Tree",_xlpm.ECA_Short=0),
Error!$B$61,
IF(AND($F161="Remove",ISNUMBER(MATCH($E161,{"Tier 1","Tier 2","Tier 3","Tier 4","Tier 2 Grove"},0)),ISNUMBER(MATCH($I161,{"On-site replacement","Off-site replacement"},0)),$J161="",$H161&lt;&gt;""),
Error!$B$19,
IF(AND(_xlpm.baseRow,$E161&lt;&gt;"",$D161&lt;&gt;"",$F161&lt;&gt;"",COUNTBLANK($B161:$C161)&gt;0,COUNTBLANK(_xlpm.HRange)&lt;&gt;4),
Error!$B$22,
IF(AND($H161="Zoning: Tree Points",$K161&lt;&gt;"",ISNA(MATCH($K161,Tables!$B$242:$B$253,0))),
Error!$B$58,
IF(AND($H161="Zoning: Tree Points",$K161="Small",$L161&lt;&gt;"",ISNA(MATCH($L161,Tables!$C$243:$C$244,0))),
Error!$B$59,
IF(AND($H161="Zoning: Tree Points",$K161="Small/Medium",$L161&lt;&gt;"",ISNA(MATCH($L161,Tables!$C$246:$C$247,0))),
Error!$B$59,
IF(AND($H161="Zoning: Tree Points",$K161="Medium/Large",$L161&lt;&gt;"",ISNA(MATCH($L161,Tables!$C$249:$C$250,0))),
Error!$B$59,
IF(AND($H161="Zoning: Tree Points",$K161="Large",$L161&lt;&gt;"",ISNA(MATCH($L161,Tables!$C$252:$C$253,0))),
Error!$B$59,
IF(AND($F161="Retain",$H161="Zoning: Tree Points",$C161&lt;&gt;"",$D161&lt;&gt;"",OR($K161="",$L161="",$M161="")),
Error!$B$20,
""
)))))))))))))))))))))))))))))))))))))))))))))))))))))))),
Error!$B$23))</f>
        <v/>
      </c>
      <c r="O161" s="343" t="str" cm="1">
        <f t="array" aca="1" ref="O161" ca="1">IFERROR(_xlfn.LET(
    _xlpm.txt, $C161,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62" spans="1:15" ht="15" thickBot="1" x14ac:dyDescent="0.35">
      <c r="A162" s="331"/>
      <c r="B162" s="616" t="str">
        <f t="shared" si="143"/>
        <v/>
      </c>
      <c r="C162" s="617" t="str">
        <f t="shared" si="144"/>
        <v/>
      </c>
      <c r="D162" s="618" t="str">
        <f t="shared" si="145"/>
        <v/>
      </c>
      <c r="E162" s="616" t="str">
        <f t="shared" si="146"/>
        <v/>
      </c>
      <c r="F162" s="616" t="str">
        <f t="shared" si="147"/>
        <v/>
      </c>
      <c r="G162" s="619" t="str">
        <f>IF(Tree_Table1[[#This Row],[Tree Status  &amp;]]="Retain", Tables!$B$237, IF(Tree_Table1[[#This Row],[Tree Status  &amp;]]="Remove", Tables!$B$238, ""))</f>
        <v/>
      </c>
      <c r="H162" s="329"/>
      <c r="I162" s="330"/>
      <c r="J162" s="455"/>
      <c r="K162" s="327" t="str">
        <f>IFERROR(
    IF(
        AND($H162="Zoning: Tree Points", NOT(ISNUMBER(SEARCH("sp.", $C162)))),
        VLOOKUP($C162, 'Tree List'!$C$3:$F$601, 4, FALSE),
        ""
    ),
"")</f>
        <v/>
      </c>
      <c r="L162" s="328" t="str" cm="1">
        <f t="array" ref="L162">IFERROR(
IF(
    AND($H162="Zoning: Tree Points", NOT(ISNUMBER(SEARCH("sp.", $C162)))),
    _xlfn.IFS(
        (COUNTIFS('Tree List'!$C$3:$C$601,$C162,'Tree List'!$D$3:$D$601,"Coniferous")
        + COUNTIFS('Tree List'!$C$3:$C$601,$C162,'Tree List'!$D$3:$D$601,"Deciduous Conifer")) &gt; 0,
            _xlfn.IFS($K162="Small",0.5,$K162="Small/Medium",1,$K162="Medium/Large",1.4,$K162="Large",1.8),
        (COUNTIFS('Tree List'!$C$3:$C$601,$C162,'Tree List'!$D$3:$D$601,"Deciduous")
        + COUNTIFS('Tree List'!$C$3:$C$601,$C162,'Tree List'!$D$3:$D$601,"Broadleaf Evergreen")) &gt; 0,
            _xlfn.IFS($K162="Small",0.4,$K162="Small/Medium",0.8,$K162="Medium/Large",1.2,$K162="Large",1.6)
    ),
    ""
),
"")</f>
        <v/>
      </c>
      <c r="M162" s="476" t="str">
        <f t="shared" si="0"/>
        <v/>
      </c>
      <c r="N162" s="347" t="str" cm="1">
        <f t="array" aca="1" ref="N16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IF(AND(_xlpm.baseRow,ISNA(MATCH($C162,'Tree List'!$C$3:$C$601,0)),SUMPRODUCT(--ISNUMBER(SEARCH(Tables2!$C$677:$C$772,$O162)))&gt;0),
Error!$B$57,
IF(AND(_xlpm.hasDM,$F162="Remove",$H162&lt;&gt;"",OR($I162="On-site replacement",$I162="Off-site replacement",$I162="Payment In Lieu")),
Error!$B$56,
IF(AND(_xlpm.hasDM,$F162="Remove",$H162&lt;&gt;"",$I162="Relocation"),
Error!$B$66,
IF(AND(OR(_xlpm.hasCN,_xlpm.hasPH,_xlpm.hasGR),$H162&lt;&gt;"",COUNTIF(Tables!$B$132:$B$134,$H162)&gt;0,$I162="N/A (No replacement required)"),
Error!$B$62,
IF(AND(_xlpm.baseRow,$E162&lt;&gt;"",ISNA(MATCH($E162,Tables!$B$225:$B$232,0))),
Error!$B$2,
IF(AND(_xlpm.baseRow,$F162&lt;&gt;"",ISNA(MATCH($F162,Tables!$B$234:$B$235,0))),
Error!$B$24,
IF(AND(_xlpm.baseRow,_xlpm.ECA_H&gt;0,_xlpm.Shore_H&gt;0),
Error!$B$16,
IF(AND(_xlpm.baseRow,$E162&lt;&gt;"",$D162=""),
Error!$B$3,
IF(AND(_xlpm.baseRow,OR($E162="Tier 3",$E162="Tier 4"),$C162&lt;&gt;"",$D162&gt;=24,COUNTIF(Tables2!$B$166:$B$674,$C162)&gt;0),
Error!$B$44,
IF(AND(_xlpm.baseRow,OR($E162="Tier 3",$E162="Tier 4"),$C162&lt;&gt;"",$D162&lt;&gt;"",COUNTIF(Tables2!$B$73:$B$152,$C162)&gt;0,
$D162&gt;=IFERROR(INDEX(Tables2!$C$73:$C$152,MATCH($C162,Tables2!$B$73:$B$152,0)),-1)),
Error!$B$44,
IF(AND(_xlpm.baseRow,OR($E162="Tier 2",$E162="Tier 2 Grove"),$C162&lt;&gt;"",$D162&gt;=12,COUNTIF(Tables2!$B$153:$B$162,$C162)&gt;0),
Error!$B$45,
IF(AND(_xlpm.baseRow,$E162="Tier 2 Grove",$D162&lt;12),
Error!$B$41,
IF(AND(_xlpm.baseRow,$E162="Tier 2",$D162&lt;5.88),
Error!$B$40,
IF(AND(_xlpm.baseRow,OR($E162="Tier 2",$E162="Tier 2 Grove"),$C162&lt;&gt;"",$D162&lt;12,$D162&gt;=6,COUNTIF(Tables2!$B$153:$B$162,$C162)&gt;0),
Error!$B$54,
IF(AND(_xlpm.baseRow,$E162="Tier 2",COUNTIF(Tables2!$B$166:$B$674,$C162)&gt;0,$D162&lt;24),
Error!$B$54,
IF(AND(_xlpm.baseRow,$E162="Tier 3",ISNA(MATCH($C162,Tables2!$B$153:$B$162,0)),OR($D162&lt;12,$D162&gt;=24)),
Error!$B$9,
IF(AND(_xlpm.baseRow,$E162="Tier 3",COUNTIF(Tables2!$B$153:$B$162,$C162)&gt;0,$D162&lt;12),
Error!$B$46,
IF(AND(_xlpm.baseRow,$E162="Tier 4",OR($D162&lt;6,$D162&gt;=12)),
Error!$B$10,
IF(AND(_xlpm.baseRow,$E162="&lt;6in DSH for Tree Points",OR($D162&gt;=6,$D162="")),
Error!$B$8,
IF(AND(_xlpm.baseRow,$E162="Street Tree for Green Factor",$F162&lt;&gt;"",$F162&lt;&gt;"Retain"),
Error!$B$14,
IF(AND($E162="&lt;6in DSH for Tree Points",$F162="Retain",$H162&lt;&gt;"",ISNA(MATCH($H162,Tables!$B$174:$B$174,0))),
Error!$B$15,
IF(AND($E162="Street Tree for Green Factor",$F162="Retain",$H162&lt;&gt;"",$H162&lt;&gt;"Zoning: Green Factor"),
Error!$B$15,
IF(AND($E162="ECA / Shoreline Tree",$F162="Remove",$H162&lt;&gt;"",ISNA(MATCH($H162,Tables!$B$189:$B$190,0))),
Error!$B$15,
IF(AND($E162="ECA / Shoreline Tree",$F162="Retain",$H162&lt;&gt;"",ISNA(MATCH($H162,Tables!$B$184:$B$186,0))),
Error!$B$15,
IF(AND($E162="Tier 4",$F162="Remove",$H162&lt;&gt;"",ISNA(MATCH($H162,Tables!$B$171,0))),
Error!$B$15,
IF(AND($E162="Tier 4",$F162="Retain",$H162&lt;&gt;"",ISNA(MATCH($H162,Tables!$B$166:$B$168,0))),
Error!$B$15,
IF(AND($E162="Tier 3",$F162="Retain",$H162&lt;&gt;"",ISNA(MATCH($H162,Tables!$B$158:$B$160,0))),
Error!$B$15,
IF(AND($E162="Tier 3",$F162="Remove",$H162&lt;&gt;"",ISNA(MATCH($H162,Tables!$B$163,0))),
Error!$B$15,
IF(AND(OR($E162="Tier 2",$E162="Tier 2 Grove"),$F162="Remove",$H162&lt;&gt;"",ISNA(MATCH($H162,Tables!$B$153:$B$155,0))),
Error!$B$15,
IF(AND(OR($E162="Tier 2",$E162="Tier 2 Grove"),$F162="Retain",$H162&lt;&gt;"",ISNA(MATCH($H162,Tables!$B$147:$B$150,0))),
Error!$B$15,
IF(AND($E162="Tier 1",$F162="Remove",$H162&lt;&gt;"",ISNA(MATCH($H162,Tables!$B$143:$B$144,0))),
Error!$B$15,
IF(AND($E162="Tier 1",$F162="Retain",$H162&lt;&gt;"",ISNA(MATCH($H162,Tables!$B$137:$B$140,0))),
Error!$B$15,
IF(AND($E162&lt;&gt;"Tier 2",$E162&lt;&gt;"Tier 2 Grove",$E162&lt;&gt;"Tier 3",$E162&lt;&gt;"Tier 4",$H162="Zoning: Green Factor",OR($D162="",$D162&lt;6)),
Error!$B$11,
IF(AND(_xlpm.baseRow,$D162&lt;6,$E162="&lt;6in DSH for Tree Points",_xlpm.TreePoints_H=0),
Error!$B$21,
IF(AND(_xlpm.baseRow,$E162&lt;&gt;"",$D162&lt;&gt;"",$F162=""),
Error!$B$4,
IF(AND(_xlpm.baseRow,$F162="Remove",OR($E162="Tier 1",$E162="Tier 2",$E162="Tier 2 Grove"),COUNTBLANK(_xlpm.HRange)&lt;3,_xlpm.uniqueH&gt;=2),
Error!$B$48,
IF(AND(_xlpm.baseRow,$F162="Retain",OR($E162="Tier 1",$E162="Tier 2",$E162="Tier 2 Grove"),COUNTIF(_xlpm.HRange,"Tree Code: Required to Retain Tier 1-2 Tree")=0),
Error!$B$47,
IF(AND(_xlpm.baseRow,$E162&lt;&gt;"",$D162&lt;&gt;"",$F162&lt;&gt;"",COUNTBLANK(_xlpm.HRange)=4),
Error!$B$5,
IF(AND($F162="Remove",$H162&lt;&gt;"",$I162=""),
Error!$B$18,
IF(AND($E162="Tier 4",$F162="Remove",$H162="Tree Protection Code: Tier 3 or Tier 4 Allowance",$H162&lt;&gt;"",ISNA(MATCH($I162,Tables!$B$200,0))),
Error!$B$17,
IF(AND($E162="Tier 3",$F162="Remove",$H162&lt;&gt;"",$H162="Tree Protection Code: Tier 3 or Tier 4 Allowance",OR($I162="",ISNA(MATCH($I162,Tables!$B$193:$B$197,0)))),
Error!$B$17,
IF(AND(OR($E162="Tier 2",$E162="Tier 2 Grove"),$F162="Remove",$H162="Tree Protection Code: Other removal allowance or exemption",$I162&lt;&gt;"",ISNA(MATCH($I162,Tables!$B$215:$B$218,0))),
Error!$B$17,
IF(AND(OR($E162="Tier 2",$E162="Tier 2 Grove"),$F162="Remove",$H162="Tree Protection Code: Development Capacity",$I162&lt;&gt;"",ISNA(MATCH($I162,Tables!$B$193:$B$197,0))),
Error!$B$17,
IF(AND(OR($E162="Tier 2",$E162="Tier 2 Grove"),$F162="Remove",$H162="Tree Protection Code: Necessary for Construction",$I162&lt;&gt;"",ISNA(MATCH($I162,Tables!$B$193:$B$197,0))),
Error!$B$17,
IF(AND($E162="Tier 1",$F162="Remove",$H162="Tree Protection Code: Special Exception",$I162&lt;&gt;"",ISNA(MATCH($I162,Tables!$B$215:$B$218,0))),
Error!$B$17,
IF(AND($E162="Tier 1",$F162="Remove",$H162="Tree Protection Code: Other removal allowance or exemption",$I162&lt;&gt;"",ISNA(MATCH($I162,Tables!$B$215:$B$218,0))),
Error!$B$17,
IF(AND($E162="ECA / Shoreline Tree",$F162="Remove",$H162&lt;&gt;"",OR($H162="Shoreline",$H162="Environmental Critical Area (ECA)"),ISNA(MATCH($I162,Tables!$B$209:$B$212,0))),
Error!$B$17,
IF(AND(_xlpm.baseRow,$F162="Retain",$E162="ECA / Shoreline Tree",_xlpm.ECA_Short=0),
Error!$B$61,
IF(AND($F162="Remove",ISNUMBER(MATCH($E162,{"Tier 1","Tier 2","Tier 3","Tier 4","Tier 2 Grove"},0)),ISNUMBER(MATCH($I162,{"On-site replacement","Off-site replacement"},0)),$J162="",$H162&lt;&gt;""),
Error!$B$19,
IF(AND(_xlpm.baseRow,$E162&lt;&gt;"",$D162&lt;&gt;"",$F162&lt;&gt;"",COUNTBLANK($B162:$C162)&gt;0,COUNTBLANK(_xlpm.HRange)&lt;&gt;4),
Error!$B$22,
IF(AND($H162="Zoning: Tree Points",$K162&lt;&gt;"",ISNA(MATCH($K162,Tables!$B$242:$B$253,0))),
Error!$B$58,
IF(AND($H162="Zoning: Tree Points",$K162="Small",$L162&lt;&gt;"",ISNA(MATCH($L162,Tables!$C$243:$C$244,0))),
Error!$B$59,
IF(AND($H162="Zoning: Tree Points",$K162="Small/Medium",$L162&lt;&gt;"",ISNA(MATCH($L162,Tables!$C$246:$C$247,0))),
Error!$B$59,
IF(AND($H162="Zoning: Tree Points",$K162="Medium/Large",$L162&lt;&gt;"",ISNA(MATCH($L162,Tables!$C$249:$C$250,0))),
Error!$B$59,
IF(AND($H162="Zoning: Tree Points",$K162="Large",$L162&lt;&gt;"",ISNA(MATCH($L162,Tables!$C$252:$C$253,0))),
Error!$B$59,
IF(AND($F162="Retain",$H162="Zoning: Tree Points",$C162&lt;&gt;"",$D162&lt;&gt;"",OR($K162="",$L162="",$M162="")),
Error!$B$20,
""
)))))))))))))))))))))))))))))))))))))))))))))))))))))))),
Error!$B$23))</f>
        <v/>
      </c>
      <c r="O162" s="343" t="str" cm="1">
        <f t="array" aca="1" ref="O162" ca="1">IFERROR(_xlfn.LET(
    _xlpm.txt, $C162,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63" spans="1:15" ht="15" thickBot="1" x14ac:dyDescent="0.35">
      <c r="A163" s="311">
        <v>39</v>
      </c>
      <c r="B163" s="312"/>
      <c r="C163" s="313"/>
      <c r="D163" s="478"/>
      <c r="E163" s="314"/>
      <c r="F163" s="314"/>
      <c r="G163" s="315" t="str">
        <f>IF(Tree_Table1[[#This Row],[Tree Status  &amp;]]="Retain", Tables!$B$237, IF(Tree_Table1[[#This Row],[Tree Status  &amp;]]="Remove", Tables!$B$238, ""))</f>
        <v/>
      </c>
      <c r="H163" s="316"/>
      <c r="I163" s="317"/>
      <c r="J163" s="452"/>
      <c r="K163" s="318" t="str">
        <f>IFERROR(
    IF(
        AND($H163="Zoning: Tree Points", NOT(ISNUMBER(SEARCH("sp.", $C163)))),
        VLOOKUP($C163, 'Tree List'!$C$3:$F$601, 4, FALSE),
        ""
    ),
"")</f>
        <v/>
      </c>
      <c r="L163" s="319" t="str" cm="1">
        <f t="array" ref="L163">IFERROR(
IF(
    AND($H163="Zoning: Tree Points", NOT(ISNUMBER(SEARCH("sp.", $C163)))),
    _xlfn.IFS(
        (COUNTIFS('Tree List'!$C$3:$C$601,$C163,'Tree List'!$D$3:$D$601,"Coniferous")
        + COUNTIFS('Tree List'!$C$3:$C$601,$C163,'Tree List'!$D$3:$D$601,"Deciduous Conifer")) &gt; 0,
            _xlfn.IFS($K163="Small",0.5,$K163="Small/Medium",1,$K163="Medium/Large",1.4,$K163="Large",1.8),
        (COUNTIFS('Tree List'!$C$3:$C$601,$C163,'Tree List'!$D$3:$D$601,"Deciduous")
        + COUNTIFS('Tree List'!$C$3:$C$601,$C163,'Tree List'!$D$3:$D$601,"Broadleaf Evergreen")) &gt; 0,
            _xlfn.IFS($K163="Small",0.4,$K163="Small/Medium",0.8,$K163="Medium/Large",1.2,$K163="Large",1.6)
    ),
    ""
),
"")</f>
        <v/>
      </c>
      <c r="M163" s="474" t="str">
        <f t="shared" si="0"/>
        <v/>
      </c>
      <c r="N163" s="620" t="str" cm="1">
        <f t="array" aca="1" ref="N16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IF(AND(_xlpm.baseRow,ISNA(MATCH($C163,'Tree List'!$C$3:$C$601,0)),SUMPRODUCT(--ISNUMBER(SEARCH(Tables2!$C$677:$C$772,$O163)))&gt;0),
Error!$B$57,
IF(AND(_xlpm.hasDM,$F163="Remove",$H163&lt;&gt;"",OR($I163="On-site replacement",$I163="Off-site replacement",$I163="Payment In Lieu")),
Error!$B$56,
IF(AND(_xlpm.hasDM,$F163="Remove",$H163&lt;&gt;"",$I163="Relocation"),
Error!$B$66,
IF(AND(OR(_xlpm.hasCN,_xlpm.hasPH,_xlpm.hasGR),$H163&lt;&gt;"",COUNTIF(Tables!$B$132:$B$134,$H163)&gt;0,$I163="N/A (No replacement required)"),
Error!$B$62,
IF(AND(_xlpm.baseRow,$E163&lt;&gt;"",ISNA(MATCH($E163,Tables!$B$225:$B$232,0))),
Error!$B$2,
IF(AND(_xlpm.baseRow,$F163&lt;&gt;"",ISNA(MATCH($F163,Tables!$B$234:$B$235,0))),
Error!$B$24,
IF(AND(_xlpm.baseRow,_xlpm.ECA_H&gt;0,_xlpm.Shore_H&gt;0),
Error!$B$16,
IF(AND(_xlpm.baseRow,$E163&lt;&gt;"",$D163=""),
Error!$B$3,
IF(AND(_xlpm.baseRow,OR($E163="Tier 3",$E163="Tier 4"),$C163&lt;&gt;"",$D163&gt;=24,COUNTIF(Tables2!$B$166:$B$674,$C163)&gt;0),
Error!$B$44,
IF(AND(_xlpm.baseRow,OR($E163="Tier 3",$E163="Tier 4"),$C163&lt;&gt;"",$D163&lt;&gt;"",COUNTIF(Tables2!$B$73:$B$152,$C163)&gt;0,
$D163&gt;=IFERROR(INDEX(Tables2!$C$73:$C$152,MATCH($C163,Tables2!$B$73:$B$152,0)),-1)),
Error!$B$44,
IF(AND(_xlpm.baseRow,OR($E163="Tier 2",$E163="Tier 2 Grove"),$C163&lt;&gt;"",$D163&gt;=12,COUNTIF(Tables2!$B$153:$B$162,$C163)&gt;0),
Error!$B$45,
IF(AND(_xlpm.baseRow,$E163="Tier 2 Grove",$D163&lt;12),
Error!$B$41,
IF(AND(_xlpm.baseRow,$E163="Tier 2",$D163&lt;5.88),
Error!$B$40,
IF(AND(_xlpm.baseRow,OR($E163="Tier 2",$E163="Tier 2 Grove"),$C163&lt;&gt;"",$D163&lt;12,$D163&gt;=6,COUNTIF(Tables2!$B$153:$B$162,$C163)&gt;0),
Error!$B$54,
IF(AND(_xlpm.baseRow,$E163="Tier 2",COUNTIF(Tables2!$B$166:$B$674,$C163)&gt;0,$D163&lt;24),
Error!$B$54,
IF(AND(_xlpm.baseRow,$E163="Tier 3",ISNA(MATCH($C163,Tables2!$B$153:$B$162,0)),OR($D163&lt;12,$D163&gt;=24)),
Error!$B$9,
IF(AND(_xlpm.baseRow,$E163="Tier 3",COUNTIF(Tables2!$B$153:$B$162,$C163)&gt;0,$D163&lt;12),
Error!$B$46,
IF(AND(_xlpm.baseRow,$E163="Tier 4",OR($D163&lt;6,$D163&gt;=12)),
Error!$B$10,
IF(AND(_xlpm.baseRow,$E163="&lt;6in DSH for Tree Points",OR($D163&gt;=6,$D163="")),
Error!$B$8,
IF(AND(_xlpm.baseRow,$E163="Street Tree for Green Factor",$F163&lt;&gt;"",$F163&lt;&gt;"Retain"),
Error!$B$14,
IF(AND($E163="&lt;6in DSH for Tree Points",$F163="Retain",$H163&lt;&gt;"",ISNA(MATCH($H163,Tables!$B$174:$B$174,0))),
Error!$B$15,
IF(AND($E163="Street Tree for Green Factor",$F163="Retain",$H163&lt;&gt;"",$H163&lt;&gt;"Zoning: Green Factor"),
Error!$B$15,
IF(AND($E163="ECA / Shoreline Tree",$F163="Remove",$H163&lt;&gt;"",ISNA(MATCH($H163,Tables!$B$189:$B$190,0))),
Error!$B$15,
IF(AND($E163="ECA / Shoreline Tree",$F163="Retain",$H163&lt;&gt;"",ISNA(MATCH($H163,Tables!$B$184:$B$186,0))),
Error!$B$15,
IF(AND($E163="Tier 4",$F163="Remove",$H163&lt;&gt;"",ISNA(MATCH($H163,Tables!$B$171,0))),
Error!$B$15,
IF(AND($E163="Tier 4",$F163="Retain",$H163&lt;&gt;"",ISNA(MATCH($H163,Tables!$B$166:$B$168,0))),
Error!$B$15,
IF(AND($E163="Tier 3",$F163="Retain",$H163&lt;&gt;"",ISNA(MATCH($H163,Tables!$B$158:$B$160,0))),
Error!$B$15,
IF(AND($E163="Tier 3",$F163="Remove",$H163&lt;&gt;"",ISNA(MATCH($H163,Tables!$B$163,0))),
Error!$B$15,
IF(AND(OR($E163="Tier 2",$E163="Tier 2 Grove"),$F163="Remove",$H163&lt;&gt;"",ISNA(MATCH($H163,Tables!$B$153:$B$155,0))),
Error!$B$15,
IF(AND(OR($E163="Tier 2",$E163="Tier 2 Grove"),$F163="Retain",$H163&lt;&gt;"",ISNA(MATCH($H163,Tables!$B$147:$B$150,0))),
Error!$B$15,
IF(AND($E163="Tier 1",$F163="Remove",$H163&lt;&gt;"",ISNA(MATCH($H163,Tables!$B$143:$B$144,0))),
Error!$B$15,
IF(AND($E163="Tier 1",$F163="Retain",$H163&lt;&gt;"",ISNA(MATCH($H163,Tables!$B$137:$B$140,0))),
Error!$B$15,
IF(AND($E163&lt;&gt;"Tier 2",$E163&lt;&gt;"Tier 2 Grove",$E163&lt;&gt;"Tier 3",$E163&lt;&gt;"Tier 4",$H163="Zoning: Green Factor",OR($D163="",$D163&lt;6)),
Error!$B$11,
IF(AND(_xlpm.baseRow,$D163&lt;6,$E163="&lt;6in DSH for Tree Points",_xlpm.TreePoints_H=0),
Error!$B$21,
IF(AND(_xlpm.baseRow,$E163&lt;&gt;"",$D163&lt;&gt;"",$F163=""),
Error!$B$4,
IF(AND(_xlpm.baseRow,$F163="Remove",OR($E163="Tier 1",$E163="Tier 2",$E163="Tier 2 Grove"),COUNTBLANK(_xlpm.HRange)&lt;3,_xlpm.uniqueH&gt;=2),
Error!$B$48,
IF(AND(_xlpm.baseRow,$F163="Retain",OR($E163="Tier 1",$E163="Tier 2",$E163="Tier 2 Grove"),COUNTIF(_xlpm.HRange,"Tree Code: Required to Retain Tier 1-2 Tree")=0),
Error!$B$47,
IF(AND(_xlpm.baseRow,$E163&lt;&gt;"",$D163&lt;&gt;"",$F163&lt;&gt;"",COUNTBLANK(_xlpm.HRange)=4),
Error!$B$5,
IF(AND($F163="Remove",$H163&lt;&gt;"",$I163=""),
Error!$B$18,
IF(AND($E163="Tier 4",$F163="Remove",$H163="Tree Protection Code: Tier 3 or Tier 4 Allowance",$H163&lt;&gt;"",ISNA(MATCH($I163,Tables!$B$200,0))),
Error!$B$17,
IF(AND($E163="Tier 3",$F163="Remove",$H163&lt;&gt;"",$H163="Tree Protection Code: Tier 3 or Tier 4 Allowance",OR($I163="",ISNA(MATCH($I163,Tables!$B$193:$B$197,0)))),
Error!$B$17,
IF(AND(OR($E163="Tier 2",$E163="Tier 2 Grove"),$F163="Remove",$H163="Tree Protection Code: Other removal allowance or exemption",$I163&lt;&gt;"",ISNA(MATCH($I163,Tables!$B$215:$B$218,0))),
Error!$B$17,
IF(AND(OR($E163="Tier 2",$E163="Tier 2 Grove"),$F163="Remove",$H163="Tree Protection Code: Development Capacity",$I163&lt;&gt;"",ISNA(MATCH($I163,Tables!$B$193:$B$197,0))),
Error!$B$17,
IF(AND(OR($E163="Tier 2",$E163="Tier 2 Grove"),$F163="Remove",$H163="Tree Protection Code: Necessary for Construction",$I163&lt;&gt;"",ISNA(MATCH($I163,Tables!$B$193:$B$197,0))),
Error!$B$17,
IF(AND($E163="Tier 1",$F163="Remove",$H163="Tree Protection Code: Special Exception",$I163&lt;&gt;"",ISNA(MATCH($I163,Tables!$B$215:$B$218,0))),
Error!$B$17,
IF(AND($E163="Tier 1",$F163="Remove",$H163="Tree Protection Code: Other removal allowance or exemption",$I163&lt;&gt;"",ISNA(MATCH($I163,Tables!$B$215:$B$218,0))),
Error!$B$17,
IF(AND($E163="ECA / Shoreline Tree",$F163="Remove",$H163&lt;&gt;"",OR($H163="Shoreline",$H163="Environmental Critical Area (ECA)"),ISNA(MATCH($I163,Tables!$B$209:$B$212,0))),
Error!$B$17,
IF(AND(_xlpm.baseRow,$F163="Retain",$E163="ECA / Shoreline Tree",_xlpm.ECA_Short=0),
Error!$B$61,
IF(AND($F163="Remove",ISNUMBER(MATCH($E163,{"Tier 1","Tier 2","Tier 3","Tier 4","Tier 2 Grove"},0)),ISNUMBER(MATCH($I163,{"On-site replacement","Off-site replacement"},0)),$J163="",$H163&lt;&gt;""),
Error!$B$19,
IF(AND(_xlpm.baseRow,$E163&lt;&gt;"",$D163&lt;&gt;"",$F163&lt;&gt;"",COUNTBLANK($B163:$C163)&gt;0,COUNTBLANK(_xlpm.HRange)&lt;&gt;4),
Error!$B$22,
IF(AND($H163="Zoning: Tree Points",$K163&lt;&gt;"",ISNA(MATCH($K163,Tables!$B$242:$B$253,0))),
Error!$B$58,
IF(AND($H163="Zoning: Tree Points",$K163="Small",$L163&lt;&gt;"",ISNA(MATCH($L163,Tables!$C$243:$C$244,0))),
Error!$B$59,
IF(AND($H163="Zoning: Tree Points",$K163="Small/Medium",$L163&lt;&gt;"",ISNA(MATCH($L163,Tables!$C$246:$C$247,0))),
Error!$B$59,
IF(AND($H163="Zoning: Tree Points",$K163="Medium/Large",$L163&lt;&gt;"",ISNA(MATCH($L163,Tables!$C$249:$C$250,0))),
Error!$B$59,
IF(AND($H163="Zoning: Tree Points",$K163="Large",$L163&lt;&gt;"",ISNA(MATCH($L163,Tables!$C$252:$C$253,0))),
Error!$B$59,
IF(AND($F163="Retain",$H163="Zoning: Tree Points",$C163&lt;&gt;"",$D163&lt;&gt;"",OR($K163="",$L163="",$M163="")),
Error!$B$20,
""
)))))))))))))))))))))))))))))))))))))))))))))))))))))))),
Error!$B$23))</f>
        <v/>
      </c>
      <c r="O163" s="343" t="str" cm="1">
        <f t="array" aca="1" ref="O163" ca="1">IFERROR(_xlfn.LET(
    _xlpm.txt, $C163,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64" spans="1:15" x14ac:dyDescent="0.3">
      <c r="A164" s="332"/>
      <c r="B164" s="616" t="str">
        <f t="shared" ref="B164:B166" si="148">IF($B163="", "", $B163)</f>
        <v/>
      </c>
      <c r="C164" s="617" t="str">
        <f t="shared" ref="C164:C166" si="149">IF($C163="", "", $C163)</f>
        <v/>
      </c>
      <c r="D164" s="618" t="str">
        <f t="shared" ref="D164:D166" si="150">IF($D163="", "", $D163)</f>
        <v/>
      </c>
      <c r="E164" s="616" t="str">
        <f t="shared" ref="E164:E166" si="151">IF($E163="", "", $E163)</f>
        <v/>
      </c>
      <c r="F164" s="616" t="str">
        <f t="shared" ref="F164:F166" si="152">IF($F163="", "", $F163)</f>
        <v/>
      </c>
      <c r="G164" s="619" t="str">
        <f>IF(Tree_Table1[[#This Row],[Tree Status  &amp;]]="Retain", Tables!$B$237, IF(Tree_Table1[[#This Row],[Tree Status  &amp;]]="Remove", Tables!$B$238, ""))</f>
        <v/>
      </c>
      <c r="H164" s="321"/>
      <c r="I164" s="322"/>
      <c r="J164" s="453"/>
      <c r="K164" s="323" t="str">
        <f>IFERROR(
    IF(
        AND($H164="Zoning: Tree Points", NOT(ISNUMBER(SEARCH("sp.", $C164)))),
        VLOOKUP($C164, 'Tree List'!$C$3:$F$601, 4, FALSE),
        ""
    ),
"")</f>
        <v/>
      </c>
      <c r="L164" s="324" t="str" cm="1">
        <f t="array" ref="L164">IFERROR(
IF(
    AND($H164="Zoning: Tree Points", NOT(ISNUMBER(SEARCH("sp.", $C164)))),
    _xlfn.IFS(
        (COUNTIFS('Tree List'!$C$3:$C$601,$C164,'Tree List'!$D$3:$D$601,"Coniferous")
        + COUNTIFS('Tree List'!$C$3:$C$601,$C164,'Tree List'!$D$3:$D$601,"Deciduous Conifer")) &gt; 0,
            _xlfn.IFS($K164="Small",0.5,$K164="Small/Medium",1,$K164="Medium/Large",1.4,$K164="Large",1.8),
        (COUNTIFS('Tree List'!$C$3:$C$601,$C164,'Tree List'!$D$3:$D$601,"Deciduous")
        + COUNTIFS('Tree List'!$C$3:$C$601,$C164,'Tree List'!$D$3:$D$601,"Broadleaf Evergreen")) &gt; 0,
            _xlfn.IFS($K164="Small",0.4,$K164="Small/Medium",0.8,$K164="Medium/Large",1.2,$K164="Large",1.6)
    ),
    ""
),
"")</f>
        <v/>
      </c>
      <c r="M164" s="475" t="str">
        <f t="shared" si="0"/>
        <v/>
      </c>
      <c r="N164" s="346" t="str" cm="1">
        <f t="array" aca="1" ref="N16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IF(AND(_xlpm.baseRow,ISNA(MATCH($C164,'Tree List'!$C$3:$C$601,0)),SUMPRODUCT(--ISNUMBER(SEARCH(Tables2!$C$677:$C$772,$O164)))&gt;0),
Error!$B$57,
IF(AND(_xlpm.hasDM,$F164="Remove",$H164&lt;&gt;"",OR($I164="On-site replacement",$I164="Off-site replacement",$I164="Payment In Lieu")),
Error!$B$56,
IF(AND(_xlpm.hasDM,$F164="Remove",$H164&lt;&gt;"",$I164="Relocation"),
Error!$B$66,
IF(AND(OR(_xlpm.hasCN,_xlpm.hasPH,_xlpm.hasGR),$H164&lt;&gt;"",COUNTIF(Tables!$B$132:$B$134,$H164)&gt;0,$I164="N/A (No replacement required)"),
Error!$B$62,
IF(AND(_xlpm.baseRow,$E164&lt;&gt;"",ISNA(MATCH($E164,Tables!$B$225:$B$232,0))),
Error!$B$2,
IF(AND(_xlpm.baseRow,$F164&lt;&gt;"",ISNA(MATCH($F164,Tables!$B$234:$B$235,0))),
Error!$B$24,
IF(AND(_xlpm.baseRow,_xlpm.ECA_H&gt;0,_xlpm.Shore_H&gt;0),
Error!$B$16,
IF(AND(_xlpm.baseRow,$E164&lt;&gt;"",$D164=""),
Error!$B$3,
IF(AND(_xlpm.baseRow,OR($E164="Tier 3",$E164="Tier 4"),$C164&lt;&gt;"",$D164&gt;=24,COUNTIF(Tables2!$B$166:$B$674,$C164)&gt;0),
Error!$B$44,
IF(AND(_xlpm.baseRow,OR($E164="Tier 3",$E164="Tier 4"),$C164&lt;&gt;"",$D164&lt;&gt;"",COUNTIF(Tables2!$B$73:$B$152,$C164)&gt;0,
$D164&gt;=IFERROR(INDEX(Tables2!$C$73:$C$152,MATCH($C164,Tables2!$B$73:$B$152,0)),-1)),
Error!$B$44,
IF(AND(_xlpm.baseRow,OR($E164="Tier 2",$E164="Tier 2 Grove"),$C164&lt;&gt;"",$D164&gt;=12,COUNTIF(Tables2!$B$153:$B$162,$C164)&gt;0),
Error!$B$45,
IF(AND(_xlpm.baseRow,$E164="Tier 2 Grove",$D164&lt;12),
Error!$B$41,
IF(AND(_xlpm.baseRow,$E164="Tier 2",$D164&lt;5.88),
Error!$B$40,
IF(AND(_xlpm.baseRow,OR($E164="Tier 2",$E164="Tier 2 Grove"),$C164&lt;&gt;"",$D164&lt;12,$D164&gt;=6,COUNTIF(Tables2!$B$153:$B$162,$C164)&gt;0),
Error!$B$54,
IF(AND(_xlpm.baseRow,$E164="Tier 2",COUNTIF(Tables2!$B$166:$B$674,$C164)&gt;0,$D164&lt;24),
Error!$B$54,
IF(AND(_xlpm.baseRow,$E164="Tier 3",ISNA(MATCH($C164,Tables2!$B$153:$B$162,0)),OR($D164&lt;12,$D164&gt;=24)),
Error!$B$9,
IF(AND(_xlpm.baseRow,$E164="Tier 3",COUNTIF(Tables2!$B$153:$B$162,$C164)&gt;0,$D164&lt;12),
Error!$B$46,
IF(AND(_xlpm.baseRow,$E164="Tier 4",OR($D164&lt;6,$D164&gt;=12)),
Error!$B$10,
IF(AND(_xlpm.baseRow,$E164="&lt;6in DSH for Tree Points",OR($D164&gt;=6,$D164="")),
Error!$B$8,
IF(AND(_xlpm.baseRow,$E164="Street Tree for Green Factor",$F164&lt;&gt;"",$F164&lt;&gt;"Retain"),
Error!$B$14,
IF(AND($E164="&lt;6in DSH for Tree Points",$F164="Retain",$H164&lt;&gt;"",ISNA(MATCH($H164,Tables!$B$174:$B$174,0))),
Error!$B$15,
IF(AND($E164="Street Tree for Green Factor",$F164="Retain",$H164&lt;&gt;"",$H164&lt;&gt;"Zoning: Green Factor"),
Error!$B$15,
IF(AND($E164="ECA / Shoreline Tree",$F164="Remove",$H164&lt;&gt;"",ISNA(MATCH($H164,Tables!$B$189:$B$190,0))),
Error!$B$15,
IF(AND($E164="ECA / Shoreline Tree",$F164="Retain",$H164&lt;&gt;"",ISNA(MATCH($H164,Tables!$B$184:$B$186,0))),
Error!$B$15,
IF(AND($E164="Tier 4",$F164="Remove",$H164&lt;&gt;"",ISNA(MATCH($H164,Tables!$B$171,0))),
Error!$B$15,
IF(AND($E164="Tier 4",$F164="Retain",$H164&lt;&gt;"",ISNA(MATCH($H164,Tables!$B$166:$B$168,0))),
Error!$B$15,
IF(AND($E164="Tier 3",$F164="Retain",$H164&lt;&gt;"",ISNA(MATCH($H164,Tables!$B$158:$B$160,0))),
Error!$B$15,
IF(AND($E164="Tier 3",$F164="Remove",$H164&lt;&gt;"",ISNA(MATCH($H164,Tables!$B$163,0))),
Error!$B$15,
IF(AND(OR($E164="Tier 2",$E164="Tier 2 Grove"),$F164="Remove",$H164&lt;&gt;"",ISNA(MATCH($H164,Tables!$B$153:$B$155,0))),
Error!$B$15,
IF(AND(OR($E164="Tier 2",$E164="Tier 2 Grove"),$F164="Retain",$H164&lt;&gt;"",ISNA(MATCH($H164,Tables!$B$147:$B$150,0))),
Error!$B$15,
IF(AND($E164="Tier 1",$F164="Remove",$H164&lt;&gt;"",ISNA(MATCH($H164,Tables!$B$143:$B$144,0))),
Error!$B$15,
IF(AND($E164="Tier 1",$F164="Retain",$H164&lt;&gt;"",ISNA(MATCH($H164,Tables!$B$137:$B$140,0))),
Error!$B$15,
IF(AND($E164&lt;&gt;"Tier 2",$E164&lt;&gt;"Tier 2 Grove",$E164&lt;&gt;"Tier 3",$E164&lt;&gt;"Tier 4",$H164="Zoning: Green Factor",OR($D164="",$D164&lt;6)),
Error!$B$11,
IF(AND(_xlpm.baseRow,$D164&lt;6,$E164="&lt;6in DSH for Tree Points",_xlpm.TreePoints_H=0),
Error!$B$21,
IF(AND(_xlpm.baseRow,$E164&lt;&gt;"",$D164&lt;&gt;"",$F164=""),
Error!$B$4,
IF(AND(_xlpm.baseRow,$F164="Remove",OR($E164="Tier 1",$E164="Tier 2",$E164="Tier 2 Grove"),COUNTBLANK(_xlpm.HRange)&lt;3,_xlpm.uniqueH&gt;=2),
Error!$B$48,
IF(AND(_xlpm.baseRow,$F164="Retain",OR($E164="Tier 1",$E164="Tier 2",$E164="Tier 2 Grove"),COUNTIF(_xlpm.HRange,"Tree Code: Required to Retain Tier 1-2 Tree")=0),
Error!$B$47,
IF(AND(_xlpm.baseRow,$E164&lt;&gt;"",$D164&lt;&gt;"",$F164&lt;&gt;"",COUNTBLANK(_xlpm.HRange)=4),
Error!$B$5,
IF(AND($F164="Remove",$H164&lt;&gt;"",$I164=""),
Error!$B$18,
IF(AND($E164="Tier 4",$F164="Remove",$H164="Tree Protection Code: Tier 3 or Tier 4 Allowance",$H164&lt;&gt;"",ISNA(MATCH($I164,Tables!$B$200,0))),
Error!$B$17,
IF(AND($E164="Tier 3",$F164="Remove",$H164&lt;&gt;"",$H164="Tree Protection Code: Tier 3 or Tier 4 Allowance",OR($I164="",ISNA(MATCH($I164,Tables!$B$193:$B$197,0)))),
Error!$B$17,
IF(AND(OR($E164="Tier 2",$E164="Tier 2 Grove"),$F164="Remove",$H164="Tree Protection Code: Other removal allowance or exemption",$I164&lt;&gt;"",ISNA(MATCH($I164,Tables!$B$215:$B$218,0))),
Error!$B$17,
IF(AND(OR($E164="Tier 2",$E164="Tier 2 Grove"),$F164="Remove",$H164="Tree Protection Code: Development Capacity",$I164&lt;&gt;"",ISNA(MATCH($I164,Tables!$B$193:$B$197,0))),
Error!$B$17,
IF(AND(OR($E164="Tier 2",$E164="Tier 2 Grove"),$F164="Remove",$H164="Tree Protection Code: Necessary for Construction",$I164&lt;&gt;"",ISNA(MATCH($I164,Tables!$B$193:$B$197,0))),
Error!$B$17,
IF(AND($E164="Tier 1",$F164="Remove",$H164="Tree Protection Code: Special Exception",$I164&lt;&gt;"",ISNA(MATCH($I164,Tables!$B$215:$B$218,0))),
Error!$B$17,
IF(AND($E164="Tier 1",$F164="Remove",$H164="Tree Protection Code: Other removal allowance or exemption",$I164&lt;&gt;"",ISNA(MATCH($I164,Tables!$B$215:$B$218,0))),
Error!$B$17,
IF(AND($E164="ECA / Shoreline Tree",$F164="Remove",$H164&lt;&gt;"",OR($H164="Shoreline",$H164="Environmental Critical Area (ECA)"),ISNA(MATCH($I164,Tables!$B$209:$B$212,0))),
Error!$B$17,
IF(AND(_xlpm.baseRow,$F164="Retain",$E164="ECA / Shoreline Tree",_xlpm.ECA_Short=0),
Error!$B$61,
IF(AND($F164="Remove",ISNUMBER(MATCH($E164,{"Tier 1","Tier 2","Tier 3","Tier 4","Tier 2 Grove"},0)),ISNUMBER(MATCH($I164,{"On-site replacement","Off-site replacement"},0)),$J164="",$H164&lt;&gt;""),
Error!$B$19,
IF(AND(_xlpm.baseRow,$E164&lt;&gt;"",$D164&lt;&gt;"",$F164&lt;&gt;"",COUNTBLANK($B164:$C164)&gt;0,COUNTBLANK(_xlpm.HRange)&lt;&gt;4),
Error!$B$22,
IF(AND($H164="Zoning: Tree Points",$K164&lt;&gt;"",ISNA(MATCH($K164,Tables!$B$242:$B$253,0))),
Error!$B$58,
IF(AND($H164="Zoning: Tree Points",$K164="Small",$L164&lt;&gt;"",ISNA(MATCH($L164,Tables!$C$243:$C$244,0))),
Error!$B$59,
IF(AND($H164="Zoning: Tree Points",$K164="Small/Medium",$L164&lt;&gt;"",ISNA(MATCH($L164,Tables!$C$246:$C$247,0))),
Error!$B$59,
IF(AND($H164="Zoning: Tree Points",$K164="Medium/Large",$L164&lt;&gt;"",ISNA(MATCH($L164,Tables!$C$249:$C$250,0))),
Error!$B$59,
IF(AND($H164="Zoning: Tree Points",$K164="Large",$L164&lt;&gt;"",ISNA(MATCH($L164,Tables!$C$252:$C$253,0))),
Error!$B$59,
IF(AND($F164="Retain",$H164="Zoning: Tree Points",$C164&lt;&gt;"",$D164&lt;&gt;"",OR($K164="",$L164="",$M164="")),
Error!$B$20,
""
)))))))))))))))))))))))))))))))))))))))))))))))))))))))),
Error!$B$23))</f>
        <v/>
      </c>
      <c r="O164" s="343" t="str" cm="1">
        <f t="array" aca="1" ref="O164" ca="1">IFERROR(_xlfn.LET(
    _xlpm.txt, $C164,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65" spans="1:15" x14ac:dyDescent="0.3">
      <c r="A165" s="332"/>
      <c r="B165" s="616" t="str">
        <f t="shared" si="148"/>
        <v/>
      </c>
      <c r="C165" s="617" t="str">
        <f t="shared" si="149"/>
        <v/>
      </c>
      <c r="D165" s="618" t="str">
        <f t="shared" si="150"/>
        <v/>
      </c>
      <c r="E165" s="616" t="str">
        <f t="shared" si="151"/>
        <v/>
      </c>
      <c r="F165" s="616" t="str">
        <f t="shared" si="152"/>
        <v/>
      </c>
      <c r="G165" s="619" t="str">
        <f>IF(Tree_Table1[[#This Row],[Tree Status  &amp;]]="Retain", Tables!$B$237, IF(Tree_Table1[[#This Row],[Tree Status  &amp;]]="Remove", Tables!$B$238, ""))</f>
        <v/>
      </c>
      <c r="H165" s="321"/>
      <c r="I165" s="322"/>
      <c r="J165" s="453"/>
      <c r="K165" s="323" t="str">
        <f>IFERROR(
    IF(
        AND($H165="Zoning: Tree Points", NOT(ISNUMBER(SEARCH("sp.", $C165)))),
        VLOOKUP($C165, 'Tree List'!$C$3:$F$601, 4, FALSE),
        ""
    ),
"")</f>
        <v/>
      </c>
      <c r="L165" s="324" t="str" cm="1">
        <f t="array" ref="L165">IFERROR(
IF(
    AND($H165="Zoning: Tree Points", NOT(ISNUMBER(SEARCH("sp.", $C165)))),
    _xlfn.IFS(
        (COUNTIFS('Tree List'!$C$3:$C$601,$C165,'Tree List'!$D$3:$D$601,"Coniferous")
        + COUNTIFS('Tree List'!$C$3:$C$601,$C165,'Tree List'!$D$3:$D$601,"Deciduous Conifer")) &gt; 0,
            _xlfn.IFS($K165="Small",0.5,$K165="Small/Medium",1,$K165="Medium/Large",1.4,$K165="Large",1.8),
        (COUNTIFS('Tree List'!$C$3:$C$601,$C165,'Tree List'!$D$3:$D$601,"Deciduous")
        + COUNTIFS('Tree List'!$C$3:$C$601,$C165,'Tree List'!$D$3:$D$601,"Broadleaf Evergreen")) &gt; 0,
            _xlfn.IFS($K165="Small",0.4,$K165="Small/Medium",0.8,$K165="Medium/Large",1.2,$K165="Large",1.6)
    ),
    ""
),
"")</f>
        <v/>
      </c>
      <c r="M165" s="475" t="str">
        <f t="shared" si="0"/>
        <v/>
      </c>
      <c r="N165" s="346" t="str" cm="1">
        <f t="array" aca="1" ref="N16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IF(AND(_xlpm.baseRow,ISNA(MATCH($C165,'Tree List'!$C$3:$C$601,0)),SUMPRODUCT(--ISNUMBER(SEARCH(Tables2!$C$677:$C$772,$O165)))&gt;0),
Error!$B$57,
IF(AND(_xlpm.hasDM,$F165="Remove",$H165&lt;&gt;"",OR($I165="On-site replacement",$I165="Off-site replacement",$I165="Payment In Lieu")),
Error!$B$56,
IF(AND(_xlpm.hasDM,$F165="Remove",$H165&lt;&gt;"",$I165="Relocation"),
Error!$B$66,
IF(AND(OR(_xlpm.hasCN,_xlpm.hasPH,_xlpm.hasGR),$H165&lt;&gt;"",COUNTIF(Tables!$B$132:$B$134,$H165)&gt;0,$I165="N/A (No replacement required)"),
Error!$B$62,
IF(AND(_xlpm.baseRow,$E165&lt;&gt;"",ISNA(MATCH($E165,Tables!$B$225:$B$232,0))),
Error!$B$2,
IF(AND(_xlpm.baseRow,$F165&lt;&gt;"",ISNA(MATCH($F165,Tables!$B$234:$B$235,0))),
Error!$B$24,
IF(AND(_xlpm.baseRow,_xlpm.ECA_H&gt;0,_xlpm.Shore_H&gt;0),
Error!$B$16,
IF(AND(_xlpm.baseRow,$E165&lt;&gt;"",$D165=""),
Error!$B$3,
IF(AND(_xlpm.baseRow,OR($E165="Tier 3",$E165="Tier 4"),$C165&lt;&gt;"",$D165&gt;=24,COUNTIF(Tables2!$B$166:$B$674,$C165)&gt;0),
Error!$B$44,
IF(AND(_xlpm.baseRow,OR($E165="Tier 3",$E165="Tier 4"),$C165&lt;&gt;"",$D165&lt;&gt;"",COUNTIF(Tables2!$B$73:$B$152,$C165)&gt;0,
$D165&gt;=IFERROR(INDEX(Tables2!$C$73:$C$152,MATCH($C165,Tables2!$B$73:$B$152,0)),-1)),
Error!$B$44,
IF(AND(_xlpm.baseRow,OR($E165="Tier 2",$E165="Tier 2 Grove"),$C165&lt;&gt;"",$D165&gt;=12,COUNTIF(Tables2!$B$153:$B$162,$C165)&gt;0),
Error!$B$45,
IF(AND(_xlpm.baseRow,$E165="Tier 2 Grove",$D165&lt;12),
Error!$B$41,
IF(AND(_xlpm.baseRow,$E165="Tier 2",$D165&lt;5.88),
Error!$B$40,
IF(AND(_xlpm.baseRow,OR($E165="Tier 2",$E165="Tier 2 Grove"),$C165&lt;&gt;"",$D165&lt;12,$D165&gt;=6,COUNTIF(Tables2!$B$153:$B$162,$C165)&gt;0),
Error!$B$54,
IF(AND(_xlpm.baseRow,$E165="Tier 2",COUNTIF(Tables2!$B$166:$B$674,$C165)&gt;0,$D165&lt;24),
Error!$B$54,
IF(AND(_xlpm.baseRow,$E165="Tier 3",ISNA(MATCH($C165,Tables2!$B$153:$B$162,0)),OR($D165&lt;12,$D165&gt;=24)),
Error!$B$9,
IF(AND(_xlpm.baseRow,$E165="Tier 3",COUNTIF(Tables2!$B$153:$B$162,$C165)&gt;0,$D165&lt;12),
Error!$B$46,
IF(AND(_xlpm.baseRow,$E165="Tier 4",OR($D165&lt;6,$D165&gt;=12)),
Error!$B$10,
IF(AND(_xlpm.baseRow,$E165="&lt;6in DSH for Tree Points",OR($D165&gt;=6,$D165="")),
Error!$B$8,
IF(AND(_xlpm.baseRow,$E165="Street Tree for Green Factor",$F165&lt;&gt;"",$F165&lt;&gt;"Retain"),
Error!$B$14,
IF(AND($E165="&lt;6in DSH for Tree Points",$F165="Retain",$H165&lt;&gt;"",ISNA(MATCH($H165,Tables!$B$174:$B$174,0))),
Error!$B$15,
IF(AND($E165="Street Tree for Green Factor",$F165="Retain",$H165&lt;&gt;"",$H165&lt;&gt;"Zoning: Green Factor"),
Error!$B$15,
IF(AND($E165="ECA / Shoreline Tree",$F165="Remove",$H165&lt;&gt;"",ISNA(MATCH($H165,Tables!$B$189:$B$190,0))),
Error!$B$15,
IF(AND($E165="ECA / Shoreline Tree",$F165="Retain",$H165&lt;&gt;"",ISNA(MATCH($H165,Tables!$B$184:$B$186,0))),
Error!$B$15,
IF(AND($E165="Tier 4",$F165="Remove",$H165&lt;&gt;"",ISNA(MATCH($H165,Tables!$B$171,0))),
Error!$B$15,
IF(AND($E165="Tier 4",$F165="Retain",$H165&lt;&gt;"",ISNA(MATCH($H165,Tables!$B$166:$B$168,0))),
Error!$B$15,
IF(AND($E165="Tier 3",$F165="Retain",$H165&lt;&gt;"",ISNA(MATCH($H165,Tables!$B$158:$B$160,0))),
Error!$B$15,
IF(AND($E165="Tier 3",$F165="Remove",$H165&lt;&gt;"",ISNA(MATCH($H165,Tables!$B$163,0))),
Error!$B$15,
IF(AND(OR($E165="Tier 2",$E165="Tier 2 Grove"),$F165="Remove",$H165&lt;&gt;"",ISNA(MATCH($H165,Tables!$B$153:$B$155,0))),
Error!$B$15,
IF(AND(OR($E165="Tier 2",$E165="Tier 2 Grove"),$F165="Retain",$H165&lt;&gt;"",ISNA(MATCH($H165,Tables!$B$147:$B$150,0))),
Error!$B$15,
IF(AND($E165="Tier 1",$F165="Remove",$H165&lt;&gt;"",ISNA(MATCH($H165,Tables!$B$143:$B$144,0))),
Error!$B$15,
IF(AND($E165="Tier 1",$F165="Retain",$H165&lt;&gt;"",ISNA(MATCH($H165,Tables!$B$137:$B$140,0))),
Error!$B$15,
IF(AND($E165&lt;&gt;"Tier 2",$E165&lt;&gt;"Tier 2 Grove",$E165&lt;&gt;"Tier 3",$E165&lt;&gt;"Tier 4",$H165="Zoning: Green Factor",OR($D165="",$D165&lt;6)),
Error!$B$11,
IF(AND(_xlpm.baseRow,$D165&lt;6,$E165="&lt;6in DSH for Tree Points",_xlpm.TreePoints_H=0),
Error!$B$21,
IF(AND(_xlpm.baseRow,$E165&lt;&gt;"",$D165&lt;&gt;"",$F165=""),
Error!$B$4,
IF(AND(_xlpm.baseRow,$F165="Remove",OR($E165="Tier 1",$E165="Tier 2",$E165="Tier 2 Grove"),COUNTBLANK(_xlpm.HRange)&lt;3,_xlpm.uniqueH&gt;=2),
Error!$B$48,
IF(AND(_xlpm.baseRow,$F165="Retain",OR($E165="Tier 1",$E165="Tier 2",$E165="Tier 2 Grove"),COUNTIF(_xlpm.HRange,"Tree Code: Required to Retain Tier 1-2 Tree")=0),
Error!$B$47,
IF(AND(_xlpm.baseRow,$E165&lt;&gt;"",$D165&lt;&gt;"",$F165&lt;&gt;"",COUNTBLANK(_xlpm.HRange)=4),
Error!$B$5,
IF(AND($F165="Remove",$H165&lt;&gt;"",$I165=""),
Error!$B$18,
IF(AND($E165="Tier 4",$F165="Remove",$H165="Tree Protection Code: Tier 3 or Tier 4 Allowance",$H165&lt;&gt;"",ISNA(MATCH($I165,Tables!$B$200,0))),
Error!$B$17,
IF(AND($E165="Tier 3",$F165="Remove",$H165&lt;&gt;"",$H165="Tree Protection Code: Tier 3 or Tier 4 Allowance",OR($I165="",ISNA(MATCH($I165,Tables!$B$193:$B$197,0)))),
Error!$B$17,
IF(AND(OR($E165="Tier 2",$E165="Tier 2 Grove"),$F165="Remove",$H165="Tree Protection Code: Other removal allowance or exemption",$I165&lt;&gt;"",ISNA(MATCH($I165,Tables!$B$215:$B$218,0))),
Error!$B$17,
IF(AND(OR($E165="Tier 2",$E165="Tier 2 Grove"),$F165="Remove",$H165="Tree Protection Code: Development Capacity",$I165&lt;&gt;"",ISNA(MATCH($I165,Tables!$B$193:$B$197,0))),
Error!$B$17,
IF(AND(OR($E165="Tier 2",$E165="Tier 2 Grove"),$F165="Remove",$H165="Tree Protection Code: Necessary for Construction",$I165&lt;&gt;"",ISNA(MATCH($I165,Tables!$B$193:$B$197,0))),
Error!$B$17,
IF(AND($E165="Tier 1",$F165="Remove",$H165="Tree Protection Code: Special Exception",$I165&lt;&gt;"",ISNA(MATCH($I165,Tables!$B$215:$B$218,0))),
Error!$B$17,
IF(AND($E165="Tier 1",$F165="Remove",$H165="Tree Protection Code: Other removal allowance or exemption",$I165&lt;&gt;"",ISNA(MATCH($I165,Tables!$B$215:$B$218,0))),
Error!$B$17,
IF(AND($E165="ECA / Shoreline Tree",$F165="Remove",$H165&lt;&gt;"",OR($H165="Shoreline",$H165="Environmental Critical Area (ECA)"),ISNA(MATCH($I165,Tables!$B$209:$B$212,0))),
Error!$B$17,
IF(AND(_xlpm.baseRow,$F165="Retain",$E165="ECA / Shoreline Tree",_xlpm.ECA_Short=0),
Error!$B$61,
IF(AND($F165="Remove",ISNUMBER(MATCH($E165,{"Tier 1","Tier 2","Tier 3","Tier 4","Tier 2 Grove"},0)),ISNUMBER(MATCH($I165,{"On-site replacement","Off-site replacement"},0)),$J165="",$H165&lt;&gt;""),
Error!$B$19,
IF(AND(_xlpm.baseRow,$E165&lt;&gt;"",$D165&lt;&gt;"",$F165&lt;&gt;"",COUNTBLANK($B165:$C165)&gt;0,COUNTBLANK(_xlpm.HRange)&lt;&gt;4),
Error!$B$22,
IF(AND($H165="Zoning: Tree Points",$K165&lt;&gt;"",ISNA(MATCH($K165,Tables!$B$242:$B$253,0))),
Error!$B$58,
IF(AND($H165="Zoning: Tree Points",$K165="Small",$L165&lt;&gt;"",ISNA(MATCH($L165,Tables!$C$243:$C$244,0))),
Error!$B$59,
IF(AND($H165="Zoning: Tree Points",$K165="Small/Medium",$L165&lt;&gt;"",ISNA(MATCH($L165,Tables!$C$246:$C$247,0))),
Error!$B$59,
IF(AND($H165="Zoning: Tree Points",$K165="Medium/Large",$L165&lt;&gt;"",ISNA(MATCH($L165,Tables!$C$249:$C$250,0))),
Error!$B$59,
IF(AND($H165="Zoning: Tree Points",$K165="Large",$L165&lt;&gt;"",ISNA(MATCH($L165,Tables!$C$252:$C$253,0))),
Error!$B$59,
IF(AND($F165="Retain",$H165="Zoning: Tree Points",$C165&lt;&gt;"",$D165&lt;&gt;"",OR($K165="",$L165="",$M165="")),
Error!$B$20,
""
)))))))))))))))))))))))))))))))))))))))))))))))))))))))),
Error!$B$23))</f>
        <v/>
      </c>
      <c r="O165" s="343" t="str" cm="1">
        <f t="array" aca="1" ref="O165" ca="1">IFERROR(_xlfn.LET(
    _xlpm.txt, $C165,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66" spans="1:15" ht="15" thickBot="1" x14ac:dyDescent="0.35">
      <c r="A166" s="333"/>
      <c r="B166" s="616" t="str">
        <f t="shared" si="148"/>
        <v/>
      </c>
      <c r="C166" s="617" t="str">
        <f t="shared" si="149"/>
        <v/>
      </c>
      <c r="D166" s="618" t="str">
        <f t="shared" si="150"/>
        <v/>
      </c>
      <c r="E166" s="616" t="str">
        <f t="shared" si="151"/>
        <v/>
      </c>
      <c r="F166" s="616" t="str">
        <f t="shared" si="152"/>
        <v/>
      </c>
      <c r="G166" s="619" t="str">
        <f>IF(Tree_Table1[[#This Row],[Tree Status  &amp;]]="Retain", Tables!$B$237, IF(Tree_Table1[[#This Row],[Tree Status  &amp;]]="Remove", Tables!$B$238, ""))</f>
        <v/>
      </c>
      <c r="H166" s="329"/>
      <c r="I166" s="330"/>
      <c r="J166" s="455"/>
      <c r="K166" s="327" t="str">
        <f>IFERROR(
    IF(
        AND($H166="Zoning: Tree Points", NOT(ISNUMBER(SEARCH("sp.", $C166)))),
        VLOOKUP($C166, 'Tree List'!$C$3:$F$601, 4, FALSE),
        ""
    ),
"")</f>
        <v/>
      </c>
      <c r="L166" s="328" t="str" cm="1">
        <f t="array" ref="L166">IFERROR(
IF(
    AND($H166="Zoning: Tree Points", NOT(ISNUMBER(SEARCH("sp.", $C166)))),
    _xlfn.IFS(
        (COUNTIFS('Tree List'!$C$3:$C$601,$C166,'Tree List'!$D$3:$D$601,"Coniferous")
        + COUNTIFS('Tree List'!$C$3:$C$601,$C166,'Tree List'!$D$3:$D$601,"Deciduous Conifer")) &gt; 0,
            _xlfn.IFS($K166="Small",0.5,$K166="Small/Medium",1,$K166="Medium/Large",1.4,$K166="Large",1.8),
        (COUNTIFS('Tree List'!$C$3:$C$601,$C166,'Tree List'!$D$3:$D$601,"Deciduous")
        + COUNTIFS('Tree List'!$C$3:$C$601,$C166,'Tree List'!$D$3:$D$601,"Broadleaf Evergreen")) &gt; 0,
            _xlfn.IFS($K166="Small",0.4,$K166="Small/Medium",0.8,$K166="Medium/Large",1.2,$K166="Large",1.6)
    ),
    ""
),
"")</f>
        <v/>
      </c>
      <c r="M166" s="476" t="str">
        <f t="shared" si="0"/>
        <v/>
      </c>
      <c r="N166" s="347" t="str" cm="1">
        <f t="array" aca="1" ref="N16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IF(AND(_xlpm.baseRow,ISNA(MATCH($C166,'Tree List'!$C$3:$C$601,0)),SUMPRODUCT(--ISNUMBER(SEARCH(Tables2!$C$677:$C$772,$O166)))&gt;0),
Error!$B$57,
IF(AND(_xlpm.hasDM,$F166="Remove",$H166&lt;&gt;"",OR($I166="On-site replacement",$I166="Off-site replacement",$I166="Payment In Lieu")),
Error!$B$56,
IF(AND(_xlpm.hasDM,$F166="Remove",$H166&lt;&gt;"",$I166="Relocation"),
Error!$B$66,
IF(AND(OR(_xlpm.hasCN,_xlpm.hasPH,_xlpm.hasGR),$H166&lt;&gt;"",COUNTIF(Tables!$B$132:$B$134,$H166)&gt;0,$I166="N/A (No replacement required)"),
Error!$B$62,
IF(AND(_xlpm.baseRow,$E166&lt;&gt;"",ISNA(MATCH($E166,Tables!$B$225:$B$232,0))),
Error!$B$2,
IF(AND(_xlpm.baseRow,$F166&lt;&gt;"",ISNA(MATCH($F166,Tables!$B$234:$B$235,0))),
Error!$B$24,
IF(AND(_xlpm.baseRow,_xlpm.ECA_H&gt;0,_xlpm.Shore_H&gt;0),
Error!$B$16,
IF(AND(_xlpm.baseRow,$E166&lt;&gt;"",$D166=""),
Error!$B$3,
IF(AND(_xlpm.baseRow,OR($E166="Tier 3",$E166="Tier 4"),$C166&lt;&gt;"",$D166&gt;=24,COUNTIF(Tables2!$B$166:$B$674,$C166)&gt;0),
Error!$B$44,
IF(AND(_xlpm.baseRow,OR($E166="Tier 3",$E166="Tier 4"),$C166&lt;&gt;"",$D166&lt;&gt;"",COUNTIF(Tables2!$B$73:$B$152,$C166)&gt;0,
$D166&gt;=IFERROR(INDEX(Tables2!$C$73:$C$152,MATCH($C166,Tables2!$B$73:$B$152,0)),-1)),
Error!$B$44,
IF(AND(_xlpm.baseRow,OR($E166="Tier 2",$E166="Tier 2 Grove"),$C166&lt;&gt;"",$D166&gt;=12,COUNTIF(Tables2!$B$153:$B$162,$C166)&gt;0),
Error!$B$45,
IF(AND(_xlpm.baseRow,$E166="Tier 2 Grove",$D166&lt;12),
Error!$B$41,
IF(AND(_xlpm.baseRow,$E166="Tier 2",$D166&lt;5.88),
Error!$B$40,
IF(AND(_xlpm.baseRow,OR($E166="Tier 2",$E166="Tier 2 Grove"),$C166&lt;&gt;"",$D166&lt;12,$D166&gt;=6,COUNTIF(Tables2!$B$153:$B$162,$C166)&gt;0),
Error!$B$54,
IF(AND(_xlpm.baseRow,$E166="Tier 2",COUNTIF(Tables2!$B$166:$B$674,$C166)&gt;0,$D166&lt;24),
Error!$B$54,
IF(AND(_xlpm.baseRow,$E166="Tier 3",ISNA(MATCH($C166,Tables2!$B$153:$B$162,0)),OR($D166&lt;12,$D166&gt;=24)),
Error!$B$9,
IF(AND(_xlpm.baseRow,$E166="Tier 3",COUNTIF(Tables2!$B$153:$B$162,$C166)&gt;0,$D166&lt;12),
Error!$B$46,
IF(AND(_xlpm.baseRow,$E166="Tier 4",OR($D166&lt;6,$D166&gt;=12)),
Error!$B$10,
IF(AND(_xlpm.baseRow,$E166="&lt;6in DSH for Tree Points",OR($D166&gt;=6,$D166="")),
Error!$B$8,
IF(AND(_xlpm.baseRow,$E166="Street Tree for Green Factor",$F166&lt;&gt;"",$F166&lt;&gt;"Retain"),
Error!$B$14,
IF(AND($E166="&lt;6in DSH for Tree Points",$F166="Retain",$H166&lt;&gt;"",ISNA(MATCH($H166,Tables!$B$174:$B$174,0))),
Error!$B$15,
IF(AND($E166="Street Tree for Green Factor",$F166="Retain",$H166&lt;&gt;"",$H166&lt;&gt;"Zoning: Green Factor"),
Error!$B$15,
IF(AND($E166="ECA / Shoreline Tree",$F166="Remove",$H166&lt;&gt;"",ISNA(MATCH($H166,Tables!$B$189:$B$190,0))),
Error!$B$15,
IF(AND($E166="ECA / Shoreline Tree",$F166="Retain",$H166&lt;&gt;"",ISNA(MATCH($H166,Tables!$B$184:$B$186,0))),
Error!$B$15,
IF(AND($E166="Tier 4",$F166="Remove",$H166&lt;&gt;"",ISNA(MATCH($H166,Tables!$B$171,0))),
Error!$B$15,
IF(AND($E166="Tier 4",$F166="Retain",$H166&lt;&gt;"",ISNA(MATCH($H166,Tables!$B$166:$B$168,0))),
Error!$B$15,
IF(AND($E166="Tier 3",$F166="Retain",$H166&lt;&gt;"",ISNA(MATCH($H166,Tables!$B$158:$B$160,0))),
Error!$B$15,
IF(AND($E166="Tier 3",$F166="Remove",$H166&lt;&gt;"",ISNA(MATCH($H166,Tables!$B$163,0))),
Error!$B$15,
IF(AND(OR($E166="Tier 2",$E166="Tier 2 Grove"),$F166="Remove",$H166&lt;&gt;"",ISNA(MATCH($H166,Tables!$B$153:$B$155,0))),
Error!$B$15,
IF(AND(OR($E166="Tier 2",$E166="Tier 2 Grove"),$F166="Retain",$H166&lt;&gt;"",ISNA(MATCH($H166,Tables!$B$147:$B$150,0))),
Error!$B$15,
IF(AND($E166="Tier 1",$F166="Remove",$H166&lt;&gt;"",ISNA(MATCH($H166,Tables!$B$143:$B$144,0))),
Error!$B$15,
IF(AND($E166="Tier 1",$F166="Retain",$H166&lt;&gt;"",ISNA(MATCH($H166,Tables!$B$137:$B$140,0))),
Error!$B$15,
IF(AND($E166&lt;&gt;"Tier 2",$E166&lt;&gt;"Tier 2 Grove",$E166&lt;&gt;"Tier 3",$E166&lt;&gt;"Tier 4",$H166="Zoning: Green Factor",OR($D166="",$D166&lt;6)),
Error!$B$11,
IF(AND(_xlpm.baseRow,$D166&lt;6,$E166="&lt;6in DSH for Tree Points",_xlpm.TreePoints_H=0),
Error!$B$21,
IF(AND(_xlpm.baseRow,$E166&lt;&gt;"",$D166&lt;&gt;"",$F166=""),
Error!$B$4,
IF(AND(_xlpm.baseRow,$F166="Remove",OR($E166="Tier 1",$E166="Tier 2",$E166="Tier 2 Grove"),COUNTBLANK(_xlpm.HRange)&lt;3,_xlpm.uniqueH&gt;=2),
Error!$B$48,
IF(AND(_xlpm.baseRow,$F166="Retain",OR($E166="Tier 1",$E166="Tier 2",$E166="Tier 2 Grove"),COUNTIF(_xlpm.HRange,"Tree Code: Required to Retain Tier 1-2 Tree")=0),
Error!$B$47,
IF(AND(_xlpm.baseRow,$E166&lt;&gt;"",$D166&lt;&gt;"",$F166&lt;&gt;"",COUNTBLANK(_xlpm.HRange)=4),
Error!$B$5,
IF(AND($F166="Remove",$H166&lt;&gt;"",$I166=""),
Error!$B$18,
IF(AND($E166="Tier 4",$F166="Remove",$H166="Tree Protection Code: Tier 3 or Tier 4 Allowance",$H166&lt;&gt;"",ISNA(MATCH($I166,Tables!$B$200,0))),
Error!$B$17,
IF(AND($E166="Tier 3",$F166="Remove",$H166&lt;&gt;"",$H166="Tree Protection Code: Tier 3 or Tier 4 Allowance",OR($I166="",ISNA(MATCH($I166,Tables!$B$193:$B$197,0)))),
Error!$B$17,
IF(AND(OR($E166="Tier 2",$E166="Tier 2 Grove"),$F166="Remove",$H166="Tree Protection Code: Other removal allowance or exemption",$I166&lt;&gt;"",ISNA(MATCH($I166,Tables!$B$215:$B$218,0))),
Error!$B$17,
IF(AND(OR($E166="Tier 2",$E166="Tier 2 Grove"),$F166="Remove",$H166="Tree Protection Code: Development Capacity",$I166&lt;&gt;"",ISNA(MATCH($I166,Tables!$B$193:$B$197,0))),
Error!$B$17,
IF(AND(OR($E166="Tier 2",$E166="Tier 2 Grove"),$F166="Remove",$H166="Tree Protection Code: Necessary for Construction",$I166&lt;&gt;"",ISNA(MATCH($I166,Tables!$B$193:$B$197,0))),
Error!$B$17,
IF(AND($E166="Tier 1",$F166="Remove",$H166="Tree Protection Code: Special Exception",$I166&lt;&gt;"",ISNA(MATCH($I166,Tables!$B$215:$B$218,0))),
Error!$B$17,
IF(AND($E166="Tier 1",$F166="Remove",$H166="Tree Protection Code: Other removal allowance or exemption",$I166&lt;&gt;"",ISNA(MATCH($I166,Tables!$B$215:$B$218,0))),
Error!$B$17,
IF(AND($E166="ECA / Shoreline Tree",$F166="Remove",$H166&lt;&gt;"",OR($H166="Shoreline",$H166="Environmental Critical Area (ECA)"),ISNA(MATCH($I166,Tables!$B$209:$B$212,0))),
Error!$B$17,
IF(AND(_xlpm.baseRow,$F166="Retain",$E166="ECA / Shoreline Tree",_xlpm.ECA_Short=0),
Error!$B$61,
IF(AND($F166="Remove",ISNUMBER(MATCH($E166,{"Tier 1","Tier 2","Tier 3","Tier 4","Tier 2 Grove"},0)),ISNUMBER(MATCH($I166,{"On-site replacement","Off-site replacement"},0)),$J166="",$H166&lt;&gt;""),
Error!$B$19,
IF(AND(_xlpm.baseRow,$E166&lt;&gt;"",$D166&lt;&gt;"",$F166&lt;&gt;"",COUNTBLANK($B166:$C166)&gt;0,COUNTBLANK(_xlpm.HRange)&lt;&gt;4),
Error!$B$22,
IF(AND($H166="Zoning: Tree Points",$K166&lt;&gt;"",ISNA(MATCH($K166,Tables!$B$242:$B$253,0))),
Error!$B$58,
IF(AND($H166="Zoning: Tree Points",$K166="Small",$L166&lt;&gt;"",ISNA(MATCH($L166,Tables!$C$243:$C$244,0))),
Error!$B$59,
IF(AND($H166="Zoning: Tree Points",$K166="Small/Medium",$L166&lt;&gt;"",ISNA(MATCH($L166,Tables!$C$246:$C$247,0))),
Error!$B$59,
IF(AND($H166="Zoning: Tree Points",$K166="Medium/Large",$L166&lt;&gt;"",ISNA(MATCH($L166,Tables!$C$249:$C$250,0))),
Error!$B$59,
IF(AND($H166="Zoning: Tree Points",$K166="Large",$L166&lt;&gt;"",ISNA(MATCH($L166,Tables!$C$252:$C$253,0))),
Error!$B$59,
IF(AND($F166="Retain",$H166="Zoning: Tree Points",$C166&lt;&gt;"",$D166&lt;&gt;"",OR($K166="",$L166="",$M166="")),
Error!$B$20,
""
)))))))))))))))))))))))))))))))))))))))))))))))))))))))),
Error!$B$23))</f>
        <v/>
      </c>
      <c r="O166" s="343" t="str" cm="1">
        <f t="array" aca="1" ref="O166" ca="1">IFERROR(_xlfn.LET(
    _xlpm.txt, $C166,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67" spans="1:15" ht="15" thickBot="1" x14ac:dyDescent="0.35">
      <c r="A167" s="311">
        <v>40</v>
      </c>
      <c r="B167" s="312"/>
      <c r="C167" s="313"/>
      <c r="D167" s="478"/>
      <c r="E167" s="314"/>
      <c r="F167" s="314"/>
      <c r="G167" s="315" t="str">
        <f>IF(Tree_Table1[[#This Row],[Tree Status  &amp;]]="Retain", Tables!$B$237, IF(Tree_Table1[[#This Row],[Tree Status  &amp;]]="Remove", Tables!$B$238, ""))</f>
        <v/>
      </c>
      <c r="H167" s="316"/>
      <c r="I167" s="317"/>
      <c r="J167" s="452"/>
      <c r="K167" s="318" t="str">
        <f>IFERROR(
    IF(
        AND($H167="Zoning: Tree Points", NOT(ISNUMBER(SEARCH("sp.", $C167)))),
        VLOOKUP($C167, 'Tree List'!$C$3:$F$601, 4, FALSE),
        ""
    ),
"")</f>
        <v/>
      </c>
      <c r="L167" s="319" t="str" cm="1">
        <f t="array" ref="L167">IFERROR(
IF(
    AND($H167="Zoning: Tree Points", NOT(ISNUMBER(SEARCH("sp.", $C167)))),
    _xlfn.IFS(
        (COUNTIFS('Tree List'!$C$3:$C$601,$C167,'Tree List'!$D$3:$D$601,"Coniferous")
        + COUNTIFS('Tree List'!$C$3:$C$601,$C167,'Tree List'!$D$3:$D$601,"Deciduous Conifer")) &gt; 0,
            _xlfn.IFS($K167="Small",0.5,$K167="Small/Medium",1,$K167="Medium/Large",1.4,$K167="Large",1.8),
        (COUNTIFS('Tree List'!$C$3:$C$601,$C167,'Tree List'!$D$3:$D$601,"Deciduous")
        + COUNTIFS('Tree List'!$C$3:$C$601,$C167,'Tree List'!$D$3:$D$601,"Broadleaf Evergreen")) &gt; 0,
            _xlfn.IFS($K167="Small",0.4,$K167="Small/Medium",0.8,$K167="Medium/Large",1.2,$K167="Large",1.6)
    ),
    ""
),
"")</f>
        <v/>
      </c>
      <c r="M167" s="474" t="str">
        <f t="shared" si="0"/>
        <v/>
      </c>
      <c r="N167" s="620" t="str" cm="1">
        <f t="array" aca="1" ref="N16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IF(AND(_xlpm.baseRow,ISNA(MATCH($C167,'Tree List'!$C$3:$C$601,0)),SUMPRODUCT(--ISNUMBER(SEARCH(Tables2!$C$677:$C$772,$O167)))&gt;0),
Error!$B$57,
IF(AND(_xlpm.hasDM,$F167="Remove",$H167&lt;&gt;"",OR($I167="On-site replacement",$I167="Off-site replacement",$I167="Payment In Lieu")),
Error!$B$56,
IF(AND(_xlpm.hasDM,$F167="Remove",$H167&lt;&gt;"",$I167="Relocation"),
Error!$B$66,
IF(AND(OR(_xlpm.hasCN,_xlpm.hasPH,_xlpm.hasGR),$H167&lt;&gt;"",COUNTIF(Tables!$B$132:$B$134,$H167)&gt;0,$I167="N/A (No replacement required)"),
Error!$B$62,
IF(AND(_xlpm.baseRow,$E167&lt;&gt;"",ISNA(MATCH($E167,Tables!$B$225:$B$232,0))),
Error!$B$2,
IF(AND(_xlpm.baseRow,$F167&lt;&gt;"",ISNA(MATCH($F167,Tables!$B$234:$B$235,0))),
Error!$B$24,
IF(AND(_xlpm.baseRow,_xlpm.ECA_H&gt;0,_xlpm.Shore_H&gt;0),
Error!$B$16,
IF(AND(_xlpm.baseRow,$E167&lt;&gt;"",$D167=""),
Error!$B$3,
IF(AND(_xlpm.baseRow,OR($E167="Tier 3",$E167="Tier 4"),$C167&lt;&gt;"",$D167&gt;=24,COUNTIF(Tables2!$B$166:$B$674,$C167)&gt;0),
Error!$B$44,
IF(AND(_xlpm.baseRow,OR($E167="Tier 3",$E167="Tier 4"),$C167&lt;&gt;"",$D167&lt;&gt;"",COUNTIF(Tables2!$B$73:$B$152,$C167)&gt;0,
$D167&gt;=IFERROR(INDEX(Tables2!$C$73:$C$152,MATCH($C167,Tables2!$B$73:$B$152,0)),-1)),
Error!$B$44,
IF(AND(_xlpm.baseRow,OR($E167="Tier 2",$E167="Tier 2 Grove"),$C167&lt;&gt;"",$D167&gt;=12,COUNTIF(Tables2!$B$153:$B$162,$C167)&gt;0),
Error!$B$45,
IF(AND(_xlpm.baseRow,$E167="Tier 2 Grove",$D167&lt;12),
Error!$B$41,
IF(AND(_xlpm.baseRow,$E167="Tier 2",$D167&lt;5.88),
Error!$B$40,
IF(AND(_xlpm.baseRow,OR($E167="Tier 2",$E167="Tier 2 Grove"),$C167&lt;&gt;"",$D167&lt;12,$D167&gt;=6,COUNTIF(Tables2!$B$153:$B$162,$C167)&gt;0),
Error!$B$54,
IF(AND(_xlpm.baseRow,$E167="Tier 2",COUNTIF(Tables2!$B$166:$B$674,$C167)&gt;0,$D167&lt;24),
Error!$B$54,
IF(AND(_xlpm.baseRow,$E167="Tier 3",ISNA(MATCH($C167,Tables2!$B$153:$B$162,0)),OR($D167&lt;12,$D167&gt;=24)),
Error!$B$9,
IF(AND(_xlpm.baseRow,$E167="Tier 3",COUNTIF(Tables2!$B$153:$B$162,$C167)&gt;0,$D167&lt;12),
Error!$B$46,
IF(AND(_xlpm.baseRow,$E167="Tier 4",OR($D167&lt;6,$D167&gt;=12)),
Error!$B$10,
IF(AND(_xlpm.baseRow,$E167="&lt;6in DSH for Tree Points",OR($D167&gt;=6,$D167="")),
Error!$B$8,
IF(AND(_xlpm.baseRow,$E167="Street Tree for Green Factor",$F167&lt;&gt;"",$F167&lt;&gt;"Retain"),
Error!$B$14,
IF(AND($E167="&lt;6in DSH for Tree Points",$F167="Retain",$H167&lt;&gt;"",ISNA(MATCH($H167,Tables!$B$174:$B$174,0))),
Error!$B$15,
IF(AND($E167="Street Tree for Green Factor",$F167="Retain",$H167&lt;&gt;"",$H167&lt;&gt;"Zoning: Green Factor"),
Error!$B$15,
IF(AND($E167="ECA / Shoreline Tree",$F167="Remove",$H167&lt;&gt;"",ISNA(MATCH($H167,Tables!$B$189:$B$190,0))),
Error!$B$15,
IF(AND($E167="ECA / Shoreline Tree",$F167="Retain",$H167&lt;&gt;"",ISNA(MATCH($H167,Tables!$B$184:$B$186,0))),
Error!$B$15,
IF(AND($E167="Tier 4",$F167="Remove",$H167&lt;&gt;"",ISNA(MATCH($H167,Tables!$B$171,0))),
Error!$B$15,
IF(AND($E167="Tier 4",$F167="Retain",$H167&lt;&gt;"",ISNA(MATCH($H167,Tables!$B$166:$B$168,0))),
Error!$B$15,
IF(AND($E167="Tier 3",$F167="Retain",$H167&lt;&gt;"",ISNA(MATCH($H167,Tables!$B$158:$B$160,0))),
Error!$B$15,
IF(AND($E167="Tier 3",$F167="Remove",$H167&lt;&gt;"",ISNA(MATCH($H167,Tables!$B$163,0))),
Error!$B$15,
IF(AND(OR($E167="Tier 2",$E167="Tier 2 Grove"),$F167="Remove",$H167&lt;&gt;"",ISNA(MATCH($H167,Tables!$B$153:$B$155,0))),
Error!$B$15,
IF(AND(OR($E167="Tier 2",$E167="Tier 2 Grove"),$F167="Retain",$H167&lt;&gt;"",ISNA(MATCH($H167,Tables!$B$147:$B$150,0))),
Error!$B$15,
IF(AND($E167="Tier 1",$F167="Remove",$H167&lt;&gt;"",ISNA(MATCH($H167,Tables!$B$143:$B$144,0))),
Error!$B$15,
IF(AND($E167="Tier 1",$F167="Retain",$H167&lt;&gt;"",ISNA(MATCH($H167,Tables!$B$137:$B$140,0))),
Error!$B$15,
IF(AND($E167&lt;&gt;"Tier 2",$E167&lt;&gt;"Tier 2 Grove",$E167&lt;&gt;"Tier 3",$E167&lt;&gt;"Tier 4",$H167="Zoning: Green Factor",OR($D167="",$D167&lt;6)),
Error!$B$11,
IF(AND(_xlpm.baseRow,$D167&lt;6,$E167="&lt;6in DSH for Tree Points",_xlpm.TreePoints_H=0),
Error!$B$21,
IF(AND(_xlpm.baseRow,$E167&lt;&gt;"",$D167&lt;&gt;"",$F167=""),
Error!$B$4,
IF(AND(_xlpm.baseRow,$F167="Remove",OR($E167="Tier 1",$E167="Tier 2",$E167="Tier 2 Grove"),COUNTBLANK(_xlpm.HRange)&lt;3,_xlpm.uniqueH&gt;=2),
Error!$B$48,
IF(AND(_xlpm.baseRow,$F167="Retain",OR($E167="Tier 1",$E167="Tier 2",$E167="Tier 2 Grove"),COUNTIF(_xlpm.HRange,"Tree Code: Required to Retain Tier 1-2 Tree")=0),
Error!$B$47,
IF(AND(_xlpm.baseRow,$E167&lt;&gt;"",$D167&lt;&gt;"",$F167&lt;&gt;"",COUNTBLANK(_xlpm.HRange)=4),
Error!$B$5,
IF(AND($F167="Remove",$H167&lt;&gt;"",$I167=""),
Error!$B$18,
IF(AND($E167="Tier 4",$F167="Remove",$H167="Tree Protection Code: Tier 3 or Tier 4 Allowance",$H167&lt;&gt;"",ISNA(MATCH($I167,Tables!$B$200,0))),
Error!$B$17,
IF(AND($E167="Tier 3",$F167="Remove",$H167&lt;&gt;"",$H167="Tree Protection Code: Tier 3 or Tier 4 Allowance",OR($I167="",ISNA(MATCH($I167,Tables!$B$193:$B$197,0)))),
Error!$B$17,
IF(AND(OR($E167="Tier 2",$E167="Tier 2 Grove"),$F167="Remove",$H167="Tree Protection Code: Other removal allowance or exemption",$I167&lt;&gt;"",ISNA(MATCH($I167,Tables!$B$215:$B$218,0))),
Error!$B$17,
IF(AND(OR($E167="Tier 2",$E167="Tier 2 Grove"),$F167="Remove",$H167="Tree Protection Code: Development Capacity",$I167&lt;&gt;"",ISNA(MATCH($I167,Tables!$B$193:$B$197,0))),
Error!$B$17,
IF(AND(OR($E167="Tier 2",$E167="Tier 2 Grove"),$F167="Remove",$H167="Tree Protection Code: Necessary for Construction",$I167&lt;&gt;"",ISNA(MATCH($I167,Tables!$B$193:$B$197,0))),
Error!$B$17,
IF(AND($E167="Tier 1",$F167="Remove",$H167="Tree Protection Code: Special Exception",$I167&lt;&gt;"",ISNA(MATCH($I167,Tables!$B$215:$B$218,0))),
Error!$B$17,
IF(AND($E167="Tier 1",$F167="Remove",$H167="Tree Protection Code: Other removal allowance or exemption",$I167&lt;&gt;"",ISNA(MATCH($I167,Tables!$B$215:$B$218,0))),
Error!$B$17,
IF(AND($E167="ECA / Shoreline Tree",$F167="Remove",$H167&lt;&gt;"",OR($H167="Shoreline",$H167="Environmental Critical Area (ECA)"),ISNA(MATCH($I167,Tables!$B$209:$B$212,0))),
Error!$B$17,
IF(AND(_xlpm.baseRow,$F167="Retain",$E167="ECA / Shoreline Tree",_xlpm.ECA_Short=0),
Error!$B$61,
IF(AND($F167="Remove",ISNUMBER(MATCH($E167,{"Tier 1","Tier 2","Tier 3","Tier 4","Tier 2 Grove"},0)),ISNUMBER(MATCH($I167,{"On-site replacement","Off-site replacement"},0)),$J167="",$H167&lt;&gt;""),
Error!$B$19,
IF(AND(_xlpm.baseRow,$E167&lt;&gt;"",$D167&lt;&gt;"",$F167&lt;&gt;"",COUNTBLANK($B167:$C167)&gt;0,COUNTBLANK(_xlpm.HRange)&lt;&gt;4),
Error!$B$22,
IF(AND($H167="Zoning: Tree Points",$K167&lt;&gt;"",ISNA(MATCH($K167,Tables!$B$242:$B$253,0))),
Error!$B$58,
IF(AND($H167="Zoning: Tree Points",$K167="Small",$L167&lt;&gt;"",ISNA(MATCH($L167,Tables!$C$243:$C$244,0))),
Error!$B$59,
IF(AND($H167="Zoning: Tree Points",$K167="Small/Medium",$L167&lt;&gt;"",ISNA(MATCH($L167,Tables!$C$246:$C$247,0))),
Error!$B$59,
IF(AND($H167="Zoning: Tree Points",$K167="Medium/Large",$L167&lt;&gt;"",ISNA(MATCH($L167,Tables!$C$249:$C$250,0))),
Error!$B$59,
IF(AND($H167="Zoning: Tree Points",$K167="Large",$L167&lt;&gt;"",ISNA(MATCH($L167,Tables!$C$252:$C$253,0))),
Error!$B$59,
IF(AND($F167="Retain",$H167="Zoning: Tree Points",$C167&lt;&gt;"",$D167&lt;&gt;"",OR($K167="",$L167="",$M167="")),
Error!$B$20,
""
)))))))))))))))))))))))))))))))))))))))))))))))))))))))),
Error!$B$23))</f>
        <v/>
      </c>
      <c r="O167" s="343" t="str" cm="1">
        <f t="array" aca="1" ref="O167" ca="1">IFERROR(_xlfn.LET(
    _xlpm.txt, $C167,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68" spans="1:15" x14ac:dyDescent="0.3">
      <c r="A168" s="320"/>
      <c r="B168" s="616" t="str">
        <f t="shared" ref="B168:B170" si="153">IF($B167="", "", $B167)</f>
        <v/>
      </c>
      <c r="C168" s="617" t="str">
        <f t="shared" ref="C168:C170" si="154">IF($C167="", "", $C167)</f>
        <v/>
      </c>
      <c r="D168" s="618" t="str">
        <f t="shared" ref="D168:D170" si="155">IF($D167="", "", $D167)</f>
        <v/>
      </c>
      <c r="E168" s="616" t="str">
        <f t="shared" ref="E168:E170" si="156">IF($E167="", "", $E167)</f>
        <v/>
      </c>
      <c r="F168" s="616" t="str">
        <f t="shared" ref="F168:F170" si="157">IF($F167="", "", $F167)</f>
        <v/>
      </c>
      <c r="G168" s="619" t="str">
        <f>IF(Tree_Table1[[#This Row],[Tree Status  &amp;]]="Retain", Tables!$B$237, IF(Tree_Table1[[#This Row],[Tree Status  &amp;]]="Remove", Tables!$B$238, ""))</f>
        <v/>
      </c>
      <c r="H168" s="321"/>
      <c r="I168" s="322"/>
      <c r="J168" s="453"/>
      <c r="K168" s="323" t="str">
        <f>IFERROR(
    IF(
        AND($H168="Zoning: Tree Points", NOT(ISNUMBER(SEARCH("sp.", $C168)))),
        VLOOKUP($C168, 'Tree List'!$C$3:$F$601, 4, FALSE),
        ""
    ),
"")</f>
        <v/>
      </c>
      <c r="L168" s="324" t="str" cm="1">
        <f t="array" ref="L168">IFERROR(
IF(
    AND($H168="Zoning: Tree Points", NOT(ISNUMBER(SEARCH("sp.", $C168)))),
    _xlfn.IFS(
        (COUNTIFS('Tree List'!$C$3:$C$601,$C168,'Tree List'!$D$3:$D$601,"Coniferous")
        + COUNTIFS('Tree List'!$C$3:$C$601,$C168,'Tree List'!$D$3:$D$601,"Deciduous Conifer")) &gt; 0,
            _xlfn.IFS($K168="Small",0.5,$K168="Small/Medium",1,$K168="Medium/Large",1.4,$K168="Large",1.8),
        (COUNTIFS('Tree List'!$C$3:$C$601,$C168,'Tree List'!$D$3:$D$601,"Deciduous")
        + COUNTIFS('Tree List'!$C$3:$C$601,$C168,'Tree List'!$D$3:$D$601,"Broadleaf Evergreen")) &gt; 0,
            _xlfn.IFS($K168="Small",0.4,$K168="Small/Medium",0.8,$K168="Medium/Large",1.2,$K168="Large",1.6)
    ),
    ""
),
"")</f>
        <v/>
      </c>
      <c r="M168" s="475" t="str">
        <f t="shared" si="0"/>
        <v/>
      </c>
      <c r="N168" s="346" t="str" cm="1">
        <f t="array" aca="1" ref="N16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IF(AND(_xlpm.baseRow,ISNA(MATCH($C168,'Tree List'!$C$3:$C$601,0)),SUMPRODUCT(--ISNUMBER(SEARCH(Tables2!$C$677:$C$772,$O168)))&gt;0),
Error!$B$57,
IF(AND(_xlpm.hasDM,$F168="Remove",$H168&lt;&gt;"",OR($I168="On-site replacement",$I168="Off-site replacement",$I168="Payment In Lieu")),
Error!$B$56,
IF(AND(_xlpm.hasDM,$F168="Remove",$H168&lt;&gt;"",$I168="Relocation"),
Error!$B$66,
IF(AND(OR(_xlpm.hasCN,_xlpm.hasPH,_xlpm.hasGR),$H168&lt;&gt;"",COUNTIF(Tables!$B$132:$B$134,$H168)&gt;0,$I168="N/A (No replacement required)"),
Error!$B$62,
IF(AND(_xlpm.baseRow,$E168&lt;&gt;"",ISNA(MATCH($E168,Tables!$B$225:$B$232,0))),
Error!$B$2,
IF(AND(_xlpm.baseRow,$F168&lt;&gt;"",ISNA(MATCH($F168,Tables!$B$234:$B$235,0))),
Error!$B$24,
IF(AND(_xlpm.baseRow,_xlpm.ECA_H&gt;0,_xlpm.Shore_H&gt;0),
Error!$B$16,
IF(AND(_xlpm.baseRow,$E168&lt;&gt;"",$D168=""),
Error!$B$3,
IF(AND(_xlpm.baseRow,OR($E168="Tier 3",$E168="Tier 4"),$C168&lt;&gt;"",$D168&gt;=24,COUNTIF(Tables2!$B$166:$B$674,$C168)&gt;0),
Error!$B$44,
IF(AND(_xlpm.baseRow,OR($E168="Tier 3",$E168="Tier 4"),$C168&lt;&gt;"",$D168&lt;&gt;"",COUNTIF(Tables2!$B$73:$B$152,$C168)&gt;0,
$D168&gt;=IFERROR(INDEX(Tables2!$C$73:$C$152,MATCH($C168,Tables2!$B$73:$B$152,0)),-1)),
Error!$B$44,
IF(AND(_xlpm.baseRow,OR($E168="Tier 2",$E168="Tier 2 Grove"),$C168&lt;&gt;"",$D168&gt;=12,COUNTIF(Tables2!$B$153:$B$162,$C168)&gt;0),
Error!$B$45,
IF(AND(_xlpm.baseRow,$E168="Tier 2 Grove",$D168&lt;12),
Error!$B$41,
IF(AND(_xlpm.baseRow,$E168="Tier 2",$D168&lt;5.88),
Error!$B$40,
IF(AND(_xlpm.baseRow,OR($E168="Tier 2",$E168="Tier 2 Grove"),$C168&lt;&gt;"",$D168&lt;12,$D168&gt;=6,COUNTIF(Tables2!$B$153:$B$162,$C168)&gt;0),
Error!$B$54,
IF(AND(_xlpm.baseRow,$E168="Tier 2",COUNTIF(Tables2!$B$166:$B$674,$C168)&gt;0,$D168&lt;24),
Error!$B$54,
IF(AND(_xlpm.baseRow,$E168="Tier 3",ISNA(MATCH($C168,Tables2!$B$153:$B$162,0)),OR($D168&lt;12,$D168&gt;=24)),
Error!$B$9,
IF(AND(_xlpm.baseRow,$E168="Tier 3",COUNTIF(Tables2!$B$153:$B$162,$C168)&gt;0,$D168&lt;12),
Error!$B$46,
IF(AND(_xlpm.baseRow,$E168="Tier 4",OR($D168&lt;6,$D168&gt;=12)),
Error!$B$10,
IF(AND(_xlpm.baseRow,$E168="&lt;6in DSH for Tree Points",OR($D168&gt;=6,$D168="")),
Error!$B$8,
IF(AND(_xlpm.baseRow,$E168="Street Tree for Green Factor",$F168&lt;&gt;"",$F168&lt;&gt;"Retain"),
Error!$B$14,
IF(AND($E168="&lt;6in DSH for Tree Points",$F168="Retain",$H168&lt;&gt;"",ISNA(MATCH($H168,Tables!$B$174:$B$174,0))),
Error!$B$15,
IF(AND($E168="Street Tree for Green Factor",$F168="Retain",$H168&lt;&gt;"",$H168&lt;&gt;"Zoning: Green Factor"),
Error!$B$15,
IF(AND($E168="ECA / Shoreline Tree",$F168="Remove",$H168&lt;&gt;"",ISNA(MATCH($H168,Tables!$B$189:$B$190,0))),
Error!$B$15,
IF(AND($E168="ECA / Shoreline Tree",$F168="Retain",$H168&lt;&gt;"",ISNA(MATCH($H168,Tables!$B$184:$B$186,0))),
Error!$B$15,
IF(AND($E168="Tier 4",$F168="Remove",$H168&lt;&gt;"",ISNA(MATCH($H168,Tables!$B$171,0))),
Error!$B$15,
IF(AND($E168="Tier 4",$F168="Retain",$H168&lt;&gt;"",ISNA(MATCH($H168,Tables!$B$166:$B$168,0))),
Error!$B$15,
IF(AND($E168="Tier 3",$F168="Retain",$H168&lt;&gt;"",ISNA(MATCH($H168,Tables!$B$158:$B$160,0))),
Error!$B$15,
IF(AND($E168="Tier 3",$F168="Remove",$H168&lt;&gt;"",ISNA(MATCH($H168,Tables!$B$163,0))),
Error!$B$15,
IF(AND(OR($E168="Tier 2",$E168="Tier 2 Grove"),$F168="Remove",$H168&lt;&gt;"",ISNA(MATCH($H168,Tables!$B$153:$B$155,0))),
Error!$B$15,
IF(AND(OR($E168="Tier 2",$E168="Tier 2 Grove"),$F168="Retain",$H168&lt;&gt;"",ISNA(MATCH($H168,Tables!$B$147:$B$150,0))),
Error!$B$15,
IF(AND($E168="Tier 1",$F168="Remove",$H168&lt;&gt;"",ISNA(MATCH($H168,Tables!$B$143:$B$144,0))),
Error!$B$15,
IF(AND($E168="Tier 1",$F168="Retain",$H168&lt;&gt;"",ISNA(MATCH($H168,Tables!$B$137:$B$140,0))),
Error!$B$15,
IF(AND($E168&lt;&gt;"Tier 2",$E168&lt;&gt;"Tier 2 Grove",$E168&lt;&gt;"Tier 3",$E168&lt;&gt;"Tier 4",$H168="Zoning: Green Factor",OR($D168="",$D168&lt;6)),
Error!$B$11,
IF(AND(_xlpm.baseRow,$D168&lt;6,$E168="&lt;6in DSH for Tree Points",_xlpm.TreePoints_H=0),
Error!$B$21,
IF(AND(_xlpm.baseRow,$E168&lt;&gt;"",$D168&lt;&gt;"",$F168=""),
Error!$B$4,
IF(AND(_xlpm.baseRow,$F168="Remove",OR($E168="Tier 1",$E168="Tier 2",$E168="Tier 2 Grove"),COUNTBLANK(_xlpm.HRange)&lt;3,_xlpm.uniqueH&gt;=2),
Error!$B$48,
IF(AND(_xlpm.baseRow,$F168="Retain",OR($E168="Tier 1",$E168="Tier 2",$E168="Tier 2 Grove"),COUNTIF(_xlpm.HRange,"Tree Code: Required to Retain Tier 1-2 Tree")=0),
Error!$B$47,
IF(AND(_xlpm.baseRow,$E168&lt;&gt;"",$D168&lt;&gt;"",$F168&lt;&gt;"",COUNTBLANK(_xlpm.HRange)=4),
Error!$B$5,
IF(AND($F168="Remove",$H168&lt;&gt;"",$I168=""),
Error!$B$18,
IF(AND($E168="Tier 4",$F168="Remove",$H168="Tree Protection Code: Tier 3 or Tier 4 Allowance",$H168&lt;&gt;"",ISNA(MATCH($I168,Tables!$B$200,0))),
Error!$B$17,
IF(AND($E168="Tier 3",$F168="Remove",$H168&lt;&gt;"",$H168="Tree Protection Code: Tier 3 or Tier 4 Allowance",OR($I168="",ISNA(MATCH($I168,Tables!$B$193:$B$197,0)))),
Error!$B$17,
IF(AND(OR($E168="Tier 2",$E168="Tier 2 Grove"),$F168="Remove",$H168="Tree Protection Code: Other removal allowance or exemption",$I168&lt;&gt;"",ISNA(MATCH($I168,Tables!$B$215:$B$218,0))),
Error!$B$17,
IF(AND(OR($E168="Tier 2",$E168="Tier 2 Grove"),$F168="Remove",$H168="Tree Protection Code: Development Capacity",$I168&lt;&gt;"",ISNA(MATCH($I168,Tables!$B$193:$B$197,0))),
Error!$B$17,
IF(AND(OR($E168="Tier 2",$E168="Tier 2 Grove"),$F168="Remove",$H168="Tree Protection Code: Necessary for Construction",$I168&lt;&gt;"",ISNA(MATCH($I168,Tables!$B$193:$B$197,0))),
Error!$B$17,
IF(AND($E168="Tier 1",$F168="Remove",$H168="Tree Protection Code: Special Exception",$I168&lt;&gt;"",ISNA(MATCH($I168,Tables!$B$215:$B$218,0))),
Error!$B$17,
IF(AND($E168="Tier 1",$F168="Remove",$H168="Tree Protection Code: Other removal allowance or exemption",$I168&lt;&gt;"",ISNA(MATCH($I168,Tables!$B$215:$B$218,0))),
Error!$B$17,
IF(AND($E168="ECA / Shoreline Tree",$F168="Remove",$H168&lt;&gt;"",OR($H168="Shoreline",$H168="Environmental Critical Area (ECA)"),ISNA(MATCH($I168,Tables!$B$209:$B$212,0))),
Error!$B$17,
IF(AND(_xlpm.baseRow,$F168="Retain",$E168="ECA / Shoreline Tree",_xlpm.ECA_Short=0),
Error!$B$61,
IF(AND($F168="Remove",ISNUMBER(MATCH($E168,{"Tier 1","Tier 2","Tier 3","Tier 4","Tier 2 Grove"},0)),ISNUMBER(MATCH($I168,{"On-site replacement","Off-site replacement"},0)),$J168="",$H168&lt;&gt;""),
Error!$B$19,
IF(AND(_xlpm.baseRow,$E168&lt;&gt;"",$D168&lt;&gt;"",$F168&lt;&gt;"",COUNTBLANK($B168:$C168)&gt;0,COUNTBLANK(_xlpm.HRange)&lt;&gt;4),
Error!$B$22,
IF(AND($H168="Zoning: Tree Points",$K168&lt;&gt;"",ISNA(MATCH($K168,Tables!$B$242:$B$253,0))),
Error!$B$58,
IF(AND($H168="Zoning: Tree Points",$K168="Small",$L168&lt;&gt;"",ISNA(MATCH($L168,Tables!$C$243:$C$244,0))),
Error!$B$59,
IF(AND($H168="Zoning: Tree Points",$K168="Small/Medium",$L168&lt;&gt;"",ISNA(MATCH($L168,Tables!$C$246:$C$247,0))),
Error!$B$59,
IF(AND($H168="Zoning: Tree Points",$K168="Medium/Large",$L168&lt;&gt;"",ISNA(MATCH($L168,Tables!$C$249:$C$250,0))),
Error!$B$59,
IF(AND($H168="Zoning: Tree Points",$K168="Large",$L168&lt;&gt;"",ISNA(MATCH($L168,Tables!$C$252:$C$253,0))),
Error!$B$59,
IF(AND($F168="Retain",$H168="Zoning: Tree Points",$C168&lt;&gt;"",$D168&lt;&gt;"",OR($K168="",$L168="",$M168="")),
Error!$B$20,
""
)))))))))))))))))))))))))))))))))))))))))))))))))))))))),
Error!$B$23))</f>
        <v/>
      </c>
      <c r="O168" s="343" t="str" cm="1">
        <f t="array" aca="1" ref="O168" ca="1">IFERROR(_xlfn.LET(
    _xlpm.txt, $C168,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69" spans="1:15" x14ac:dyDescent="0.3">
      <c r="A169" s="320"/>
      <c r="B169" s="616" t="str">
        <f t="shared" si="153"/>
        <v/>
      </c>
      <c r="C169" s="617" t="str">
        <f t="shared" si="154"/>
        <v/>
      </c>
      <c r="D169" s="618" t="str">
        <f t="shared" si="155"/>
        <v/>
      </c>
      <c r="E169" s="616" t="str">
        <f t="shared" si="156"/>
        <v/>
      </c>
      <c r="F169" s="616" t="str">
        <f t="shared" si="157"/>
        <v/>
      </c>
      <c r="G169" s="619" t="str">
        <f>IF(Tree_Table1[[#This Row],[Tree Status  &amp;]]="Retain", Tables!$B$237, IF(Tree_Table1[[#This Row],[Tree Status  &amp;]]="Remove", Tables!$B$238, ""))</f>
        <v/>
      </c>
      <c r="H169" s="321"/>
      <c r="I169" s="322"/>
      <c r="J169" s="453"/>
      <c r="K169" s="323" t="str">
        <f>IFERROR(
    IF(
        AND($H169="Zoning: Tree Points", NOT(ISNUMBER(SEARCH("sp.", $C169)))),
        VLOOKUP($C169, 'Tree List'!$C$3:$F$601, 4, FALSE),
        ""
    ),
"")</f>
        <v/>
      </c>
      <c r="L169" s="324" t="str" cm="1">
        <f t="array" ref="L169">IFERROR(
IF(
    AND($H169="Zoning: Tree Points", NOT(ISNUMBER(SEARCH("sp.", $C169)))),
    _xlfn.IFS(
        (COUNTIFS('Tree List'!$C$3:$C$601,$C169,'Tree List'!$D$3:$D$601,"Coniferous")
        + COUNTIFS('Tree List'!$C$3:$C$601,$C169,'Tree List'!$D$3:$D$601,"Deciduous Conifer")) &gt; 0,
            _xlfn.IFS($K169="Small",0.5,$K169="Small/Medium",1,$K169="Medium/Large",1.4,$K169="Large",1.8),
        (COUNTIFS('Tree List'!$C$3:$C$601,$C169,'Tree List'!$D$3:$D$601,"Deciduous")
        + COUNTIFS('Tree List'!$C$3:$C$601,$C169,'Tree List'!$D$3:$D$601,"Broadleaf Evergreen")) &gt; 0,
            _xlfn.IFS($K169="Small",0.4,$K169="Small/Medium",0.8,$K169="Medium/Large",1.2,$K169="Large",1.6)
    ),
    ""
),
"")</f>
        <v/>
      </c>
      <c r="M169" s="475" t="str">
        <f t="shared" si="0"/>
        <v/>
      </c>
      <c r="N169" s="346" t="str" cm="1">
        <f t="array" aca="1" ref="N16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IF(AND(_xlpm.baseRow,ISNA(MATCH($C169,'Tree List'!$C$3:$C$601,0)),SUMPRODUCT(--ISNUMBER(SEARCH(Tables2!$C$677:$C$772,$O169)))&gt;0),
Error!$B$57,
IF(AND(_xlpm.hasDM,$F169="Remove",$H169&lt;&gt;"",OR($I169="On-site replacement",$I169="Off-site replacement",$I169="Payment In Lieu")),
Error!$B$56,
IF(AND(_xlpm.hasDM,$F169="Remove",$H169&lt;&gt;"",$I169="Relocation"),
Error!$B$66,
IF(AND(OR(_xlpm.hasCN,_xlpm.hasPH,_xlpm.hasGR),$H169&lt;&gt;"",COUNTIF(Tables!$B$132:$B$134,$H169)&gt;0,$I169="N/A (No replacement required)"),
Error!$B$62,
IF(AND(_xlpm.baseRow,$E169&lt;&gt;"",ISNA(MATCH($E169,Tables!$B$225:$B$232,0))),
Error!$B$2,
IF(AND(_xlpm.baseRow,$F169&lt;&gt;"",ISNA(MATCH($F169,Tables!$B$234:$B$235,0))),
Error!$B$24,
IF(AND(_xlpm.baseRow,_xlpm.ECA_H&gt;0,_xlpm.Shore_H&gt;0),
Error!$B$16,
IF(AND(_xlpm.baseRow,$E169&lt;&gt;"",$D169=""),
Error!$B$3,
IF(AND(_xlpm.baseRow,OR($E169="Tier 3",$E169="Tier 4"),$C169&lt;&gt;"",$D169&gt;=24,COUNTIF(Tables2!$B$166:$B$674,$C169)&gt;0),
Error!$B$44,
IF(AND(_xlpm.baseRow,OR($E169="Tier 3",$E169="Tier 4"),$C169&lt;&gt;"",$D169&lt;&gt;"",COUNTIF(Tables2!$B$73:$B$152,$C169)&gt;0,
$D169&gt;=IFERROR(INDEX(Tables2!$C$73:$C$152,MATCH($C169,Tables2!$B$73:$B$152,0)),-1)),
Error!$B$44,
IF(AND(_xlpm.baseRow,OR($E169="Tier 2",$E169="Tier 2 Grove"),$C169&lt;&gt;"",$D169&gt;=12,COUNTIF(Tables2!$B$153:$B$162,$C169)&gt;0),
Error!$B$45,
IF(AND(_xlpm.baseRow,$E169="Tier 2 Grove",$D169&lt;12),
Error!$B$41,
IF(AND(_xlpm.baseRow,$E169="Tier 2",$D169&lt;5.88),
Error!$B$40,
IF(AND(_xlpm.baseRow,OR($E169="Tier 2",$E169="Tier 2 Grove"),$C169&lt;&gt;"",$D169&lt;12,$D169&gt;=6,COUNTIF(Tables2!$B$153:$B$162,$C169)&gt;0),
Error!$B$54,
IF(AND(_xlpm.baseRow,$E169="Tier 2",COUNTIF(Tables2!$B$166:$B$674,$C169)&gt;0,$D169&lt;24),
Error!$B$54,
IF(AND(_xlpm.baseRow,$E169="Tier 3",ISNA(MATCH($C169,Tables2!$B$153:$B$162,0)),OR($D169&lt;12,$D169&gt;=24)),
Error!$B$9,
IF(AND(_xlpm.baseRow,$E169="Tier 3",COUNTIF(Tables2!$B$153:$B$162,$C169)&gt;0,$D169&lt;12),
Error!$B$46,
IF(AND(_xlpm.baseRow,$E169="Tier 4",OR($D169&lt;6,$D169&gt;=12)),
Error!$B$10,
IF(AND(_xlpm.baseRow,$E169="&lt;6in DSH for Tree Points",OR($D169&gt;=6,$D169="")),
Error!$B$8,
IF(AND(_xlpm.baseRow,$E169="Street Tree for Green Factor",$F169&lt;&gt;"",$F169&lt;&gt;"Retain"),
Error!$B$14,
IF(AND($E169="&lt;6in DSH for Tree Points",$F169="Retain",$H169&lt;&gt;"",ISNA(MATCH($H169,Tables!$B$174:$B$174,0))),
Error!$B$15,
IF(AND($E169="Street Tree for Green Factor",$F169="Retain",$H169&lt;&gt;"",$H169&lt;&gt;"Zoning: Green Factor"),
Error!$B$15,
IF(AND($E169="ECA / Shoreline Tree",$F169="Remove",$H169&lt;&gt;"",ISNA(MATCH($H169,Tables!$B$189:$B$190,0))),
Error!$B$15,
IF(AND($E169="ECA / Shoreline Tree",$F169="Retain",$H169&lt;&gt;"",ISNA(MATCH($H169,Tables!$B$184:$B$186,0))),
Error!$B$15,
IF(AND($E169="Tier 4",$F169="Remove",$H169&lt;&gt;"",ISNA(MATCH($H169,Tables!$B$171,0))),
Error!$B$15,
IF(AND($E169="Tier 4",$F169="Retain",$H169&lt;&gt;"",ISNA(MATCH($H169,Tables!$B$166:$B$168,0))),
Error!$B$15,
IF(AND($E169="Tier 3",$F169="Retain",$H169&lt;&gt;"",ISNA(MATCH($H169,Tables!$B$158:$B$160,0))),
Error!$B$15,
IF(AND($E169="Tier 3",$F169="Remove",$H169&lt;&gt;"",ISNA(MATCH($H169,Tables!$B$163,0))),
Error!$B$15,
IF(AND(OR($E169="Tier 2",$E169="Tier 2 Grove"),$F169="Remove",$H169&lt;&gt;"",ISNA(MATCH($H169,Tables!$B$153:$B$155,0))),
Error!$B$15,
IF(AND(OR($E169="Tier 2",$E169="Tier 2 Grove"),$F169="Retain",$H169&lt;&gt;"",ISNA(MATCH($H169,Tables!$B$147:$B$150,0))),
Error!$B$15,
IF(AND($E169="Tier 1",$F169="Remove",$H169&lt;&gt;"",ISNA(MATCH($H169,Tables!$B$143:$B$144,0))),
Error!$B$15,
IF(AND($E169="Tier 1",$F169="Retain",$H169&lt;&gt;"",ISNA(MATCH($H169,Tables!$B$137:$B$140,0))),
Error!$B$15,
IF(AND($E169&lt;&gt;"Tier 2",$E169&lt;&gt;"Tier 2 Grove",$E169&lt;&gt;"Tier 3",$E169&lt;&gt;"Tier 4",$H169="Zoning: Green Factor",OR($D169="",$D169&lt;6)),
Error!$B$11,
IF(AND(_xlpm.baseRow,$D169&lt;6,$E169="&lt;6in DSH for Tree Points",_xlpm.TreePoints_H=0),
Error!$B$21,
IF(AND(_xlpm.baseRow,$E169&lt;&gt;"",$D169&lt;&gt;"",$F169=""),
Error!$B$4,
IF(AND(_xlpm.baseRow,$F169="Remove",OR($E169="Tier 1",$E169="Tier 2",$E169="Tier 2 Grove"),COUNTBLANK(_xlpm.HRange)&lt;3,_xlpm.uniqueH&gt;=2),
Error!$B$48,
IF(AND(_xlpm.baseRow,$F169="Retain",OR($E169="Tier 1",$E169="Tier 2",$E169="Tier 2 Grove"),COUNTIF(_xlpm.HRange,"Tree Code: Required to Retain Tier 1-2 Tree")=0),
Error!$B$47,
IF(AND(_xlpm.baseRow,$E169&lt;&gt;"",$D169&lt;&gt;"",$F169&lt;&gt;"",COUNTBLANK(_xlpm.HRange)=4),
Error!$B$5,
IF(AND($F169="Remove",$H169&lt;&gt;"",$I169=""),
Error!$B$18,
IF(AND($E169="Tier 4",$F169="Remove",$H169="Tree Protection Code: Tier 3 or Tier 4 Allowance",$H169&lt;&gt;"",ISNA(MATCH($I169,Tables!$B$200,0))),
Error!$B$17,
IF(AND($E169="Tier 3",$F169="Remove",$H169&lt;&gt;"",$H169="Tree Protection Code: Tier 3 or Tier 4 Allowance",OR($I169="",ISNA(MATCH($I169,Tables!$B$193:$B$197,0)))),
Error!$B$17,
IF(AND(OR($E169="Tier 2",$E169="Tier 2 Grove"),$F169="Remove",$H169="Tree Protection Code: Other removal allowance or exemption",$I169&lt;&gt;"",ISNA(MATCH($I169,Tables!$B$215:$B$218,0))),
Error!$B$17,
IF(AND(OR($E169="Tier 2",$E169="Tier 2 Grove"),$F169="Remove",$H169="Tree Protection Code: Development Capacity",$I169&lt;&gt;"",ISNA(MATCH($I169,Tables!$B$193:$B$197,0))),
Error!$B$17,
IF(AND(OR($E169="Tier 2",$E169="Tier 2 Grove"),$F169="Remove",$H169="Tree Protection Code: Necessary for Construction",$I169&lt;&gt;"",ISNA(MATCH($I169,Tables!$B$193:$B$197,0))),
Error!$B$17,
IF(AND($E169="Tier 1",$F169="Remove",$H169="Tree Protection Code: Special Exception",$I169&lt;&gt;"",ISNA(MATCH($I169,Tables!$B$215:$B$218,0))),
Error!$B$17,
IF(AND($E169="Tier 1",$F169="Remove",$H169="Tree Protection Code: Other removal allowance or exemption",$I169&lt;&gt;"",ISNA(MATCH($I169,Tables!$B$215:$B$218,0))),
Error!$B$17,
IF(AND($E169="ECA / Shoreline Tree",$F169="Remove",$H169&lt;&gt;"",OR($H169="Shoreline",$H169="Environmental Critical Area (ECA)"),ISNA(MATCH($I169,Tables!$B$209:$B$212,0))),
Error!$B$17,
IF(AND(_xlpm.baseRow,$F169="Retain",$E169="ECA / Shoreline Tree",_xlpm.ECA_Short=0),
Error!$B$61,
IF(AND($F169="Remove",ISNUMBER(MATCH($E169,{"Tier 1","Tier 2","Tier 3","Tier 4","Tier 2 Grove"},0)),ISNUMBER(MATCH($I169,{"On-site replacement","Off-site replacement"},0)),$J169="",$H169&lt;&gt;""),
Error!$B$19,
IF(AND(_xlpm.baseRow,$E169&lt;&gt;"",$D169&lt;&gt;"",$F169&lt;&gt;"",COUNTBLANK($B169:$C169)&gt;0,COUNTBLANK(_xlpm.HRange)&lt;&gt;4),
Error!$B$22,
IF(AND($H169="Zoning: Tree Points",$K169&lt;&gt;"",ISNA(MATCH($K169,Tables!$B$242:$B$253,0))),
Error!$B$58,
IF(AND($H169="Zoning: Tree Points",$K169="Small",$L169&lt;&gt;"",ISNA(MATCH($L169,Tables!$C$243:$C$244,0))),
Error!$B$59,
IF(AND($H169="Zoning: Tree Points",$K169="Small/Medium",$L169&lt;&gt;"",ISNA(MATCH($L169,Tables!$C$246:$C$247,0))),
Error!$B$59,
IF(AND($H169="Zoning: Tree Points",$K169="Medium/Large",$L169&lt;&gt;"",ISNA(MATCH($L169,Tables!$C$249:$C$250,0))),
Error!$B$59,
IF(AND($H169="Zoning: Tree Points",$K169="Large",$L169&lt;&gt;"",ISNA(MATCH($L169,Tables!$C$252:$C$253,0))),
Error!$B$59,
IF(AND($F169="Retain",$H169="Zoning: Tree Points",$C169&lt;&gt;"",$D169&lt;&gt;"",OR($K169="",$L169="",$M169="")),
Error!$B$20,
""
)))))))))))))))))))))))))))))))))))))))))))))))))))))))),
Error!$B$23))</f>
        <v/>
      </c>
      <c r="O169" s="343" t="str" cm="1">
        <f t="array" aca="1" ref="O169" ca="1">IFERROR(_xlfn.LET(
    _xlpm.txt, $C169,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70" spans="1:15" ht="15" thickBot="1" x14ac:dyDescent="0.35">
      <c r="A170" s="320"/>
      <c r="B170" s="616" t="str">
        <f t="shared" si="153"/>
        <v/>
      </c>
      <c r="C170" s="617" t="str">
        <f t="shared" si="154"/>
        <v/>
      </c>
      <c r="D170" s="618" t="str">
        <f t="shared" si="155"/>
        <v/>
      </c>
      <c r="E170" s="616" t="str">
        <f t="shared" si="156"/>
        <v/>
      </c>
      <c r="F170" s="616" t="str">
        <f t="shared" si="157"/>
        <v/>
      </c>
      <c r="G170" s="619" t="str">
        <f>IF(Tree_Table1[[#This Row],[Tree Status  &amp;]]="Retain", Tables!$B$237, IF(Tree_Table1[[#This Row],[Tree Status  &amp;]]="Remove", Tables!$B$238, ""))</f>
        <v/>
      </c>
      <c r="H170" s="329"/>
      <c r="I170" s="330"/>
      <c r="J170" s="455"/>
      <c r="K170" s="327" t="str">
        <f>IFERROR(
    IF(
        AND($H170="Zoning: Tree Points", NOT(ISNUMBER(SEARCH("sp.", $C170)))),
        VLOOKUP($C170, 'Tree List'!$C$3:$F$601, 4, FALSE),
        ""
    ),
"")</f>
        <v/>
      </c>
      <c r="L170" s="328" t="str" cm="1">
        <f t="array" ref="L170">IFERROR(
IF(
    AND($H170="Zoning: Tree Points", NOT(ISNUMBER(SEARCH("sp.", $C170)))),
    _xlfn.IFS(
        (COUNTIFS('Tree List'!$C$3:$C$601,$C170,'Tree List'!$D$3:$D$601,"Coniferous")
        + COUNTIFS('Tree List'!$C$3:$C$601,$C170,'Tree List'!$D$3:$D$601,"Deciduous Conifer")) &gt; 0,
            _xlfn.IFS($K170="Small",0.5,$K170="Small/Medium",1,$K170="Medium/Large",1.4,$K170="Large",1.8),
        (COUNTIFS('Tree List'!$C$3:$C$601,$C170,'Tree List'!$D$3:$D$601,"Deciduous")
        + COUNTIFS('Tree List'!$C$3:$C$601,$C170,'Tree List'!$D$3:$D$601,"Broadleaf Evergreen")) &gt; 0,
            _xlfn.IFS($K170="Small",0.4,$K170="Small/Medium",0.8,$K170="Medium/Large",1.2,$K170="Large",1.6)
    ),
    ""
),
"")</f>
        <v/>
      </c>
      <c r="M170" s="476" t="str">
        <f t="shared" si="0"/>
        <v/>
      </c>
      <c r="N170" s="347" t="str" cm="1">
        <f t="array" aca="1" ref="N17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IF(AND(_xlpm.baseRow,ISNA(MATCH($C170,'Tree List'!$C$3:$C$601,0)),SUMPRODUCT(--ISNUMBER(SEARCH(Tables2!$C$677:$C$772,$O170)))&gt;0),
Error!$B$57,
IF(AND(_xlpm.hasDM,$F170="Remove",$H170&lt;&gt;"",OR($I170="On-site replacement",$I170="Off-site replacement",$I170="Payment In Lieu")),
Error!$B$56,
IF(AND(_xlpm.hasDM,$F170="Remove",$H170&lt;&gt;"",$I170="Relocation"),
Error!$B$66,
IF(AND(OR(_xlpm.hasCN,_xlpm.hasPH,_xlpm.hasGR),$H170&lt;&gt;"",COUNTIF(Tables!$B$132:$B$134,$H170)&gt;0,$I170="N/A (No replacement required)"),
Error!$B$62,
IF(AND(_xlpm.baseRow,$E170&lt;&gt;"",ISNA(MATCH($E170,Tables!$B$225:$B$232,0))),
Error!$B$2,
IF(AND(_xlpm.baseRow,$F170&lt;&gt;"",ISNA(MATCH($F170,Tables!$B$234:$B$235,0))),
Error!$B$24,
IF(AND(_xlpm.baseRow,_xlpm.ECA_H&gt;0,_xlpm.Shore_H&gt;0),
Error!$B$16,
IF(AND(_xlpm.baseRow,$E170&lt;&gt;"",$D170=""),
Error!$B$3,
IF(AND(_xlpm.baseRow,OR($E170="Tier 3",$E170="Tier 4"),$C170&lt;&gt;"",$D170&gt;=24,COUNTIF(Tables2!$B$166:$B$674,$C170)&gt;0),
Error!$B$44,
IF(AND(_xlpm.baseRow,OR($E170="Tier 3",$E170="Tier 4"),$C170&lt;&gt;"",$D170&lt;&gt;"",COUNTIF(Tables2!$B$73:$B$152,$C170)&gt;0,
$D170&gt;=IFERROR(INDEX(Tables2!$C$73:$C$152,MATCH($C170,Tables2!$B$73:$B$152,0)),-1)),
Error!$B$44,
IF(AND(_xlpm.baseRow,OR($E170="Tier 2",$E170="Tier 2 Grove"),$C170&lt;&gt;"",$D170&gt;=12,COUNTIF(Tables2!$B$153:$B$162,$C170)&gt;0),
Error!$B$45,
IF(AND(_xlpm.baseRow,$E170="Tier 2 Grove",$D170&lt;12),
Error!$B$41,
IF(AND(_xlpm.baseRow,$E170="Tier 2",$D170&lt;5.88),
Error!$B$40,
IF(AND(_xlpm.baseRow,OR($E170="Tier 2",$E170="Tier 2 Grove"),$C170&lt;&gt;"",$D170&lt;12,$D170&gt;=6,COUNTIF(Tables2!$B$153:$B$162,$C170)&gt;0),
Error!$B$54,
IF(AND(_xlpm.baseRow,$E170="Tier 2",COUNTIF(Tables2!$B$166:$B$674,$C170)&gt;0,$D170&lt;24),
Error!$B$54,
IF(AND(_xlpm.baseRow,$E170="Tier 3",ISNA(MATCH($C170,Tables2!$B$153:$B$162,0)),OR($D170&lt;12,$D170&gt;=24)),
Error!$B$9,
IF(AND(_xlpm.baseRow,$E170="Tier 3",COUNTIF(Tables2!$B$153:$B$162,$C170)&gt;0,$D170&lt;12),
Error!$B$46,
IF(AND(_xlpm.baseRow,$E170="Tier 4",OR($D170&lt;6,$D170&gt;=12)),
Error!$B$10,
IF(AND(_xlpm.baseRow,$E170="&lt;6in DSH for Tree Points",OR($D170&gt;=6,$D170="")),
Error!$B$8,
IF(AND(_xlpm.baseRow,$E170="Street Tree for Green Factor",$F170&lt;&gt;"",$F170&lt;&gt;"Retain"),
Error!$B$14,
IF(AND($E170="&lt;6in DSH for Tree Points",$F170="Retain",$H170&lt;&gt;"",ISNA(MATCH($H170,Tables!$B$174:$B$174,0))),
Error!$B$15,
IF(AND($E170="Street Tree for Green Factor",$F170="Retain",$H170&lt;&gt;"",$H170&lt;&gt;"Zoning: Green Factor"),
Error!$B$15,
IF(AND($E170="ECA / Shoreline Tree",$F170="Remove",$H170&lt;&gt;"",ISNA(MATCH($H170,Tables!$B$189:$B$190,0))),
Error!$B$15,
IF(AND($E170="ECA / Shoreline Tree",$F170="Retain",$H170&lt;&gt;"",ISNA(MATCH($H170,Tables!$B$184:$B$186,0))),
Error!$B$15,
IF(AND($E170="Tier 4",$F170="Remove",$H170&lt;&gt;"",ISNA(MATCH($H170,Tables!$B$171,0))),
Error!$B$15,
IF(AND($E170="Tier 4",$F170="Retain",$H170&lt;&gt;"",ISNA(MATCH($H170,Tables!$B$166:$B$168,0))),
Error!$B$15,
IF(AND($E170="Tier 3",$F170="Retain",$H170&lt;&gt;"",ISNA(MATCH($H170,Tables!$B$158:$B$160,0))),
Error!$B$15,
IF(AND($E170="Tier 3",$F170="Remove",$H170&lt;&gt;"",ISNA(MATCH($H170,Tables!$B$163,0))),
Error!$B$15,
IF(AND(OR($E170="Tier 2",$E170="Tier 2 Grove"),$F170="Remove",$H170&lt;&gt;"",ISNA(MATCH($H170,Tables!$B$153:$B$155,0))),
Error!$B$15,
IF(AND(OR($E170="Tier 2",$E170="Tier 2 Grove"),$F170="Retain",$H170&lt;&gt;"",ISNA(MATCH($H170,Tables!$B$147:$B$150,0))),
Error!$B$15,
IF(AND($E170="Tier 1",$F170="Remove",$H170&lt;&gt;"",ISNA(MATCH($H170,Tables!$B$143:$B$144,0))),
Error!$B$15,
IF(AND($E170="Tier 1",$F170="Retain",$H170&lt;&gt;"",ISNA(MATCH($H170,Tables!$B$137:$B$140,0))),
Error!$B$15,
IF(AND($E170&lt;&gt;"Tier 2",$E170&lt;&gt;"Tier 2 Grove",$E170&lt;&gt;"Tier 3",$E170&lt;&gt;"Tier 4",$H170="Zoning: Green Factor",OR($D170="",$D170&lt;6)),
Error!$B$11,
IF(AND(_xlpm.baseRow,$D170&lt;6,$E170="&lt;6in DSH for Tree Points",_xlpm.TreePoints_H=0),
Error!$B$21,
IF(AND(_xlpm.baseRow,$E170&lt;&gt;"",$D170&lt;&gt;"",$F170=""),
Error!$B$4,
IF(AND(_xlpm.baseRow,$F170="Remove",OR($E170="Tier 1",$E170="Tier 2",$E170="Tier 2 Grove"),COUNTBLANK(_xlpm.HRange)&lt;3,_xlpm.uniqueH&gt;=2),
Error!$B$48,
IF(AND(_xlpm.baseRow,$F170="Retain",OR($E170="Tier 1",$E170="Tier 2",$E170="Tier 2 Grove"),COUNTIF(_xlpm.HRange,"Tree Code: Required to Retain Tier 1-2 Tree")=0),
Error!$B$47,
IF(AND(_xlpm.baseRow,$E170&lt;&gt;"",$D170&lt;&gt;"",$F170&lt;&gt;"",COUNTBLANK(_xlpm.HRange)=4),
Error!$B$5,
IF(AND($F170="Remove",$H170&lt;&gt;"",$I170=""),
Error!$B$18,
IF(AND($E170="Tier 4",$F170="Remove",$H170="Tree Protection Code: Tier 3 or Tier 4 Allowance",$H170&lt;&gt;"",ISNA(MATCH($I170,Tables!$B$200,0))),
Error!$B$17,
IF(AND($E170="Tier 3",$F170="Remove",$H170&lt;&gt;"",$H170="Tree Protection Code: Tier 3 or Tier 4 Allowance",OR($I170="",ISNA(MATCH($I170,Tables!$B$193:$B$197,0)))),
Error!$B$17,
IF(AND(OR($E170="Tier 2",$E170="Tier 2 Grove"),$F170="Remove",$H170="Tree Protection Code: Other removal allowance or exemption",$I170&lt;&gt;"",ISNA(MATCH($I170,Tables!$B$215:$B$218,0))),
Error!$B$17,
IF(AND(OR($E170="Tier 2",$E170="Tier 2 Grove"),$F170="Remove",$H170="Tree Protection Code: Development Capacity",$I170&lt;&gt;"",ISNA(MATCH($I170,Tables!$B$193:$B$197,0))),
Error!$B$17,
IF(AND(OR($E170="Tier 2",$E170="Tier 2 Grove"),$F170="Remove",$H170="Tree Protection Code: Necessary for Construction",$I170&lt;&gt;"",ISNA(MATCH($I170,Tables!$B$193:$B$197,0))),
Error!$B$17,
IF(AND($E170="Tier 1",$F170="Remove",$H170="Tree Protection Code: Special Exception",$I170&lt;&gt;"",ISNA(MATCH($I170,Tables!$B$215:$B$218,0))),
Error!$B$17,
IF(AND($E170="Tier 1",$F170="Remove",$H170="Tree Protection Code: Other removal allowance or exemption",$I170&lt;&gt;"",ISNA(MATCH($I170,Tables!$B$215:$B$218,0))),
Error!$B$17,
IF(AND($E170="ECA / Shoreline Tree",$F170="Remove",$H170&lt;&gt;"",OR($H170="Shoreline",$H170="Environmental Critical Area (ECA)"),ISNA(MATCH($I170,Tables!$B$209:$B$212,0))),
Error!$B$17,
IF(AND(_xlpm.baseRow,$F170="Retain",$E170="ECA / Shoreline Tree",_xlpm.ECA_Short=0),
Error!$B$61,
IF(AND($F170="Remove",ISNUMBER(MATCH($E170,{"Tier 1","Tier 2","Tier 3","Tier 4","Tier 2 Grove"},0)),ISNUMBER(MATCH($I170,{"On-site replacement","Off-site replacement"},0)),$J170="",$H170&lt;&gt;""),
Error!$B$19,
IF(AND(_xlpm.baseRow,$E170&lt;&gt;"",$D170&lt;&gt;"",$F170&lt;&gt;"",COUNTBLANK($B170:$C170)&gt;0,COUNTBLANK(_xlpm.HRange)&lt;&gt;4),
Error!$B$22,
IF(AND($H170="Zoning: Tree Points",$K170&lt;&gt;"",ISNA(MATCH($K170,Tables!$B$242:$B$253,0))),
Error!$B$58,
IF(AND($H170="Zoning: Tree Points",$K170="Small",$L170&lt;&gt;"",ISNA(MATCH($L170,Tables!$C$243:$C$244,0))),
Error!$B$59,
IF(AND($H170="Zoning: Tree Points",$K170="Small/Medium",$L170&lt;&gt;"",ISNA(MATCH($L170,Tables!$C$246:$C$247,0))),
Error!$B$59,
IF(AND($H170="Zoning: Tree Points",$K170="Medium/Large",$L170&lt;&gt;"",ISNA(MATCH($L170,Tables!$C$249:$C$250,0))),
Error!$B$59,
IF(AND($H170="Zoning: Tree Points",$K170="Large",$L170&lt;&gt;"",ISNA(MATCH($L170,Tables!$C$252:$C$253,0))),
Error!$B$59,
IF(AND($F170="Retain",$H170="Zoning: Tree Points",$C170&lt;&gt;"",$D170&lt;&gt;"",OR($K170="",$L170="",$M170="")),
Error!$B$20,
""
)))))))))))))))))))))))))))))))))))))))))))))))))))))))),
Error!$B$23))</f>
        <v/>
      </c>
      <c r="O170" s="343" t="str" cm="1">
        <f t="array" aca="1" ref="O170" ca="1">IFERROR(_xlfn.LET(
    _xlpm.txt, $C170,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71" spans="1:15" ht="15" thickBot="1" x14ac:dyDescent="0.35">
      <c r="A171" s="311">
        <v>41</v>
      </c>
      <c r="B171" s="312"/>
      <c r="C171" s="313"/>
      <c r="D171" s="478"/>
      <c r="E171" s="314"/>
      <c r="F171" s="314"/>
      <c r="G171" s="315" t="str">
        <f>IF(Tree_Table1[[#This Row],[Tree Status  &amp;]]="Retain", Tables!$B$237, IF(Tree_Table1[[#This Row],[Tree Status  &amp;]]="Remove", Tables!$B$238, ""))</f>
        <v/>
      </c>
      <c r="H171" s="316"/>
      <c r="I171" s="317"/>
      <c r="J171" s="452"/>
      <c r="K171" s="318" t="str">
        <f>IFERROR(
    IF(
        AND($H171="Zoning: Tree Points", NOT(ISNUMBER(SEARCH("sp.", $C171)))),
        VLOOKUP($C171, 'Tree List'!$C$3:$F$601, 4, FALSE),
        ""
    ),
"")</f>
        <v/>
      </c>
      <c r="L171" s="319" t="str" cm="1">
        <f t="array" ref="L171">IFERROR(
IF(
    AND($H171="Zoning: Tree Points", NOT(ISNUMBER(SEARCH("sp.", $C171)))),
    _xlfn.IFS(
        (COUNTIFS('Tree List'!$C$3:$C$601,$C171,'Tree List'!$D$3:$D$601,"Coniferous")
        + COUNTIFS('Tree List'!$C$3:$C$601,$C171,'Tree List'!$D$3:$D$601,"Deciduous Conifer")) &gt; 0,
            _xlfn.IFS($K171="Small",0.5,$K171="Small/Medium",1,$K171="Medium/Large",1.4,$K171="Large",1.8),
        (COUNTIFS('Tree List'!$C$3:$C$601,$C171,'Tree List'!$D$3:$D$601,"Deciduous")
        + COUNTIFS('Tree List'!$C$3:$C$601,$C171,'Tree List'!$D$3:$D$601,"Broadleaf Evergreen")) &gt; 0,
            _xlfn.IFS($K171="Small",0.4,$K171="Small/Medium",0.8,$K171="Medium/Large",1.2,$K171="Large",1.6)
    ),
    ""
),
"")</f>
        <v/>
      </c>
      <c r="M171" s="474" t="str">
        <f t="shared" si="0"/>
        <v/>
      </c>
      <c r="N171" s="620" t="str" cm="1">
        <f t="array" aca="1" ref="N17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IF(AND(_xlpm.baseRow,ISNA(MATCH($C171,'Tree List'!$C$3:$C$601,0)),SUMPRODUCT(--ISNUMBER(SEARCH(Tables2!$C$677:$C$772,$O171)))&gt;0),
Error!$B$57,
IF(AND(_xlpm.hasDM,$F171="Remove",$H171&lt;&gt;"",OR($I171="On-site replacement",$I171="Off-site replacement",$I171="Payment In Lieu")),
Error!$B$56,
IF(AND(_xlpm.hasDM,$F171="Remove",$H171&lt;&gt;"",$I171="Relocation"),
Error!$B$66,
IF(AND(OR(_xlpm.hasCN,_xlpm.hasPH,_xlpm.hasGR),$H171&lt;&gt;"",COUNTIF(Tables!$B$132:$B$134,$H171)&gt;0,$I171="N/A (No replacement required)"),
Error!$B$62,
IF(AND(_xlpm.baseRow,$E171&lt;&gt;"",ISNA(MATCH($E171,Tables!$B$225:$B$232,0))),
Error!$B$2,
IF(AND(_xlpm.baseRow,$F171&lt;&gt;"",ISNA(MATCH($F171,Tables!$B$234:$B$235,0))),
Error!$B$24,
IF(AND(_xlpm.baseRow,_xlpm.ECA_H&gt;0,_xlpm.Shore_H&gt;0),
Error!$B$16,
IF(AND(_xlpm.baseRow,$E171&lt;&gt;"",$D171=""),
Error!$B$3,
IF(AND(_xlpm.baseRow,OR($E171="Tier 3",$E171="Tier 4"),$C171&lt;&gt;"",$D171&gt;=24,COUNTIF(Tables2!$B$166:$B$674,$C171)&gt;0),
Error!$B$44,
IF(AND(_xlpm.baseRow,OR($E171="Tier 3",$E171="Tier 4"),$C171&lt;&gt;"",$D171&lt;&gt;"",COUNTIF(Tables2!$B$73:$B$152,$C171)&gt;0,
$D171&gt;=IFERROR(INDEX(Tables2!$C$73:$C$152,MATCH($C171,Tables2!$B$73:$B$152,0)),-1)),
Error!$B$44,
IF(AND(_xlpm.baseRow,OR($E171="Tier 2",$E171="Tier 2 Grove"),$C171&lt;&gt;"",$D171&gt;=12,COUNTIF(Tables2!$B$153:$B$162,$C171)&gt;0),
Error!$B$45,
IF(AND(_xlpm.baseRow,$E171="Tier 2 Grove",$D171&lt;12),
Error!$B$41,
IF(AND(_xlpm.baseRow,$E171="Tier 2",$D171&lt;5.88),
Error!$B$40,
IF(AND(_xlpm.baseRow,OR($E171="Tier 2",$E171="Tier 2 Grove"),$C171&lt;&gt;"",$D171&lt;12,$D171&gt;=6,COUNTIF(Tables2!$B$153:$B$162,$C171)&gt;0),
Error!$B$54,
IF(AND(_xlpm.baseRow,$E171="Tier 2",COUNTIF(Tables2!$B$166:$B$674,$C171)&gt;0,$D171&lt;24),
Error!$B$54,
IF(AND(_xlpm.baseRow,$E171="Tier 3",ISNA(MATCH($C171,Tables2!$B$153:$B$162,0)),OR($D171&lt;12,$D171&gt;=24)),
Error!$B$9,
IF(AND(_xlpm.baseRow,$E171="Tier 3",COUNTIF(Tables2!$B$153:$B$162,$C171)&gt;0,$D171&lt;12),
Error!$B$46,
IF(AND(_xlpm.baseRow,$E171="Tier 4",OR($D171&lt;6,$D171&gt;=12)),
Error!$B$10,
IF(AND(_xlpm.baseRow,$E171="&lt;6in DSH for Tree Points",OR($D171&gt;=6,$D171="")),
Error!$B$8,
IF(AND(_xlpm.baseRow,$E171="Street Tree for Green Factor",$F171&lt;&gt;"",$F171&lt;&gt;"Retain"),
Error!$B$14,
IF(AND($E171="&lt;6in DSH for Tree Points",$F171="Retain",$H171&lt;&gt;"",ISNA(MATCH($H171,Tables!$B$174:$B$174,0))),
Error!$B$15,
IF(AND($E171="Street Tree for Green Factor",$F171="Retain",$H171&lt;&gt;"",$H171&lt;&gt;"Zoning: Green Factor"),
Error!$B$15,
IF(AND($E171="ECA / Shoreline Tree",$F171="Remove",$H171&lt;&gt;"",ISNA(MATCH($H171,Tables!$B$189:$B$190,0))),
Error!$B$15,
IF(AND($E171="ECA / Shoreline Tree",$F171="Retain",$H171&lt;&gt;"",ISNA(MATCH($H171,Tables!$B$184:$B$186,0))),
Error!$B$15,
IF(AND($E171="Tier 4",$F171="Remove",$H171&lt;&gt;"",ISNA(MATCH($H171,Tables!$B$171,0))),
Error!$B$15,
IF(AND($E171="Tier 4",$F171="Retain",$H171&lt;&gt;"",ISNA(MATCH($H171,Tables!$B$166:$B$168,0))),
Error!$B$15,
IF(AND($E171="Tier 3",$F171="Retain",$H171&lt;&gt;"",ISNA(MATCH($H171,Tables!$B$158:$B$160,0))),
Error!$B$15,
IF(AND($E171="Tier 3",$F171="Remove",$H171&lt;&gt;"",ISNA(MATCH($H171,Tables!$B$163,0))),
Error!$B$15,
IF(AND(OR($E171="Tier 2",$E171="Tier 2 Grove"),$F171="Remove",$H171&lt;&gt;"",ISNA(MATCH($H171,Tables!$B$153:$B$155,0))),
Error!$B$15,
IF(AND(OR($E171="Tier 2",$E171="Tier 2 Grove"),$F171="Retain",$H171&lt;&gt;"",ISNA(MATCH($H171,Tables!$B$147:$B$150,0))),
Error!$B$15,
IF(AND($E171="Tier 1",$F171="Remove",$H171&lt;&gt;"",ISNA(MATCH($H171,Tables!$B$143:$B$144,0))),
Error!$B$15,
IF(AND($E171="Tier 1",$F171="Retain",$H171&lt;&gt;"",ISNA(MATCH($H171,Tables!$B$137:$B$140,0))),
Error!$B$15,
IF(AND($E171&lt;&gt;"Tier 2",$E171&lt;&gt;"Tier 2 Grove",$E171&lt;&gt;"Tier 3",$E171&lt;&gt;"Tier 4",$H171="Zoning: Green Factor",OR($D171="",$D171&lt;6)),
Error!$B$11,
IF(AND(_xlpm.baseRow,$D171&lt;6,$E171="&lt;6in DSH for Tree Points",_xlpm.TreePoints_H=0),
Error!$B$21,
IF(AND(_xlpm.baseRow,$E171&lt;&gt;"",$D171&lt;&gt;"",$F171=""),
Error!$B$4,
IF(AND(_xlpm.baseRow,$F171="Remove",OR($E171="Tier 1",$E171="Tier 2",$E171="Tier 2 Grove"),COUNTBLANK(_xlpm.HRange)&lt;3,_xlpm.uniqueH&gt;=2),
Error!$B$48,
IF(AND(_xlpm.baseRow,$F171="Retain",OR($E171="Tier 1",$E171="Tier 2",$E171="Tier 2 Grove"),COUNTIF(_xlpm.HRange,"Tree Code: Required to Retain Tier 1-2 Tree")=0),
Error!$B$47,
IF(AND(_xlpm.baseRow,$E171&lt;&gt;"",$D171&lt;&gt;"",$F171&lt;&gt;"",COUNTBLANK(_xlpm.HRange)=4),
Error!$B$5,
IF(AND($F171="Remove",$H171&lt;&gt;"",$I171=""),
Error!$B$18,
IF(AND($E171="Tier 4",$F171="Remove",$H171="Tree Protection Code: Tier 3 or Tier 4 Allowance",$H171&lt;&gt;"",ISNA(MATCH($I171,Tables!$B$200,0))),
Error!$B$17,
IF(AND($E171="Tier 3",$F171="Remove",$H171&lt;&gt;"",$H171="Tree Protection Code: Tier 3 or Tier 4 Allowance",OR($I171="",ISNA(MATCH($I171,Tables!$B$193:$B$197,0)))),
Error!$B$17,
IF(AND(OR($E171="Tier 2",$E171="Tier 2 Grove"),$F171="Remove",$H171="Tree Protection Code: Other removal allowance or exemption",$I171&lt;&gt;"",ISNA(MATCH($I171,Tables!$B$215:$B$218,0))),
Error!$B$17,
IF(AND(OR($E171="Tier 2",$E171="Tier 2 Grove"),$F171="Remove",$H171="Tree Protection Code: Development Capacity",$I171&lt;&gt;"",ISNA(MATCH($I171,Tables!$B$193:$B$197,0))),
Error!$B$17,
IF(AND(OR($E171="Tier 2",$E171="Tier 2 Grove"),$F171="Remove",$H171="Tree Protection Code: Necessary for Construction",$I171&lt;&gt;"",ISNA(MATCH($I171,Tables!$B$193:$B$197,0))),
Error!$B$17,
IF(AND($E171="Tier 1",$F171="Remove",$H171="Tree Protection Code: Special Exception",$I171&lt;&gt;"",ISNA(MATCH($I171,Tables!$B$215:$B$218,0))),
Error!$B$17,
IF(AND($E171="Tier 1",$F171="Remove",$H171="Tree Protection Code: Other removal allowance or exemption",$I171&lt;&gt;"",ISNA(MATCH($I171,Tables!$B$215:$B$218,0))),
Error!$B$17,
IF(AND($E171="ECA / Shoreline Tree",$F171="Remove",$H171&lt;&gt;"",OR($H171="Shoreline",$H171="Environmental Critical Area (ECA)"),ISNA(MATCH($I171,Tables!$B$209:$B$212,0))),
Error!$B$17,
IF(AND(_xlpm.baseRow,$F171="Retain",$E171="ECA / Shoreline Tree",_xlpm.ECA_Short=0),
Error!$B$61,
IF(AND($F171="Remove",ISNUMBER(MATCH($E171,{"Tier 1","Tier 2","Tier 3","Tier 4","Tier 2 Grove"},0)),ISNUMBER(MATCH($I171,{"On-site replacement","Off-site replacement"},0)),$J171="",$H171&lt;&gt;""),
Error!$B$19,
IF(AND(_xlpm.baseRow,$E171&lt;&gt;"",$D171&lt;&gt;"",$F171&lt;&gt;"",COUNTBLANK($B171:$C171)&gt;0,COUNTBLANK(_xlpm.HRange)&lt;&gt;4),
Error!$B$22,
IF(AND($H171="Zoning: Tree Points",$K171&lt;&gt;"",ISNA(MATCH($K171,Tables!$B$242:$B$253,0))),
Error!$B$58,
IF(AND($H171="Zoning: Tree Points",$K171="Small",$L171&lt;&gt;"",ISNA(MATCH($L171,Tables!$C$243:$C$244,0))),
Error!$B$59,
IF(AND($H171="Zoning: Tree Points",$K171="Small/Medium",$L171&lt;&gt;"",ISNA(MATCH($L171,Tables!$C$246:$C$247,0))),
Error!$B$59,
IF(AND($H171="Zoning: Tree Points",$K171="Medium/Large",$L171&lt;&gt;"",ISNA(MATCH($L171,Tables!$C$249:$C$250,0))),
Error!$B$59,
IF(AND($H171="Zoning: Tree Points",$K171="Large",$L171&lt;&gt;"",ISNA(MATCH($L171,Tables!$C$252:$C$253,0))),
Error!$B$59,
IF(AND($F171="Retain",$H171="Zoning: Tree Points",$C171&lt;&gt;"",$D171&lt;&gt;"",OR($K171="",$L171="",$M171="")),
Error!$B$20,
""
)))))))))))))))))))))))))))))))))))))))))))))))))))))))),
Error!$B$23))</f>
        <v/>
      </c>
      <c r="O171" s="343" t="str" cm="1">
        <f t="array" aca="1" ref="O171" ca="1">IFERROR(_xlfn.LET(
    _xlpm.txt, $C171,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72" spans="1:15" x14ac:dyDescent="0.3">
      <c r="A172" s="320"/>
      <c r="B172" s="616" t="str">
        <f t="shared" ref="B172:B174" si="158">IF($B171="", "", $B171)</f>
        <v/>
      </c>
      <c r="C172" s="617" t="str">
        <f t="shared" ref="C172:C174" si="159">IF($C171="", "", $C171)</f>
        <v/>
      </c>
      <c r="D172" s="618" t="str">
        <f t="shared" ref="D172:D174" si="160">IF($D171="", "", $D171)</f>
        <v/>
      </c>
      <c r="E172" s="616" t="str">
        <f t="shared" ref="E172:E174" si="161">IF($E171="", "", $E171)</f>
        <v/>
      </c>
      <c r="F172" s="616" t="str">
        <f t="shared" ref="F172:F174" si="162">IF($F171="", "", $F171)</f>
        <v/>
      </c>
      <c r="G172" s="619" t="str">
        <f>IF(Tree_Table1[[#This Row],[Tree Status  &amp;]]="Retain", Tables!$B$237, IF(Tree_Table1[[#This Row],[Tree Status  &amp;]]="Remove", Tables!$B$238, ""))</f>
        <v/>
      </c>
      <c r="H172" s="321"/>
      <c r="I172" s="322"/>
      <c r="J172" s="453"/>
      <c r="K172" s="323" t="str">
        <f>IFERROR(
    IF(
        AND($H172="Zoning: Tree Points", NOT(ISNUMBER(SEARCH("sp.", $C172)))),
        VLOOKUP($C172, 'Tree List'!$C$3:$F$601, 4, FALSE),
        ""
    ),
"")</f>
        <v/>
      </c>
      <c r="L172" s="324" t="str" cm="1">
        <f t="array" ref="L172">IFERROR(
IF(
    AND($H172="Zoning: Tree Points", NOT(ISNUMBER(SEARCH("sp.", $C172)))),
    _xlfn.IFS(
        (COUNTIFS('Tree List'!$C$3:$C$601,$C172,'Tree List'!$D$3:$D$601,"Coniferous")
        + COUNTIFS('Tree List'!$C$3:$C$601,$C172,'Tree List'!$D$3:$D$601,"Deciduous Conifer")) &gt; 0,
            _xlfn.IFS($K172="Small",0.5,$K172="Small/Medium",1,$K172="Medium/Large",1.4,$K172="Large",1.8),
        (COUNTIFS('Tree List'!$C$3:$C$601,$C172,'Tree List'!$D$3:$D$601,"Deciduous")
        + COUNTIFS('Tree List'!$C$3:$C$601,$C172,'Tree List'!$D$3:$D$601,"Broadleaf Evergreen")) &gt; 0,
            _xlfn.IFS($K172="Small",0.4,$K172="Small/Medium",0.8,$K172="Medium/Large",1.2,$K172="Large",1.6)
    ),
    ""
),
"")</f>
        <v/>
      </c>
      <c r="M172" s="475" t="str">
        <f t="shared" si="0"/>
        <v/>
      </c>
      <c r="N172" s="346" t="str" cm="1">
        <f t="array" aca="1" ref="N17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IF(AND(_xlpm.baseRow,ISNA(MATCH($C172,'Tree List'!$C$3:$C$601,0)),SUMPRODUCT(--ISNUMBER(SEARCH(Tables2!$C$677:$C$772,$O172)))&gt;0),
Error!$B$57,
IF(AND(_xlpm.hasDM,$F172="Remove",$H172&lt;&gt;"",OR($I172="On-site replacement",$I172="Off-site replacement",$I172="Payment In Lieu")),
Error!$B$56,
IF(AND(_xlpm.hasDM,$F172="Remove",$H172&lt;&gt;"",$I172="Relocation"),
Error!$B$66,
IF(AND(OR(_xlpm.hasCN,_xlpm.hasPH,_xlpm.hasGR),$H172&lt;&gt;"",COUNTIF(Tables!$B$132:$B$134,$H172)&gt;0,$I172="N/A (No replacement required)"),
Error!$B$62,
IF(AND(_xlpm.baseRow,$E172&lt;&gt;"",ISNA(MATCH($E172,Tables!$B$225:$B$232,0))),
Error!$B$2,
IF(AND(_xlpm.baseRow,$F172&lt;&gt;"",ISNA(MATCH($F172,Tables!$B$234:$B$235,0))),
Error!$B$24,
IF(AND(_xlpm.baseRow,_xlpm.ECA_H&gt;0,_xlpm.Shore_H&gt;0),
Error!$B$16,
IF(AND(_xlpm.baseRow,$E172&lt;&gt;"",$D172=""),
Error!$B$3,
IF(AND(_xlpm.baseRow,OR($E172="Tier 3",$E172="Tier 4"),$C172&lt;&gt;"",$D172&gt;=24,COUNTIF(Tables2!$B$166:$B$674,$C172)&gt;0),
Error!$B$44,
IF(AND(_xlpm.baseRow,OR($E172="Tier 3",$E172="Tier 4"),$C172&lt;&gt;"",$D172&lt;&gt;"",COUNTIF(Tables2!$B$73:$B$152,$C172)&gt;0,
$D172&gt;=IFERROR(INDEX(Tables2!$C$73:$C$152,MATCH($C172,Tables2!$B$73:$B$152,0)),-1)),
Error!$B$44,
IF(AND(_xlpm.baseRow,OR($E172="Tier 2",$E172="Tier 2 Grove"),$C172&lt;&gt;"",$D172&gt;=12,COUNTIF(Tables2!$B$153:$B$162,$C172)&gt;0),
Error!$B$45,
IF(AND(_xlpm.baseRow,$E172="Tier 2 Grove",$D172&lt;12),
Error!$B$41,
IF(AND(_xlpm.baseRow,$E172="Tier 2",$D172&lt;5.88),
Error!$B$40,
IF(AND(_xlpm.baseRow,OR($E172="Tier 2",$E172="Tier 2 Grove"),$C172&lt;&gt;"",$D172&lt;12,$D172&gt;=6,COUNTIF(Tables2!$B$153:$B$162,$C172)&gt;0),
Error!$B$54,
IF(AND(_xlpm.baseRow,$E172="Tier 2",COUNTIF(Tables2!$B$166:$B$674,$C172)&gt;0,$D172&lt;24),
Error!$B$54,
IF(AND(_xlpm.baseRow,$E172="Tier 3",ISNA(MATCH($C172,Tables2!$B$153:$B$162,0)),OR($D172&lt;12,$D172&gt;=24)),
Error!$B$9,
IF(AND(_xlpm.baseRow,$E172="Tier 3",COUNTIF(Tables2!$B$153:$B$162,$C172)&gt;0,$D172&lt;12),
Error!$B$46,
IF(AND(_xlpm.baseRow,$E172="Tier 4",OR($D172&lt;6,$D172&gt;=12)),
Error!$B$10,
IF(AND(_xlpm.baseRow,$E172="&lt;6in DSH for Tree Points",OR($D172&gt;=6,$D172="")),
Error!$B$8,
IF(AND(_xlpm.baseRow,$E172="Street Tree for Green Factor",$F172&lt;&gt;"",$F172&lt;&gt;"Retain"),
Error!$B$14,
IF(AND($E172="&lt;6in DSH for Tree Points",$F172="Retain",$H172&lt;&gt;"",ISNA(MATCH($H172,Tables!$B$174:$B$174,0))),
Error!$B$15,
IF(AND($E172="Street Tree for Green Factor",$F172="Retain",$H172&lt;&gt;"",$H172&lt;&gt;"Zoning: Green Factor"),
Error!$B$15,
IF(AND($E172="ECA / Shoreline Tree",$F172="Remove",$H172&lt;&gt;"",ISNA(MATCH($H172,Tables!$B$189:$B$190,0))),
Error!$B$15,
IF(AND($E172="ECA / Shoreline Tree",$F172="Retain",$H172&lt;&gt;"",ISNA(MATCH($H172,Tables!$B$184:$B$186,0))),
Error!$B$15,
IF(AND($E172="Tier 4",$F172="Remove",$H172&lt;&gt;"",ISNA(MATCH($H172,Tables!$B$171,0))),
Error!$B$15,
IF(AND($E172="Tier 4",$F172="Retain",$H172&lt;&gt;"",ISNA(MATCH($H172,Tables!$B$166:$B$168,0))),
Error!$B$15,
IF(AND($E172="Tier 3",$F172="Retain",$H172&lt;&gt;"",ISNA(MATCH($H172,Tables!$B$158:$B$160,0))),
Error!$B$15,
IF(AND($E172="Tier 3",$F172="Remove",$H172&lt;&gt;"",ISNA(MATCH($H172,Tables!$B$163,0))),
Error!$B$15,
IF(AND(OR($E172="Tier 2",$E172="Tier 2 Grove"),$F172="Remove",$H172&lt;&gt;"",ISNA(MATCH($H172,Tables!$B$153:$B$155,0))),
Error!$B$15,
IF(AND(OR($E172="Tier 2",$E172="Tier 2 Grove"),$F172="Retain",$H172&lt;&gt;"",ISNA(MATCH($H172,Tables!$B$147:$B$150,0))),
Error!$B$15,
IF(AND($E172="Tier 1",$F172="Remove",$H172&lt;&gt;"",ISNA(MATCH($H172,Tables!$B$143:$B$144,0))),
Error!$B$15,
IF(AND($E172="Tier 1",$F172="Retain",$H172&lt;&gt;"",ISNA(MATCH($H172,Tables!$B$137:$B$140,0))),
Error!$B$15,
IF(AND($E172&lt;&gt;"Tier 2",$E172&lt;&gt;"Tier 2 Grove",$E172&lt;&gt;"Tier 3",$E172&lt;&gt;"Tier 4",$H172="Zoning: Green Factor",OR($D172="",$D172&lt;6)),
Error!$B$11,
IF(AND(_xlpm.baseRow,$D172&lt;6,$E172="&lt;6in DSH for Tree Points",_xlpm.TreePoints_H=0),
Error!$B$21,
IF(AND(_xlpm.baseRow,$E172&lt;&gt;"",$D172&lt;&gt;"",$F172=""),
Error!$B$4,
IF(AND(_xlpm.baseRow,$F172="Remove",OR($E172="Tier 1",$E172="Tier 2",$E172="Tier 2 Grove"),COUNTBLANK(_xlpm.HRange)&lt;3,_xlpm.uniqueH&gt;=2),
Error!$B$48,
IF(AND(_xlpm.baseRow,$F172="Retain",OR($E172="Tier 1",$E172="Tier 2",$E172="Tier 2 Grove"),COUNTIF(_xlpm.HRange,"Tree Code: Required to Retain Tier 1-2 Tree")=0),
Error!$B$47,
IF(AND(_xlpm.baseRow,$E172&lt;&gt;"",$D172&lt;&gt;"",$F172&lt;&gt;"",COUNTBLANK(_xlpm.HRange)=4),
Error!$B$5,
IF(AND($F172="Remove",$H172&lt;&gt;"",$I172=""),
Error!$B$18,
IF(AND($E172="Tier 4",$F172="Remove",$H172="Tree Protection Code: Tier 3 or Tier 4 Allowance",$H172&lt;&gt;"",ISNA(MATCH($I172,Tables!$B$200,0))),
Error!$B$17,
IF(AND($E172="Tier 3",$F172="Remove",$H172&lt;&gt;"",$H172="Tree Protection Code: Tier 3 or Tier 4 Allowance",OR($I172="",ISNA(MATCH($I172,Tables!$B$193:$B$197,0)))),
Error!$B$17,
IF(AND(OR($E172="Tier 2",$E172="Tier 2 Grove"),$F172="Remove",$H172="Tree Protection Code: Other removal allowance or exemption",$I172&lt;&gt;"",ISNA(MATCH($I172,Tables!$B$215:$B$218,0))),
Error!$B$17,
IF(AND(OR($E172="Tier 2",$E172="Tier 2 Grove"),$F172="Remove",$H172="Tree Protection Code: Development Capacity",$I172&lt;&gt;"",ISNA(MATCH($I172,Tables!$B$193:$B$197,0))),
Error!$B$17,
IF(AND(OR($E172="Tier 2",$E172="Tier 2 Grove"),$F172="Remove",$H172="Tree Protection Code: Necessary for Construction",$I172&lt;&gt;"",ISNA(MATCH($I172,Tables!$B$193:$B$197,0))),
Error!$B$17,
IF(AND($E172="Tier 1",$F172="Remove",$H172="Tree Protection Code: Special Exception",$I172&lt;&gt;"",ISNA(MATCH($I172,Tables!$B$215:$B$218,0))),
Error!$B$17,
IF(AND($E172="Tier 1",$F172="Remove",$H172="Tree Protection Code: Other removal allowance or exemption",$I172&lt;&gt;"",ISNA(MATCH($I172,Tables!$B$215:$B$218,0))),
Error!$B$17,
IF(AND($E172="ECA / Shoreline Tree",$F172="Remove",$H172&lt;&gt;"",OR($H172="Shoreline",$H172="Environmental Critical Area (ECA)"),ISNA(MATCH($I172,Tables!$B$209:$B$212,0))),
Error!$B$17,
IF(AND(_xlpm.baseRow,$F172="Retain",$E172="ECA / Shoreline Tree",_xlpm.ECA_Short=0),
Error!$B$61,
IF(AND($F172="Remove",ISNUMBER(MATCH($E172,{"Tier 1","Tier 2","Tier 3","Tier 4","Tier 2 Grove"},0)),ISNUMBER(MATCH($I172,{"On-site replacement","Off-site replacement"},0)),$J172="",$H172&lt;&gt;""),
Error!$B$19,
IF(AND(_xlpm.baseRow,$E172&lt;&gt;"",$D172&lt;&gt;"",$F172&lt;&gt;"",COUNTBLANK($B172:$C172)&gt;0,COUNTBLANK(_xlpm.HRange)&lt;&gt;4),
Error!$B$22,
IF(AND($H172="Zoning: Tree Points",$K172&lt;&gt;"",ISNA(MATCH($K172,Tables!$B$242:$B$253,0))),
Error!$B$58,
IF(AND($H172="Zoning: Tree Points",$K172="Small",$L172&lt;&gt;"",ISNA(MATCH($L172,Tables!$C$243:$C$244,0))),
Error!$B$59,
IF(AND($H172="Zoning: Tree Points",$K172="Small/Medium",$L172&lt;&gt;"",ISNA(MATCH($L172,Tables!$C$246:$C$247,0))),
Error!$B$59,
IF(AND($H172="Zoning: Tree Points",$K172="Medium/Large",$L172&lt;&gt;"",ISNA(MATCH($L172,Tables!$C$249:$C$250,0))),
Error!$B$59,
IF(AND($H172="Zoning: Tree Points",$K172="Large",$L172&lt;&gt;"",ISNA(MATCH($L172,Tables!$C$252:$C$253,0))),
Error!$B$59,
IF(AND($F172="Retain",$H172="Zoning: Tree Points",$C172&lt;&gt;"",$D172&lt;&gt;"",OR($K172="",$L172="",$M172="")),
Error!$B$20,
""
)))))))))))))))))))))))))))))))))))))))))))))))))))))))),
Error!$B$23))</f>
        <v/>
      </c>
      <c r="O172" s="343" t="str" cm="1">
        <f t="array" aca="1" ref="O172" ca="1">IFERROR(_xlfn.LET(
    _xlpm.txt, $C172,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73" spans="1:15" x14ac:dyDescent="0.3">
      <c r="A173" s="320"/>
      <c r="B173" s="616" t="str">
        <f t="shared" si="158"/>
        <v/>
      </c>
      <c r="C173" s="617" t="str">
        <f t="shared" si="159"/>
        <v/>
      </c>
      <c r="D173" s="618" t="str">
        <f t="shared" si="160"/>
        <v/>
      </c>
      <c r="E173" s="616" t="str">
        <f t="shared" si="161"/>
        <v/>
      </c>
      <c r="F173" s="616" t="str">
        <f t="shared" si="162"/>
        <v/>
      </c>
      <c r="G173" s="619" t="str">
        <f>IF(Tree_Table1[[#This Row],[Tree Status  &amp;]]="Retain", Tables!$B$237, IF(Tree_Table1[[#This Row],[Tree Status  &amp;]]="Remove", Tables!$B$238, ""))</f>
        <v/>
      </c>
      <c r="H173" s="321"/>
      <c r="I173" s="322"/>
      <c r="J173" s="453"/>
      <c r="K173" s="323" t="str">
        <f>IFERROR(
    IF(
        AND($H173="Zoning: Tree Points", NOT(ISNUMBER(SEARCH("sp.", $C173)))),
        VLOOKUP($C173, 'Tree List'!$C$3:$F$601, 4, FALSE),
        ""
    ),
"")</f>
        <v/>
      </c>
      <c r="L173" s="324" t="str" cm="1">
        <f t="array" ref="L173">IFERROR(
IF(
    AND($H173="Zoning: Tree Points", NOT(ISNUMBER(SEARCH("sp.", $C173)))),
    _xlfn.IFS(
        (COUNTIFS('Tree List'!$C$3:$C$601,$C173,'Tree List'!$D$3:$D$601,"Coniferous")
        + COUNTIFS('Tree List'!$C$3:$C$601,$C173,'Tree List'!$D$3:$D$601,"Deciduous Conifer")) &gt; 0,
            _xlfn.IFS($K173="Small",0.5,$K173="Small/Medium",1,$K173="Medium/Large",1.4,$K173="Large",1.8),
        (COUNTIFS('Tree List'!$C$3:$C$601,$C173,'Tree List'!$D$3:$D$601,"Deciduous")
        + COUNTIFS('Tree List'!$C$3:$C$601,$C173,'Tree List'!$D$3:$D$601,"Broadleaf Evergreen")) &gt; 0,
            _xlfn.IFS($K173="Small",0.4,$K173="Small/Medium",0.8,$K173="Medium/Large",1.2,$K173="Large",1.6)
    ),
    ""
),
"")</f>
        <v/>
      </c>
      <c r="M173" s="475" t="str">
        <f t="shared" si="0"/>
        <v/>
      </c>
      <c r="N173" s="346" t="str" cm="1">
        <f t="array" aca="1" ref="N17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IF(AND(_xlpm.baseRow,ISNA(MATCH($C173,'Tree List'!$C$3:$C$601,0)),SUMPRODUCT(--ISNUMBER(SEARCH(Tables2!$C$677:$C$772,$O173)))&gt;0),
Error!$B$57,
IF(AND(_xlpm.hasDM,$F173="Remove",$H173&lt;&gt;"",OR($I173="On-site replacement",$I173="Off-site replacement",$I173="Payment In Lieu")),
Error!$B$56,
IF(AND(_xlpm.hasDM,$F173="Remove",$H173&lt;&gt;"",$I173="Relocation"),
Error!$B$66,
IF(AND(OR(_xlpm.hasCN,_xlpm.hasPH,_xlpm.hasGR),$H173&lt;&gt;"",COUNTIF(Tables!$B$132:$B$134,$H173)&gt;0,$I173="N/A (No replacement required)"),
Error!$B$62,
IF(AND(_xlpm.baseRow,$E173&lt;&gt;"",ISNA(MATCH($E173,Tables!$B$225:$B$232,0))),
Error!$B$2,
IF(AND(_xlpm.baseRow,$F173&lt;&gt;"",ISNA(MATCH($F173,Tables!$B$234:$B$235,0))),
Error!$B$24,
IF(AND(_xlpm.baseRow,_xlpm.ECA_H&gt;0,_xlpm.Shore_H&gt;0),
Error!$B$16,
IF(AND(_xlpm.baseRow,$E173&lt;&gt;"",$D173=""),
Error!$B$3,
IF(AND(_xlpm.baseRow,OR($E173="Tier 3",$E173="Tier 4"),$C173&lt;&gt;"",$D173&gt;=24,COUNTIF(Tables2!$B$166:$B$674,$C173)&gt;0),
Error!$B$44,
IF(AND(_xlpm.baseRow,OR($E173="Tier 3",$E173="Tier 4"),$C173&lt;&gt;"",$D173&lt;&gt;"",COUNTIF(Tables2!$B$73:$B$152,$C173)&gt;0,
$D173&gt;=IFERROR(INDEX(Tables2!$C$73:$C$152,MATCH($C173,Tables2!$B$73:$B$152,0)),-1)),
Error!$B$44,
IF(AND(_xlpm.baseRow,OR($E173="Tier 2",$E173="Tier 2 Grove"),$C173&lt;&gt;"",$D173&gt;=12,COUNTIF(Tables2!$B$153:$B$162,$C173)&gt;0),
Error!$B$45,
IF(AND(_xlpm.baseRow,$E173="Tier 2 Grove",$D173&lt;12),
Error!$B$41,
IF(AND(_xlpm.baseRow,$E173="Tier 2",$D173&lt;5.88),
Error!$B$40,
IF(AND(_xlpm.baseRow,OR($E173="Tier 2",$E173="Tier 2 Grove"),$C173&lt;&gt;"",$D173&lt;12,$D173&gt;=6,COUNTIF(Tables2!$B$153:$B$162,$C173)&gt;0),
Error!$B$54,
IF(AND(_xlpm.baseRow,$E173="Tier 2",COUNTIF(Tables2!$B$166:$B$674,$C173)&gt;0,$D173&lt;24),
Error!$B$54,
IF(AND(_xlpm.baseRow,$E173="Tier 3",ISNA(MATCH($C173,Tables2!$B$153:$B$162,0)),OR($D173&lt;12,$D173&gt;=24)),
Error!$B$9,
IF(AND(_xlpm.baseRow,$E173="Tier 3",COUNTIF(Tables2!$B$153:$B$162,$C173)&gt;0,$D173&lt;12),
Error!$B$46,
IF(AND(_xlpm.baseRow,$E173="Tier 4",OR($D173&lt;6,$D173&gt;=12)),
Error!$B$10,
IF(AND(_xlpm.baseRow,$E173="&lt;6in DSH for Tree Points",OR($D173&gt;=6,$D173="")),
Error!$B$8,
IF(AND(_xlpm.baseRow,$E173="Street Tree for Green Factor",$F173&lt;&gt;"",$F173&lt;&gt;"Retain"),
Error!$B$14,
IF(AND($E173="&lt;6in DSH for Tree Points",$F173="Retain",$H173&lt;&gt;"",ISNA(MATCH($H173,Tables!$B$174:$B$174,0))),
Error!$B$15,
IF(AND($E173="Street Tree for Green Factor",$F173="Retain",$H173&lt;&gt;"",$H173&lt;&gt;"Zoning: Green Factor"),
Error!$B$15,
IF(AND($E173="ECA / Shoreline Tree",$F173="Remove",$H173&lt;&gt;"",ISNA(MATCH($H173,Tables!$B$189:$B$190,0))),
Error!$B$15,
IF(AND($E173="ECA / Shoreline Tree",$F173="Retain",$H173&lt;&gt;"",ISNA(MATCH($H173,Tables!$B$184:$B$186,0))),
Error!$B$15,
IF(AND($E173="Tier 4",$F173="Remove",$H173&lt;&gt;"",ISNA(MATCH($H173,Tables!$B$171,0))),
Error!$B$15,
IF(AND($E173="Tier 4",$F173="Retain",$H173&lt;&gt;"",ISNA(MATCH($H173,Tables!$B$166:$B$168,0))),
Error!$B$15,
IF(AND($E173="Tier 3",$F173="Retain",$H173&lt;&gt;"",ISNA(MATCH($H173,Tables!$B$158:$B$160,0))),
Error!$B$15,
IF(AND($E173="Tier 3",$F173="Remove",$H173&lt;&gt;"",ISNA(MATCH($H173,Tables!$B$163,0))),
Error!$B$15,
IF(AND(OR($E173="Tier 2",$E173="Tier 2 Grove"),$F173="Remove",$H173&lt;&gt;"",ISNA(MATCH($H173,Tables!$B$153:$B$155,0))),
Error!$B$15,
IF(AND(OR($E173="Tier 2",$E173="Tier 2 Grove"),$F173="Retain",$H173&lt;&gt;"",ISNA(MATCH($H173,Tables!$B$147:$B$150,0))),
Error!$B$15,
IF(AND($E173="Tier 1",$F173="Remove",$H173&lt;&gt;"",ISNA(MATCH($H173,Tables!$B$143:$B$144,0))),
Error!$B$15,
IF(AND($E173="Tier 1",$F173="Retain",$H173&lt;&gt;"",ISNA(MATCH($H173,Tables!$B$137:$B$140,0))),
Error!$B$15,
IF(AND($E173&lt;&gt;"Tier 2",$E173&lt;&gt;"Tier 2 Grove",$E173&lt;&gt;"Tier 3",$E173&lt;&gt;"Tier 4",$H173="Zoning: Green Factor",OR($D173="",$D173&lt;6)),
Error!$B$11,
IF(AND(_xlpm.baseRow,$D173&lt;6,$E173="&lt;6in DSH for Tree Points",_xlpm.TreePoints_H=0),
Error!$B$21,
IF(AND(_xlpm.baseRow,$E173&lt;&gt;"",$D173&lt;&gt;"",$F173=""),
Error!$B$4,
IF(AND(_xlpm.baseRow,$F173="Remove",OR($E173="Tier 1",$E173="Tier 2",$E173="Tier 2 Grove"),COUNTBLANK(_xlpm.HRange)&lt;3,_xlpm.uniqueH&gt;=2),
Error!$B$48,
IF(AND(_xlpm.baseRow,$F173="Retain",OR($E173="Tier 1",$E173="Tier 2",$E173="Tier 2 Grove"),COUNTIF(_xlpm.HRange,"Tree Code: Required to Retain Tier 1-2 Tree")=0),
Error!$B$47,
IF(AND(_xlpm.baseRow,$E173&lt;&gt;"",$D173&lt;&gt;"",$F173&lt;&gt;"",COUNTBLANK(_xlpm.HRange)=4),
Error!$B$5,
IF(AND($F173="Remove",$H173&lt;&gt;"",$I173=""),
Error!$B$18,
IF(AND($E173="Tier 4",$F173="Remove",$H173="Tree Protection Code: Tier 3 or Tier 4 Allowance",$H173&lt;&gt;"",ISNA(MATCH($I173,Tables!$B$200,0))),
Error!$B$17,
IF(AND($E173="Tier 3",$F173="Remove",$H173&lt;&gt;"",$H173="Tree Protection Code: Tier 3 or Tier 4 Allowance",OR($I173="",ISNA(MATCH($I173,Tables!$B$193:$B$197,0)))),
Error!$B$17,
IF(AND(OR($E173="Tier 2",$E173="Tier 2 Grove"),$F173="Remove",$H173="Tree Protection Code: Other removal allowance or exemption",$I173&lt;&gt;"",ISNA(MATCH($I173,Tables!$B$215:$B$218,0))),
Error!$B$17,
IF(AND(OR($E173="Tier 2",$E173="Tier 2 Grove"),$F173="Remove",$H173="Tree Protection Code: Development Capacity",$I173&lt;&gt;"",ISNA(MATCH($I173,Tables!$B$193:$B$197,0))),
Error!$B$17,
IF(AND(OR($E173="Tier 2",$E173="Tier 2 Grove"),$F173="Remove",$H173="Tree Protection Code: Necessary for Construction",$I173&lt;&gt;"",ISNA(MATCH($I173,Tables!$B$193:$B$197,0))),
Error!$B$17,
IF(AND($E173="Tier 1",$F173="Remove",$H173="Tree Protection Code: Special Exception",$I173&lt;&gt;"",ISNA(MATCH($I173,Tables!$B$215:$B$218,0))),
Error!$B$17,
IF(AND($E173="Tier 1",$F173="Remove",$H173="Tree Protection Code: Other removal allowance or exemption",$I173&lt;&gt;"",ISNA(MATCH($I173,Tables!$B$215:$B$218,0))),
Error!$B$17,
IF(AND($E173="ECA / Shoreline Tree",$F173="Remove",$H173&lt;&gt;"",OR($H173="Shoreline",$H173="Environmental Critical Area (ECA)"),ISNA(MATCH($I173,Tables!$B$209:$B$212,0))),
Error!$B$17,
IF(AND(_xlpm.baseRow,$F173="Retain",$E173="ECA / Shoreline Tree",_xlpm.ECA_Short=0),
Error!$B$61,
IF(AND($F173="Remove",ISNUMBER(MATCH($E173,{"Tier 1","Tier 2","Tier 3","Tier 4","Tier 2 Grove"},0)),ISNUMBER(MATCH($I173,{"On-site replacement","Off-site replacement"},0)),$J173="",$H173&lt;&gt;""),
Error!$B$19,
IF(AND(_xlpm.baseRow,$E173&lt;&gt;"",$D173&lt;&gt;"",$F173&lt;&gt;"",COUNTBLANK($B173:$C173)&gt;0,COUNTBLANK(_xlpm.HRange)&lt;&gt;4),
Error!$B$22,
IF(AND($H173="Zoning: Tree Points",$K173&lt;&gt;"",ISNA(MATCH($K173,Tables!$B$242:$B$253,0))),
Error!$B$58,
IF(AND($H173="Zoning: Tree Points",$K173="Small",$L173&lt;&gt;"",ISNA(MATCH($L173,Tables!$C$243:$C$244,0))),
Error!$B$59,
IF(AND($H173="Zoning: Tree Points",$K173="Small/Medium",$L173&lt;&gt;"",ISNA(MATCH($L173,Tables!$C$246:$C$247,0))),
Error!$B$59,
IF(AND($H173="Zoning: Tree Points",$K173="Medium/Large",$L173&lt;&gt;"",ISNA(MATCH($L173,Tables!$C$249:$C$250,0))),
Error!$B$59,
IF(AND($H173="Zoning: Tree Points",$K173="Large",$L173&lt;&gt;"",ISNA(MATCH($L173,Tables!$C$252:$C$253,0))),
Error!$B$59,
IF(AND($F173="Retain",$H173="Zoning: Tree Points",$C173&lt;&gt;"",$D173&lt;&gt;"",OR($K173="",$L173="",$M173="")),
Error!$B$20,
""
)))))))))))))))))))))))))))))))))))))))))))))))))))))))),
Error!$B$23))</f>
        <v/>
      </c>
      <c r="O173" s="343" t="str" cm="1">
        <f t="array" aca="1" ref="O173" ca="1">IFERROR(_xlfn.LET(
    _xlpm.txt, $C173,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74" spans="1:15" ht="15" thickBot="1" x14ac:dyDescent="0.35">
      <c r="A174" s="320"/>
      <c r="B174" s="616" t="str">
        <f t="shared" si="158"/>
        <v/>
      </c>
      <c r="C174" s="617" t="str">
        <f t="shared" si="159"/>
        <v/>
      </c>
      <c r="D174" s="618" t="str">
        <f t="shared" si="160"/>
        <v/>
      </c>
      <c r="E174" s="616" t="str">
        <f t="shared" si="161"/>
        <v/>
      </c>
      <c r="F174" s="616" t="str">
        <f t="shared" si="162"/>
        <v/>
      </c>
      <c r="G174" s="619" t="str">
        <f>IF(Tree_Table1[[#This Row],[Tree Status  &amp;]]="Retain", Tables!$B$237, IF(Tree_Table1[[#This Row],[Tree Status  &amp;]]="Remove", Tables!$B$238, ""))</f>
        <v/>
      </c>
      <c r="H174" s="329"/>
      <c r="I174" s="330"/>
      <c r="J174" s="455"/>
      <c r="K174" s="327" t="str">
        <f>IFERROR(
    IF(
        AND($H174="Zoning: Tree Points", NOT(ISNUMBER(SEARCH("sp.", $C174)))),
        VLOOKUP($C174, 'Tree List'!$C$3:$F$601, 4, FALSE),
        ""
    ),
"")</f>
        <v/>
      </c>
      <c r="L174" s="328" t="str" cm="1">
        <f t="array" ref="L174">IFERROR(
IF(
    AND($H174="Zoning: Tree Points", NOT(ISNUMBER(SEARCH("sp.", $C174)))),
    _xlfn.IFS(
        (COUNTIFS('Tree List'!$C$3:$C$601,$C174,'Tree List'!$D$3:$D$601,"Coniferous")
        + COUNTIFS('Tree List'!$C$3:$C$601,$C174,'Tree List'!$D$3:$D$601,"Deciduous Conifer")) &gt; 0,
            _xlfn.IFS($K174="Small",0.5,$K174="Small/Medium",1,$K174="Medium/Large",1.4,$K174="Large",1.8),
        (COUNTIFS('Tree List'!$C$3:$C$601,$C174,'Tree List'!$D$3:$D$601,"Deciduous")
        + COUNTIFS('Tree List'!$C$3:$C$601,$C174,'Tree List'!$D$3:$D$601,"Broadleaf Evergreen")) &gt; 0,
            _xlfn.IFS($K174="Small",0.4,$K174="Small/Medium",0.8,$K174="Medium/Large",1.2,$K174="Large",1.6)
    ),
    ""
),
"")</f>
        <v/>
      </c>
      <c r="M174" s="476" t="str">
        <f t="shared" si="0"/>
        <v/>
      </c>
      <c r="N174" s="347" t="str" cm="1">
        <f t="array" aca="1" ref="N17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IF(AND(_xlpm.baseRow,ISNA(MATCH($C174,'Tree List'!$C$3:$C$601,0)),SUMPRODUCT(--ISNUMBER(SEARCH(Tables2!$C$677:$C$772,$O174)))&gt;0),
Error!$B$57,
IF(AND(_xlpm.hasDM,$F174="Remove",$H174&lt;&gt;"",OR($I174="On-site replacement",$I174="Off-site replacement",$I174="Payment In Lieu")),
Error!$B$56,
IF(AND(_xlpm.hasDM,$F174="Remove",$H174&lt;&gt;"",$I174="Relocation"),
Error!$B$66,
IF(AND(OR(_xlpm.hasCN,_xlpm.hasPH,_xlpm.hasGR),$H174&lt;&gt;"",COUNTIF(Tables!$B$132:$B$134,$H174)&gt;0,$I174="N/A (No replacement required)"),
Error!$B$62,
IF(AND(_xlpm.baseRow,$E174&lt;&gt;"",ISNA(MATCH($E174,Tables!$B$225:$B$232,0))),
Error!$B$2,
IF(AND(_xlpm.baseRow,$F174&lt;&gt;"",ISNA(MATCH($F174,Tables!$B$234:$B$235,0))),
Error!$B$24,
IF(AND(_xlpm.baseRow,_xlpm.ECA_H&gt;0,_xlpm.Shore_H&gt;0),
Error!$B$16,
IF(AND(_xlpm.baseRow,$E174&lt;&gt;"",$D174=""),
Error!$B$3,
IF(AND(_xlpm.baseRow,OR($E174="Tier 3",$E174="Tier 4"),$C174&lt;&gt;"",$D174&gt;=24,COUNTIF(Tables2!$B$166:$B$674,$C174)&gt;0),
Error!$B$44,
IF(AND(_xlpm.baseRow,OR($E174="Tier 3",$E174="Tier 4"),$C174&lt;&gt;"",$D174&lt;&gt;"",COUNTIF(Tables2!$B$73:$B$152,$C174)&gt;0,
$D174&gt;=IFERROR(INDEX(Tables2!$C$73:$C$152,MATCH($C174,Tables2!$B$73:$B$152,0)),-1)),
Error!$B$44,
IF(AND(_xlpm.baseRow,OR($E174="Tier 2",$E174="Tier 2 Grove"),$C174&lt;&gt;"",$D174&gt;=12,COUNTIF(Tables2!$B$153:$B$162,$C174)&gt;0),
Error!$B$45,
IF(AND(_xlpm.baseRow,$E174="Tier 2 Grove",$D174&lt;12),
Error!$B$41,
IF(AND(_xlpm.baseRow,$E174="Tier 2",$D174&lt;5.88),
Error!$B$40,
IF(AND(_xlpm.baseRow,OR($E174="Tier 2",$E174="Tier 2 Grove"),$C174&lt;&gt;"",$D174&lt;12,$D174&gt;=6,COUNTIF(Tables2!$B$153:$B$162,$C174)&gt;0),
Error!$B$54,
IF(AND(_xlpm.baseRow,$E174="Tier 2",COUNTIF(Tables2!$B$166:$B$674,$C174)&gt;0,$D174&lt;24),
Error!$B$54,
IF(AND(_xlpm.baseRow,$E174="Tier 3",ISNA(MATCH($C174,Tables2!$B$153:$B$162,0)),OR($D174&lt;12,$D174&gt;=24)),
Error!$B$9,
IF(AND(_xlpm.baseRow,$E174="Tier 3",COUNTIF(Tables2!$B$153:$B$162,$C174)&gt;0,$D174&lt;12),
Error!$B$46,
IF(AND(_xlpm.baseRow,$E174="Tier 4",OR($D174&lt;6,$D174&gt;=12)),
Error!$B$10,
IF(AND(_xlpm.baseRow,$E174="&lt;6in DSH for Tree Points",OR($D174&gt;=6,$D174="")),
Error!$B$8,
IF(AND(_xlpm.baseRow,$E174="Street Tree for Green Factor",$F174&lt;&gt;"",$F174&lt;&gt;"Retain"),
Error!$B$14,
IF(AND($E174="&lt;6in DSH for Tree Points",$F174="Retain",$H174&lt;&gt;"",ISNA(MATCH($H174,Tables!$B$174:$B$174,0))),
Error!$B$15,
IF(AND($E174="Street Tree for Green Factor",$F174="Retain",$H174&lt;&gt;"",$H174&lt;&gt;"Zoning: Green Factor"),
Error!$B$15,
IF(AND($E174="ECA / Shoreline Tree",$F174="Remove",$H174&lt;&gt;"",ISNA(MATCH($H174,Tables!$B$189:$B$190,0))),
Error!$B$15,
IF(AND($E174="ECA / Shoreline Tree",$F174="Retain",$H174&lt;&gt;"",ISNA(MATCH($H174,Tables!$B$184:$B$186,0))),
Error!$B$15,
IF(AND($E174="Tier 4",$F174="Remove",$H174&lt;&gt;"",ISNA(MATCH($H174,Tables!$B$171,0))),
Error!$B$15,
IF(AND($E174="Tier 4",$F174="Retain",$H174&lt;&gt;"",ISNA(MATCH($H174,Tables!$B$166:$B$168,0))),
Error!$B$15,
IF(AND($E174="Tier 3",$F174="Retain",$H174&lt;&gt;"",ISNA(MATCH($H174,Tables!$B$158:$B$160,0))),
Error!$B$15,
IF(AND($E174="Tier 3",$F174="Remove",$H174&lt;&gt;"",ISNA(MATCH($H174,Tables!$B$163,0))),
Error!$B$15,
IF(AND(OR($E174="Tier 2",$E174="Tier 2 Grove"),$F174="Remove",$H174&lt;&gt;"",ISNA(MATCH($H174,Tables!$B$153:$B$155,0))),
Error!$B$15,
IF(AND(OR($E174="Tier 2",$E174="Tier 2 Grove"),$F174="Retain",$H174&lt;&gt;"",ISNA(MATCH($H174,Tables!$B$147:$B$150,0))),
Error!$B$15,
IF(AND($E174="Tier 1",$F174="Remove",$H174&lt;&gt;"",ISNA(MATCH($H174,Tables!$B$143:$B$144,0))),
Error!$B$15,
IF(AND($E174="Tier 1",$F174="Retain",$H174&lt;&gt;"",ISNA(MATCH($H174,Tables!$B$137:$B$140,0))),
Error!$B$15,
IF(AND($E174&lt;&gt;"Tier 2",$E174&lt;&gt;"Tier 2 Grove",$E174&lt;&gt;"Tier 3",$E174&lt;&gt;"Tier 4",$H174="Zoning: Green Factor",OR($D174="",$D174&lt;6)),
Error!$B$11,
IF(AND(_xlpm.baseRow,$D174&lt;6,$E174="&lt;6in DSH for Tree Points",_xlpm.TreePoints_H=0),
Error!$B$21,
IF(AND(_xlpm.baseRow,$E174&lt;&gt;"",$D174&lt;&gt;"",$F174=""),
Error!$B$4,
IF(AND(_xlpm.baseRow,$F174="Remove",OR($E174="Tier 1",$E174="Tier 2",$E174="Tier 2 Grove"),COUNTBLANK(_xlpm.HRange)&lt;3,_xlpm.uniqueH&gt;=2),
Error!$B$48,
IF(AND(_xlpm.baseRow,$F174="Retain",OR($E174="Tier 1",$E174="Tier 2",$E174="Tier 2 Grove"),COUNTIF(_xlpm.HRange,"Tree Code: Required to Retain Tier 1-2 Tree")=0),
Error!$B$47,
IF(AND(_xlpm.baseRow,$E174&lt;&gt;"",$D174&lt;&gt;"",$F174&lt;&gt;"",COUNTBLANK(_xlpm.HRange)=4),
Error!$B$5,
IF(AND($F174="Remove",$H174&lt;&gt;"",$I174=""),
Error!$B$18,
IF(AND($E174="Tier 4",$F174="Remove",$H174="Tree Protection Code: Tier 3 or Tier 4 Allowance",$H174&lt;&gt;"",ISNA(MATCH($I174,Tables!$B$200,0))),
Error!$B$17,
IF(AND($E174="Tier 3",$F174="Remove",$H174&lt;&gt;"",$H174="Tree Protection Code: Tier 3 or Tier 4 Allowance",OR($I174="",ISNA(MATCH($I174,Tables!$B$193:$B$197,0)))),
Error!$B$17,
IF(AND(OR($E174="Tier 2",$E174="Tier 2 Grove"),$F174="Remove",$H174="Tree Protection Code: Other removal allowance or exemption",$I174&lt;&gt;"",ISNA(MATCH($I174,Tables!$B$215:$B$218,0))),
Error!$B$17,
IF(AND(OR($E174="Tier 2",$E174="Tier 2 Grove"),$F174="Remove",$H174="Tree Protection Code: Development Capacity",$I174&lt;&gt;"",ISNA(MATCH($I174,Tables!$B$193:$B$197,0))),
Error!$B$17,
IF(AND(OR($E174="Tier 2",$E174="Tier 2 Grove"),$F174="Remove",$H174="Tree Protection Code: Necessary for Construction",$I174&lt;&gt;"",ISNA(MATCH($I174,Tables!$B$193:$B$197,0))),
Error!$B$17,
IF(AND($E174="Tier 1",$F174="Remove",$H174="Tree Protection Code: Special Exception",$I174&lt;&gt;"",ISNA(MATCH($I174,Tables!$B$215:$B$218,0))),
Error!$B$17,
IF(AND($E174="Tier 1",$F174="Remove",$H174="Tree Protection Code: Other removal allowance or exemption",$I174&lt;&gt;"",ISNA(MATCH($I174,Tables!$B$215:$B$218,0))),
Error!$B$17,
IF(AND($E174="ECA / Shoreline Tree",$F174="Remove",$H174&lt;&gt;"",OR($H174="Shoreline",$H174="Environmental Critical Area (ECA)"),ISNA(MATCH($I174,Tables!$B$209:$B$212,0))),
Error!$B$17,
IF(AND(_xlpm.baseRow,$F174="Retain",$E174="ECA / Shoreline Tree",_xlpm.ECA_Short=0),
Error!$B$61,
IF(AND($F174="Remove",ISNUMBER(MATCH($E174,{"Tier 1","Tier 2","Tier 3","Tier 4","Tier 2 Grove"},0)),ISNUMBER(MATCH($I174,{"On-site replacement","Off-site replacement"},0)),$J174="",$H174&lt;&gt;""),
Error!$B$19,
IF(AND(_xlpm.baseRow,$E174&lt;&gt;"",$D174&lt;&gt;"",$F174&lt;&gt;"",COUNTBLANK($B174:$C174)&gt;0,COUNTBLANK(_xlpm.HRange)&lt;&gt;4),
Error!$B$22,
IF(AND($H174="Zoning: Tree Points",$K174&lt;&gt;"",ISNA(MATCH($K174,Tables!$B$242:$B$253,0))),
Error!$B$58,
IF(AND($H174="Zoning: Tree Points",$K174="Small",$L174&lt;&gt;"",ISNA(MATCH($L174,Tables!$C$243:$C$244,0))),
Error!$B$59,
IF(AND($H174="Zoning: Tree Points",$K174="Small/Medium",$L174&lt;&gt;"",ISNA(MATCH($L174,Tables!$C$246:$C$247,0))),
Error!$B$59,
IF(AND($H174="Zoning: Tree Points",$K174="Medium/Large",$L174&lt;&gt;"",ISNA(MATCH($L174,Tables!$C$249:$C$250,0))),
Error!$B$59,
IF(AND($H174="Zoning: Tree Points",$K174="Large",$L174&lt;&gt;"",ISNA(MATCH($L174,Tables!$C$252:$C$253,0))),
Error!$B$59,
IF(AND($F174="Retain",$H174="Zoning: Tree Points",$C174&lt;&gt;"",$D174&lt;&gt;"",OR($K174="",$L174="",$M174="")),
Error!$B$20,
""
)))))))))))))))))))))))))))))))))))))))))))))))))))))))),
Error!$B$23))</f>
        <v/>
      </c>
      <c r="O174" s="343" t="str" cm="1">
        <f t="array" aca="1" ref="O174" ca="1">IFERROR(_xlfn.LET(
    _xlpm.txt, $C174,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75" spans="1:15" ht="15" thickBot="1" x14ac:dyDescent="0.35">
      <c r="A175" s="311">
        <v>42</v>
      </c>
      <c r="B175" s="312"/>
      <c r="C175" s="313"/>
      <c r="D175" s="478"/>
      <c r="E175" s="314"/>
      <c r="F175" s="314"/>
      <c r="G175" s="315" t="str">
        <f>IF(Tree_Table1[[#This Row],[Tree Status  &amp;]]="Retain", Tables!$B$237, IF(Tree_Table1[[#This Row],[Tree Status  &amp;]]="Remove", Tables!$B$238, ""))</f>
        <v/>
      </c>
      <c r="H175" s="316"/>
      <c r="I175" s="317"/>
      <c r="J175" s="452"/>
      <c r="K175" s="318" t="str">
        <f>IFERROR(
    IF(
        AND($H175="Zoning: Tree Points", NOT(ISNUMBER(SEARCH("sp.", $C175)))),
        VLOOKUP($C175, 'Tree List'!$C$3:$F$601, 4, FALSE),
        ""
    ),
"")</f>
        <v/>
      </c>
      <c r="L175" s="319" t="str" cm="1">
        <f t="array" ref="L175">IFERROR(
IF(
    AND($H175="Zoning: Tree Points", NOT(ISNUMBER(SEARCH("sp.", $C175)))),
    _xlfn.IFS(
        (COUNTIFS('Tree List'!$C$3:$C$601,$C175,'Tree List'!$D$3:$D$601,"Coniferous")
        + COUNTIFS('Tree List'!$C$3:$C$601,$C175,'Tree List'!$D$3:$D$601,"Deciduous Conifer")) &gt; 0,
            _xlfn.IFS($K175="Small",0.5,$K175="Small/Medium",1,$K175="Medium/Large",1.4,$K175="Large",1.8),
        (COUNTIFS('Tree List'!$C$3:$C$601,$C175,'Tree List'!$D$3:$D$601,"Deciduous")
        + COUNTIFS('Tree List'!$C$3:$C$601,$C175,'Tree List'!$D$3:$D$601,"Broadleaf Evergreen")) &gt; 0,
            _xlfn.IFS($K175="Small",0.4,$K175="Small/Medium",0.8,$K175="Medium/Large",1.2,$K175="Large",1.6)
    ),
    ""
),
"")</f>
        <v/>
      </c>
      <c r="M175" s="474" t="str">
        <f t="shared" si="0"/>
        <v/>
      </c>
      <c r="N175" s="620" t="str" cm="1">
        <f t="array" aca="1" ref="N17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IF(AND(_xlpm.baseRow,ISNA(MATCH($C175,'Tree List'!$C$3:$C$601,0)),SUMPRODUCT(--ISNUMBER(SEARCH(Tables2!$C$677:$C$772,$O175)))&gt;0),
Error!$B$57,
IF(AND(_xlpm.hasDM,$F175="Remove",$H175&lt;&gt;"",OR($I175="On-site replacement",$I175="Off-site replacement",$I175="Payment In Lieu")),
Error!$B$56,
IF(AND(_xlpm.hasDM,$F175="Remove",$H175&lt;&gt;"",$I175="Relocation"),
Error!$B$66,
IF(AND(OR(_xlpm.hasCN,_xlpm.hasPH,_xlpm.hasGR),$H175&lt;&gt;"",COUNTIF(Tables!$B$132:$B$134,$H175)&gt;0,$I175="N/A (No replacement required)"),
Error!$B$62,
IF(AND(_xlpm.baseRow,$E175&lt;&gt;"",ISNA(MATCH($E175,Tables!$B$225:$B$232,0))),
Error!$B$2,
IF(AND(_xlpm.baseRow,$F175&lt;&gt;"",ISNA(MATCH($F175,Tables!$B$234:$B$235,0))),
Error!$B$24,
IF(AND(_xlpm.baseRow,_xlpm.ECA_H&gt;0,_xlpm.Shore_H&gt;0),
Error!$B$16,
IF(AND(_xlpm.baseRow,$E175&lt;&gt;"",$D175=""),
Error!$B$3,
IF(AND(_xlpm.baseRow,OR($E175="Tier 3",$E175="Tier 4"),$C175&lt;&gt;"",$D175&gt;=24,COUNTIF(Tables2!$B$166:$B$674,$C175)&gt;0),
Error!$B$44,
IF(AND(_xlpm.baseRow,OR($E175="Tier 3",$E175="Tier 4"),$C175&lt;&gt;"",$D175&lt;&gt;"",COUNTIF(Tables2!$B$73:$B$152,$C175)&gt;0,
$D175&gt;=IFERROR(INDEX(Tables2!$C$73:$C$152,MATCH($C175,Tables2!$B$73:$B$152,0)),-1)),
Error!$B$44,
IF(AND(_xlpm.baseRow,OR($E175="Tier 2",$E175="Tier 2 Grove"),$C175&lt;&gt;"",$D175&gt;=12,COUNTIF(Tables2!$B$153:$B$162,$C175)&gt;0),
Error!$B$45,
IF(AND(_xlpm.baseRow,$E175="Tier 2 Grove",$D175&lt;12),
Error!$B$41,
IF(AND(_xlpm.baseRow,$E175="Tier 2",$D175&lt;5.88),
Error!$B$40,
IF(AND(_xlpm.baseRow,OR($E175="Tier 2",$E175="Tier 2 Grove"),$C175&lt;&gt;"",$D175&lt;12,$D175&gt;=6,COUNTIF(Tables2!$B$153:$B$162,$C175)&gt;0),
Error!$B$54,
IF(AND(_xlpm.baseRow,$E175="Tier 2",COUNTIF(Tables2!$B$166:$B$674,$C175)&gt;0,$D175&lt;24),
Error!$B$54,
IF(AND(_xlpm.baseRow,$E175="Tier 3",ISNA(MATCH($C175,Tables2!$B$153:$B$162,0)),OR($D175&lt;12,$D175&gt;=24)),
Error!$B$9,
IF(AND(_xlpm.baseRow,$E175="Tier 3",COUNTIF(Tables2!$B$153:$B$162,$C175)&gt;0,$D175&lt;12),
Error!$B$46,
IF(AND(_xlpm.baseRow,$E175="Tier 4",OR($D175&lt;6,$D175&gt;=12)),
Error!$B$10,
IF(AND(_xlpm.baseRow,$E175="&lt;6in DSH for Tree Points",OR($D175&gt;=6,$D175="")),
Error!$B$8,
IF(AND(_xlpm.baseRow,$E175="Street Tree for Green Factor",$F175&lt;&gt;"",$F175&lt;&gt;"Retain"),
Error!$B$14,
IF(AND($E175="&lt;6in DSH for Tree Points",$F175="Retain",$H175&lt;&gt;"",ISNA(MATCH($H175,Tables!$B$174:$B$174,0))),
Error!$B$15,
IF(AND($E175="Street Tree for Green Factor",$F175="Retain",$H175&lt;&gt;"",$H175&lt;&gt;"Zoning: Green Factor"),
Error!$B$15,
IF(AND($E175="ECA / Shoreline Tree",$F175="Remove",$H175&lt;&gt;"",ISNA(MATCH($H175,Tables!$B$189:$B$190,0))),
Error!$B$15,
IF(AND($E175="ECA / Shoreline Tree",$F175="Retain",$H175&lt;&gt;"",ISNA(MATCH($H175,Tables!$B$184:$B$186,0))),
Error!$B$15,
IF(AND($E175="Tier 4",$F175="Remove",$H175&lt;&gt;"",ISNA(MATCH($H175,Tables!$B$171,0))),
Error!$B$15,
IF(AND($E175="Tier 4",$F175="Retain",$H175&lt;&gt;"",ISNA(MATCH($H175,Tables!$B$166:$B$168,0))),
Error!$B$15,
IF(AND($E175="Tier 3",$F175="Retain",$H175&lt;&gt;"",ISNA(MATCH($H175,Tables!$B$158:$B$160,0))),
Error!$B$15,
IF(AND($E175="Tier 3",$F175="Remove",$H175&lt;&gt;"",ISNA(MATCH($H175,Tables!$B$163,0))),
Error!$B$15,
IF(AND(OR($E175="Tier 2",$E175="Tier 2 Grove"),$F175="Remove",$H175&lt;&gt;"",ISNA(MATCH($H175,Tables!$B$153:$B$155,0))),
Error!$B$15,
IF(AND(OR($E175="Tier 2",$E175="Tier 2 Grove"),$F175="Retain",$H175&lt;&gt;"",ISNA(MATCH($H175,Tables!$B$147:$B$150,0))),
Error!$B$15,
IF(AND($E175="Tier 1",$F175="Remove",$H175&lt;&gt;"",ISNA(MATCH($H175,Tables!$B$143:$B$144,0))),
Error!$B$15,
IF(AND($E175="Tier 1",$F175="Retain",$H175&lt;&gt;"",ISNA(MATCH($H175,Tables!$B$137:$B$140,0))),
Error!$B$15,
IF(AND($E175&lt;&gt;"Tier 2",$E175&lt;&gt;"Tier 2 Grove",$E175&lt;&gt;"Tier 3",$E175&lt;&gt;"Tier 4",$H175="Zoning: Green Factor",OR($D175="",$D175&lt;6)),
Error!$B$11,
IF(AND(_xlpm.baseRow,$D175&lt;6,$E175="&lt;6in DSH for Tree Points",_xlpm.TreePoints_H=0),
Error!$B$21,
IF(AND(_xlpm.baseRow,$E175&lt;&gt;"",$D175&lt;&gt;"",$F175=""),
Error!$B$4,
IF(AND(_xlpm.baseRow,$F175="Remove",OR($E175="Tier 1",$E175="Tier 2",$E175="Tier 2 Grove"),COUNTBLANK(_xlpm.HRange)&lt;3,_xlpm.uniqueH&gt;=2),
Error!$B$48,
IF(AND(_xlpm.baseRow,$F175="Retain",OR($E175="Tier 1",$E175="Tier 2",$E175="Tier 2 Grove"),COUNTIF(_xlpm.HRange,"Tree Code: Required to Retain Tier 1-2 Tree")=0),
Error!$B$47,
IF(AND(_xlpm.baseRow,$E175&lt;&gt;"",$D175&lt;&gt;"",$F175&lt;&gt;"",COUNTBLANK(_xlpm.HRange)=4),
Error!$B$5,
IF(AND($F175="Remove",$H175&lt;&gt;"",$I175=""),
Error!$B$18,
IF(AND($E175="Tier 4",$F175="Remove",$H175="Tree Protection Code: Tier 3 or Tier 4 Allowance",$H175&lt;&gt;"",ISNA(MATCH($I175,Tables!$B$200,0))),
Error!$B$17,
IF(AND($E175="Tier 3",$F175="Remove",$H175&lt;&gt;"",$H175="Tree Protection Code: Tier 3 or Tier 4 Allowance",OR($I175="",ISNA(MATCH($I175,Tables!$B$193:$B$197,0)))),
Error!$B$17,
IF(AND(OR($E175="Tier 2",$E175="Tier 2 Grove"),$F175="Remove",$H175="Tree Protection Code: Other removal allowance or exemption",$I175&lt;&gt;"",ISNA(MATCH($I175,Tables!$B$215:$B$218,0))),
Error!$B$17,
IF(AND(OR($E175="Tier 2",$E175="Tier 2 Grove"),$F175="Remove",$H175="Tree Protection Code: Development Capacity",$I175&lt;&gt;"",ISNA(MATCH($I175,Tables!$B$193:$B$197,0))),
Error!$B$17,
IF(AND(OR($E175="Tier 2",$E175="Tier 2 Grove"),$F175="Remove",$H175="Tree Protection Code: Necessary for Construction",$I175&lt;&gt;"",ISNA(MATCH($I175,Tables!$B$193:$B$197,0))),
Error!$B$17,
IF(AND($E175="Tier 1",$F175="Remove",$H175="Tree Protection Code: Special Exception",$I175&lt;&gt;"",ISNA(MATCH($I175,Tables!$B$215:$B$218,0))),
Error!$B$17,
IF(AND($E175="Tier 1",$F175="Remove",$H175="Tree Protection Code: Other removal allowance or exemption",$I175&lt;&gt;"",ISNA(MATCH($I175,Tables!$B$215:$B$218,0))),
Error!$B$17,
IF(AND($E175="ECA / Shoreline Tree",$F175="Remove",$H175&lt;&gt;"",OR($H175="Shoreline",$H175="Environmental Critical Area (ECA)"),ISNA(MATCH($I175,Tables!$B$209:$B$212,0))),
Error!$B$17,
IF(AND(_xlpm.baseRow,$F175="Retain",$E175="ECA / Shoreline Tree",_xlpm.ECA_Short=0),
Error!$B$61,
IF(AND($F175="Remove",ISNUMBER(MATCH($E175,{"Tier 1","Tier 2","Tier 3","Tier 4","Tier 2 Grove"},0)),ISNUMBER(MATCH($I175,{"On-site replacement","Off-site replacement"},0)),$J175="",$H175&lt;&gt;""),
Error!$B$19,
IF(AND(_xlpm.baseRow,$E175&lt;&gt;"",$D175&lt;&gt;"",$F175&lt;&gt;"",COUNTBLANK($B175:$C175)&gt;0,COUNTBLANK(_xlpm.HRange)&lt;&gt;4),
Error!$B$22,
IF(AND($H175="Zoning: Tree Points",$K175&lt;&gt;"",ISNA(MATCH($K175,Tables!$B$242:$B$253,0))),
Error!$B$58,
IF(AND($H175="Zoning: Tree Points",$K175="Small",$L175&lt;&gt;"",ISNA(MATCH($L175,Tables!$C$243:$C$244,0))),
Error!$B$59,
IF(AND($H175="Zoning: Tree Points",$K175="Small/Medium",$L175&lt;&gt;"",ISNA(MATCH($L175,Tables!$C$246:$C$247,0))),
Error!$B$59,
IF(AND($H175="Zoning: Tree Points",$K175="Medium/Large",$L175&lt;&gt;"",ISNA(MATCH($L175,Tables!$C$249:$C$250,0))),
Error!$B$59,
IF(AND($H175="Zoning: Tree Points",$K175="Large",$L175&lt;&gt;"",ISNA(MATCH($L175,Tables!$C$252:$C$253,0))),
Error!$B$59,
IF(AND($F175="Retain",$H175="Zoning: Tree Points",$C175&lt;&gt;"",$D175&lt;&gt;"",OR($K175="",$L175="",$M175="")),
Error!$B$20,
""
)))))))))))))))))))))))))))))))))))))))))))))))))))))))),
Error!$B$23))</f>
        <v/>
      </c>
      <c r="O175" s="343" t="str" cm="1">
        <f t="array" aca="1" ref="O175" ca="1">IFERROR(_xlfn.LET(
    _xlpm.txt, $C175,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76" spans="1:15" x14ac:dyDescent="0.3">
      <c r="A176" s="320"/>
      <c r="B176" s="616" t="str">
        <f t="shared" ref="B176:B178" si="163">IF($B175="", "", $B175)</f>
        <v/>
      </c>
      <c r="C176" s="617" t="str">
        <f t="shared" ref="C176:C178" si="164">IF($C175="", "", $C175)</f>
        <v/>
      </c>
      <c r="D176" s="618" t="str">
        <f t="shared" ref="D176:D178" si="165">IF($D175="", "", $D175)</f>
        <v/>
      </c>
      <c r="E176" s="616" t="str">
        <f t="shared" ref="E176:E178" si="166">IF($E175="", "", $E175)</f>
        <v/>
      </c>
      <c r="F176" s="616" t="str">
        <f t="shared" ref="F176:F178" si="167">IF($F175="", "", $F175)</f>
        <v/>
      </c>
      <c r="G176" s="619" t="str">
        <f>IF(Tree_Table1[[#This Row],[Tree Status  &amp;]]="Retain", Tables!$B$237, IF(Tree_Table1[[#This Row],[Tree Status  &amp;]]="Remove", Tables!$B$238, ""))</f>
        <v/>
      </c>
      <c r="H176" s="321"/>
      <c r="I176" s="322"/>
      <c r="J176" s="453"/>
      <c r="K176" s="323" t="str">
        <f>IFERROR(
    IF(
        AND($H176="Zoning: Tree Points", NOT(ISNUMBER(SEARCH("sp.", $C176)))),
        VLOOKUP($C176, 'Tree List'!$C$3:$F$601, 4, FALSE),
        ""
    ),
"")</f>
        <v/>
      </c>
      <c r="L176" s="324" t="str" cm="1">
        <f t="array" ref="L176">IFERROR(
IF(
    AND($H176="Zoning: Tree Points", NOT(ISNUMBER(SEARCH("sp.", $C176)))),
    _xlfn.IFS(
        (COUNTIFS('Tree List'!$C$3:$C$601,$C176,'Tree List'!$D$3:$D$601,"Coniferous")
        + COUNTIFS('Tree List'!$C$3:$C$601,$C176,'Tree List'!$D$3:$D$601,"Deciduous Conifer")) &gt; 0,
            _xlfn.IFS($K176="Small",0.5,$K176="Small/Medium",1,$K176="Medium/Large",1.4,$K176="Large",1.8),
        (COUNTIFS('Tree List'!$C$3:$C$601,$C176,'Tree List'!$D$3:$D$601,"Deciduous")
        + COUNTIFS('Tree List'!$C$3:$C$601,$C176,'Tree List'!$D$3:$D$601,"Broadleaf Evergreen")) &gt; 0,
            _xlfn.IFS($K176="Small",0.4,$K176="Small/Medium",0.8,$K176="Medium/Large",1.2,$K176="Large",1.6)
    ),
    ""
),
"")</f>
        <v/>
      </c>
      <c r="M176" s="475" t="str">
        <f t="shared" si="0"/>
        <v/>
      </c>
      <c r="N176" s="346" t="str" cm="1">
        <f t="array" aca="1" ref="N17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IF(AND(_xlpm.baseRow,ISNA(MATCH($C176,'Tree List'!$C$3:$C$601,0)),SUMPRODUCT(--ISNUMBER(SEARCH(Tables2!$C$677:$C$772,$O176)))&gt;0),
Error!$B$57,
IF(AND(_xlpm.hasDM,$F176="Remove",$H176&lt;&gt;"",OR($I176="On-site replacement",$I176="Off-site replacement",$I176="Payment In Lieu")),
Error!$B$56,
IF(AND(_xlpm.hasDM,$F176="Remove",$H176&lt;&gt;"",$I176="Relocation"),
Error!$B$66,
IF(AND(OR(_xlpm.hasCN,_xlpm.hasPH,_xlpm.hasGR),$H176&lt;&gt;"",COUNTIF(Tables!$B$132:$B$134,$H176)&gt;0,$I176="N/A (No replacement required)"),
Error!$B$62,
IF(AND(_xlpm.baseRow,$E176&lt;&gt;"",ISNA(MATCH($E176,Tables!$B$225:$B$232,0))),
Error!$B$2,
IF(AND(_xlpm.baseRow,$F176&lt;&gt;"",ISNA(MATCH($F176,Tables!$B$234:$B$235,0))),
Error!$B$24,
IF(AND(_xlpm.baseRow,_xlpm.ECA_H&gt;0,_xlpm.Shore_H&gt;0),
Error!$B$16,
IF(AND(_xlpm.baseRow,$E176&lt;&gt;"",$D176=""),
Error!$B$3,
IF(AND(_xlpm.baseRow,OR($E176="Tier 3",$E176="Tier 4"),$C176&lt;&gt;"",$D176&gt;=24,COUNTIF(Tables2!$B$166:$B$674,$C176)&gt;0),
Error!$B$44,
IF(AND(_xlpm.baseRow,OR($E176="Tier 3",$E176="Tier 4"),$C176&lt;&gt;"",$D176&lt;&gt;"",COUNTIF(Tables2!$B$73:$B$152,$C176)&gt;0,
$D176&gt;=IFERROR(INDEX(Tables2!$C$73:$C$152,MATCH($C176,Tables2!$B$73:$B$152,0)),-1)),
Error!$B$44,
IF(AND(_xlpm.baseRow,OR($E176="Tier 2",$E176="Tier 2 Grove"),$C176&lt;&gt;"",$D176&gt;=12,COUNTIF(Tables2!$B$153:$B$162,$C176)&gt;0),
Error!$B$45,
IF(AND(_xlpm.baseRow,$E176="Tier 2 Grove",$D176&lt;12),
Error!$B$41,
IF(AND(_xlpm.baseRow,$E176="Tier 2",$D176&lt;5.88),
Error!$B$40,
IF(AND(_xlpm.baseRow,OR($E176="Tier 2",$E176="Tier 2 Grove"),$C176&lt;&gt;"",$D176&lt;12,$D176&gt;=6,COUNTIF(Tables2!$B$153:$B$162,$C176)&gt;0),
Error!$B$54,
IF(AND(_xlpm.baseRow,$E176="Tier 2",COUNTIF(Tables2!$B$166:$B$674,$C176)&gt;0,$D176&lt;24),
Error!$B$54,
IF(AND(_xlpm.baseRow,$E176="Tier 3",ISNA(MATCH($C176,Tables2!$B$153:$B$162,0)),OR($D176&lt;12,$D176&gt;=24)),
Error!$B$9,
IF(AND(_xlpm.baseRow,$E176="Tier 3",COUNTIF(Tables2!$B$153:$B$162,$C176)&gt;0,$D176&lt;12),
Error!$B$46,
IF(AND(_xlpm.baseRow,$E176="Tier 4",OR($D176&lt;6,$D176&gt;=12)),
Error!$B$10,
IF(AND(_xlpm.baseRow,$E176="&lt;6in DSH for Tree Points",OR($D176&gt;=6,$D176="")),
Error!$B$8,
IF(AND(_xlpm.baseRow,$E176="Street Tree for Green Factor",$F176&lt;&gt;"",$F176&lt;&gt;"Retain"),
Error!$B$14,
IF(AND($E176="&lt;6in DSH for Tree Points",$F176="Retain",$H176&lt;&gt;"",ISNA(MATCH($H176,Tables!$B$174:$B$174,0))),
Error!$B$15,
IF(AND($E176="Street Tree for Green Factor",$F176="Retain",$H176&lt;&gt;"",$H176&lt;&gt;"Zoning: Green Factor"),
Error!$B$15,
IF(AND($E176="ECA / Shoreline Tree",$F176="Remove",$H176&lt;&gt;"",ISNA(MATCH($H176,Tables!$B$189:$B$190,0))),
Error!$B$15,
IF(AND($E176="ECA / Shoreline Tree",$F176="Retain",$H176&lt;&gt;"",ISNA(MATCH($H176,Tables!$B$184:$B$186,0))),
Error!$B$15,
IF(AND($E176="Tier 4",$F176="Remove",$H176&lt;&gt;"",ISNA(MATCH($H176,Tables!$B$171,0))),
Error!$B$15,
IF(AND($E176="Tier 4",$F176="Retain",$H176&lt;&gt;"",ISNA(MATCH($H176,Tables!$B$166:$B$168,0))),
Error!$B$15,
IF(AND($E176="Tier 3",$F176="Retain",$H176&lt;&gt;"",ISNA(MATCH($H176,Tables!$B$158:$B$160,0))),
Error!$B$15,
IF(AND($E176="Tier 3",$F176="Remove",$H176&lt;&gt;"",ISNA(MATCH($H176,Tables!$B$163,0))),
Error!$B$15,
IF(AND(OR($E176="Tier 2",$E176="Tier 2 Grove"),$F176="Remove",$H176&lt;&gt;"",ISNA(MATCH($H176,Tables!$B$153:$B$155,0))),
Error!$B$15,
IF(AND(OR($E176="Tier 2",$E176="Tier 2 Grove"),$F176="Retain",$H176&lt;&gt;"",ISNA(MATCH($H176,Tables!$B$147:$B$150,0))),
Error!$B$15,
IF(AND($E176="Tier 1",$F176="Remove",$H176&lt;&gt;"",ISNA(MATCH($H176,Tables!$B$143:$B$144,0))),
Error!$B$15,
IF(AND($E176="Tier 1",$F176="Retain",$H176&lt;&gt;"",ISNA(MATCH($H176,Tables!$B$137:$B$140,0))),
Error!$B$15,
IF(AND($E176&lt;&gt;"Tier 2",$E176&lt;&gt;"Tier 2 Grove",$E176&lt;&gt;"Tier 3",$E176&lt;&gt;"Tier 4",$H176="Zoning: Green Factor",OR($D176="",$D176&lt;6)),
Error!$B$11,
IF(AND(_xlpm.baseRow,$D176&lt;6,$E176="&lt;6in DSH for Tree Points",_xlpm.TreePoints_H=0),
Error!$B$21,
IF(AND(_xlpm.baseRow,$E176&lt;&gt;"",$D176&lt;&gt;"",$F176=""),
Error!$B$4,
IF(AND(_xlpm.baseRow,$F176="Remove",OR($E176="Tier 1",$E176="Tier 2",$E176="Tier 2 Grove"),COUNTBLANK(_xlpm.HRange)&lt;3,_xlpm.uniqueH&gt;=2),
Error!$B$48,
IF(AND(_xlpm.baseRow,$F176="Retain",OR($E176="Tier 1",$E176="Tier 2",$E176="Tier 2 Grove"),COUNTIF(_xlpm.HRange,"Tree Code: Required to Retain Tier 1-2 Tree")=0),
Error!$B$47,
IF(AND(_xlpm.baseRow,$E176&lt;&gt;"",$D176&lt;&gt;"",$F176&lt;&gt;"",COUNTBLANK(_xlpm.HRange)=4),
Error!$B$5,
IF(AND($F176="Remove",$H176&lt;&gt;"",$I176=""),
Error!$B$18,
IF(AND($E176="Tier 4",$F176="Remove",$H176="Tree Protection Code: Tier 3 or Tier 4 Allowance",$H176&lt;&gt;"",ISNA(MATCH($I176,Tables!$B$200,0))),
Error!$B$17,
IF(AND($E176="Tier 3",$F176="Remove",$H176&lt;&gt;"",$H176="Tree Protection Code: Tier 3 or Tier 4 Allowance",OR($I176="",ISNA(MATCH($I176,Tables!$B$193:$B$197,0)))),
Error!$B$17,
IF(AND(OR($E176="Tier 2",$E176="Tier 2 Grove"),$F176="Remove",$H176="Tree Protection Code: Other removal allowance or exemption",$I176&lt;&gt;"",ISNA(MATCH($I176,Tables!$B$215:$B$218,0))),
Error!$B$17,
IF(AND(OR($E176="Tier 2",$E176="Tier 2 Grove"),$F176="Remove",$H176="Tree Protection Code: Development Capacity",$I176&lt;&gt;"",ISNA(MATCH($I176,Tables!$B$193:$B$197,0))),
Error!$B$17,
IF(AND(OR($E176="Tier 2",$E176="Tier 2 Grove"),$F176="Remove",$H176="Tree Protection Code: Necessary for Construction",$I176&lt;&gt;"",ISNA(MATCH($I176,Tables!$B$193:$B$197,0))),
Error!$B$17,
IF(AND($E176="Tier 1",$F176="Remove",$H176="Tree Protection Code: Special Exception",$I176&lt;&gt;"",ISNA(MATCH($I176,Tables!$B$215:$B$218,0))),
Error!$B$17,
IF(AND($E176="Tier 1",$F176="Remove",$H176="Tree Protection Code: Other removal allowance or exemption",$I176&lt;&gt;"",ISNA(MATCH($I176,Tables!$B$215:$B$218,0))),
Error!$B$17,
IF(AND($E176="ECA / Shoreline Tree",$F176="Remove",$H176&lt;&gt;"",OR($H176="Shoreline",$H176="Environmental Critical Area (ECA)"),ISNA(MATCH($I176,Tables!$B$209:$B$212,0))),
Error!$B$17,
IF(AND(_xlpm.baseRow,$F176="Retain",$E176="ECA / Shoreline Tree",_xlpm.ECA_Short=0),
Error!$B$61,
IF(AND($F176="Remove",ISNUMBER(MATCH($E176,{"Tier 1","Tier 2","Tier 3","Tier 4","Tier 2 Grove"},0)),ISNUMBER(MATCH($I176,{"On-site replacement","Off-site replacement"},0)),$J176="",$H176&lt;&gt;""),
Error!$B$19,
IF(AND(_xlpm.baseRow,$E176&lt;&gt;"",$D176&lt;&gt;"",$F176&lt;&gt;"",COUNTBLANK($B176:$C176)&gt;0,COUNTBLANK(_xlpm.HRange)&lt;&gt;4),
Error!$B$22,
IF(AND($H176="Zoning: Tree Points",$K176&lt;&gt;"",ISNA(MATCH($K176,Tables!$B$242:$B$253,0))),
Error!$B$58,
IF(AND($H176="Zoning: Tree Points",$K176="Small",$L176&lt;&gt;"",ISNA(MATCH($L176,Tables!$C$243:$C$244,0))),
Error!$B$59,
IF(AND($H176="Zoning: Tree Points",$K176="Small/Medium",$L176&lt;&gt;"",ISNA(MATCH($L176,Tables!$C$246:$C$247,0))),
Error!$B$59,
IF(AND($H176="Zoning: Tree Points",$K176="Medium/Large",$L176&lt;&gt;"",ISNA(MATCH($L176,Tables!$C$249:$C$250,0))),
Error!$B$59,
IF(AND($H176="Zoning: Tree Points",$K176="Large",$L176&lt;&gt;"",ISNA(MATCH($L176,Tables!$C$252:$C$253,0))),
Error!$B$59,
IF(AND($F176="Retain",$H176="Zoning: Tree Points",$C176&lt;&gt;"",$D176&lt;&gt;"",OR($K176="",$L176="",$M176="")),
Error!$B$20,
""
)))))))))))))))))))))))))))))))))))))))))))))))))))))))),
Error!$B$23))</f>
        <v/>
      </c>
      <c r="O176" s="343" t="str" cm="1">
        <f t="array" aca="1" ref="O176" ca="1">IFERROR(_xlfn.LET(
    _xlpm.txt, $C176,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77" spans="1:15" x14ac:dyDescent="0.3">
      <c r="A177" s="320"/>
      <c r="B177" s="616" t="str">
        <f t="shared" si="163"/>
        <v/>
      </c>
      <c r="C177" s="617" t="str">
        <f t="shared" si="164"/>
        <v/>
      </c>
      <c r="D177" s="618" t="str">
        <f t="shared" si="165"/>
        <v/>
      </c>
      <c r="E177" s="616" t="str">
        <f t="shared" si="166"/>
        <v/>
      </c>
      <c r="F177" s="616" t="str">
        <f t="shared" si="167"/>
        <v/>
      </c>
      <c r="G177" s="619" t="str">
        <f>IF(Tree_Table1[[#This Row],[Tree Status  &amp;]]="Retain", Tables!$B$237, IF(Tree_Table1[[#This Row],[Tree Status  &amp;]]="Remove", Tables!$B$238, ""))</f>
        <v/>
      </c>
      <c r="H177" s="321"/>
      <c r="I177" s="322"/>
      <c r="J177" s="453"/>
      <c r="K177" s="323" t="str">
        <f>IFERROR(
    IF(
        AND($H177="Zoning: Tree Points", NOT(ISNUMBER(SEARCH("sp.", $C177)))),
        VLOOKUP($C177, 'Tree List'!$C$3:$F$601, 4, FALSE),
        ""
    ),
"")</f>
        <v/>
      </c>
      <c r="L177" s="324" t="str" cm="1">
        <f t="array" ref="L177">IFERROR(
IF(
    AND($H177="Zoning: Tree Points", NOT(ISNUMBER(SEARCH("sp.", $C177)))),
    _xlfn.IFS(
        (COUNTIFS('Tree List'!$C$3:$C$601,$C177,'Tree List'!$D$3:$D$601,"Coniferous")
        + COUNTIFS('Tree List'!$C$3:$C$601,$C177,'Tree List'!$D$3:$D$601,"Deciduous Conifer")) &gt; 0,
            _xlfn.IFS($K177="Small",0.5,$K177="Small/Medium",1,$K177="Medium/Large",1.4,$K177="Large",1.8),
        (COUNTIFS('Tree List'!$C$3:$C$601,$C177,'Tree List'!$D$3:$D$601,"Deciduous")
        + COUNTIFS('Tree List'!$C$3:$C$601,$C177,'Tree List'!$D$3:$D$601,"Broadleaf Evergreen")) &gt; 0,
            _xlfn.IFS($K177="Small",0.4,$K177="Small/Medium",0.8,$K177="Medium/Large",1.2,$K177="Large",1.6)
    ),
    ""
),
"")</f>
        <v/>
      </c>
      <c r="M177" s="475" t="str">
        <f t="shared" si="0"/>
        <v/>
      </c>
      <c r="N177" s="346" t="str" cm="1">
        <f t="array" aca="1" ref="N17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IF(AND(_xlpm.baseRow,ISNA(MATCH($C177,'Tree List'!$C$3:$C$601,0)),SUMPRODUCT(--ISNUMBER(SEARCH(Tables2!$C$677:$C$772,$O177)))&gt;0),
Error!$B$57,
IF(AND(_xlpm.hasDM,$F177="Remove",$H177&lt;&gt;"",OR($I177="On-site replacement",$I177="Off-site replacement",$I177="Payment In Lieu")),
Error!$B$56,
IF(AND(_xlpm.hasDM,$F177="Remove",$H177&lt;&gt;"",$I177="Relocation"),
Error!$B$66,
IF(AND(OR(_xlpm.hasCN,_xlpm.hasPH,_xlpm.hasGR),$H177&lt;&gt;"",COUNTIF(Tables!$B$132:$B$134,$H177)&gt;0,$I177="N/A (No replacement required)"),
Error!$B$62,
IF(AND(_xlpm.baseRow,$E177&lt;&gt;"",ISNA(MATCH($E177,Tables!$B$225:$B$232,0))),
Error!$B$2,
IF(AND(_xlpm.baseRow,$F177&lt;&gt;"",ISNA(MATCH($F177,Tables!$B$234:$B$235,0))),
Error!$B$24,
IF(AND(_xlpm.baseRow,_xlpm.ECA_H&gt;0,_xlpm.Shore_H&gt;0),
Error!$B$16,
IF(AND(_xlpm.baseRow,$E177&lt;&gt;"",$D177=""),
Error!$B$3,
IF(AND(_xlpm.baseRow,OR($E177="Tier 3",$E177="Tier 4"),$C177&lt;&gt;"",$D177&gt;=24,COUNTIF(Tables2!$B$166:$B$674,$C177)&gt;0),
Error!$B$44,
IF(AND(_xlpm.baseRow,OR($E177="Tier 3",$E177="Tier 4"),$C177&lt;&gt;"",$D177&lt;&gt;"",COUNTIF(Tables2!$B$73:$B$152,$C177)&gt;0,
$D177&gt;=IFERROR(INDEX(Tables2!$C$73:$C$152,MATCH($C177,Tables2!$B$73:$B$152,0)),-1)),
Error!$B$44,
IF(AND(_xlpm.baseRow,OR($E177="Tier 2",$E177="Tier 2 Grove"),$C177&lt;&gt;"",$D177&gt;=12,COUNTIF(Tables2!$B$153:$B$162,$C177)&gt;0),
Error!$B$45,
IF(AND(_xlpm.baseRow,$E177="Tier 2 Grove",$D177&lt;12),
Error!$B$41,
IF(AND(_xlpm.baseRow,$E177="Tier 2",$D177&lt;5.88),
Error!$B$40,
IF(AND(_xlpm.baseRow,OR($E177="Tier 2",$E177="Tier 2 Grove"),$C177&lt;&gt;"",$D177&lt;12,$D177&gt;=6,COUNTIF(Tables2!$B$153:$B$162,$C177)&gt;0),
Error!$B$54,
IF(AND(_xlpm.baseRow,$E177="Tier 2",COUNTIF(Tables2!$B$166:$B$674,$C177)&gt;0,$D177&lt;24),
Error!$B$54,
IF(AND(_xlpm.baseRow,$E177="Tier 3",ISNA(MATCH($C177,Tables2!$B$153:$B$162,0)),OR($D177&lt;12,$D177&gt;=24)),
Error!$B$9,
IF(AND(_xlpm.baseRow,$E177="Tier 3",COUNTIF(Tables2!$B$153:$B$162,$C177)&gt;0,$D177&lt;12),
Error!$B$46,
IF(AND(_xlpm.baseRow,$E177="Tier 4",OR($D177&lt;6,$D177&gt;=12)),
Error!$B$10,
IF(AND(_xlpm.baseRow,$E177="&lt;6in DSH for Tree Points",OR($D177&gt;=6,$D177="")),
Error!$B$8,
IF(AND(_xlpm.baseRow,$E177="Street Tree for Green Factor",$F177&lt;&gt;"",$F177&lt;&gt;"Retain"),
Error!$B$14,
IF(AND($E177="&lt;6in DSH for Tree Points",$F177="Retain",$H177&lt;&gt;"",ISNA(MATCH($H177,Tables!$B$174:$B$174,0))),
Error!$B$15,
IF(AND($E177="Street Tree for Green Factor",$F177="Retain",$H177&lt;&gt;"",$H177&lt;&gt;"Zoning: Green Factor"),
Error!$B$15,
IF(AND($E177="ECA / Shoreline Tree",$F177="Remove",$H177&lt;&gt;"",ISNA(MATCH($H177,Tables!$B$189:$B$190,0))),
Error!$B$15,
IF(AND($E177="ECA / Shoreline Tree",$F177="Retain",$H177&lt;&gt;"",ISNA(MATCH($H177,Tables!$B$184:$B$186,0))),
Error!$B$15,
IF(AND($E177="Tier 4",$F177="Remove",$H177&lt;&gt;"",ISNA(MATCH($H177,Tables!$B$171,0))),
Error!$B$15,
IF(AND($E177="Tier 4",$F177="Retain",$H177&lt;&gt;"",ISNA(MATCH($H177,Tables!$B$166:$B$168,0))),
Error!$B$15,
IF(AND($E177="Tier 3",$F177="Retain",$H177&lt;&gt;"",ISNA(MATCH($H177,Tables!$B$158:$B$160,0))),
Error!$B$15,
IF(AND($E177="Tier 3",$F177="Remove",$H177&lt;&gt;"",ISNA(MATCH($H177,Tables!$B$163,0))),
Error!$B$15,
IF(AND(OR($E177="Tier 2",$E177="Tier 2 Grove"),$F177="Remove",$H177&lt;&gt;"",ISNA(MATCH($H177,Tables!$B$153:$B$155,0))),
Error!$B$15,
IF(AND(OR($E177="Tier 2",$E177="Tier 2 Grove"),$F177="Retain",$H177&lt;&gt;"",ISNA(MATCH($H177,Tables!$B$147:$B$150,0))),
Error!$B$15,
IF(AND($E177="Tier 1",$F177="Remove",$H177&lt;&gt;"",ISNA(MATCH($H177,Tables!$B$143:$B$144,0))),
Error!$B$15,
IF(AND($E177="Tier 1",$F177="Retain",$H177&lt;&gt;"",ISNA(MATCH($H177,Tables!$B$137:$B$140,0))),
Error!$B$15,
IF(AND($E177&lt;&gt;"Tier 2",$E177&lt;&gt;"Tier 2 Grove",$E177&lt;&gt;"Tier 3",$E177&lt;&gt;"Tier 4",$H177="Zoning: Green Factor",OR($D177="",$D177&lt;6)),
Error!$B$11,
IF(AND(_xlpm.baseRow,$D177&lt;6,$E177="&lt;6in DSH for Tree Points",_xlpm.TreePoints_H=0),
Error!$B$21,
IF(AND(_xlpm.baseRow,$E177&lt;&gt;"",$D177&lt;&gt;"",$F177=""),
Error!$B$4,
IF(AND(_xlpm.baseRow,$F177="Remove",OR($E177="Tier 1",$E177="Tier 2",$E177="Tier 2 Grove"),COUNTBLANK(_xlpm.HRange)&lt;3,_xlpm.uniqueH&gt;=2),
Error!$B$48,
IF(AND(_xlpm.baseRow,$F177="Retain",OR($E177="Tier 1",$E177="Tier 2",$E177="Tier 2 Grove"),COUNTIF(_xlpm.HRange,"Tree Code: Required to Retain Tier 1-2 Tree")=0),
Error!$B$47,
IF(AND(_xlpm.baseRow,$E177&lt;&gt;"",$D177&lt;&gt;"",$F177&lt;&gt;"",COUNTBLANK(_xlpm.HRange)=4),
Error!$B$5,
IF(AND($F177="Remove",$H177&lt;&gt;"",$I177=""),
Error!$B$18,
IF(AND($E177="Tier 4",$F177="Remove",$H177="Tree Protection Code: Tier 3 or Tier 4 Allowance",$H177&lt;&gt;"",ISNA(MATCH($I177,Tables!$B$200,0))),
Error!$B$17,
IF(AND($E177="Tier 3",$F177="Remove",$H177&lt;&gt;"",$H177="Tree Protection Code: Tier 3 or Tier 4 Allowance",OR($I177="",ISNA(MATCH($I177,Tables!$B$193:$B$197,0)))),
Error!$B$17,
IF(AND(OR($E177="Tier 2",$E177="Tier 2 Grove"),$F177="Remove",$H177="Tree Protection Code: Other removal allowance or exemption",$I177&lt;&gt;"",ISNA(MATCH($I177,Tables!$B$215:$B$218,0))),
Error!$B$17,
IF(AND(OR($E177="Tier 2",$E177="Tier 2 Grove"),$F177="Remove",$H177="Tree Protection Code: Development Capacity",$I177&lt;&gt;"",ISNA(MATCH($I177,Tables!$B$193:$B$197,0))),
Error!$B$17,
IF(AND(OR($E177="Tier 2",$E177="Tier 2 Grove"),$F177="Remove",$H177="Tree Protection Code: Necessary for Construction",$I177&lt;&gt;"",ISNA(MATCH($I177,Tables!$B$193:$B$197,0))),
Error!$B$17,
IF(AND($E177="Tier 1",$F177="Remove",$H177="Tree Protection Code: Special Exception",$I177&lt;&gt;"",ISNA(MATCH($I177,Tables!$B$215:$B$218,0))),
Error!$B$17,
IF(AND($E177="Tier 1",$F177="Remove",$H177="Tree Protection Code: Other removal allowance or exemption",$I177&lt;&gt;"",ISNA(MATCH($I177,Tables!$B$215:$B$218,0))),
Error!$B$17,
IF(AND($E177="ECA / Shoreline Tree",$F177="Remove",$H177&lt;&gt;"",OR($H177="Shoreline",$H177="Environmental Critical Area (ECA)"),ISNA(MATCH($I177,Tables!$B$209:$B$212,0))),
Error!$B$17,
IF(AND(_xlpm.baseRow,$F177="Retain",$E177="ECA / Shoreline Tree",_xlpm.ECA_Short=0),
Error!$B$61,
IF(AND($F177="Remove",ISNUMBER(MATCH($E177,{"Tier 1","Tier 2","Tier 3","Tier 4","Tier 2 Grove"},0)),ISNUMBER(MATCH($I177,{"On-site replacement","Off-site replacement"},0)),$J177="",$H177&lt;&gt;""),
Error!$B$19,
IF(AND(_xlpm.baseRow,$E177&lt;&gt;"",$D177&lt;&gt;"",$F177&lt;&gt;"",COUNTBLANK($B177:$C177)&gt;0,COUNTBLANK(_xlpm.HRange)&lt;&gt;4),
Error!$B$22,
IF(AND($H177="Zoning: Tree Points",$K177&lt;&gt;"",ISNA(MATCH($K177,Tables!$B$242:$B$253,0))),
Error!$B$58,
IF(AND($H177="Zoning: Tree Points",$K177="Small",$L177&lt;&gt;"",ISNA(MATCH($L177,Tables!$C$243:$C$244,0))),
Error!$B$59,
IF(AND($H177="Zoning: Tree Points",$K177="Small/Medium",$L177&lt;&gt;"",ISNA(MATCH($L177,Tables!$C$246:$C$247,0))),
Error!$B$59,
IF(AND($H177="Zoning: Tree Points",$K177="Medium/Large",$L177&lt;&gt;"",ISNA(MATCH($L177,Tables!$C$249:$C$250,0))),
Error!$B$59,
IF(AND($H177="Zoning: Tree Points",$K177="Large",$L177&lt;&gt;"",ISNA(MATCH($L177,Tables!$C$252:$C$253,0))),
Error!$B$59,
IF(AND($F177="Retain",$H177="Zoning: Tree Points",$C177&lt;&gt;"",$D177&lt;&gt;"",OR($K177="",$L177="",$M177="")),
Error!$B$20,
""
)))))))))))))))))))))))))))))))))))))))))))))))))))))))),
Error!$B$23))</f>
        <v/>
      </c>
      <c r="O177" s="343" t="str" cm="1">
        <f t="array" aca="1" ref="O177" ca="1">IFERROR(_xlfn.LET(
    _xlpm.txt, $C177,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78" spans="1:15" ht="15" thickBot="1" x14ac:dyDescent="0.35">
      <c r="A178" s="331"/>
      <c r="B178" s="616" t="str">
        <f t="shared" si="163"/>
        <v/>
      </c>
      <c r="C178" s="617" t="str">
        <f t="shared" si="164"/>
        <v/>
      </c>
      <c r="D178" s="618" t="str">
        <f t="shared" si="165"/>
        <v/>
      </c>
      <c r="E178" s="616" t="str">
        <f t="shared" si="166"/>
        <v/>
      </c>
      <c r="F178" s="616" t="str">
        <f t="shared" si="167"/>
        <v/>
      </c>
      <c r="G178" s="619" t="str">
        <f>IF(Tree_Table1[[#This Row],[Tree Status  &amp;]]="Retain", Tables!$B$237, IF(Tree_Table1[[#This Row],[Tree Status  &amp;]]="Remove", Tables!$B$238, ""))</f>
        <v/>
      </c>
      <c r="H178" s="329"/>
      <c r="I178" s="330"/>
      <c r="J178" s="455"/>
      <c r="K178" s="327" t="str">
        <f>IFERROR(
    IF(
        AND($H178="Zoning: Tree Points", NOT(ISNUMBER(SEARCH("sp.", $C178)))),
        VLOOKUP($C178, 'Tree List'!$C$3:$F$601, 4, FALSE),
        ""
    ),
"")</f>
        <v/>
      </c>
      <c r="L178" s="328" t="str" cm="1">
        <f t="array" ref="L178">IFERROR(
IF(
    AND($H178="Zoning: Tree Points", NOT(ISNUMBER(SEARCH("sp.", $C178)))),
    _xlfn.IFS(
        (COUNTIFS('Tree List'!$C$3:$C$601,$C178,'Tree List'!$D$3:$D$601,"Coniferous")
        + COUNTIFS('Tree List'!$C$3:$C$601,$C178,'Tree List'!$D$3:$D$601,"Deciduous Conifer")) &gt; 0,
            _xlfn.IFS($K178="Small",0.5,$K178="Small/Medium",1,$K178="Medium/Large",1.4,$K178="Large",1.8),
        (COUNTIFS('Tree List'!$C$3:$C$601,$C178,'Tree List'!$D$3:$D$601,"Deciduous")
        + COUNTIFS('Tree List'!$C$3:$C$601,$C178,'Tree List'!$D$3:$D$601,"Broadleaf Evergreen")) &gt; 0,
            _xlfn.IFS($K178="Small",0.4,$K178="Small/Medium",0.8,$K178="Medium/Large",1.2,$K178="Large",1.6)
    ),
    ""
),
"")</f>
        <v/>
      </c>
      <c r="M178" s="476" t="str">
        <f t="shared" si="0"/>
        <v/>
      </c>
      <c r="N178" s="347" t="str" cm="1">
        <f t="array" aca="1" ref="N17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IF(AND(_xlpm.baseRow,ISNA(MATCH($C178,'Tree List'!$C$3:$C$601,0)),SUMPRODUCT(--ISNUMBER(SEARCH(Tables2!$C$677:$C$772,$O178)))&gt;0),
Error!$B$57,
IF(AND(_xlpm.hasDM,$F178="Remove",$H178&lt;&gt;"",OR($I178="On-site replacement",$I178="Off-site replacement",$I178="Payment In Lieu")),
Error!$B$56,
IF(AND(_xlpm.hasDM,$F178="Remove",$H178&lt;&gt;"",$I178="Relocation"),
Error!$B$66,
IF(AND(OR(_xlpm.hasCN,_xlpm.hasPH,_xlpm.hasGR),$H178&lt;&gt;"",COUNTIF(Tables!$B$132:$B$134,$H178)&gt;0,$I178="N/A (No replacement required)"),
Error!$B$62,
IF(AND(_xlpm.baseRow,$E178&lt;&gt;"",ISNA(MATCH($E178,Tables!$B$225:$B$232,0))),
Error!$B$2,
IF(AND(_xlpm.baseRow,$F178&lt;&gt;"",ISNA(MATCH($F178,Tables!$B$234:$B$235,0))),
Error!$B$24,
IF(AND(_xlpm.baseRow,_xlpm.ECA_H&gt;0,_xlpm.Shore_H&gt;0),
Error!$B$16,
IF(AND(_xlpm.baseRow,$E178&lt;&gt;"",$D178=""),
Error!$B$3,
IF(AND(_xlpm.baseRow,OR($E178="Tier 3",$E178="Tier 4"),$C178&lt;&gt;"",$D178&gt;=24,COUNTIF(Tables2!$B$166:$B$674,$C178)&gt;0),
Error!$B$44,
IF(AND(_xlpm.baseRow,OR($E178="Tier 3",$E178="Tier 4"),$C178&lt;&gt;"",$D178&lt;&gt;"",COUNTIF(Tables2!$B$73:$B$152,$C178)&gt;0,
$D178&gt;=IFERROR(INDEX(Tables2!$C$73:$C$152,MATCH($C178,Tables2!$B$73:$B$152,0)),-1)),
Error!$B$44,
IF(AND(_xlpm.baseRow,OR($E178="Tier 2",$E178="Tier 2 Grove"),$C178&lt;&gt;"",$D178&gt;=12,COUNTIF(Tables2!$B$153:$B$162,$C178)&gt;0),
Error!$B$45,
IF(AND(_xlpm.baseRow,$E178="Tier 2 Grove",$D178&lt;12),
Error!$B$41,
IF(AND(_xlpm.baseRow,$E178="Tier 2",$D178&lt;5.88),
Error!$B$40,
IF(AND(_xlpm.baseRow,OR($E178="Tier 2",$E178="Tier 2 Grove"),$C178&lt;&gt;"",$D178&lt;12,$D178&gt;=6,COUNTIF(Tables2!$B$153:$B$162,$C178)&gt;0),
Error!$B$54,
IF(AND(_xlpm.baseRow,$E178="Tier 2",COUNTIF(Tables2!$B$166:$B$674,$C178)&gt;0,$D178&lt;24),
Error!$B$54,
IF(AND(_xlpm.baseRow,$E178="Tier 3",ISNA(MATCH($C178,Tables2!$B$153:$B$162,0)),OR($D178&lt;12,$D178&gt;=24)),
Error!$B$9,
IF(AND(_xlpm.baseRow,$E178="Tier 3",COUNTIF(Tables2!$B$153:$B$162,$C178)&gt;0,$D178&lt;12),
Error!$B$46,
IF(AND(_xlpm.baseRow,$E178="Tier 4",OR($D178&lt;6,$D178&gt;=12)),
Error!$B$10,
IF(AND(_xlpm.baseRow,$E178="&lt;6in DSH for Tree Points",OR($D178&gt;=6,$D178="")),
Error!$B$8,
IF(AND(_xlpm.baseRow,$E178="Street Tree for Green Factor",$F178&lt;&gt;"",$F178&lt;&gt;"Retain"),
Error!$B$14,
IF(AND($E178="&lt;6in DSH for Tree Points",$F178="Retain",$H178&lt;&gt;"",ISNA(MATCH($H178,Tables!$B$174:$B$174,0))),
Error!$B$15,
IF(AND($E178="Street Tree for Green Factor",$F178="Retain",$H178&lt;&gt;"",$H178&lt;&gt;"Zoning: Green Factor"),
Error!$B$15,
IF(AND($E178="ECA / Shoreline Tree",$F178="Remove",$H178&lt;&gt;"",ISNA(MATCH($H178,Tables!$B$189:$B$190,0))),
Error!$B$15,
IF(AND($E178="ECA / Shoreline Tree",$F178="Retain",$H178&lt;&gt;"",ISNA(MATCH($H178,Tables!$B$184:$B$186,0))),
Error!$B$15,
IF(AND($E178="Tier 4",$F178="Remove",$H178&lt;&gt;"",ISNA(MATCH($H178,Tables!$B$171,0))),
Error!$B$15,
IF(AND($E178="Tier 4",$F178="Retain",$H178&lt;&gt;"",ISNA(MATCH($H178,Tables!$B$166:$B$168,0))),
Error!$B$15,
IF(AND($E178="Tier 3",$F178="Retain",$H178&lt;&gt;"",ISNA(MATCH($H178,Tables!$B$158:$B$160,0))),
Error!$B$15,
IF(AND($E178="Tier 3",$F178="Remove",$H178&lt;&gt;"",ISNA(MATCH($H178,Tables!$B$163,0))),
Error!$B$15,
IF(AND(OR($E178="Tier 2",$E178="Tier 2 Grove"),$F178="Remove",$H178&lt;&gt;"",ISNA(MATCH($H178,Tables!$B$153:$B$155,0))),
Error!$B$15,
IF(AND(OR($E178="Tier 2",$E178="Tier 2 Grove"),$F178="Retain",$H178&lt;&gt;"",ISNA(MATCH($H178,Tables!$B$147:$B$150,0))),
Error!$B$15,
IF(AND($E178="Tier 1",$F178="Remove",$H178&lt;&gt;"",ISNA(MATCH($H178,Tables!$B$143:$B$144,0))),
Error!$B$15,
IF(AND($E178="Tier 1",$F178="Retain",$H178&lt;&gt;"",ISNA(MATCH($H178,Tables!$B$137:$B$140,0))),
Error!$B$15,
IF(AND($E178&lt;&gt;"Tier 2",$E178&lt;&gt;"Tier 2 Grove",$E178&lt;&gt;"Tier 3",$E178&lt;&gt;"Tier 4",$H178="Zoning: Green Factor",OR($D178="",$D178&lt;6)),
Error!$B$11,
IF(AND(_xlpm.baseRow,$D178&lt;6,$E178="&lt;6in DSH for Tree Points",_xlpm.TreePoints_H=0),
Error!$B$21,
IF(AND(_xlpm.baseRow,$E178&lt;&gt;"",$D178&lt;&gt;"",$F178=""),
Error!$B$4,
IF(AND(_xlpm.baseRow,$F178="Remove",OR($E178="Tier 1",$E178="Tier 2",$E178="Tier 2 Grove"),COUNTBLANK(_xlpm.HRange)&lt;3,_xlpm.uniqueH&gt;=2),
Error!$B$48,
IF(AND(_xlpm.baseRow,$F178="Retain",OR($E178="Tier 1",$E178="Tier 2",$E178="Tier 2 Grove"),COUNTIF(_xlpm.HRange,"Tree Code: Required to Retain Tier 1-2 Tree")=0),
Error!$B$47,
IF(AND(_xlpm.baseRow,$E178&lt;&gt;"",$D178&lt;&gt;"",$F178&lt;&gt;"",COUNTBLANK(_xlpm.HRange)=4),
Error!$B$5,
IF(AND($F178="Remove",$H178&lt;&gt;"",$I178=""),
Error!$B$18,
IF(AND($E178="Tier 4",$F178="Remove",$H178="Tree Protection Code: Tier 3 or Tier 4 Allowance",$H178&lt;&gt;"",ISNA(MATCH($I178,Tables!$B$200,0))),
Error!$B$17,
IF(AND($E178="Tier 3",$F178="Remove",$H178&lt;&gt;"",$H178="Tree Protection Code: Tier 3 or Tier 4 Allowance",OR($I178="",ISNA(MATCH($I178,Tables!$B$193:$B$197,0)))),
Error!$B$17,
IF(AND(OR($E178="Tier 2",$E178="Tier 2 Grove"),$F178="Remove",$H178="Tree Protection Code: Other removal allowance or exemption",$I178&lt;&gt;"",ISNA(MATCH($I178,Tables!$B$215:$B$218,0))),
Error!$B$17,
IF(AND(OR($E178="Tier 2",$E178="Tier 2 Grove"),$F178="Remove",$H178="Tree Protection Code: Development Capacity",$I178&lt;&gt;"",ISNA(MATCH($I178,Tables!$B$193:$B$197,0))),
Error!$B$17,
IF(AND(OR($E178="Tier 2",$E178="Tier 2 Grove"),$F178="Remove",$H178="Tree Protection Code: Necessary for Construction",$I178&lt;&gt;"",ISNA(MATCH($I178,Tables!$B$193:$B$197,0))),
Error!$B$17,
IF(AND($E178="Tier 1",$F178="Remove",$H178="Tree Protection Code: Special Exception",$I178&lt;&gt;"",ISNA(MATCH($I178,Tables!$B$215:$B$218,0))),
Error!$B$17,
IF(AND($E178="Tier 1",$F178="Remove",$H178="Tree Protection Code: Other removal allowance or exemption",$I178&lt;&gt;"",ISNA(MATCH($I178,Tables!$B$215:$B$218,0))),
Error!$B$17,
IF(AND($E178="ECA / Shoreline Tree",$F178="Remove",$H178&lt;&gt;"",OR($H178="Shoreline",$H178="Environmental Critical Area (ECA)"),ISNA(MATCH($I178,Tables!$B$209:$B$212,0))),
Error!$B$17,
IF(AND(_xlpm.baseRow,$F178="Retain",$E178="ECA / Shoreline Tree",_xlpm.ECA_Short=0),
Error!$B$61,
IF(AND($F178="Remove",ISNUMBER(MATCH($E178,{"Tier 1","Tier 2","Tier 3","Tier 4","Tier 2 Grove"},0)),ISNUMBER(MATCH($I178,{"On-site replacement","Off-site replacement"},0)),$J178="",$H178&lt;&gt;""),
Error!$B$19,
IF(AND(_xlpm.baseRow,$E178&lt;&gt;"",$D178&lt;&gt;"",$F178&lt;&gt;"",COUNTBLANK($B178:$C178)&gt;0,COUNTBLANK(_xlpm.HRange)&lt;&gt;4),
Error!$B$22,
IF(AND($H178="Zoning: Tree Points",$K178&lt;&gt;"",ISNA(MATCH($K178,Tables!$B$242:$B$253,0))),
Error!$B$58,
IF(AND($H178="Zoning: Tree Points",$K178="Small",$L178&lt;&gt;"",ISNA(MATCH($L178,Tables!$C$243:$C$244,0))),
Error!$B$59,
IF(AND($H178="Zoning: Tree Points",$K178="Small/Medium",$L178&lt;&gt;"",ISNA(MATCH($L178,Tables!$C$246:$C$247,0))),
Error!$B$59,
IF(AND($H178="Zoning: Tree Points",$K178="Medium/Large",$L178&lt;&gt;"",ISNA(MATCH($L178,Tables!$C$249:$C$250,0))),
Error!$B$59,
IF(AND($H178="Zoning: Tree Points",$K178="Large",$L178&lt;&gt;"",ISNA(MATCH($L178,Tables!$C$252:$C$253,0))),
Error!$B$59,
IF(AND($F178="Retain",$H178="Zoning: Tree Points",$C178&lt;&gt;"",$D178&lt;&gt;"",OR($K178="",$L178="",$M178="")),
Error!$B$20,
""
)))))))))))))))))))))))))))))))))))))))))))))))))))))))),
Error!$B$23))</f>
        <v/>
      </c>
      <c r="O178" s="343" t="str" cm="1">
        <f t="array" aca="1" ref="O178" ca="1">IFERROR(_xlfn.LET(
    _xlpm.txt, $C178,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79" spans="1:15" ht="15" thickBot="1" x14ac:dyDescent="0.35">
      <c r="A179" s="311">
        <v>43</v>
      </c>
      <c r="B179" s="312"/>
      <c r="C179" s="313"/>
      <c r="D179" s="478"/>
      <c r="E179" s="314"/>
      <c r="F179" s="314"/>
      <c r="G179" s="315" t="str">
        <f>IF(Tree_Table1[[#This Row],[Tree Status  &amp;]]="Retain", Tables!$B$237, IF(Tree_Table1[[#This Row],[Tree Status  &amp;]]="Remove", Tables!$B$238, ""))</f>
        <v/>
      </c>
      <c r="H179" s="316"/>
      <c r="I179" s="317"/>
      <c r="J179" s="452"/>
      <c r="K179" s="318" t="str">
        <f>IFERROR(
    IF(
        AND($H179="Zoning: Tree Points", NOT(ISNUMBER(SEARCH("sp.", $C179)))),
        VLOOKUP($C179, 'Tree List'!$C$3:$F$601, 4, FALSE),
        ""
    ),
"")</f>
        <v/>
      </c>
      <c r="L179" s="319" t="str" cm="1">
        <f t="array" ref="L179">IFERROR(
IF(
    AND($H179="Zoning: Tree Points", NOT(ISNUMBER(SEARCH("sp.", $C179)))),
    _xlfn.IFS(
        (COUNTIFS('Tree List'!$C$3:$C$601,$C179,'Tree List'!$D$3:$D$601,"Coniferous")
        + COUNTIFS('Tree List'!$C$3:$C$601,$C179,'Tree List'!$D$3:$D$601,"Deciduous Conifer")) &gt; 0,
            _xlfn.IFS($K179="Small",0.5,$K179="Small/Medium",1,$K179="Medium/Large",1.4,$K179="Large",1.8),
        (COUNTIFS('Tree List'!$C$3:$C$601,$C179,'Tree List'!$D$3:$D$601,"Deciduous")
        + COUNTIFS('Tree List'!$C$3:$C$601,$C179,'Tree List'!$D$3:$D$601,"Broadleaf Evergreen")) &gt; 0,
            _xlfn.IFS($K179="Small",0.4,$K179="Small/Medium",0.8,$K179="Medium/Large",1.2,$K179="Large",1.6)
    ),
    ""
),
"")</f>
        <v/>
      </c>
      <c r="M179" s="474" t="str">
        <f t="shared" ref="M179:M242" si="168">IFERROR($D179*$L179,"")</f>
        <v/>
      </c>
      <c r="N179" s="620" t="str" cm="1">
        <f t="array" aca="1" ref="N17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IF(AND(_xlpm.baseRow,ISNA(MATCH($C179,'Tree List'!$C$3:$C$601,0)),SUMPRODUCT(--ISNUMBER(SEARCH(Tables2!$C$677:$C$772,$O179)))&gt;0),
Error!$B$57,
IF(AND(_xlpm.hasDM,$F179="Remove",$H179&lt;&gt;"",OR($I179="On-site replacement",$I179="Off-site replacement",$I179="Payment In Lieu")),
Error!$B$56,
IF(AND(_xlpm.hasDM,$F179="Remove",$H179&lt;&gt;"",$I179="Relocation"),
Error!$B$66,
IF(AND(OR(_xlpm.hasCN,_xlpm.hasPH,_xlpm.hasGR),$H179&lt;&gt;"",COUNTIF(Tables!$B$132:$B$134,$H179)&gt;0,$I179="N/A (No replacement required)"),
Error!$B$62,
IF(AND(_xlpm.baseRow,$E179&lt;&gt;"",ISNA(MATCH($E179,Tables!$B$225:$B$232,0))),
Error!$B$2,
IF(AND(_xlpm.baseRow,$F179&lt;&gt;"",ISNA(MATCH($F179,Tables!$B$234:$B$235,0))),
Error!$B$24,
IF(AND(_xlpm.baseRow,_xlpm.ECA_H&gt;0,_xlpm.Shore_H&gt;0),
Error!$B$16,
IF(AND(_xlpm.baseRow,$E179&lt;&gt;"",$D179=""),
Error!$B$3,
IF(AND(_xlpm.baseRow,OR($E179="Tier 3",$E179="Tier 4"),$C179&lt;&gt;"",$D179&gt;=24,COUNTIF(Tables2!$B$166:$B$674,$C179)&gt;0),
Error!$B$44,
IF(AND(_xlpm.baseRow,OR($E179="Tier 3",$E179="Tier 4"),$C179&lt;&gt;"",$D179&lt;&gt;"",COUNTIF(Tables2!$B$73:$B$152,$C179)&gt;0,
$D179&gt;=IFERROR(INDEX(Tables2!$C$73:$C$152,MATCH($C179,Tables2!$B$73:$B$152,0)),-1)),
Error!$B$44,
IF(AND(_xlpm.baseRow,OR($E179="Tier 2",$E179="Tier 2 Grove"),$C179&lt;&gt;"",$D179&gt;=12,COUNTIF(Tables2!$B$153:$B$162,$C179)&gt;0),
Error!$B$45,
IF(AND(_xlpm.baseRow,$E179="Tier 2 Grove",$D179&lt;12),
Error!$B$41,
IF(AND(_xlpm.baseRow,$E179="Tier 2",$D179&lt;5.88),
Error!$B$40,
IF(AND(_xlpm.baseRow,OR($E179="Tier 2",$E179="Tier 2 Grove"),$C179&lt;&gt;"",$D179&lt;12,$D179&gt;=6,COUNTIF(Tables2!$B$153:$B$162,$C179)&gt;0),
Error!$B$54,
IF(AND(_xlpm.baseRow,$E179="Tier 2",COUNTIF(Tables2!$B$166:$B$674,$C179)&gt;0,$D179&lt;24),
Error!$B$54,
IF(AND(_xlpm.baseRow,$E179="Tier 3",ISNA(MATCH($C179,Tables2!$B$153:$B$162,0)),OR($D179&lt;12,$D179&gt;=24)),
Error!$B$9,
IF(AND(_xlpm.baseRow,$E179="Tier 3",COUNTIF(Tables2!$B$153:$B$162,$C179)&gt;0,$D179&lt;12),
Error!$B$46,
IF(AND(_xlpm.baseRow,$E179="Tier 4",OR($D179&lt;6,$D179&gt;=12)),
Error!$B$10,
IF(AND(_xlpm.baseRow,$E179="&lt;6in DSH for Tree Points",OR($D179&gt;=6,$D179="")),
Error!$B$8,
IF(AND(_xlpm.baseRow,$E179="Street Tree for Green Factor",$F179&lt;&gt;"",$F179&lt;&gt;"Retain"),
Error!$B$14,
IF(AND($E179="&lt;6in DSH for Tree Points",$F179="Retain",$H179&lt;&gt;"",ISNA(MATCH($H179,Tables!$B$174:$B$174,0))),
Error!$B$15,
IF(AND($E179="Street Tree for Green Factor",$F179="Retain",$H179&lt;&gt;"",$H179&lt;&gt;"Zoning: Green Factor"),
Error!$B$15,
IF(AND($E179="ECA / Shoreline Tree",$F179="Remove",$H179&lt;&gt;"",ISNA(MATCH($H179,Tables!$B$189:$B$190,0))),
Error!$B$15,
IF(AND($E179="ECA / Shoreline Tree",$F179="Retain",$H179&lt;&gt;"",ISNA(MATCH($H179,Tables!$B$184:$B$186,0))),
Error!$B$15,
IF(AND($E179="Tier 4",$F179="Remove",$H179&lt;&gt;"",ISNA(MATCH($H179,Tables!$B$171,0))),
Error!$B$15,
IF(AND($E179="Tier 4",$F179="Retain",$H179&lt;&gt;"",ISNA(MATCH($H179,Tables!$B$166:$B$168,0))),
Error!$B$15,
IF(AND($E179="Tier 3",$F179="Retain",$H179&lt;&gt;"",ISNA(MATCH($H179,Tables!$B$158:$B$160,0))),
Error!$B$15,
IF(AND($E179="Tier 3",$F179="Remove",$H179&lt;&gt;"",ISNA(MATCH($H179,Tables!$B$163,0))),
Error!$B$15,
IF(AND(OR($E179="Tier 2",$E179="Tier 2 Grove"),$F179="Remove",$H179&lt;&gt;"",ISNA(MATCH($H179,Tables!$B$153:$B$155,0))),
Error!$B$15,
IF(AND(OR($E179="Tier 2",$E179="Tier 2 Grove"),$F179="Retain",$H179&lt;&gt;"",ISNA(MATCH($H179,Tables!$B$147:$B$150,0))),
Error!$B$15,
IF(AND($E179="Tier 1",$F179="Remove",$H179&lt;&gt;"",ISNA(MATCH($H179,Tables!$B$143:$B$144,0))),
Error!$B$15,
IF(AND($E179="Tier 1",$F179="Retain",$H179&lt;&gt;"",ISNA(MATCH($H179,Tables!$B$137:$B$140,0))),
Error!$B$15,
IF(AND($E179&lt;&gt;"Tier 2",$E179&lt;&gt;"Tier 2 Grove",$E179&lt;&gt;"Tier 3",$E179&lt;&gt;"Tier 4",$H179="Zoning: Green Factor",OR($D179="",$D179&lt;6)),
Error!$B$11,
IF(AND(_xlpm.baseRow,$D179&lt;6,$E179="&lt;6in DSH for Tree Points",_xlpm.TreePoints_H=0),
Error!$B$21,
IF(AND(_xlpm.baseRow,$E179&lt;&gt;"",$D179&lt;&gt;"",$F179=""),
Error!$B$4,
IF(AND(_xlpm.baseRow,$F179="Remove",OR($E179="Tier 1",$E179="Tier 2",$E179="Tier 2 Grove"),COUNTBLANK(_xlpm.HRange)&lt;3,_xlpm.uniqueH&gt;=2),
Error!$B$48,
IF(AND(_xlpm.baseRow,$F179="Retain",OR($E179="Tier 1",$E179="Tier 2",$E179="Tier 2 Grove"),COUNTIF(_xlpm.HRange,"Tree Code: Required to Retain Tier 1-2 Tree")=0),
Error!$B$47,
IF(AND(_xlpm.baseRow,$E179&lt;&gt;"",$D179&lt;&gt;"",$F179&lt;&gt;"",COUNTBLANK(_xlpm.HRange)=4),
Error!$B$5,
IF(AND($F179="Remove",$H179&lt;&gt;"",$I179=""),
Error!$B$18,
IF(AND($E179="Tier 4",$F179="Remove",$H179="Tree Protection Code: Tier 3 or Tier 4 Allowance",$H179&lt;&gt;"",ISNA(MATCH($I179,Tables!$B$200,0))),
Error!$B$17,
IF(AND($E179="Tier 3",$F179="Remove",$H179&lt;&gt;"",$H179="Tree Protection Code: Tier 3 or Tier 4 Allowance",OR($I179="",ISNA(MATCH($I179,Tables!$B$193:$B$197,0)))),
Error!$B$17,
IF(AND(OR($E179="Tier 2",$E179="Tier 2 Grove"),$F179="Remove",$H179="Tree Protection Code: Other removal allowance or exemption",$I179&lt;&gt;"",ISNA(MATCH($I179,Tables!$B$215:$B$218,0))),
Error!$B$17,
IF(AND(OR($E179="Tier 2",$E179="Tier 2 Grove"),$F179="Remove",$H179="Tree Protection Code: Development Capacity",$I179&lt;&gt;"",ISNA(MATCH($I179,Tables!$B$193:$B$197,0))),
Error!$B$17,
IF(AND(OR($E179="Tier 2",$E179="Tier 2 Grove"),$F179="Remove",$H179="Tree Protection Code: Necessary for Construction",$I179&lt;&gt;"",ISNA(MATCH($I179,Tables!$B$193:$B$197,0))),
Error!$B$17,
IF(AND($E179="Tier 1",$F179="Remove",$H179="Tree Protection Code: Special Exception",$I179&lt;&gt;"",ISNA(MATCH($I179,Tables!$B$215:$B$218,0))),
Error!$B$17,
IF(AND($E179="Tier 1",$F179="Remove",$H179="Tree Protection Code: Other removal allowance or exemption",$I179&lt;&gt;"",ISNA(MATCH($I179,Tables!$B$215:$B$218,0))),
Error!$B$17,
IF(AND($E179="ECA / Shoreline Tree",$F179="Remove",$H179&lt;&gt;"",OR($H179="Shoreline",$H179="Environmental Critical Area (ECA)"),ISNA(MATCH($I179,Tables!$B$209:$B$212,0))),
Error!$B$17,
IF(AND(_xlpm.baseRow,$F179="Retain",$E179="ECA / Shoreline Tree",_xlpm.ECA_Short=0),
Error!$B$61,
IF(AND($F179="Remove",ISNUMBER(MATCH($E179,{"Tier 1","Tier 2","Tier 3","Tier 4","Tier 2 Grove"},0)),ISNUMBER(MATCH($I179,{"On-site replacement","Off-site replacement"},0)),$J179="",$H179&lt;&gt;""),
Error!$B$19,
IF(AND(_xlpm.baseRow,$E179&lt;&gt;"",$D179&lt;&gt;"",$F179&lt;&gt;"",COUNTBLANK($B179:$C179)&gt;0,COUNTBLANK(_xlpm.HRange)&lt;&gt;4),
Error!$B$22,
IF(AND($H179="Zoning: Tree Points",$K179&lt;&gt;"",ISNA(MATCH($K179,Tables!$B$242:$B$253,0))),
Error!$B$58,
IF(AND($H179="Zoning: Tree Points",$K179="Small",$L179&lt;&gt;"",ISNA(MATCH($L179,Tables!$C$243:$C$244,0))),
Error!$B$59,
IF(AND($H179="Zoning: Tree Points",$K179="Small/Medium",$L179&lt;&gt;"",ISNA(MATCH($L179,Tables!$C$246:$C$247,0))),
Error!$B$59,
IF(AND($H179="Zoning: Tree Points",$K179="Medium/Large",$L179&lt;&gt;"",ISNA(MATCH($L179,Tables!$C$249:$C$250,0))),
Error!$B$59,
IF(AND($H179="Zoning: Tree Points",$K179="Large",$L179&lt;&gt;"",ISNA(MATCH($L179,Tables!$C$252:$C$253,0))),
Error!$B$59,
IF(AND($F179="Retain",$H179="Zoning: Tree Points",$C179&lt;&gt;"",$D179&lt;&gt;"",OR($K179="",$L179="",$M179="")),
Error!$B$20,
""
)))))))))))))))))))))))))))))))))))))))))))))))))))))))),
Error!$B$23))</f>
        <v/>
      </c>
      <c r="O179" s="343" t="str" cm="1">
        <f t="array" aca="1" ref="O179" ca="1">IFERROR(_xlfn.LET(
    _xlpm.txt, $C179,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80" spans="1:15" x14ac:dyDescent="0.3">
      <c r="A180" s="320"/>
      <c r="B180" s="616" t="str">
        <f t="shared" ref="B180:B182" si="169">IF($B179="", "", $B179)</f>
        <v/>
      </c>
      <c r="C180" s="617" t="str">
        <f t="shared" ref="C180:C182" si="170">IF($C179="", "", $C179)</f>
        <v/>
      </c>
      <c r="D180" s="618" t="str">
        <f t="shared" ref="D180:D182" si="171">IF($D179="", "", $D179)</f>
        <v/>
      </c>
      <c r="E180" s="616" t="str">
        <f t="shared" ref="E180:E182" si="172">IF($E179="", "", $E179)</f>
        <v/>
      </c>
      <c r="F180" s="616" t="str">
        <f t="shared" ref="F180:F182" si="173">IF($F179="", "", $F179)</f>
        <v/>
      </c>
      <c r="G180" s="619" t="str">
        <f>IF(Tree_Table1[[#This Row],[Tree Status  &amp;]]="Retain", Tables!$B$237, IF(Tree_Table1[[#This Row],[Tree Status  &amp;]]="Remove", Tables!$B$238, ""))</f>
        <v/>
      </c>
      <c r="H180" s="321"/>
      <c r="I180" s="322"/>
      <c r="J180" s="453"/>
      <c r="K180" s="323" t="str">
        <f>IFERROR(
    IF(
        AND($H180="Zoning: Tree Points", NOT(ISNUMBER(SEARCH("sp.", $C180)))),
        VLOOKUP($C180, 'Tree List'!$C$3:$F$601, 4, FALSE),
        ""
    ),
"")</f>
        <v/>
      </c>
      <c r="L180" s="324" t="str" cm="1">
        <f t="array" ref="L180">IFERROR(
IF(
    AND($H180="Zoning: Tree Points", NOT(ISNUMBER(SEARCH("sp.", $C180)))),
    _xlfn.IFS(
        (COUNTIFS('Tree List'!$C$3:$C$601,$C180,'Tree List'!$D$3:$D$601,"Coniferous")
        + COUNTIFS('Tree List'!$C$3:$C$601,$C180,'Tree List'!$D$3:$D$601,"Deciduous Conifer")) &gt; 0,
            _xlfn.IFS($K180="Small",0.5,$K180="Small/Medium",1,$K180="Medium/Large",1.4,$K180="Large",1.8),
        (COUNTIFS('Tree List'!$C$3:$C$601,$C180,'Tree List'!$D$3:$D$601,"Deciduous")
        + COUNTIFS('Tree List'!$C$3:$C$601,$C180,'Tree List'!$D$3:$D$601,"Broadleaf Evergreen")) &gt; 0,
            _xlfn.IFS($K180="Small",0.4,$K180="Small/Medium",0.8,$K180="Medium/Large",1.2,$K180="Large",1.6)
    ),
    ""
),
"")</f>
        <v/>
      </c>
      <c r="M180" s="475" t="str">
        <f t="shared" si="168"/>
        <v/>
      </c>
      <c r="N180" s="346" t="str" cm="1">
        <f t="array" aca="1" ref="N18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IF(AND(_xlpm.baseRow,ISNA(MATCH($C180,'Tree List'!$C$3:$C$601,0)),SUMPRODUCT(--ISNUMBER(SEARCH(Tables2!$C$677:$C$772,$O180)))&gt;0),
Error!$B$57,
IF(AND(_xlpm.hasDM,$F180="Remove",$H180&lt;&gt;"",OR($I180="On-site replacement",$I180="Off-site replacement",$I180="Payment In Lieu")),
Error!$B$56,
IF(AND(_xlpm.hasDM,$F180="Remove",$H180&lt;&gt;"",$I180="Relocation"),
Error!$B$66,
IF(AND(OR(_xlpm.hasCN,_xlpm.hasPH,_xlpm.hasGR),$H180&lt;&gt;"",COUNTIF(Tables!$B$132:$B$134,$H180)&gt;0,$I180="N/A (No replacement required)"),
Error!$B$62,
IF(AND(_xlpm.baseRow,$E180&lt;&gt;"",ISNA(MATCH($E180,Tables!$B$225:$B$232,0))),
Error!$B$2,
IF(AND(_xlpm.baseRow,$F180&lt;&gt;"",ISNA(MATCH($F180,Tables!$B$234:$B$235,0))),
Error!$B$24,
IF(AND(_xlpm.baseRow,_xlpm.ECA_H&gt;0,_xlpm.Shore_H&gt;0),
Error!$B$16,
IF(AND(_xlpm.baseRow,$E180&lt;&gt;"",$D180=""),
Error!$B$3,
IF(AND(_xlpm.baseRow,OR($E180="Tier 3",$E180="Tier 4"),$C180&lt;&gt;"",$D180&gt;=24,COUNTIF(Tables2!$B$166:$B$674,$C180)&gt;0),
Error!$B$44,
IF(AND(_xlpm.baseRow,OR($E180="Tier 3",$E180="Tier 4"),$C180&lt;&gt;"",$D180&lt;&gt;"",COUNTIF(Tables2!$B$73:$B$152,$C180)&gt;0,
$D180&gt;=IFERROR(INDEX(Tables2!$C$73:$C$152,MATCH($C180,Tables2!$B$73:$B$152,0)),-1)),
Error!$B$44,
IF(AND(_xlpm.baseRow,OR($E180="Tier 2",$E180="Tier 2 Grove"),$C180&lt;&gt;"",$D180&gt;=12,COUNTIF(Tables2!$B$153:$B$162,$C180)&gt;0),
Error!$B$45,
IF(AND(_xlpm.baseRow,$E180="Tier 2 Grove",$D180&lt;12),
Error!$B$41,
IF(AND(_xlpm.baseRow,$E180="Tier 2",$D180&lt;5.88),
Error!$B$40,
IF(AND(_xlpm.baseRow,OR($E180="Tier 2",$E180="Tier 2 Grove"),$C180&lt;&gt;"",$D180&lt;12,$D180&gt;=6,COUNTIF(Tables2!$B$153:$B$162,$C180)&gt;0),
Error!$B$54,
IF(AND(_xlpm.baseRow,$E180="Tier 2",COUNTIF(Tables2!$B$166:$B$674,$C180)&gt;0,$D180&lt;24),
Error!$B$54,
IF(AND(_xlpm.baseRow,$E180="Tier 3",ISNA(MATCH($C180,Tables2!$B$153:$B$162,0)),OR($D180&lt;12,$D180&gt;=24)),
Error!$B$9,
IF(AND(_xlpm.baseRow,$E180="Tier 3",COUNTIF(Tables2!$B$153:$B$162,$C180)&gt;0,$D180&lt;12),
Error!$B$46,
IF(AND(_xlpm.baseRow,$E180="Tier 4",OR($D180&lt;6,$D180&gt;=12)),
Error!$B$10,
IF(AND(_xlpm.baseRow,$E180="&lt;6in DSH for Tree Points",OR($D180&gt;=6,$D180="")),
Error!$B$8,
IF(AND(_xlpm.baseRow,$E180="Street Tree for Green Factor",$F180&lt;&gt;"",$F180&lt;&gt;"Retain"),
Error!$B$14,
IF(AND($E180="&lt;6in DSH for Tree Points",$F180="Retain",$H180&lt;&gt;"",ISNA(MATCH($H180,Tables!$B$174:$B$174,0))),
Error!$B$15,
IF(AND($E180="Street Tree for Green Factor",$F180="Retain",$H180&lt;&gt;"",$H180&lt;&gt;"Zoning: Green Factor"),
Error!$B$15,
IF(AND($E180="ECA / Shoreline Tree",$F180="Remove",$H180&lt;&gt;"",ISNA(MATCH($H180,Tables!$B$189:$B$190,0))),
Error!$B$15,
IF(AND($E180="ECA / Shoreline Tree",$F180="Retain",$H180&lt;&gt;"",ISNA(MATCH($H180,Tables!$B$184:$B$186,0))),
Error!$B$15,
IF(AND($E180="Tier 4",$F180="Remove",$H180&lt;&gt;"",ISNA(MATCH($H180,Tables!$B$171,0))),
Error!$B$15,
IF(AND($E180="Tier 4",$F180="Retain",$H180&lt;&gt;"",ISNA(MATCH($H180,Tables!$B$166:$B$168,0))),
Error!$B$15,
IF(AND($E180="Tier 3",$F180="Retain",$H180&lt;&gt;"",ISNA(MATCH($H180,Tables!$B$158:$B$160,0))),
Error!$B$15,
IF(AND($E180="Tier 3",$F180="Remove",$H180&lt;&gt;"",ISNA(MATCH($H180,Tables!$B$163,0))),
Error!$B$15,
IF(AND(OR($E180="Tier 2",$E180="Tier 2 Grove"),$F180="Remove",$H180&lt;&gt;"",ISNA(MATCH($H180,Tables!$B$153:$B$155,0))),
Error!$B$15,
IF(AND(OR($E180="Tier 2",$E180="Tier 2 Grove"),$F180="Retain",$H180&lt;&gt;"",ISNA(MATCH($H180,Tables!$B$147:$B$150,0))),
Error!$B$15,
IF(AND($E180="Tier 1",$F180="Remove",$H180&lt;&gt;"",ISNA(MATCH($H180,Tables!$B$143:$B$144,0))),
Error!$B$15,
IF(AND($E180="Tier 1",$F180="Retain",$H180&lt;&gt;"",ISNA(MATCH($H180,Tables!$B$137:$B$140,0))),
Error!$B$15,
IF(AND($E180&lt;&gt;"Tier 2",$E180&lt;&gt;"Tier 2 Grove",$E180&lt;&gt;"Tier 3",$E180&lt;&gt;"Tier 4",$H180="Zoning: Green Factor",OR($D180="",$D180&lt;6)),
Error!$B$11,
IF(AND(_xlpm.baseRow,$D180&lt;6,$E180="&lt;6in DSH for Tree Points",_xlpm.TreePoints_H=0),
Error!$B$21,
IF(AND(_xlpm.baseRow,$E180&lt;&gt;"",$D180&lt;&gt;"",$F180=""),
Error!$B$4,
IF(AND(_xlpm.baseRow,$F180="Remove",OR($E180="Tier 1",$E180="Tier 2",$E180="Tier 2 Grove"),COUNTBLANK(_xlpm.HRange)&lt;3,_xlpm.uniqueH&gt;=2),
Error!$B$48,
IF(AND(_xlpm.baseRow,$F180="Retain",OR($E180="Tier 1",$E180="Tier 2",$E180="Tier 2 Grove"),COUNTIF(_xlpm.HRange,"Tree Code: Required to Retain Tier 1-2 Tree")=0),
Error!$B$47,
IF(AND(_xlpm.baseRow,$E180&lt;&gt;"",$D180&lt;&gt;"",$F180&lt;&gt;"",COUNTBLANK(_xlpm.HRange)=4),
Error!$B$5,
IF(AND($F180="Remove",$H180&lt;&gt;"",$I180=""),
Error!$B$18,
IF(AND($E180="Tier 4",$F180="Remove",$H180="Tree Protection Code: Tier 3 or Tier 4 Allowance",$H180&lt;&gt;"",ISNA(MATCH($I180,Tables!$B$200,0))),
Error!$B$17,
IF(AND($E180="Tier 3",$F180="Remove",$H180&lt;&gt;"",$H180="Tree Protection Code: Tier 3 or Tier 4 Allowance",OR($I180="",ISNA(MATCH($I180,Tables!$B$193:$B$197,0)))),
Error!$B$17,
IF(AND(OR($E180="Tier 2",$E180="Tier 2 Grove"),$F180="Remove",$H180="Tree Protection Code: Other removal allowance or exemption",$I180&lt;&gt;"",ISNA(MATCH($I180,Tables!$B$215:$B$218,0))),
Error!$B$17,
IF(AND(OR($E180="Tier 2",$E180="Tier 2 Grove"),$F180="Remove",$H180="Tree Protection Code: Development Capacity",$I180&lt;&gt;"",ISNA(MATCH($I180,Tables!$B$193:$B$197,0))),
Error!$B$17,
IF(AND(OR($E180="Tier 2",$E180="Tier 2 Grove"),$F180="Remove",$H180="Tree Protection Code: Necessary for Construction",$I180&lt;&gt;"",ISNA(MATCH($I180,Tables!$B$193:$B$197,0))),
Error!$B$17,
IF(AND($E180="Tier 1",$F180="Remove",$H180="Tree Protection Code: Special Exception",$I180&lt;&gt;"",ISNA(MATCH($I180,Tables!$B$215:$B$218,0))),
Error!$B$17,
IF(AND($E180="Tier 1",$F180="Remove",$H180="Tree Protection Code: Other removal allowance or exemption",$I180&lt;&gt;"",ISNA(MATCH($I180,Tables!$B$215:$B$218,0))),
Error!$B$17,
IF(AND($E180="ECA / Shoreline Tree",$F180="Remove",$H180&lt;&gt;"",OR($H180="Shoreline",$H180="Environmental Critical Area (ECA)"),ISNA(MATCH($I180,Tables!$B$209:$B$212,0))),
Error!$B$17,
IF(AND(_xlpm.baseRow,$F180="Retain",$E180="ECA / Shoreline Tree",_xlpm.ECA_Short=0),
Error!$B$61,
IF(AND($F180="Remove",ISNUMBER(MATCH($E180,{"Tier 1","Tier 2","Tier 3","Tier 4","Tier 2 Grove"},0)),ISNUMBER(MATCH($I180,{"On-site replacement","Off-site replacement"},0)),$J180="",$H180&lt;&gt;""),
Error!$B$19,
IF(AND(_xlpm.baseRow,$E180&lt;&gt;"",$D180&lt;&gt;"",$F180&lt;&gt;"",COUNTBLANK($B180:$C180)&gt;0,COUNTBLANK(_xlpm.HRange)&lt;&gt;4),
Error!$B$22,
IF(AND($H180="Zoning: Tree Points",$K180&lt;&gt;"",ISNA(MATCH($K180,Tables!$B$242:$B$253,0))),
Error!$B$58,
IF(AND($H180="Zoning: Tree Points",$K180="Small",$L180&lt;&gt;"",ISNA(MATCH($L180,Tables!$C$243:$C$244,0))),
Error!$B$59,
IF(AND($H180="Zoning: Tree Points",$K180="Small/Medium",$L180&lt;&gt;"",ISNA(MATCH($L180,Tables!$C$246:$C$247,0))),
Error!$B$59,
IF(AND($H180="Zoning: Tree Points",$K180="Medium/Large",$L180&lt;&gt;"",ISNA(MATCH($L180,Tables!$C$249:$C$250,0))),
Error!$B$59,
IF(AND($H180="Zoning: Tree Points",$K180="Large",$L180&lt;&gt;"",ISNA(MATCH($L180,Tables!$C$252:$C$253,0))),
Error!$B$59,
IF(AND($F180="Retain",$H180="Zoning: Tree Points",$C180&lt;&gt;"",$D180&lt;&gt;"",OR($K180="",$L180="",$M180="")),
Error!$B$20,
""
)))))))))))))))))))))))))))))))))))))))))))))))))))))))),
Error!$B$23))</f>
        <v/>
      </c>
      <c r="O180" s="343" t="str" cm="1">
        <f t="array" aca="1" ref="O180" ca="1">IFERROR(_xlfn.LET(
    _xlpm.txt, $C180,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81" spans="1:15" x14ac:dyDescent="0.3">
      <c r="A181" s="320"/>
      <c r="B181" s="616" t="str">
        <f t="shared" si="169"/>
        <v/>
      </c>
      <c r="C181" s="617" t="str">
        <f t="shared" si="170"/>
        <v/>
      </c>
      <c r="D181" s="618" t="str">
        <f t="shared" si="171"/>
        <v/>
      </c>
      <c r="E181" s="616" t="str">
        <f t="shared" si="172"/>
        <v/>
      </c>
      <c r="F181" s="616" t="str">
        <f t="shared" si="173"/>
        <v/>
      </c>
      <c r="G181" s="619" t="str">
        <f>IF(Tree_Table1[[#This Row],[Tree Status  &amp;]]="Retain", Tables!$B$237, IF(Tree_Table1[[#This Row],[Tree Status  &amp;]]="Remove", Tables!$B$238, ""))</f>
        <v/>
      </c>
      <c r="H181" s="321"/>
      <c r="I181" s="322"/>
      <c r="J181" s="453"/>
      <c r="K181" s="323" t="str">
        <f>IFERROR(
    IF(
        AND($H181="Zoning: Tree Points", NOT(ISNUMBER(SEARCH("sp.", $C181)))),
        VLOOKUP($C181, 'Tree List'!$C$3:$F$601, 4, FALSE),
        ""
    ),
"")</f>
        <v/>
      </c>
      <c r="L181" s="324" t="str" cm="1">
        <f t="array" ref="L181">IFERROR(
IF(
    AND($H181="Zoning: Tree Points", NOT(ISNUMBER(SEARCH("sp.", $C181)))),
    _xlfn.IFS(
        (COUNTIFS('Tree List'!$C$3:$C$601,$C181,'Tree List'!$D$3:$D$601,"Coniferous")
        + COUNTIFS('Tree List'!$C$3:$C$601,$C181,'Tree List'!$D$3:$D$601,"Deciduous Conifer")) &gt; 0,
            _xlfn.IFS($K181="Small",0.5,$K181="Small/Medium",1,$K181="Medium/Large",1.4,$K181="Large",1.8),
        (COUNTIFS('Tree List'!$C$3:$C$601,$C181,'Tree List'!$D$3:$D$601,"Deciduous")
        + COUNTIFS('Tree List'!$C$3:$C$601,$C181,'Tree List'!$D$3:$D$601,"Broadleaf Evergreen")) &gt; 0,
            _xlfn.IFS($K181="Small",0.4,$K181="Small/Medium",0.8,$K181="Medium/Large",1.2,$K181="Large",1.6)
    ),
    ""
),
"")</f>
        <v/>
      </c>
      <c r="M181" s="475" t="str">
        <f t="shared" si="168"/>
        <v/>
      </c>
      <c r="N181" s="346" t="str" cm="1">
        <f t="array" aca="1" ref="N18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IF(AND(_xlpm.baseRow,ISNA(MATCH($C181,'Tree List'!$C$3:$C$601,0)),SUMPRODUCT(--ISNUMBER(SEARCH(Tables2!$C$677:$C$772,$O181)))&gt;0),
Error!$B$57,
IF(AND(_xlpm.hasDM,$F181="Remove",$H181&lt;&gt;"",OR($I181="On-site replacement",$I181="Off-site replacement",$I181="Payment In Lieu")),
Error!$B$56,
IF(AND(_xlpm.hasDM,$F181="Remove",$H181&lt;&gt;"",$I181="Relocation"),
Error!$B$66,
IF(AND(OR(_xlpm.hasCN,_xlpm.hasPH,_xlpm.hasGR),$H181&lt;&gt;"",COUNTIF(Tables!$B$132:$B$134,$H181)&gt;0,$I181="N/A (No replacement required)"),
Error!$B$62,
IF(AND(_xlpm.baseRow,$E181&lt;&gt;"",ISNA(MATCH($E181,Tables!$B$225:$B$232,0))),
Error!$B$2,
IF(AND(_xlpm.baseRow,$F181&lt;&gt;"",ISNA(MATCH($F181,Tables!$B$234:$B$235,0))),
Error!$B$24,
IF(AND(_xlpm.baseRow,_xlpm.ECA_H&gt;0,_xlpm.Shore_H&gt;0),
Error!$B$16,
IF(AND(_xlpm.baseRow,$E181&lt;&gt;"",$D181=""),
Error!$B$3,
IF(AND(_xlpm.baseRow,OR($E181="Tier 3",$E181="Tier 4"),$C181&lt;&gt;"",$D181&gt;=24,COUNTIF(Tables2!$B$166:$B$674,$C181)&gt;0),
Error!$B$44,
IF(AND(_xlpm.baseRow,OR($E181="Tier 3",$E181="Tier 4"),$C181&lt;&gt;"",$D181&lt;&gt;"",COUNTIF(Tables2!$B$73:$B$152,$C181)&gt;0,
$D181&gt;=IFERROR(INDEX(Tables2!$C$73:$C$152,MATCH($C181,Tables2!$B$73:$B$152,0)),-1)),
Error!$B$44,
IF(AND(_xlpm.baseRow,OR($E181="Tier 2",$E181="Tier 2 Grove"),$C181&lt;&gt;"",$D181&gt;=12,COUNTIF(Tables2!$B$153:$B$162,$C181)&gt;0),
Error!$B$45,
IF(AND(_xlpm.baseRow,$E181="Tier 2 Grove",$D181&lt;12),
Error!$B$41,
IF(AND(_xlpm.baseRow,$E181="Tier 2",$D181&lt;5.88),
Error!$B$40,
IF(AND(_xlpm.baseRow,OR($E181="Tier 2",$E181="Tier 2 Grove"),$C181&lt;&gt;"",$D181&lt;12,$D181&gt;=6,COUNTIF(Tables2!$B$153:$B$162,$C181)&gt;0),
Error!$B$54,
IF(AND(_xlpm.baseRow,$E181="Tier 2",COUNTIF(Tables2!$B$166:$B$674,$C181)&gt;0,$D181&lt;24),
Error!$B$54,
IF(AND(_xlpm.baseRow,$E181="Tier 3",ISNA(MATCH($C181,Tables2!$B$153:$B$162,0)),OR($D181&lt;12,$D181&gt;=24)),
Error!$B$9,
IF(AND(_xlpm.baseRow,$E181="Tier 3",COUNTIF(Tables2!$B$153:$B$162,$C181)&gt;0,$D181&lt;12),
Error!$B$46,
IF(AND(_xlpm.baseRow,$E181="Tier 4",OR($D181&lt;6,$D181&gt;=12)),
Error!$B$10,
IF(AND(_xlpm.baseRow,$E181="&lt;6in DSH for Tree Points",OR($D181&gt;=6,$D181="")),
Error!$B$8,
IF(AND(_xlpm.baseRow,$E181="Street Tree for Green Factor",$F181&lt;&gt;"",$F181&lt;&gt;"Retain"),
Error!$B$14,
IF(AND($E181="&lt;6in DSH for Tree Points",$F181="Retain",$H181&lt;&gt;"",ISNA(MATCH($H181,Tables!$B$174:$B$174,0))),
Error!$B$15,
IF(AND($E181="Street Tree for Green Factor",$F181="Retain",$H181&lt;&gt;"",$H181&lt;&gt;"Zoning: Green Factor"),
Error!$B$15,
IF(AND($E181="ECA / Shoreline Tree",$F181="Remove",$H181&lt;&gt;"",ISNA(MATCH($H181,Tables!$B$189:$B$190,0))),
Error!$B$15,
IF(AND($E181="ECA / Shoreline Tree",$F181="Retain",$H181&lt;&gt;"",ISNA(MATCH($H181,Tables!$B$184:$B$186,0))),
Error!$B$15,
IF(AND($E181="Tier 4",$F181="Remove",$H181&lt;&gt;"",ISNA(MATCH($H181,Tables!$B$171,0))),
Error!$B$15,
IF(AND($E181="Tier 4",$F181="Retain",$H181&lt;&gt;"",ISNA(MATCH($H181,Tables!$B$166:$B$168,0))),
Error!$B$15,
IF(AND($E181="Tier 3",$F181="Retain",$H181&lt;&gt;"",ISNA(MATCH($H181,Tables!$B$158:$B$160,0))),
Error!$B$15,
IF(AND($E181="Tier 3",$F181="Remove",$H181&lt;&gt;"",ISNA(MATCH($H181,Tables!$B$163,0))),
Error!$B$15,
IF(AND(OR($E181="Tier 2",$E181="Tier 2 Grove"),$F181="Remove",$H181&lt;&gt;"",ISNA(MATCH($H181,Tables!$B$153:$B$155,0))),
Error!$B$15,
IF(AND(OR($E181="Tier 2",$E181="Tier 2 Grove"),$F181="Retain",$H181&lt;&gt;"",ISNA(MATCH($H181,Tables!$B$147:$B$150,0))),
Error!$B$15,
IF(AND($E181="Tier 1",$F181="Remove",$H181&lt;&gt;"",ISNA(MATCH($H181,Tables!$B$143:$B$144,0))),
Error!$B$15,
IF(AND($E181="Tier 1",$F181="Retain",$H181&lt;&gt;"",ISNA(MATCH($H181,Tables!$B$137:$B$140,0))),
Error!$B$15,
IF(AND($E181&lt;&gt;"Tier 2",$E181&lt;&gt;"Tier 2 Grove",$E181&lt;&gt;"Tier 3",$E181&lt;&gt;"Tier 4",$H181="Zoning: Green Factor",OR($D181="",$D181&lt;6)),
Error!$B$11,
IF(AND(_xlpm.baseRow,$D181&lt;6,$E181="&lt;6in DSH for Tree Points",_xlpm.TreePoints_H=0),
Error!$B$21,
IF(AND(_xlpm.baseRow,$E181&lt;&gt;"",$D181&lt;&gt;"",$F181=""),
Error!$B$4,
IF(AND(_xlpm.baseRow,$F181="Remove",OR($E181="Tier 1",$E181="Tier 2",$E181="Tier 2 Grove"),COUNTBLANK(_xlpm.HRange)&lt;3,_xlpm.uniqueH&gt;=2),
Error!$B$48,
IF(AND(_xlpm.baseRow,$F181="Retain",OR($E181="Tier 1",$E181="Tier 2",$E181="Tier 2 Grove"),COUNTIF(_xlpm.HRange,"Tree Code: Required to Retain Tier 1-2 Tree")=0),
Error!$B$47,
IF(AND(_xlpm.baseRow,$E181&lt;&gt;"",$D181&lt;&gt;"",$F181&lt;&gt;"",COUNTBLANK(_xlpm.HRange)=4),
Error!$B$5,
IF(AND($F181="Remove",$H181&lt;&gt;"",$I181=""),
Error!$B$18,
IF(AND($E181="Tier 4",$F181="Remove",$H181="Tree Protection Code: Tier 3 or Tier 4 Allowance",$H181&lt;&gt;"",ISNA(MATCH($I181,Tables!$B$200,0))),
Error!$B$17,
IF(AND($E181="Tier 3",$F181="Remove",$H181&lt;&gt;"",$H181="Tree Protection Code: Tier 3 or Tier 4 Allowance",OR($I181="",ISNA(MATCH($I181,Tables!$B$193:$B$197,0)))),
Error!$B$17,
IF(AND(OR($E181="Tier 2",$E181="Tier 2 Grove"),$F181="Remove",$H181="Tree Protection Code: Other removal allowance or exemption",$I181&lt;&gt;"",ISNA(MATCH($I181,Tables!$B$215:$B$218,0))),
Error!$B$17,
IF(AND(OR($E181="Tier 2",$E181="Tier 2 Grove"),$F181="Remove",$H181="Tree Protection Code: Development Capacity",$I181&lt;&gt;"",ISNA(MATCH($I181,Tables!$B$193:$B$197,0))),
Error!$B$17,
IF(AND(OR($E181="Tier 2",$E181="Tier 2 Grove"),$F181="Remove",$H181="Tree Protection Code: Necessary for Construction",$I181&lt;&gt;"",ISNA(MATCH($I181,Tables!$B$193:$B$197,0))),
Error!$B$17,
IF(AND($E181="Tier 1",$F181="Remove",$H181="Tree Protection Code: Special Exception",$I181&lt;&gt;"",ISNA(MATCH($I181,Tables!$B$215:$B$218,0))),
Error!$B$17,
IF(AND($E181="Tier 1",$F181="Remove",$H181="Tree Protection Code: Other removal allowance or exemption",$I181&lt;&gt;"",ISNA(MATCH($I181,Tables!$B$215:$B$218,0))),
Error!$B$17,
IF(AND($E181="ECA / Shoreline Tree",$F181="Remove",$H181&lt;&gt;"",OR($H181="Shoreline",$H181="Environmental Critical Area (ECA)"),ISNA(MATCH($I181,Tables!$B$209:$B$212,0))),
Error!$B$17,
IF(AND(_xlpm.baseRow,$F181="Retain",$E181="ECA / Shoreline Tree",_xlpm.ECA_Short=0),
Error!$B$61,
IF(AND($F181="Remove",ISNUMBER(MATCH($E181,{"Tier 1","Tier 2","Tier 3","Tier 4","Tier 2 Grove"},0)),ISNUMBER(MATCH($I181,{"On-site replacement","Off-site replacement"},0)),$J181="",$H181&lt;&gt;""),
Error!$B$19,
IF(AND(_xlpm.baseRow,$E181&lt;&gt;"",$D181&lt;&gt;"",$F181&lt;&gt;"",COUNTBLANK($B181:$C181)&gt;0,COUNTBLANK(_xlpm.HRange)&lt;&gt;4),
Error!$B$22,
IF(AND($H181="Zoning: Tree Points",$K181&lt;&gt;"",ISNA(MATCH($K181,Tables!$B$242:$B$253,0))),
Error!$B$58,
IF(AND($H181="Zoning: Tree Points",$K181="Small",$L181&lt;&gt;"",ISNA(MATCH($L181,Tables!$C$243:$C$244,0))),
Error!$B$59,
IF(AND($H181="Zoning: Tree Points",$K181="Small/Medium",$L181&lt;&gt;"",ISNA(MATCH($L181,Tables!$C$246:$C$247,0))),
Error!$B$59,
IF(AND($H181="Zoning: Tree Points",$K181="Medium/Large",$L181&lt;&gt;"",ISNA(MATCH($L181,Tables!$C$249:$C$250,0))),
Error!$B$59,
IF(AND($H181="Zoning: Tree Points",$K181="Large",$L181&lt;&gt;"",ISNA(MATCH($L181,Tables!$C$252:$C$253,0))),
Error!$B$59,
IF(AND($F181="Retain",$H181="Zoning: Tree Points",$C181&lt;&gt;"",$D181&lt;&gt;"",OR($K181="",$L181="",$M181="")),
Error!$B$20,
""
)))))))))))))))))))))))))))))))))))))))))))))))))))))))),
Error!$B$23))</f>
        <v/>
      </c>
      <c r="O181" s="343" t="str" cm="1">
        <f t="array" aca="1" ref="O181" ca="1">IFERROR(_xlfn.LET(
    _xlpm.txt, $C181,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82" spans="1:15" ht="15" thickBot="1" x14ac:dyDescent="0.35">
      <c r="A182" s="331"/>
      <c r="B182" s="616" t="str">
        <f t="shared" si="169"/>
        <v/>
      </c>
      <c r="C182" s="617" t="str">
        <f t="shared" si="170"/>
        <v/>
      </c>
      <c r="D182" s="618" t="str">
        <f t="shared" si="171"/>
        <v/>
      </c>
      <c r="E182" s="616" t="str">
        <f t="shared" si="172"/>
        <v/>
      </c>
      <c r="F182" s="616" t="str">
        <f t="shared" si="173"/>
        <v/>
      </c>
      <c r="G182" s="619" t="str">
        <f>IF(Tree_Table1[[#This Row],[Tree Status  &amp;]]="Retain", Tables!$B$237, IF(Tree_Table1[[#This Row],[Tree Status  &amp;]]="Remove", Tables!$B$238, ""))</f>
        <v/>
      </c>
      <c r="H182" s="329"/>
      <c r="I182" s="330"/>
      <c r="J182" s="455"/>
      <c r="K182" s="327" t="str">
        <f>IFERROR(
    IF(
        AND($H182="Zoning: Tree Points", NOT(ISNUMBER(SEARCH("sp.", $C182)))),
        VLOOKUP($C182, 'Tree List'!$C$3:$F$601, 4, FALSE),
        ""
    ),
"")</f>
        <v/>
      </c>
      <c r="L182" s="328" t="str" cm="1">
        <f t="array" ref="L182">IFERROR(
IF(
    AND($H182="Zoning: Tree Points", NOT(ISNUMBER(SEARCH("sp.", $C182)))),
    _xlfn.IFS(
        (COUNTIFS('Tree List'!$C$3:$C$601,$C182,'Tree List'!$D$3:$D$601,"Coniferous")
        + COUNTIFS('Tree List'!$C$3:$C$601,$C182,'Tree List'!$D$3:$D$601,"Deciduous Conifer")) &gt; 0,
            _xlfn.IFS($K182="Small",0.5,$K182="Small/Medium",1,$K182="Medium/Large",1.4,$K182="Large",1.8),
        (COUNTIFS('Tree List'!$C$3:$C$601,$C182,'Tree List'!$D$3:$D$601,"Deciduous")
        + COUNTIFS('Tree List'!$C$3:$C$601,$C182,'Tree List'!$D$3:$D$601,"Broadleaf Evergreen")) &gt; 0,
            _xlfn.IFS($K182="Small",0.4,$K182="Small/Medium",0.8,$K182="Medium/Large",1.2,$K182="Large",1.6)
    ),
    ""
),
"")</f>
        <v/>
      </c>
      <c r="M182" s="476" t="str">
        <f t="shared" si="168"/>
        <v/>
      </c>
      <c r="N182" s="347" t="str" cm="1">
        <f t="array" aca="1" ref="N18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IF(AND(_xlpm.baseRow,ISNA(MATCH($C182,'Tree List'!$C$3:$C$601,0)),SUMPRODUCT(--ISNUMBER(SEARCH(Tables2!$C$677:$C$772,$O182)))&gt;0),
Error!$B$57,
IF(AND(_xlpm.hasDM,$F182="Remove",$H182&lt;&gt;"",OR($I182="On-site replacement",$I182="Off-site replacement",$I182="Payment In Lieu")),
Error!$B$56,
IF(AND(_xlpm.hasDM,$F182="Remove",$H182&lt;&gt;"",$I182="Relocation"),
Error!$B$66,
IF(AND(OR(_xlpm.hasCN,_xlpm.hasPH,_xlpm.hasGR),$H182&lt;&gt;"",COUNTIF(Tables!$B$132:$B$134,$H182)&gt;0,$I182="N/A (No replacement required)"),
Error!$B$62,
IF(AND(_xlpm.baseRow,$E182&lt;&gt;"",ISNA(MATCH($E182,Tables!$B$225:$B$232,0))),
Error!$B$2,
IF(AND(_xlpm.baseRow,$F182&lt;&gt;"",ISNA(MATCH($F182,Tables!$B$234:$B$235,0))),
Error!$B$24,
IF(AND(_xlpm.baseRow,_xlpm.ECA_H&gt;0,_xlpm.Shore_H&gt;0),
Error!$B$16,
IF(AND(_xlpm.baseRow,$E182&lt;&gt;"",$D182=""),
Error!$B$3,
IF(AND(_xlpm.baseRow,OR($E182="Tier 3",$E182="Tier 4"),$C182&lt;&gt;"",$D182&gt;=24,COUNTIF(Tables2!$B$166:$B$674,$C182)&gt;0),
Error!$B$44,
IF(AND(_xlpm.baseRow,OR($E182="Tier 3",$E182="Tier 4"),$C182&lt;&gt;"",$D182&lt;&gt;"",COUNTIF(Tables2!$B$73:$B$152,$C182)&gt;0,
$D182&gt;=IFERROR(INDEX(Tables2!$C$73:$C$152,MATCH($C182,Tables2!$B$73:$B$152,0)),-1)),
Error!$B$44,
IF(AND(_xlpm.baseRow,OR($E182="Tier 2",$E182="Tier 2 Grove"),$C182&lt;&gt;"",$D182&gt;=12,COUNTIF(Tables2!$B$153:$B$162,$C182)&gt;0),
Error!$B$45,
IF(AND(_xlpm.baseRow,$E182="Tier 2 Grove",$D182&lt;12),
Error!$B$41,
IF(AND(_xlpm.baseRow,$E182="Tier 2",$D182&lt;5.88),
Error!$B$40,
IF(AND(_xlpm.baseRow,OR($E182="Tier 2",$E182="Tier 2 Grove"),$C182&lt;&gt;"",$D182&lt;12,$D182&gt;=6,COUNTIF(Tables2!$B$153:$B$162,$C182)&gt;0),
Error!$B$54,
IF(AND(_xlpm.baseRow,$E182="Tier 2",COUNTIF(Tables2!$B$166:$B$674,$C182)&gt;0,$D182&lt;24),
Error!$B$54,
IF(AND(_xlpm.baseRow,$E182="Tier 3",ISNA(MATCH($C182,Tables2!$B$153:$B$162,0)),OR($D182&lt;12,$D182&gt;=24)),
Error!$B$9,
IF(AND(_xlpm.baseRow,$E182="Tier 3",COUNTIF(Tables2!$B$153:$B$162,$C182)&gt;0,$D182&lt;12),
Error!$B$46,
IF(AND(_xlpm.baseRow,$E182="Tier 4",OR($D182&lt;6,$D182&gt;=12)),
Error!$B$10,
IF(AND(_xlpm.baseRow,$E182="&lt;6in DSH for Tree Points",OR($D182&gt;=6,$D182="")),
Error!$B$8,
IF(AND(_xlpm.baseRow,$E182="Street Tree for Green Factor",$F182&lt;&gt;"",$F182&lt;&gt;"Retain"),
Error!$B$14,
IF(AND($E182="&lt;6in DSH for Tree Points",$F182="Retain",$H182&lt;&gt;"",ISNA(MATCH($H182,Tables!$B$174:$B$174,0))),
Error!$B$15,
IF(AND($E182="Street Tree for Green Factor",$F182="Retain",$H182&lt;&gt;"",$H182&lt;&gt;"Zoning: Green Factor"),
Error!$B$15,
IF(AND($E182="ECA / Shoreline Tree",$F182="Remove",$H182&lt;&gt;"",ISNA(MATCH($H182,Tables!$B$189:$B$190,0))),
Error!$B$15,
IF(AND($E182="ECA / Shoreline Tree",$F182="Retain",$H182&lt;&gt;"",ISNA(MATCH($H182,Tables!$B$184:$B$186,0))),
Error!$B$15,
IF(AND($E182="Tier 4",$F182="Remove",$H182&lt;&gt;"",ISNA(MATCH($H182,Tables!$B$171,0))),
Error!$B$15,
IF(AND($E182="Tier 4",$F182="Retain",$H182&lt;&gt;"",ISNA(MATCH($H182,Tables!$B$166:$B$168,0))),
Error!$B$15,
IF(AND($E182="Tier 3",$F182="Retain",$H182&lt;&gt;"",ISNA(MATCH($H182,Tables!$B$158:$B$160,0))),
Error!$B$15,
IF(AND($E182="Tier 3",$F182="Remove",$H182&lt;&gt;"",ISNA(MATCH($H182,Tables!$B$163,0))),
Error!$B$15,
IF(AND(OR($E182="Tier 2",$E182="Tier 2 Grove"),$F182="Remove",$H182&lt;&gt;"",ISNA(MATCH($H182,Tables!$B$153:$B$155,0))),
Error!$B$15,
IF(AND(OR($E182="Tier 2",$E182="Tier 2 Grove"),$F182="Retain",$H182&lt;&gt;"",ISNA(MATCH($H182,Tables!$B$147:$B$150,0))),
Error!$B$15,
IF(AND($E182="Tier 1",$F182="Remove",$H182&lt;&gt;"",ISNA(MATCH($H182,Tables!$B$143:$B$144,0))),
Error!$B$15,
IF(AND($E182="Tier 1",$F182="Retain",$H182&lt;&gt;"",ISNA(MATCH($H182,Tables!$B$137:$B$140,0))),
Error!$B$15,
IF(AND($E182&lt;&gt;"Tier 2",$E182&lt;&gt;"Tier 2 Grove",$E182&lt;&gt;"Tier 3",$E182&lt;&gt;"Tier 4",$H182="Zoning: Green Factor",OR($D182="",$D182&lt;6)),
Error!$B$11,
IF(AND(_xlpm.baseRow,$D182&lt;6,$E182="&lt;6in DSH for Tree Points",_xlpm.TreePoints_H=0),
Error!$B$21,
IF(AND(_xlpm.baseRow,$E182&lt;&gt;"",$D182&lt;&gt;"",$F182=""),
Error!$B$4,
IF(AND(_xlpm.baseRow,$F182="Remove",OR($E182="Tier 1",$E182="Tier 2",$E182="Tier 2 Grove"),COUNTBLANK(_xlpm.HRange)&lt;3,_xlpm.uniqueH&gt;=2),
Error!$B$48,
IF(AND(_xlpm.baseRow,$F182="Retain",OR($E182="Tier 1",$E182="Tier 2",$E182="Tier 2 Grove"),COUNTIF(_xlpm.HRange,"Tree Code: Required to Retain Tier 1-2 Tree")=0),
Error!$B$47,
IF(AND(_xlpm.baseRow,$E182&lt;&gt;"",$D182&lt;&gt;"",$F182&lt;&gt;"",COUNTBLANK(_xlpm.HRange)=4),
Error!$B$5,
IF(AND($F182="Remove",$H182&lt;&gt;"",$I182=""),
Error!$B$18,
IF(AND($E182="Tier 4",$F182="Remove",$H182="Tree Protection Code: Tier 3 or Tier 4 Allowance",$H182&lt;&gt;"",ISNA(MATCH($I182,Tables!$B$200,0))),
Error!$B$17,
IF(AND($E182="Tier 3",$F182="Remove",$H182&lt;&gt;"",$H182="Tree Protection Code: Tier 3 or Tier 4 Allowance",OR($I182="",ISNA(MATCH($I182,Tables!$B$193:$B$197,0)))),
Error!$B$17,
IF(AND(OR($E182="Tier 2",$E182="Tier 2 Grove"),$F182="Remove",$H182="Tree Protection Code: Other removal allowance or exemption",$I182&lt;&gt;"",ISNA(MATCH($I182,Tables!$B$215:$B$218,0))),
Error!$B$17,
IF(AND(OR($E182="Tier 2",$E182="Tier 2 Grove"),$F182="Remove",$H182="Tree Protection Code: Development Capacity",$I182&lt;&gt;"",ISNA(MATCH($I182,Tables!$B$193:$B$197,0))),
Error!$B$17,
IF(AND(OR($E182="Tier 2",$E182="Tier 2 Grove"),$F182="Remove",$H182="Tree Protection Code: Necessary for Construction",$I182&lt;&gt;"",ISNA(MATCH($I182,Tables!$B$193:$B$197,0))),
Error!$B$17,
IF(AND($E182="Tier 1",$F182="Remove",$H182="Tree Protection Code: Special Exception",$I182&lt;&gt;"",ISNA(MATCH($I182,Tables!$B$215:$B$218,0))),
Error!$B$17,
IF(AND($E182="Tier 1",$F182="Remove",$H182="Tree Protection Code: Other removal allowance or exemption",$I182&lt;&gt;"",ISNA(MATCH($I182,Tables!$B$215:$B$218,0))),
Error!$B$17,
IF(AND($E182="ECA / Shoreline Tree",$F182="Remove",$H182&lt;&gt;"",OR($H182="Shoreline",$H182="Environmental Critical Area (ECA)"),ISNA(MATCH($I182,Tables!$B$209:$B$212,0))),
Error!$B$17,
IF(AND(_xlpm.baseRow,$F182="Retain",$E182="ECA / Shoreline Tree",_xlpm.ECA_Short=0),
Error!$B$61,
IF(AND($F182="Remove",ISNUMBER(MATCH($E182,{"Tier 1","Tier 2","Tier 3","Tier 4","Tier 2 Grove"},0)),ISNUMBER(MATCH($I182,{"On-site replacement","Off-site replacement"},0)),$J182="",$H182&lt;&gt;""),
Error!$B$19,
IF(AND(_xlpm.baseRow,$E182&lt;&gt;"",$D182&lt;&gt;"",$F182&lt;&gt;"",COUNTBLANK($B182:$C182)&gt;0,COUNTBLANK(_xlpm.HRange)&lt;&gt;4),
Error!$B$22,
IF(AND($H182="Zoning: Tree Points",$K182&lt;&gt;"",ISNA(MATCH($K182,Tables!$B$242:$B$253,0))),
Error!$B$58,
IF(AND($H182="Zoning: Tree Points",$K182="Small",$L182&lt;&gt;"",ISNA(MATCH($L182,Tables!$C$243:$C$244,0))),
Error!$B$59,
IF(AND($H182="Zoning: Tree Points",$K182="Small/Medium",$L182&lt;&gt;"",ISNA(MATCH($L182,Tables!$C$246:$C$247,0))),
Error!$B$59,
IF(AND($H182="Zoning: Tree Points",$K182="Medium/Large",$L182&lt;&gt;"",ISNA(MATCH($L182,Tables!$C$249:$C$250,0))),
Error!$B$59,
IF(AND($H182="Zoning: Tree Points",$K182="Large",$L182&lt;&gt;"",ISNA(MATCH($L182,Tables!$C$252:$C$253,0))),
Error!$B$59,
IF(AND($F182="Retain",$H182="Zoning: Tree Points",$C182&lt;&gt;"",$D182&lt;&gt;"",OR($K182="",$L182="",$M182="")),
Error!$B$20,
""
)))))))))))))))))))))))))))))))))))))))))))))))))))))))),
Error!$B$23))</f>
        <v/>
      </c>
      <c r="O182" s="343" t="str" cm="1">
        <f t="array" aca="1" ref="O182" ca="1">IFERROR(_xlfn.LET(
    _xlpm.txt, $C182,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83" spans="1:15" ht="15" thickBot="1" x14ac:dyDescent="0.35">
      <c r="A183" s="311">
        <v>44</v>
      </c>
      <c r="B183" s="312"/>
      <c r="C183" s="313"/>
      <c r="D183" s="478"/>
      <c r="E183" s="314"/>
      <c r="F183" s="314"/>
      <c r="G183" s="315" t="str">
        <f>IF(Tree_Table1[[#This Row],[Tree Status  &amp;]]="Retain", Tables!$B$237, IF(Tree_Table1[[#This Row],[Tree Status  &amp;]]="Remove", Tables!$B$238, ""))</f>
        <v/>
      </c>
      <c r="H183" s="316"/>
      <c r="I183" s="317"/>
      <c r="J183" s="452"/>
      <c r="K183" s="318" t="str">
        <f>IFERROR(
    IF(
        AND($H183="Zoning: Tree Points", NOT(ISNUMBER(SEARCH("sp.", $C183)))),
        VLOOKUP($C183, 'Tree List'!$C$3:$F$601, 4, FALSE),
        ""
    ),
"")</f>
        <v/>
      </c>
      <c r="L183" s="319" t="str" cm="1">
        <f t="array" ref="L183">IFERROR(
IF(
    AND($H183="Zoning: Tree Points", NOT(ISNUMBER(SEARCH("sp.", $C183)))),
    _xlfn.IFS(
        (COUNTIFS('Tree List'!$C$3:$C$601,$C183,'Tree List'!$D$3:$D$601,"Coniferous")
        + COUNTIFS('Tree List'!$C$3:$C$601,$C183,'Tree List'!$D$3:$D$601,"Deciduous Conifer")) &gt; 0,
            _xlfn.IFS($K183="Small",0.5,$K183="Small/Medium",1,$K183="Medium/Large",1.4,$K183="Large",1.8),
        (COUNTIFS('Tree List'!$C$3:$C$601,$C183,'Tree List'!$D$3:$D$601,"Deciduous")
        + COUNTIFS('Tree List'!$C$3:$C$601,$C183,'Tree List'!$D$3:$D$601,"Broadleaf Evergreen")) &gt; 0,
            _xlfn.IFS($K183="Small",0.4,$K183="Small/Medium",0.8,$K183="Medium/Large",1.2,$K183="Large",1.6)
    ),
    ""
),
"")</f>
        <v/>
      </c>
      <c r="M183" s="474" t="str">
        <f t="shared" si="168"/>
        <v/>
      </c>
      <c r="N183" s="620" t="str" cm="1">
        <f t="array" aca="1" ref="N18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IF(AND(_xlpm.baseRow,ISNA(MATCH($C183,'Tree List'!$C$3:$C$601,0)),SUMPRODUCT(--ISNUMBER(SEARCH(Tables2!$C$677:$C$772,$O183)))&gt;0),
Error!$B$57,
IF(AND(_xlpm.hasDM,$F183="Remove",$H183&lt;&gt;"",OR($I183="On-site replacement",$I183="Off-site replacement",$I183="Payment In Lieu")),
Error!$B$56,
IF(AND(_xlpm.hasDM,$F183="Remove",$H183&lt;&gt;"",$I183="Relocation"),
Error!$B$66,
IF(AND(OR(_xlpm.hasCN,_xlpm.hasPH,_xlpm.hasGR),$H183&lt;&gt;"",COUNTIF(Tables!$B$132:$B$134,$H183)&gt;0,$I183="N/A (No replacement required)"),
Error!$B$62,
IF(AND(_xlpm.baseRow,$E183&lt;&gt;"",ISNA(MATCH($E183,Tables!$B$225:$B$232,0))),
Error!$B$2,
IF(AND(_xlpm.baseRow,$F183&lt;&gt;"",ISNA(MATCH($F183,Tables!$B$234:$B$235,0))),
Error!$B$24,
IF(AND(_xlpm.baseRow,_xlpm.ECA_H&gt;0,_xlpm.Shore_H&gt;0),
Error!$B$16,
IF(AND(_xlpm.baseRow,$E183&lt;&gt;"",$D183=""),
Error!$B$3,
IF(AND(_xlpm.baseRow,OR($E183="Tier 3",$E183="Tier 4"),$C183&lt;&gt;"",$D183&gt;=24,COUNTIF(Tables2!$B$166:$B$674,$C183)&gt;0),
Error!$B$44,
IF(AND(_xlpm.baseRow,OR($E183="Tier 3",$E183="Tier 4"),$C183&lt;&gt;"",$D183&lt;&gt;"",COUNTIF(Tables2!$B$73:$B$152,$C183)&gt;0,
$D183&gt;=IFERROR(INDEX(Tables2!$C$73:$C$152,MATCH($C183,Tables2!$B$73:$B$152,0)),-1)),
Error!$B$44,
IF(AND(_xlpm.baseRow,OR($E183="Tier 2",$E183="Tier 2 Grove"),$C183&lt;&gt;"",$D183&gt;=12,COUNTIF(Tables2!$B$153:$B$162,$C183)&gt;0),
Error!$B$45,
IF(AND(_xlpm.baseRow,$E183="Tier 2 Grove",$D183&lt;12),
Error!$B$41,
IF(AND(_xlpm.baseRow,$E183="Tier 2",$D183&lt;5.88),
Error!$B$40,
IF(AND(_xlpm.baseRow,OR($E183="Tier 2",$E183="Tier 2 Grove"),$C183&lt;&gt;"",$D183&lt;12,$D183&gt;=6,COUNTIF(Tables2!$B$153:$B$162,$C183)&gt;0),
Error!$B$54,
IF(AND(_xlpm.baseRow,$E183="Tier 2",COUNTIF(Tables2!$B$166:$B$674,$C183)&gt;0,$D183&lt;24),
Error!$B$54,
IF(AND(_xlpm.baseRow,$E183="Tier 3",ISNA(MATCH($C183,Tables2!$B$153:$B$162,0)),OR($D183&lt;12,$D183&gt;=24)),
Error!$B$9,
IF(AND(_xlpm.baseRow,$E183="Tier 3",COUNTIF(Tables2!$B$153:$B$162,$C183)&gt;0,$D183&lt;12),
Error!$B$46,
IF(AND(_xlpm.baseRow,$E183="Tier 4",OR($D183&lt;6,$D183&gt;=12)),
Error!$B$10,
IF(AND(_xlpm.baseRow,$E183="&lt;6in DSH for Tree Points",OR($D183&gt;=6,$D183="")),
Error!$B$8,
IF(AND(_xlpm.baseRow,$E183="Street Tree for Green Factor",$F183&lt;&gt;"",$F183&lt;&gt;"Retain"),
Error!$B$14,
IF(AND($E183="&lt;6in DSH for Tree Points",$F183="Retain",$H183&lt;&gt;"",ISNA(MATCH($H183,Tables!$B$174:$B$174,0))),
Error!$B$15,
IF(AND($E183="Street Tree for Green Factor",$F183="Retain",$H183&lt;&gt;"",$H183&lt;&gt;"Zoning: Green Factor"),
Error!$B$15,
IF(AND($E183="ECA / Shoreline Tree",$F183="Remove",$H183&lt;&gt;"",ISNA(MATCH($H183,Tables!$B$189:$B$190,0))),
Error!$B$15,
IF(AND($E183="ECA / Shoreline Tree",$F183="Retain",$H183&lt;&gt;"",ISNA(MATCH($H183,Tables!$B$184:$B$186,0))),
Error!$B$15,
IF(AND($E183="Tier 4",$F183="Remove",$H183&lt;&gt;"",ISNA(MATCH($H183,Tables!$B$171,0))),
Error!$B$15,
IF(AND($E183="Tier 4",$F183="Retain",$H183&lt;&gt;"",ISNA(MATCH($H183,Tables!$B$166:$B$168,0))),
Error!$B$15,
IF(AND($E183="Tier 3",$F183="Retain",$H183&lt;&gt;"",ISNA(MATCH($H183,Tables!$B$158:$B$160,0))),
Error!$B$15,
IF(AND($E183="Tier 3",$F183="Remove",$H183&lt;&gt;"",ISNA(MATCH($H183,Tables!$B$163,0))),
Error!$B$15,
IF(AND(OR($E183="Tier 2",$E183="Tier 2 Grove"),$F183="Remove",$H183&lt;&gt;"",ISNA(MATCH($H183,Tables!$B$153:$B$155,0))),
Error!$B$15,
IF(AND(OR($E183="Tier 2",$E183="Tier 2 Grove"),$F183="Retain",$H183&lt;&gt;"",ISNA(MATCH($H183,Tables!$B$147:$B$150,0))),
Error!$B$15,
IF(AND($E183="Tier 1",$F183="Remove",$H183&lt;&gt;"",ISNA(MATCH($H183,Tables!$B$143:$B$144,0))),
Error!$B$15,
IF(AND($E183="Tier 1",$F183="Retain",$H183&lt;&gt;"",ISNA(MATCH($H183,Tables!$B$137:$B$140,0))),
Error!$B$15,
IF(AND($E183&lt;&gt;"Tier 2",$E183&lt;&gt;"Tier 2 Grove",$E183&lt;&gt;"Tier 3",$E183&lt;&gt;"Tier 4",$H183="Zoning: Green Factor",OR($D183="",$D183&lt;6)),
Error!$B$11,
IF(AND(_xlpm.baseRow,$D183&lt;6,$E183="&lt;6in DSH for Tree Points",_xlpm.TreePoints_H=0),
Error!$B$21,
IF(AND(_xlpm.baseRow,$E183&lt;&gt;"",$D183&lt;&gt;"",$F183=""),
Error!$B$4,
IF(AND(_xlpm.baseRow,$F183="Remove",OR($E183="Tier 1",$E183="Tier 2",$E183="Tier 2 Grove"),COUNTBLANK(_xlpm.HRange)&lt;3,_xlpm.uniqueH&gt;=2),
Error!$B$48,
IF(AND(_xlpm.baseRow,$F183="Retain",OR($E183="Tier 1",$E183="Tier 2",$E183="Tier 2 Grove"),COUNTIF(_xlpm.HRange,"Tree Code: Required to Retain Tier 1-2 Tree")=0),
Error!$B$47,
IF(AND(_xlpm.baseRow,$E183&lt;&gt;"",$D183&lt;&gt;"",$F183&lt;&gt;"",COUNTBLANK(_xlpm.HRange)=4),
Error!$B$5,
IF(AND($F183="Remove",$H183&lt;&gt;"",$I183=""),
Error!$B$18,
IF(AND($E183="Tier 4",$F183="Remove",$H183="Tree Protection Code: Tier 3 or Tier 4 Allowance",$H183&lt;&gt;"",ISNA(MATCH($I183,Tables!$B$200,0))),
Error!$B$17,
IF(AND($E183="Tier 3",$F183="Remove",$H183&lt;&gt;"",$H183="Tree Protection Code: Tier 3 or Tier 4 Allowance",OR($I183="",ISNA(MATCH($I183,Tables!$B$193:$B$197,0)))),
Error!$B$17,
IF(AND(OR($E183="Tier 2",$E183="Tier 2 Grove"),$F183="Remove",$H183="Tree Protection Code: Other removal allowance or exemption",$I183&lt;&gt;"",ISNA(MATCH($I183,Tables!$B$215:$B$218,0))),
Error!$B$17,
IF(AND(OR($E183="Tier 2",$E183="Tier 2 Grove"),$F183="Remove",$H183="Tree Protection Code: Development Capacity",$I183&lt;&gt;"",ISNA(MATCH($I183,Tables!$B$193:$B$197,0))),
Error!$B$17,
IF(AND(OR($E183="Tier 2",$E183="Tier 2 Grove"),$F183="Remove",$H183="Tree Protection Code: Necessary for Construction",$I183&lt;&gt;"",ISNA(MATCH($I183,Tables!$B$193:$B$197,0))),
Error!$B$17,
IF(AND($E183="Tier 1",$F183="Remove",$H183="Tree Protection Code: Special Exception",$I183&lt;&gt;"",ISNA(MATCH($I183,Tables!$B$215:$B$218,0))),
Error!$B$17,
IF(AND($E183="Tier 1",$F183="Remove",$H183="Tree Protection Code: Other removal allowance or exemption",$I183&lt;&gt;"",ISNA(MATCH($I183,Tables!$B$215:$B$218,0))),
Error!$B$17,
IF(AND($E183="ECA / Shoreline Tree",$F183="Remove",$H183&lt;&gt;"",OR($H183="Shoreline",$H183="Environmental Critical Area (ECA)"),ISNA(MATCH($I183,Tables!$B$209:$B$212,0))),
Error!$B$17,
IF(AND(_xlpm.baseRow,$F183="Retain",$E183="ECA / Shoreline Tree",_xlpm.ECA_Short=0),
Error!$B$61,
IF(AND($F183="Remove",ISNUMBER(MATCH($E183,{"Tier 1","Tier 2","Tier 3","Tier 4","Tier 2 Grove"},0)),ISNUMBER(MATCH($I183,{"On-site replacement","Off-site replacement"},0)),$J183="",$H183&lt;&gt;""),
Error!$B$19,
IF(AND(_xlpm.baseRow,$E183&lt;&gt;"",$D183&lt;&gt;"",$F183&lt;&gt;"",COUNTBLANK($B183:$C183)&gt;0,COUNTBLANK(_xlpm.HRange)&lt;&gt;4),
Error!$B$22,
IF(AND($H183="Zoning: Tree Points",$K183&lt;&gt;"",ISNA(MATCH($K183,Tables!$B$242:$B$253,0))),
Error!$B$58,
IF(AND($H183="Zoning: Tree Points",$K183="Small",$L183&lt;&gt;"",ISNA(MATCH($L183,Tables!$C$243:$C$244,0))),
Error!$B$59,
IF(AND($H183="Zoning: Tree Points",$K183="Small/Medium",$L183&lt;&gt;"",ISNA(MATCH($L183,Tables!$C$246:$C$247,0))),
Error!$B$59,
IF(AND($H183="Zoning: Tree Points",$K183="Medium/Large",$L183&lt;&gt;"",ISNA(MATCH($L183,Tables!$C$249:$C$250,0))),
Error!$B$59,
IF(AND($H183="Zoning: Tree Points",$K183="Large",$L183&lt;&gt;"",ISNA(MATCH($L183,Tables!$C$252:$C$253,0))),
Error!$B$59,
IF(AND($F183="Retain",$H183="Zoning: Tree Points",$C183&lt;&gt;"",$D183&lt;&gt;"",OR($K183="",$L183="",$M183="")),
Error!$B$20,
""
)))))))))))))))))))))))))))))))))))))))))))))))))))))))),
Error!$B$23))</f>
        <v/>
      </c>
      <c r="O183" s="343" t="str" cm="1">
        <f t="array" aca="1" ref="O183" ca="1">IFERROR(_xlfn.LET(
    _xlpm.txt, $C183,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84" spans="1:15" x14ac:dyDescent="0.3">
      <c r="A184" s="320"/>
      <c r="B184" s="616" t="str">
        <f t="shared" ref="B184:B186" si="174">IF($B183="", "", $B183)</f>
        <v/>
      </c>
      <c r="C184" s="617" t="str">
        <f t="shared" ref="C184:C186" si="175">IF($C183="", "", $C183)</f>
        <v/>
      </c>
      <c r="D184" s="618" t="str">
        <f t="shared" ref="D184:D186" si="176">IF($D183="", "", $D183)</f>
        <v/>
      </c>
      <c r="E184" s="616" t="str">
        <f t="shared" ref="E184:E186" si="177">IF($E183="", "", $E183)</f>
        <v/>
      </c>
      <c r="F184" s="616" t="str">
        <f t="shared" ref="F184:F186" si="178">IF($F183="", "", $F183)</f>
        <v/>
      </c>
      <c r="G184" s="619" t="str">
        <f>IF(Tree_Table1[[#This Row],[Tree Status  &amp;]]="Retain", Tables!$B$237, IF(Tree_Table1[[#This Row],[Tree Status  &amp;]]="Remove", Tables!$B$238, ""))</f>
        <v/>
      </c>
      <c r="H184" s="321"/>
      <c r="I184" s="322"/>
      <c r="J184" s="453"/>
      <c r="K184" s="323" t="str">
        <f>IFERROR(
    IF(
        AND($H184="Zoning: Tree Points", NOT(ISNUMBER(SEARCH("sp.", $C184)))),
        VLOOKUP($C184, 'Tree List'!$C$3:$F$601, 4, FALSE),
        ""
    ),
"")</f>
        <v/>
      </c>
      <c r="L184" s="324" t="str" cm="1">
        <f t="array" ref="L184">IFERROR(
IF(
    AND($H184="Zoning: Tree Points", NOT(ISNUMBER(SEARCH("sp.", $C184)))),
    _xlfn.IFS(
        (COUNTIFS('Tree List'!$C$3:$C$601,$C184,'Tree List'!$D$3:$D$601,"Coniferous")
        + COUNTIFS('Tree List'!$C$3:$C$601,$C184,'Tree List'!$D$3:$D$601,"Deciduous Conifer")) &gt; 0,
            _xlfn.IFS($K184="Small",0.5,$K184="Small/Medium",1,$K184="Medium/Large",1.4,$K184="Large",1.8),
        (COUNTIFS('Tree List'!$C$3:$C$601,$C184,'Tree List'!$D$3:$D$601,"Deciduous")
        + COUNTIFS('Tree List'!$C$3:$C$601,$C184,'Tree List'!$D$3:$D$601,"Broadleaf Evergreen")) &gt; 0,
            _xlfn.IFS($K184="Small",0.4,$K184="Small/Medium",0.8,$K184="Medium/Large",1.2,$K184="Large",1.6)
    ),
    ""
),
"")</f>
        <v/>
      </c>
      <c r="M184" s="475" t="str">
        <f t="shared" si="168"/>
        <v/>
      </c>
      <c r="N184" s="346" t="str" cm="1">
        <f t="array" aca="1" ref="N18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IF(AND(_xlpm.baseRow,ISNA(MATCH($C184,'Tree List'!$C$3:$C$601,0)),SUMPRODUCT(--ISNUMBER(SEARCH(Tables2!$C$677:$C$772,$O184)))&gt;0),
Error!$B$57,
IF(AND(_xlpm.hasDM,$F184="Remove",$H184&lt;&gt;"",OR($I184="On-site replacement",$I184="Off-site replacement",$I184="Payment In Lieu")),
Error!$B$56,
IF(AND(_xlpm.hasDM,$F184="Remove",$H184&lt;&gt;"",$I184="Relocation"),
Error!$B$66,
IF(AND(OR(_xlpm.hasCN,_xlpm.hasPH,_xlpm.hasGR),$H184&lt;&gt;"",COUNTIF(Tables!$B$132:$B$134,$H184)&gt;0,$I184="N/A (No replacement required)"),
Error!$B$62,
IF(AND(_xlpm.baseRow,$E184&lt;&gt;"",ISNA(MATCH($E184,Tables!$B$225:$B$232,0))),
Error!$B$2,
IF(AND(_xlpm.baseRow,$F184&lt;&gt;"",ISNA(MATCH($F184,Tables!$B$234:$B$235,0))),
Error!$B$24,
IF(AND(_xlpm.baseRow,_xlpm.ECA_H&gt;0,_xlpm.Shore_H&gt;0),
Error!$B$16,
IF(AND(_xlpm.baseRow,$E184&lt;&gt;"",$D184=""),
Error!$B$3,
IF(AND(_xlpm.baseRow,OR($E184="Tier 3",$E184="Tier 4"),$C184&lt;&gt;"",$D184&gt;=24,COUNTIF(Tables2!$B$166:$B$674,$C184)&gt;0),
Error!$B$44,
IF(AND(_xlpm.baseRow,OR($E184="Tier 3",$E184="Tier 4"),$C184&lt;&gt;"",$D184&lt;&gt;"",COUNTIF(Tables2!$B$73:$B$152,$C184)&gt;0,
$D184&gt;=IFERROR(INDEX(Tables2!$C$73:$C$152,MATCH($C184,Tables2!$B$73:$B$152,0)),-1)),
Error!$B$44,
IF(AND(_xlpm.baseRow,OR($E184="Tier 2",$E184="Tier 2 Grove"),$C184&lt;&gt;"",$D184&gt;=12,COUNTIF(Tables2!$B$153:$B$162,$C184)&gt;0),
Error!$B$45,
IF(AND(_xlpm.baseRow,$E184="Tier 2 Grove",$D184&lt;12),
Error!$B$41,
IF(AND(_xlpm.baseRow,$E184="Tier 2",$D184&lt;5.88),
Error!$B$40,
IF(AND(_xlpm.baseRow,OR($E184="Tier 2",$E184="Tier 2 Grove"),$C184&lt;&gt;"",$D184&lt;12,$D184&gt;=6,COUNTIF(Tables2!$B$153:$B$162,$C184)&gt;0),
Error!$B$54,
IF(AND(_xlpm.baseRow,$E184="Tier 2",COUNTIF(Tables2!$B$166:$B$674,$C184)&gt;0,$D184&lt;24),
Error!$B$54,
IF(AND(_xlpm.baseRow,$E184="Tier 3",ISNA(MATCH($C184,Tables2!$B$153:$B$162,0)),OR($D184&lt;12,$D184&gt;=24)),
Error!$B$9,
IF(AND(_xlpm.baseRow,$E184="Tier 3",COUNTIF(Tables2!$B$153:$B$162,$C184)&gt;0,$D184&lt;12),
Error!$B$46,
IF(AND(_xlpm.baseRow,$E184="Tier 4",OR($D184&lt;6,$D184&gt;=12)),
Error!$B$10,
IF(AND(_xlpm.baseRow,$E184="&lt;6in DSH for Tree Points",OR($D184&gt;=6,$D184="")),
Error!$B$8,
IF(AND(_xlpm.baseRow,$E184="Street Tree for Green Factor",$F184&lt;&gt;"",$F184&lt;&gt;"Retain"),
Error!$B$14,
IF(AND($E184="&lt;6in DSH for Tree Points",$F184="Retain",$H184&lt;&gt;"",ISNA(MATCH($H184,Tables!$B$174:$B$174,0))),
Error!$B$15,
IF(AND($E184="Street Tree for Green Factor",$F184="Retain",$H184&lt;&gt;"",$H184&lt;&gt;"Zoning: Green Factor"),
Error!$B$15,
IF(AND($E184="ECA / Shoreline Tree",$F184="Remove",$H184&lt;&gt;"",ISNA(MATCH($H184,Tables!$B$189:$B$190,0))),
Error!$B$15,
IF(AND($E184="ECA / Shoreline Tree",$F184="Retain",$H184&lt;&gt;"",ISNA(MATCH($H184,Tables!$B$184:$B$186,0))),
Error!$B$15,
IF(AND($E184="Tier 4",$F184="Remove",$H184&lt;&gt;"",ISNA(MATCH($H184,Tables!$B$171,0))),
Error!$B$15,
IF(AND($E184="Tier 4",$F184="Retain",$H184&lt;&gt;"",ISNA(MATCH($H184,Tables!$B$166:$B$168,0))),
Error!$B$15,
IF(AND($E184="Tier 3",$F184="Retain",$H184&lt;&gt;"",ISNA(MATCH($H184,Tables!$B$158:$B$160,0))),
Error!$B$15,
IF(AND($E184="Tier 3",$F184="Remove",$H184&lt;&gt;"",ISNA(MATCH($H184,Tables!$B$163,0))),
Error!$B$15,
IF(AND(OR($E184="Tier 2",$E184="Tier 2 Grove"),$F184="Remove",$H184&lt;&gt;"",ISNA(MATCH($H184,Tables!$B$153:$B$155,0))),
Error!$B$15,
IF(AND(OR($E184="Tier 2",$E184="Tier 2 Grove"),$F184="Retain",$H184&lt;&gt;"",ISNA(MATCH($H184,Tables!$B$147:$B$150,0))),
Error!$B$15,
IF(AND($E184="Tier 1",$F184="Remove",$H184&lt;&gt;"",ISNA(MATCH($H184,Tables!$B$143:$B$144,0))),
Error!$B$15,
IF(AND($E184="Tier 1",$F184="Retain",$H184&lt;&gt;"",ISNA(MATCH($H184,Tables!$B$137:$B$140,0))),
Error!$B$15,
IF(AND($E184&lt;&gt;"Tier 2",$E184&lt;&gt;"Tier 2 Grove",$E184&lt;&gt;"Tier 3",$E184&lt;&gt;"Tier 4",$H184="Zoning: Green Factor",OR($D184="",$D184&lt;6)),
Error!$B$11,
IF(AND(_xlpm.baseRow,$D184&lt;6,$E184="&lt;6in DSH for Tree Points",_xlpm.TreePoints_H=0),
Error!$B$21,
IF(AND(_xlpm.baseRow,$E184&lt;&gt;"",$D184&lt;&gt;"",$F184=""),
Error!$B$4,
IF(AND(_xlpm.baseRow,$F184="Remove",OR($E184="Tier 1",$E184="Tier 2",$E184="Tier 2 Grove"),COUNTBLANK(_xlpm.HRange)&lt;3,_xlpm.uniqueH&gt;=2),
Error!$B$48,
IF(AND(_xlpm.baseRow,$F184="Retain",OR($E184="Tier 1",$E184="Tier 2",$E184="Tier 2 Grove"),COUNTIF(_xlpm.HRange,"Tree Code: Required to Retain Tier 1-2 Tree")=0),
Error!$B$47,
IF(AND(_xlpm.baseRow,$E184&lt;&gt;"",$D184&lt;&gt;"",$F184&lt;&gt;"",COUNTBLANK(_xlpm.HRange)=4),
Error!$B$5,
IF(AND($F184="Remove",$H184&lt;&gt;"",$I184=""),
Error!$B$18,
IF(AND($E184="Tier 4",$F184="Remove",$H184="Tree Protection Code: Tier 3 or Tier 4 Allowance",$H184&lt;&gt;"",ISNA(MATCH($I184,Tables!$B$200,0))),
Error!$B$17,
IF(AND($E184="Tier 3",$F184="Remove",$H184&lt;&gt;"",$H184="Tree Protection Code: Tier 3 or Tier 4 Allowance",OR($I184="",ISNA(MATCH($I184,Tables!$B$193:$B$197,0)))),
Error!$B$17,
IF(AND(OR($E184="Tier 2",$E184="Tier 2 Grove"),$F184="Remove",$H184="Tree Protection Code: Other removal allowance or exemption",$I184&lt;&gt;"",ISNA(MATCH($I184,Tables!$B$215:$B$218,0))),
Error!$B$17,
IF(AND(OR($E184="Tier 2",$E184="Tier 2 Grove"),$F184="Remove",$H184="Tree Protection Code: Development Capacity",$I184&lt;&gt;"",ISNA(MATCH($I184,Tables!$B$193:$B$197,0))),
Error!$B$17,
IF(AND(OR($E184="Tier 2",$E184="Tier 2 Grove"),$F184="Remove",$H184="Tree Protection Code: Necessary for Construction",$I184&lt;&gt;"",ISNA(MATCH($I184,Tables!$B$193:$B$197,0))),
Error!$B$17,
IF(AND($E184="Tier 1",$F184="Remove",$H184="Tree Protection Code: Special Exception",$I184&lt;&gt;"",ISNA(MATCH($I184,Tables!$B$215:$B$218,0))),
Error!$B$17,
IF(AND($E184="Tier 1",$F184="Remove",$H184="Tree Protection Code: Other removal allowance or exemption",$I184&lt;&gt;"",ISNA(MATCH($I184,Tables!$B$215:$B$218,0))),
Error!$B$17,
IF(AND($E184="ECA / Shoreline Tree",$F184="Remove",$H184&lt;&gt;"",OR($H184="Shoreline",$H184="Environmental Critical Area (ECA)"),ISNA(MATCH($I184,Tables!$B$209:$B$212,0))),
Error!$B$17,
IF(AND(_xlpm.baseRow,$F184="Retain",$E184="ECA / Shoreline Tree",_xlpm.ECA_Short=0),
Error!$B$61,
IF(AND($F184="Remove",ISNUMBER(MATCH($E184,{"Tier 1","Tier 2","Tier 3","Tier 4","Tier 2 Grove"},0)),ISNUMBER(MATCH($I184,{"On-site replacement","Off-site replacement"},0)),$J184="",$H184&lt;&gt;""),
Error!$B$19,
IF(AND(_xlpm.baseRow,$E184&lt;&gt;"",$D184&lt;&gt;"",$F184&lt;&gt;"",COUNTBLANK($B184:$C184)&gt;0,COUNTBLANK(_xlpm.HRange)&lt;&gt;4),
Error!$B$22,
IF(AND($H184="Zoning: Tree Points",$K184&lt;&gt;"",ISNA(MATCH($K184,Tables!$B$242:$B$253,0))),
Error!$B$58,
IF(AND($H184="Zoning: Tree Points",$K184="Small",$L184&lt;&gt;"",ISNA(MATCH($L184,Tables!$C$243:$C$244,0))),
Error!$B$59,
IF(AND($H184="Zoning: Tree Points",$K184="Small/Medium",$L184&lt;&gt;"",ISNA(MATCH($L184,Tables!$C$246:$C$247,0))),
Error!$B$59,
IF(AND($H184="Zoning: Tree Points",$K184="Medium/Large",$L184&lt;&gt;"",ISNA(MATCH($L184,Tables!$C$249:$C$250,0))),
Error!$B$59,
IF(AND($H184="Zoning: Tree Points",$K184="Large",$L184&lt;&gt;"",ISNA(MATCH($L184,Tables!$C$252:$C$253,0))),
Error!$B$59,
IF(AND($F184="Retain",$H184="Zoning: Tree Points",$C184&lt;&gt;"",$D184&lt;&gt;"",OR($K184="",$L184="",$M184="")),
Error!$B$20,
""
)))))))))))))))))))))))))))))))))))))))))))))))))))))))),
Error!$B$23))</f>
        <v/>
      </c>
      <c r="O184" s="343" t="str" cm="1">
        <f t="array" aca="1" ref="O184" ca="1">IFERROR(_xlfn.LET(
    _xlpm.txt, $C184,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85" spans="1:15" x14ac:dyDescent="0.3">
      <c r="A185" s="320"/>
      <c r="B185" s="616" t="str">
        <f t="shared" si="174"/>
        <v/>
      </c>
      <c r="C185" s="617" t="str">
        <f t="shared" si="175"/>
        <v/>
      </c>
      <c r="D185" s="618" t="str">
        <f t="shared" si="176"/>
        <v/>
      </c>
      <c r="E185" s="616" t="str">
        <f t="shared" si="177"/>
        <v/>
      </c>
      <c r="F185" s="616" t="str">
        <f t="shared" si="178"/>
        <v/>
      </c>
      <c r="G185" s="619" t="str">
        <f>IF(Tree_Table1[[#This Row],[Tree Status  &amp;]]="Retain", Tables!$B$237, IF(Tree_Table1[[#This Row],[Tree Status  &amp;]]="Remove", Tables!$B$238, ""))</f>
        <v/>
      </c>
      <c r="H185" s="321"/>
      <c r="I185" s="322"/>
      <c r="J185" s="453"/>
      <c r="K185" s="323" t="str">
        <f>IFERROR(
    IF(
        AND($H185="Zoning: Tree Points", NOT(ISNUMBER(SEARCH("sp.", $C185)))),
        VLOOKUP($C185, 'Tree List'!$C$3:$F$601, 4, FALSE),
        ""
    ),
"")</f>
        <v/>
      </c>
      <c r="L185" s="324" t="str" cm="1">
        <f t="array" ref="L185">IFERROR(
IF(
    AND($H185="Zoning: Tree Points", NOT(ISNUMBER(SEARCH("sp.", $C185)))),
    _xlfn.IFS(
        (COUNTIFS('Tree List'!$C$3:$C$601,$C185,'Tree List'!$D$3:$D$601,"Coniferous")
        + COUNTIFS('Tree List'!$C$3:$C$601,$C185,'Tree List'!$D$3:$D$601,"Deciduous Conifer")) &gt; 0,
            _xlfn.IFS($K185="Small",0.5,$K185="Small/Medium",1,$K185="Medium/Large",1.4,$K185="Large",1.8),
        (COUNTIFS('Tree List'!$C$3:$C$601,$C185,'Tree List'!$D$3:$D$601,"Deciduous")
        + COUNTIFS('Tree List'!$C$3:$C$601,$C185,'Tree List'!$D$3:$D$601,"Broadleaf Evergreen")) &gt; 0,
            _xlfn.IFS($K185="Small",0.4,$K185="Small/Medium",0.8,$K185="Medium/Large",1.2,$K185="Large",1.6)
    ),
    ""
),
"")</f>
        <v/>
      </c>
      <c r="M185" s="475" t="str">
        <f t="shared" si="168"/>
        <v/>
      </c>
      <c r="N185" s="346" t="str" cm="1">
        <f t="array" aca="1" ref="N18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IF(AND(_xlpm.baseRow,ISNA(MATCH($C185,'Tree List'!$C$3:$C$601,0)),SUMPRODUCT(--ISNUMBER(SEARCH(Tables2!$C$677:$C$772,$O185)))&gt;0),
Error!$B$57,
IF(AND(_xlpm.hasDM,$F185="Remove",$H185&lt;&gt;"",OR($I185="On-site replacement",$I185="Off-site replacement",$I185="Payment In Lieu")),
Error!$B$56,
IF(AND(_xlpm.hasDM,$F185="Remove",$H185&lt;&gt;"",$I185="Relocation"),
Error!$B$66,
IF(AND(OR(_xlpm.hasCN,_xlpm.hasPH,_xlpm.hasGR),$H185&lt;&gt;"",COUNTIF(Tables!$B$132:$B$134,$H185)&gt;0,$I185="N/A (No replacement required)"),
Error!$B$62,
IF(AND(_xlpm.baseRow,$E185&lt;&gt;"",ISNA(MATCH($E185,Tables!$B$225:$B$232,0))),
Error!$B$2,
IF(AND(_xlpm.baseRow,$F185&lt;&gt;"",ISNA(MATCH($F185,Tables!$B$234:$B$235,0))),
Error!$B$24,
IF(AND(_xlpm.baseRow,_xlpm.ECA_H&gt;0,_xlpm.Shore_H&gt;0),
Error!$B$16,
IF(AND(_xlpm.baseRow,$E185&lt;&gt;"",$D185=""),
Error!$B$3,
IF(AND(_xlpm.baseRow,OR($E185="Tier 3",$E185="Tier 4"),$C185&lt;&gt;"",$D185&gt;=24,COUNTIF(Tables2!$B$166:$B$674,$C185)&gt;0),
Error!$B$44,
IF(AND(_xlpm.baseRow,OR($E185="Tier 3",$E185="Tier 4"),$C185&lt;&gt;"",$D185&lt;&gt;"",COUNTIF(Tables2!$B$73:$B$152,$C185)&gt;0,
$D185&gt;=IFERROR(INDEX(Tables2!$C$73:$C$152,MATCH($C185,Tables2!$B$73:$B$152,0)),-1)),
Error!$B$44,
IF(AND(_xlpm.baseRow,OR($E185="Tier 2",$E185="Tier 2 Grove"),$C185&lt;&gt;"",$D185&gt;=12,COUNTIF(Tables2!$B$153:$B$162,$C185)&gt;0),
Error!$B$45,
IF(AND(_xlpm.baseRow,$E185="Tier 2 Grove",$D185&lt;12),
Error!$B$41,
IF(AND(_xlpm.baseRow,$E185="Tier 2",$D185&lt;5.88),
Error!$B$40,
IF(AND(_xlpm.baseRow,OR($E185="Tier 2",$E185="Tier 2 Grove"),$C185&lt;&gt;"",$D185&lt;12,$D185&gt;=6,COUNTIF(Tables2!$B$153:$B$162,$C185)&gt;0),
Error!$B$54,
IF(AND(_xlpm.baseRow,$E185="Tier 2",COUNTIF(Tables2!$B$166:$B$674,$C185)&gt;0,$D185&lt;24),
Error!$B$54,
IF(AND(_xlpm.baseRow,$E185="Tier 3",ISNA(MATCH($C185,Tables2!$B$153:$B$162,0)),OR($D185&lt;12,$D185&gt;=24)),
Error!$B$9,
IF(AND(_xlpm.baseRow,$E185="Tier 3",COUNTIF(Tables2!$B$153:$B$162,$C185)&gt;0,$D185&lt;12),
Error!$B$46,
IF(AND(_xlpm.baseRow,$E185="Tier 4",OR($D185&lt;6,$D185&gt;=12)),
Error!$B$10,
IF(AND(_xlpm.baseRow,$E185="&lt;6in DSH for Tree Points",OR($D185&gt;=6,$D185="")),
Error!$B$8,
IF(AND(_xlpm.baseRow,$E185="Street Tree for Green Factor",$F185&lt;&gt;"",$F185&lt;&gt;"Retain"),
Error!$B$14,
IF(AND($E185="&lt;6in DSH for Tree Points",$F185="Retain",$H185&lt;&gt;"",ISNA(MATCH($H185,Tables!$B$174:$B$174,0))),
Error!$B$15,
IF(AND($E185="Street Tree for Green Factor",$F185="Retain",$H185&lt;&gt;"",$H185&lt;&gt;"Zoning: Green Factor"),
Error!$B$15,
IF(AND($E185="ECA / Shoreline Tree",$F185="Remove",$H185&lt;&gt;"",ISNA(MATCH($H185,Tables!$B$189:$B$190,0))),
Error!$B$15,
IF(AND($E185="ECA / Shoreline Tree",$F185="Retain",$H185&lt;&gt;"",ISNA(MATCH($H185,Tables!$B$184:$B$186,0))),
Error!$B$15,
IF(AND($E185="Tier 4",$F185="Remove",$H185&lt;&gt;"",ISNA(MATCH($H185,Tables!$B$171,0))),
Error!$B$15,
IF(AND($E185="Tier 4",$F185="Retain",$H185&lt;&gt;"",ISNA(MATCH($H185,Tables!$B$166:$B$168,0))),
Error!$B$15,
IF(AND($E185="Tier 3",$F185="Retain",$H185&lt;&gt;"",ISNA(MATCH($H185,Tables!$B$158:$B$160,0))),
Error!$B$15,
IF(AND($E185="Tier 3",$F185="Remove",$H185&lt;&gt;"",ISNA(MATCH($H185,Tables!$B$163,0))),
Error!$B$15,
IF(AND(OR($E185="Tier 2",$E185="Tier 2 Grove"),$F185="Remove",$H185&lt;&gt;"",ISNA(MATCH($H185,Tables!$B$153:$B$155,0))),
Error!$B$15,
IF(AND(OR($E185="Tier 2",$E185="Tier 2 Grove"),$F185="Retain",$H185&lt;&gt;"",ISNA(MATCH($H185,Tables!$B$147:$B$150,0))),
Error!$B$15,
IF(AND($E185="Tier 1",$F185="Remove",$H185&lt;&gt;"",ISNA(MATCH($H185,Tables!$B$143:$B$144,0))),
Error!$B$15,
IF(AND($E185="Tier 1",$F185="Retain",$H185&lt;&gt;"",ISNA(MATCH($H185,Tables!$B$137:$B$140,0))),
Error!$B$15,
IF(AND($E185&lt;&gt;"Tier 2",$E185&lt;&gt;"Tier 2 Grove",$E185&lt;&gt;"Tier 3",$E185&lt;&gt;"Tier 4",$H185="Zoning: Green Factor",OR($D185="",$D185&lt;6)),
Error!$B$11,
IF(AND(_xlpm.baseRow,$D185&lt;6,$E185="&lt;6in DSH for Tree Points",_xlpm.TreePoints_H=0),
Error!$B$21,
IF(AND(_xlpm.baseRow,$E185&lt;&gt;"",$D185&lt;&gt;"",$F185=""),
Error!$B$4,
IF(AND(_xlpm.baseRow,$F185="Remove",OR($E185="Tier 1",$E185="Tier 2",$E185="Tier 2 Grove"),COUNTBLANK(_xlpm.HRange)&lt;3,_xlpm.uniqueH&gt;=2),
Error!$B$48,
IF(AND(_xlpm.baseRow,$F185="Retain",OR($E185="Tier 1",$E185="Tier 2",$E185="Tier 2 Grove"),COUNTIF(_xlpm.HRange,"Tree Code: Required to Retain Tier 1-2 Tree")=0),
Error!$B$47,
IF(AND(_xlpm.baseRow,$E185&lt;&gt;"",$D185&lt;&gt;"",$F185&lt;&gt;"",COUNTBLANK(_xlpm.HRange)=4),
Error!$B$5,
IF(AND($F185="Remove",$H185&lt;&gt;"",$I185=""),
Error!$B$18,
IF(AND($E185="Tier 4",$F185="Remove",$H185="Tree Protection Code: Tier 3 or Tier 4 Allowance",$H185&lt;&gt;"",ISNA(MATCH($I185,Tables!$B$200,0))),
Error!$B$17,
IF(AND($E185="Tier 3",$F185="Remove",$H185&lt;&gt;"",$H185="Tree Protection Code: Tier 3 or Tier 4 Allowance",OR($I185="",ISNA(MATCH($I185,Tables!$B$193:$B$197,0)))),
Error!$B$17,
IF(AND(OR($E185="Tier 2",$E185="Tier 2 Grove"),$F185="Remove",$H185="Tree Protection Code: Other removal allowance or exemption",$I185&lt;&gt;"",ISNA(MATCH($I185,Tables!$B$215:$B$218,0))),
Error!$B$17,
IF(AND(OR($E185="Tier 2",$E185="Tier 2 Grove"),$F185="Remove",$H185="Tree Protection Code: Development Capacity",$I185&lt;&gt;"",ISNA(MATCH($I185,Tables!$B$193:$B$197,0))),
Error!$B$17,
IF(AND(OR($E185="Tier 2",$E185="Tier 2 Grove"),$F185="Remove",$H185="Tree Protection Code: Necessary for Construction",$I185&lt;&gt;"",ISNA(MATCH($I185,Tables!$B$193:$B$197,0))),
Error!$B$17,
IF(AND($E185="Tier 1",$F185="Remove",$H185="Tree Protection Code: Special Exception",$I185&lt;&gt;"",ISNA(MATCH($I185,Tables!$B$215:$B$218,0))),
Error!$B$17,
IF(AND($E185="Tier 1",$F185="Remove",$H185="Tree Protection Code: Other removal allowance or exemption",$I185&lt;&gt;"",ISNA(MATCH($I185,Tables!$B$215:$B$218,0))),
Error!$B$17,
IF(AND($E185="ECA / Shoreline Tree",$F185="Remove",$H185&lt;&gt;"",OR($H185="Shoreline",$H185="Environmental Critical Area (ECA)"),ISNA(MATCH($I185,Tables!$B$209:$B$212,0))),
Error!$B$17,
IF(AND(_xlpm.baseRow,$F185="Retain",$E185="ECA / Shoreline Tree",_xlpm.ECA_Short=0),
Error!$B$61,
IF(AND($F185="Remove",ISNUMBER(MATCH($E185,{"Tier 1","Tier 2","Tier 3","Tier 4","Tier 2 Grove"},0)),ISNUMBER(MATCH($I185,{"On-site replacement","Off-site replacement"},0)),$J185="",$H185&lt;&gt;""),
Error!$B$19,
IF(AND(_xlpm.baseRow,$E185&lt;&gt;"",$D185&lt;&gt;"",$F185&lt;&gt;"",COUNTBLANK($B185:$C185)&gt;0,COUNTBLANK(_xlpm.HRange)&lt;&gt;4),
Error!$B$22,
IF(AND($H185="Zoning: Tree Points",$K185&lt;&gt;"",ISNA(MATCH($K185,Tables!$B$242:$B$253,0))),
Error!$B$58,
IF(AND($H185="Zoning: Tree Points",$K185="Small",$L185&lt;&gt;"",ISNA(MATCH($L185,Tables!$C$243:$C$244,0))),
Error!$B$59,
IF(AND($H185="Zoning: Tree Points",$K185="Small/Medium",$L185&lt;&gt;"",ISNA(MATCH($L185,Tables!$C$246:$C$247,0))),
Error!$B$59,
IF(AND($H185="Zoning: Tree Points",$K185="Medium/Large",$L185&lt;&gt;"",ISNA(MATCH($L185,Tables!$C$249:$C$250,0))),
Error!$B$59,
IF(AND($H185="Zoning: Tree Points",$K185="Large",$L185&lt;&gt;"",ISNA(MATCH($L185,Tables!$C$252:$C$253,0))),
Error!$B$59,
IF(AND($F185="Retain",$H185="Zoning: Tree Points",$C185&lt;&gt;"",$D185&lt;&gt;"",OR($K185="",$L185="",$M185="")),
Error!$B$20,
""
)))))))))))))))))))))))))))))))))))))))))))))))))))))))),
Error!$B$23))</f>
        <v/>
      </c>
      <c r="O185" s="343" t="str" cm="1">
        <f t="array" aca="1" ref="O185" ca="1">IFERROR(_xlfn.LET(
    _xlpm.txt, $C185,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86" spans="1:15" ht="15" thickBot="1" x14ac:dyDescent="0.35">
      <c r="A186" s="331"/>
      <c r="B186" s="616" t="str">
        <f t="shared" si="174"/>
        <v/>
      </c>
      <c r="C186" s="617" t="str">
        <f t="shared" si="175"/>
        <v/>
      </c>
      <c r="D186" s="618" t="str">
        <f t="shared" si="176"/>
        <v/>
      </c>
      <c r="E186" s="616" t="str">
        <f t="shared" si="177"/>
        <v/>
      </c>
      <c r="F186" s="616" t="str">
        <f t="shared" si="178"/>
        <v/>
      </c>
      <c r="G186" s="619" t="str">
        <f>IF(Tree_Table1[[#This Row],[Tree Status  &amp;]]="Retain", Tables!$B$237, IF(Tree_Table1[[#This Row],[Tree Status  &amp;]]="Remove", Tables!$B$238, ""))</f>
        <v/>
      </c>
      <c r="H186" s="329"/>
      <c r="I186" s="330"/>
      <c r="J186" s="455"/>
      <c r="K186" s="327" t="str">
        <f>IFERROR(
    IF(
        AND($H186="Zoning: Tree Points", NOT(ISNUMBER(SEARCH("sp.", $C186)))),
        VLOOKUP($C186, 'Tree List'!$C$3:$F$601, 4, FALSE),
        ""
    ),
"")</f>
        <v/>
      </c>
      <c r="L186" s="328" t="str" cm="1">
        <f t="array" ref="L186">IFERROR(
IF(
    AND($H186="Zoning: Tree Points", NOT(ISNUMBER(SEARCH("sp.", $C186)))),
    _xlfn.IFS(
        (COUNTIFS('Tree List'!$C$3:$C$601,$C186,'Tree List'!$D$3:$D$601,"Coniferous")
        + COUNTIFS('Tree List'!$C$3:$C$601,$C186,'Tree List'!$D$3:$D$601,"Deciduous Conifer")) &gt; 0,
            _xlfn.IFS($K186="Small",0.5,$K186="Small/Medium",1,$K186="Medium/Large",1.4,$K186="Large",1.8),
        (COUNTIFS('Tree List'!$C$3:$C$601,$C186,'Tree List'!$D$3:$D$601,"Deciduous")
        + COUNTIFS('Tree List'!$C$3:$C$601,$C186,'Tree List'!$D$3:$D$601,"Broadleaf Evergreen")) &gt; 0,
            _xlfn.IFS($K186="Small",0.4,$K186="Small/Medium",0.8,$K186="Medium/Large",1.2,$K186="Large",1.6)
    ),
    ""
),
"")</f>
        <v/>
      </c>
      <c r="M186" s="476" t="str">
        <f t="shared" si="168"/>
        <v/>
      </c>
      <c r="N186" s="347" t="str" cm="1">
        <f t="array" aca="1" ref="N18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IF(AND(_xlpm.baseRow,ISNA(MATCH($C186,'Tree List'!$C$3:$C$601,0)),SUMPRODUCT(--ISNUMBER(SEARCH(Tables2!$C$677:$C$772,$O186)))&gt;0),
Error!$B$57,
IF(AND(_xlpm.hasDM,$F186="Remove",$H186&lt;&gt;"",OR($I186="On-site replacement",$I186="Off-site replacement",$I186="Payment In Lieu")),
Error!$B$56,
IF(AND(_xlpm.hasDM,$F186="Remove",$H186&lt;&gt;"",$I186="Relocation"),
Error!$B$66,
IF(AND(OR(_xlpm.hasCN,_xlpm.hasPH,_xlpm.hasGR),$H186&lt;&gt;"",COUNTIF(Tables!$B$132:$B$134,$H186)&gt;0,$I186="N/A (No replacement required)"),
Error!$B$62,
IF(AND(_xlpm.baseRow,$E186&lt;&gt;"",ISNA(MATCH($E186,Tables!$B$225:$B$232,0))),
Error!$B$2,
IF(AND(_xlpm.baseRow,$F186&lt;&gt;"",ISNA(MATCH($F186,Tables!$B$234:$B$235,0))),
Error!$B$24,
IF(AND(_xlpm.baseRow,_xlpm.ECA_H&gt;0,_xlpm.Shore_H&gt;0),
Error!$B$16,
IF(AND(_xlpm.baseRow,$E186&lt;&gt;"",$D186=""),
Error!$B$3,
IF(AND(_xlpm.baseRow,OR($E186="Tier 3",$E186="Tier 4"),$C186&lt;&gt;"",$D186&gt;=24,COUNTIF(Tables2!$B$166:$B$674,$C186)&gt;0),
Error!$B$44,
IF(AND(_xlpm.baseRow,OR($E186="Tier 3",$E186="Tier 4"),$C186&lt;&gt;"",$D186&lt;&gt;"",COUNTIF(Tables2!$B$73:$B$152,$C186)&gt;0,
$D186&gt;=IFERROR(INDEX(Tables2!$C$73:$C$152,MATCH($C186,Tables2!$B$73:$B$152,0)),-1)),
Error!$B$44,
IF(AND(_xlpm.baseRow,OR($E186="Tier 2",$E186="Tier 2 Grove"),$C186&lt;&gt;"",$D186&gt;=12,COUNTIF(Tables2!$B$153:$B$162,$C186)&gt;0),
Error!$B$45,
IF(AND(_xlpm.baseRow,$E186="Tier 2 Grove",$D186&lt;12),
Error!$B$41,
IF(AND(_xlpm.baseRow,$E186="Tier 2",$D186&lt;5.88),
Error!$B$40,
IF(AND(_xlpm.baseRow,OR($E186="Tier 2",$E186="Tier 2 Grove"),$C186&lt;&gt;"",$D186&lt;12,$D186&gt;=6,COUNTIF(Tables2!$B$153:$B$162,$C186)&gt;0),
Error!$B$54,
IF(AND(_xlpm.baseRow,$E186="Tier 2",COUNTIF(Tables2!$B$166:$B$674,$C186)&gt;0,$D186&lt;24),
Error!$B$54,
IF(AND(_xlpm.baseRow,$E186="Tier 3",ISNA(MATCH($C186,Tables2!$B$153:$B$162,0)),OR($D186&lt;12,$D186&gt;=24)),
Error!$B$9,
IF(AND(_xlpm.baseRow,$E186="Tier 3",COUNTIF(Tables2!$B$153:$B$162,$C186)&gt;0,$D186&lt;12),
Error!$B$46,
IF(AND(_xlpm.baseRow,$E186="Tier 4",OR($D186&lt;6,$D186&gt;=12)),
Error!$B$10,
IF(AND(_xlpm.baseRow,$E186="&lt;6in DSH for Tree Points",OR($D186&gt;=6,$D186="")),
Error!$B$8,
IF(AND(_xlpm.baseRow,$E186="Street Tree for Green Factor",$F186&lt;&gt;"",$F186&lt;&gt;"Retain"),
Error!$B$14,
IF(AND($E186="&lt;6in DSH for Tree Points",$F186="Retain",$H186&lt;&gt;"",ISNA(MATCH($H186,Tables!$B$174:$B$174,0))),
Error!$B$15,
IF(AND($E186="Street Tree for Green Factor",$F186="Retain",$H186&lt;&gt;"",$H186&lt;&gt;"Zoning: Green Factor"),
Error!$B$15,
IF(AND($E186="ECA / Shoreline Tree",$F186="Remove",$H186&lt;&gt;"",ISNA(MATCH($H186,Tables!$B$189:$B$190,0))),
Error!$B$15,
IF(AND($E186="ECA / Shoreline Tree",$F186="Retain",$H186&lt;&gt;"",ISNA(MATCH($H186,Tables!$B$184:$B$186,0))),
Error!$B$15,
IF(AND($E186="Tier 4",$F186="Remove",$H186&lt;&gt;"",ISNA(MATCH($H186,Tables!$B$171,0))),
Error!$B$15,
IF(AND($E186="Tier 4",$F186="Retain",$H186&lt;&gt;"",ISNA(MATCH($H186,Tables!$B$166:$B$168,0))),
Error!$B$15,
IF(AND($E186="Tier 3",$F186="Retain",$H186&lt;&gt;"",ISNA(MATCH($H186,Tables!$B$158:$B$160,0))),
Error!$B$15,
IF(AND($E186="Tier 3",$F186="Remove",$H186&lt;&gt;"",ISNA(MATCH($H186,Tables!$B$163,0))),
Error!$B$15,
IF(AND(OR($E186="Tier 2",$E186="Tier 2 Grove"),$F186="Remove",$H186&lt;&gt;"",ISNA(MATCH($H186,Tables!$B$153:$B$155,0))),
Error!$B$15,
IF(AND(OR($E186="Tier 2",$E186="Tier 2 Grove"),$F186="Retain",$H186&lt;&gt;"",ISNA(MATCH($H186,Tables!$B$147:$B$150,0))),
Error!$B$15,
IF(AND($E186="Tier 1",$F186="Remove",$H186&lt;&gt;"",ISNA(MATCH($H186,Tables!$B$143:$B$144,0))),
Error!$B$15,
IF(AND($E186="Tier 1",$F186="Retain",$H186&lt;&gt;"",ISNA(MATCH($H186,Tables!$B$137:$B$140,0))),
Error!$B$15,
IF(AND($E186&lt;&gt;"Tier 2",$E186&lt;&gt;"Tier 2 Grove",$E186&lt;&gt;"Tier 3",$E186&lt;&gt;"Tier 4",$H186="Zoning: Green Factor",OR($D186="",$D186&lt;6)),
Error!$B$11,
IF(AND(_xlpm.baseRow,$D186&lt;6,$E186="&lt;6in DSH for Tree Points",_xlpm.TreePoints_H=0),
Error!$B$21,
IF(AND(_xlpm.baseRow,$E186&lt;&gt;"",$D186&lt;&gt;"",$F186=""),
Error!$B$4,
IF(AND(_xlpm.baseRow,$F186="Remove",OR($E186="Tier 1",$E186="Tier 2",$E186="Tier 2 Grove"),COUNTBLANK(_xlpm.HRange)&lt;3,_xlpm.uniqueH&gt;=2),
Error!$B$48,
IF(AND(_xlpm.baseRow,$F186="Retain",OR($E186="Tier 1",$E186="Tier 2",$E186="Tier 2 Grove"),COUNTIF(_xlpm.HRange,"Tree Code: Required to Retain Tier 1-2 Tree")=0),
Error!$B$47,
IF(AND(_xlpm.baseRow,$E186&lt;&gt;"",$D186&lt;&gt;"",$F186&lt;&gt;"",COUNTBLANK(_xlpm.HRange)=4),
Error!$B$5,
IF(AND($F186="Remove",$H186&lt;&gt;"",$I186=""),
Error!$B$18,
IF(AND($E186="Tier 4",$F186="Remove",$H186="Tree Protection Code: Tier 3 or Tier 4 Allowance",$H186&lt;&gt;"",ISNA(MATCH($I186,Tables!$B$200,0))),
Error!$B$17,
IF(AND($E186="Tier 3",$F186="Remove",$H186&lt;&gt;"",$H186="Tree Protection Code: Tier 3 or Tier 4 Allowance",OR($I186="",ISNA(MATCH($I186,Tables!$B$193:$B$197,0)))),
Error!$B$17,
IF(AND(OR($E186="Tier 2",$E186="Tier 2 Grove"),$F186="Remove",$H186="Tree Protection Code: Other removal allowance or exemption",$I186&lt;&gt;"",ISNA(MATCH($I186,Tables!$B$215:$B$218,0))),
Error!$B$17,
IF(AND(OR($E186="Tier 2",$E186="Tier 2 Grove"),$F186="Remove",$H186="Tree Protection Code: Development Capacity",$I186&lt;&gt;"",ISNA(MATCH($I186,Tables!$B$193:$B$197,0))),
Error!$B$17,
IF(AND(OR($E186="Tier 2",$E186="Tier 2 Grove"),$F186="Remove",$H186="Tree Protection Code: Necessary for Construction",$I186&lt;&gt;"",ISNA(MATCH($I186,Tables!$B$193:$B$197,0))),
Error!$B$17,
IF(AND($E186="Tier 1",$F186="Remove",$H186="Tree Protection Code: Special Exception",$I186&lt;&gt;"",ISNA(MATCH($I186,Tables!$B$215:$B$218,0))),
Error!$B$17,
IF(AND($E186="Tier 1",$F186="Remove",$H186="Tree Protection Code: Other removal allowance or exemption",$I186&lt;&gt;"",ISNA(MATCH($I186,Tables!$B$215:$B$218,0))),
Error!$B$17,
IF(AND($E186="ECA / Shoreline Tree",$F186="Remove",$H186&lt;&gt;"",OR($H186="Shoreline",$H186="Environmental Critical Area (ECA)"),ISNA(MATCH($I186,Tables!$B$209:$B$212,0))),
Error!$B$17,
IF(AND(_xlpm.baseRow,$F186="Retain",$E186="ECA / Shoreline Tree",_xlpm.ECA_Short=0),
Error!$B$61,
IF(AND($F186="Remove",ISNUMBER(MATCH($E186,{"Tier 1","Tier 2","Tier 3","Tier 4","Tier 2 Grove"},0)),ISNUMBER(MATCH($I186,{"On-site replacement","Off-site replacement"},0)),$J186="",$H186&lt;&gt;""),
Error!$B$19,
IF(AND(_xlpm.baseRow,$E186&lt;&gt;"",$D186&lt;&gt;"",$F186&lt;&gt;"",COUNTBLANK($B186:$C186)&gt;0,COUNTBLANK(_xlpm.HRange)&lt;&gt;4),
Error!$B$22,
IF(AND($H186="Zoning: Tree Points",$K186&lt;&gt;"",ISNA(MATCH($K186,Tables!$B$242:$B$253,0))),
Error!$B$58,
IF(AND($H186="Zoning: Tree Points",$K186="Small",$L186&lt;&gt;"",ISNA(MATCH($L186,Tables!$C$243:$C$244,0))),
Error!$B$59,
IF(AND($H186="Zoning: Tree Points",$K186="Small/Medium",$L186&lt;&gt;"",ISNA(MATCH($L186,Tables!$C$246:$C$247,0))),
Error!$B$59,
IF(AND($H186="Zoning: Tree Points",$K186="Medium/Large",$L186&lt;&gt;"",ISNA(MATCH($L186,Tables!$C$249:$C$250,0))),
Error!$B$59,
IF(AND($H186="Zoning: Tree Points",$K186="Large",$L186&lt;&gt;"",ISNA(MATCH($L186,Tables!$C$252:$C$253,0))),
Error!$B$59,
IF(AND($F186="Retain",$H186="Zoning: Tree Points",$C186&lt;&gt;"",$D186&lt;&gt;"",OR($K186="",$L186="",$M186="")),
Error!$B$20,
""
)))))))))))))))))))))))))))))))))))))))))))))))))))))))),
Error!$B$23))</f>
        <v/>
      </c>
      <c r="O186" s="343" t="str" cm="1">
        <f t="array" aca="1" ref="O186" ca="1">IFERROR(_xlfn.LET(
    _xlpm.txt, $C186,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87" spans="1:15" ht="15" thickBot="1" x14ac:dyDescent="0.35">
      <c r="A187" s="311">
        <v>45</v>
      </c>
      <c r="B187" s="312"/>
      <c r="C187" s="313"/>
      <c r="D187" s="478"/>
      <c r="E187" s="314"/>
      <c r="F187" s="314"/>
      <c r="G187" s="315" t="str">
        <f>IF(Tree_Table1[[#This Row],[Tree Status  &amp;]]="Retain", Tables!$B$237, IF(Tree_Table1[[#This Row],[Tree Status  &amp;]]="Remove", Tables!$B$238, ""))</f>
        <v/>
      </c>
      <c r="H187" s="316"/>
      <c r="I187" s="317"/>
      <c r="J187" s="452"/>
      <c r="K187" s="318" t="str">
        <f>IFERROR(
    IF(
        AND($H187="Zoning: Tree Points", NOT(ISNUMBER(SEARCH("sp.", $C187)))),
        VLOOKUP($C187, 'Tree List'!$C$3:$F$601, 4, FALSE),
        ""
    ),
"")</f>
        <v/>
      </c>
      <c r="L187" s="319" t="str" cm="1">
        <f t="array" ref="L187">IFERROR(
IF(
    AND($H187="Zoning: Tree Points", NOT(ISNUMBER(SEARCH("sp.", $C187)))),
    _xlfn.IFS(
        (COUNTIFS('Tree List'!$C$3:$C$601,$C187,'Tree List'!$D$3:$D$601,"Coniferous")
        + COUNTIFS('Tree List'!$C$3:$C$601,$C187,'Tree List'!$D$3:$D$601,"Deciduous Conifer")) &gt; 0,
            _xlfn.IFS($K187="Small",0.5,$K187="Small/Medium",1,$K187="Medium/Large",1.4,$K187="Large",1.8),
        (COUNTIFS('Tree List'!$C$3:$C$601,$C187,'Tree List'!$D$3:$D$601,"Deciduous")
        + COUNTIFS('Tree List'!$C$3:$C$601,$C187,'Tree List'!$D$3:$D$601,"Broadleaf Evergreen")) &gt; 0,
            _xlfn.IFS($K187="Small",0.4,$K187="Small/Medium",0.8,$K187="Medium/Large",1.2,$K187="Large",1.6)
    ),
    ""
),
"")</f>
        <v/>
      </c>
      <c r="M187" s="474" t="str">
        <f t="shared" si="168"/>
        <v/>
      </c>
      <c r="N187" s="620" t="str" cm="1">
        <f t="array" aca="1" ref="N18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IF(AND(_xlpm.baseRow,ISNA(MATCH($C187,'Tree List'!$C$3:$C$601,0)),SUMPRODUCT(--ISNUMBER(SEARCH(Tables2!$C$677:$C$772,$O187)))&gt;0),
Error!$B$57,
IF(AND(_xlpm.hasDM,$F187="Remove",$H187&lt;&gt;"",OR($I187="On-site replacement",$I187="Off-site replacement",$I187="Payment In Lieu")),
Error!$B$56,
IF(AND(_xlpm.hasDM,$F187="Remove",$H187&lt;&gt;"",$I187="Relocation"),
Error!$B$66,
IF(AND(OR(_xlpm.hasCN,_xlpm.hasPH,_xlpm.hasGR),$H187&lt;&gt;"",COUNTIF(Tables!$B$132:$B$134,$H187)&gt;0,$I187="N/A (No replacement required)"),
Error!$B$62,
IF(AND(_xlpm.baseRow,$E187&lt;&gt;"",ISNA(MATCH($E187,Tables!$B$225:$B$232,0))),
Error!$B$2,
IF(AND(_xlpm.baseRow,$F187&lt;&gt;"",ISNA(MATCH($F187,Tables!$B$234:$B$235,0))),
Error!$B$24,
IF(AND(_xlpm.baseRow,_xlpm.ECA_H&gt;0,_xlpm.Shore_H&gt;0),
Error!$B$16,
IF(AND(_xlpm.baseRow,$E187&lt;&gt;"",$D187=""),
Error!$B$3,
IF(AND(_xlpm.baseRow,OR($E187="Tier 3",$E187="Tier 4"),$C187&lt;&gt;"",$D187&gt;=24,COUNTIF(Tables2!$B$166:$B$674,$C187)&gt;0),
Error!$B$44,
IF(AND(_xlpm.baseRow,OR($E187="Tier 3",$E187="Tier 4"),$C187&lt;&gt;"",$D187&lt;&gt;"",COUNTIF(Tables2!$B$73:$B$152,$C187)&gt;0,
$D187&gt;=IFERROR(INDEX(Tables2!$C$73:$C$152,MATCH($C187,Tables2!$B$73:$B$152,0)),-1)),
Error!$B$44,
IF(AND(_xlpm.baseRow,OR($E187="Tier 2",$E187="Tier 2 Grove"),$C187&lt;&gt;"",$D187&gt;=12,COUNTIF(Tables2!$B$153:$B$162,$C187)&gt;0),
Error!$B$45,
IF(AND(_xlpm.baseRow,$E187="Tier 2 Grove",$D187&lt;12),
Error!$B$41,
IF(AND(_xlpm.baseRow,$E187="Tier 2",$D187&lt;5.88),
Error!$B$40,
IF(AND(_xlpm.baseRow,OR($E187="Tier 2",$E187="Tier 2 Grove"),$C187&lt;&gt;"",$D187&lt;12,$D187&gt;=6,COUNTIF(Tables2!$B$153:$B$162,$C187)&gt;0),
Error!$B$54,
IF(AND(_xlpm.baseRow,$E187="Tier 2",COUNTIF(Tables2!$B$166:$B$674,$C187)&gt;0,$D187&lt;24),
Error!$B$54,
IF(AND(_xlpm.baseRow,$E187="Tier 3",ISNA(MATCH($C187,Tables2!$B$153:$B$162,0)),OR($D187&lt;12,$D187&gt;=24)),
Error!$B$9,
IF(AND(_xlpm.baseRow,$E187="Tier 3",COUNTIF(Tables2!$B$153:$B$162,$C187)&gt;0,$D187&lt;12),
Error!$B$46,
IF(AND(_xlpm.baseRow,$E187="Tier 4",OR($D187&lt;6,$D187&gt;=12)),
Error!$B$10,
IF(AND(_xlpm.baseRow,$E187="&lt;6in DSH for Tree Points",OR($D187&gt;=6,$D187="")),
Error!$B$8,
IF(AND(_xlpm.baseRow,$E187="Street Tree for Green Factor",$F187&lt;&gt;"",$F187&lt;&gt;"Retain"),
Error!$B$14,
IF(AND($E187="&lt;6in DSH for Tree Points",$F187="Retain",$H187&lt;&gt;"",ISNA(MATCH($H187,Tables!$B$174:$B$174,0))),
Error!$B$15,
IF(AND($E187="Street Tree for Green Factor",$F187="Retain",$H187&lt;&gt;"",$H187&lt;&gt;"Zoning: Green Factor"),
Error!$B$15,
IF(AND($E187="ECA / Shoreline Tree",$F187="Remove",$H187&lt;&gt;"",ISNA(MATCH($H187,Tables!$B$189:$B$190,0))),
Error!$B$15,
IF(AND($E187="ECA / Shoreline Tree",$F187="Retain",$H187&lt;&gt;"",ISNA(MATCH($H187,Tables!$B$184:$B$186,0))),
Error!$B$15,
IF(AND($E187="Tier 4",$F187="Remove",$H187&lt;&gt;"",ISNA(MATCH($H187,Tables!$B$171,0))),
Error!$B$15,
IF(AND($E187="Tier 4",$F187="Retain",$H187&lt;&gt;"",ISNA(MATCH($H187,Tables!$B$166:$B$168,0))),
Error!$B$15,
IF(AND($E187="Tier 3",$F187="Retain",$H187&lt;&gt;"",ISNA(MATCH($H187,Tables!$B$158:$B$160,0))),
Error!$B$15,
IF(AND($E187="Tier 3",$F187="Remove",$H187&lt;&gt;"",ISNA(MATCH($H187,Tables!$B$163,0))),
Error!$B$15,
IF(AND(OR($E187="Tier 2",$E187="Tier 2 Grove"),$F187="Remove",$H187&lt;&gt;"",ISNA(MATCH($H187,Tables!$B$153:$B$155,0))),
Error!$B$15,
IF(AND(OR($E187="Tier 2",$E187="Tier 2 Grove"),$F187="Retain",$H187&lt;&gt;"",ISNA(MATCH($H187,Tables!$B$147:$B$150,0))),
Error!$B$15,
IF(AND($E187="Tier 1",$F187="Remove",$H187&lt;&gt;"",ISNA(MATCH($H187,Tables!$B$143:$B$144,0))),
Error!$B$15,
IF(AND($E187="Tier 1",$F187="Retain",$H187&lt;&gt;"",ISNA(MATCH($H187,Tables!$B$137:$B$140,0))),
Error!$B$15,
IF(AND($E187&lt;&gt;"Tier 2",$E187&lt;&gt;"Tier 2 Grove",$E187&lt;&gt;"Tier 3",$E187&lt;&gt;"Tier 4",$H187="Zoning: Green Factor",OR($D187="",$D187&lt;6)),
Error!$B$11,
IF(AND(_xlpm.baseRow,$D187&lt;6,$E187="&lt;6in DSH for Tree Points",_xlpm.TreePoints_H=0),
Error!$B$21,
IF(AND(_xlpm.baseRow,$E187&lt;&gt;"",$D187&lt;&gt;"",$F187=""),
Error!$B$4,
IF(AND(_xlpm.baseRow,$F187="Remove",OR($E187="Tier 1",$E187="Tier 2",$E187="Tier 2 Grove"),COUNTBLANK(_xlpm.HRange)&lt;3,_xlpm.uniqueH&gt;=2),
Error!$B$48,
IF(AND(_xlpm.baseRow,$F187="Retain",OR($E187="Tier 1",$E187="Tier 2",$E187="Tier 2 Grove"),COUNTIF(_xlpm.HRange,"Tree Code: Required to Retain Tier 1-2 Tree")=0),
Error!$B$47,
IF(AND(_xlpm.baseRow,$E187&lt;&gt;"",$D187&lt;&gt;"",$F187&lt;&gt;"",COUNTBLANK(_xlpm.HRange)=4),
Error!$B$5,
IF(AND($F187="Remove",$H187&lt;&gt;"",$I187=""),
Error!$B$18,
IF(AND($E187="Tier 4",$F187="Remove",$H187="Tree Protection Code: Tier 3 or Tier 4 Allowance",$H187&lt;&gt;"",ISNA(MATCH($I187,Tables!$B$200,0))),
Error!$B$17,
IF(AND($E187="Tier 3",$F187="Remove",$H187&lt;&gt;"",$H187="Tree Protection Code: Tier 3 or Tier 4 Allowance",OR($I187="",ISNA(MATCH($I187,Tables!$B$193:$B$197,0)))),
Error!$B$17,
IF(AND(OR($E187="Tier 2",$E187="Tier 2 Grove"),$F187="Remove",$H187="Tree Protection Code: Other removal allowance or exemption",$I187&lt;&gt;"",ISNA(MATCH($I187,Tables!$B$215:$B$218,0))),
Error!$B$17,
IF(AND(OR($E187="Tier 2",$E187="Tier 2 Grove"),$F187="Remove",$H187="Tree Protection Code: Development Capacity",$I187&lt;&gt;"",ISNA(MATCH($I187,Tables!$B$193:$B$197,0))),
Error!$B$17,
IF(AND(OR($E187="Tier 2",$E187="Tier 2 Grove"),$F187="Remove",$H187="Tree Protection Code: Necessary for Construction",$I187&lt;&gt;"",ISNA(MATCH($I187,Tables!$B$193:$B$197,0))),
Error!$B$17,
IF(AND($E187="Tier 1",$F187="Remove",$H187="Tree Protection Code: Special Exception",$I187&lt;&gt;"",ISNA(MATCH($I187,Tables!$B$215:$B$218,0))),
Error!$B$17,
IF(AND($E187="Tier 1",$F187="Remove",$H187="Tree Protection Code: Other removal allowance or exemption",$I187&lt;&gt;"",ISNA(MATCH($I187,Tables!$B$215:$B$218,0))),
Error!$B$17,
IF(AND($E187="ECA / Shoreline Tree",$F187="Remove",$H187&lt;&gt;"",OR($H187="Shoreline",$H187="Environmental Critical Area (ECA)"),ISNA(MATCH($I187,Tables!$B$209:$B$212,0))),
Error!$B$17,
IF(AND(_xlpm.baseRow,$F187="Retain",$E187="ECA / Shoreline Tree",_xlpm.ECA_Short=0),
Error!$B$61,
IF(AND($F187="Remove",ISNUMBER(MATCH($E187,{"Tier 1","Tier 2","Tier 3","Tier 4","Tier 2 Grove"},0)),ISNUMBER(MATCH($I187,{"On-site replacement","Off-site replacement"},0)),$J187="",$H187&lt;&gt;""),
Error!$B$19,
IF(AND(_xlpm.baseRow,$E187&lt;&gt;"",$D187&lt;&gt;"",$F187&lt;&gt;"",COUNTBLANK($B187:$C187)&gt;0,COUNTBLANK(_xlpm.HRange)&lt;&gt;4),
Error!$B$22,
IF(AND($H187="Zoning: Tree Points",$K187&lt;&gt;"",ISNA(MATCH($K187,Tables!$B$242:$B$253,0))),
Error!$B$58,
IF(AND($H187="Zoning: Tree Points",$K187="Small",$L187&lt;&gt;"",ISNA(MATCH($L187,Tables!$C$243:$C$244,0))),
Error!$B$59,
IF(AND($H187="Zoning: Tree Points",$K187="Small/Medium",$L187&lt;&gt;"",ISNA(MATCH($L187,Tables!$C$246:$C$247,0))),
Error!$B$59,
IF(AND($H187="Zoning: Tree Points",$K187="Medium/Large",$L187&lt;&gt;"",ISNA(MATCH($L187,Tables!$C$249:$C$250,0))),
Error!$B$59,
IF(AND($H187="Zoning: Tree Points",$K187="Large",$L187&lt;&gt;"",ISNA(MATCH($L187,Tables!$C$252:$C$253,0))),
Error!$B$59,
IF(AND($F187="Retain",$H187="Zoning: Tree Points",$C187&lt;&gt;"",$D187&lt;&gt;"",OR($K187="",$L187="",$M187="")),
Error!$B$20,
""
)))))))))))))))))))))))))))))))))))))))))))))))))))))))),
Error!$B$23))</f>
        <v/>
      </c>
      <c r="O187" s="343" t="str" cm="1">
        <f t="array" aca="1" ref="O187" ca="1">IFERROR(_xlfn.LET(
    _xlpm.txt, $C187,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88" spans="1:15" x14ac:dyDescent="0.3">
      <c r="A188" s="320"/>
      <c r="B188" s="616" t="str">
        <f t="shared" ref="B188:B190" si="179">IF($B187="", "", $B187)</f>
        <v/>
      </c>
      <c r="C188" s="617" t="str">
        <f t="shared" ref="C188:C190" si="180">IF($C187="", "", $C187)</f>
        <v/>
      </c>
      <c r="D188" s="618" t="str">
        <f t="shared" ref="D188:D190" si="181">IF($D187="", "", $D187)</f>
        <v/>
      </c>
      <c r="E188" s="616" t="str">
        <f t="shared" ref="E188:E190" si="182">IF($E187="", "", $E187)</f>
        <v/>
      </c>
      <c r="F188" s="616" t="str">
        <f t="shared" ref="F188:F190" si="183">IF($F187="", "", $F187)</f>
        <v/>
      </c>
      <c r="G188" s="619" t="str">
        <f>IF(Tree_Table1[[#This Row],[Tree Status  &amp;]]="Retain", Tables!$B$237, IF(Tree_Table1[[#This Row],[Tree Status  &amp;]]="Remove", Tables!$B$238, ""))</f>
        <v/>
      </c>
      <c r="H188" s="321"/>
      <c r="I188" s="322"/>
      <c r="J188" s="453"/>
      <c r="K188" s="323" t="str">
        <f>IFERROR(
    IF(
        AND($H188="Zoning: Tree Points", NOT(ISNUMBER(SEARCH("sp.", $C188)))),
        VLOOKUP($C188, 'Tree List'!$C$3:$F$601, 4, FALSE),
        ""
    ),
"")</f>
        <v/>
      </c>
      <c r="L188" s="324" t="str" cm="1">
        <f t="array" ref="L188">IFERROR(
IF(
    AND($H188="Zoning: Tree Points", NOT(ISNUMBER(SEARCH("sp.", $C188)))),
    _xlfn.IFS(
        (COUNTIFS('Tree List'!$C$3:$C$601,$C188,'Tree List'!$D$3:$D$601,"Coniferous")
        + COUNTIFS('Tree List'!$C$3:$C$601,$C188,'Tree List'!$D$3:$D$601,"Deciduous Conifer")) &gt; 0,
            _xlfn.IFS($K188="Small",0.5,$K188="Small/Medium",1,$K188="Medium/Large",1.4,$K188="Large",1.8),
        (COUNTIFS('Tree List'!$C$3:$C$601,$C188,'Tree List'!$D$3:$D$601,"Deciduous")
        + COUNTIFS('Tree List'!$C$3:$C$601,$C188,'Tree List'!$D$3:$D$601,"Broadleaf Evergreen")) &gt; 0,
            _xlfn.IFS($K188="Small",0.4,$K188="Small/Medium",0.8,$K188="Medium/Large",1.2,$K188="Large",1.6)
    ),
    ""
),
"")</f>
        <v/>
      </c>
      <c r="M188" s="475" t="str">
        <f t="shared" si="168"/>
        <v/>
      </c>
      <c r="N188" s="346" t="str" cm="1">
        <f t="array" aca="1" ref="N18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IF(AND(_xlpm.baseRow,ISNA(MATCH($C188,'Tree List'!$C$3:$C$601,0)),SUMPRODUCT(--ISNUMBER(SEARCH(Tables2!$C$677:$C$772,$O188)))&gt;0),
Error!$B$57,
IF(AND(_xlpm.hasDM,$F188="Remove",$H188&lt;&gt;"",OR($I188="On-site replacement",$I188="Off-site replacement",$I188="Payment In Lieu")),
Error!$B$56,
IF(AND(_xlpm.hasDM,$F188="Remove",$H188&lt;&gt;"",$I188="Relocation"),
Error!$B$66,
IF(AND(OR(_xlpm.hasCN,_xlpm.hasPH,_xlpm.hasGR),$H188&lt;&gt;"",COUNTIF(Tables!$B$132:$B$134,$H188)&gt;0,$I188="N/A (No replacement required)"),
Error!$B$62,
IF(AND(_xlpm.baseRow,$E188&lt;&gt;"",ISNA(MATCH($E188,Tables!$B$225:$B$232,0))),
Error!$B$2,
IF(AND(_xlpm.baseRow,$F188&lt;&gt;"",ISNA(MATCH($F188,Tables!$B$234:$B$235,0))),
Error!$B$24,
IF(AND(_xlpm.baseRow,_xlpm.ECA_H&gt;0,_xlpm.Shore_H&gt;0),
Error!$B$16,
IF(AND(_xlpm.baseRow,$E188&lt;&gt;"",$D188=""),
Error!$B$3,
IF(AND(_xlpm.baseRow,OR($E188="Tier 3",$E188="Tier 4"),$C188&lt;&gt;"",$D188&gt;=24,COUNTIF(Tables2!$B$166:$B$674,$C188)&gt;0),
Error!$B$44,
IF(AND(_xlpm.baseRow,OR($E188="Tier 3",$E188="Tier 4"),$C188&lt;&gt;"",$D188&lt;&gt;"",COUNTIF(Tables2!$B$73:$B$152,$C188)&gt;0,
$D188&gt;=IFERROR(INDEX(Tables2!$C$73:$C$152,MATCH($C188,Tables2!$B$73:$B$152,0)),-1)),
Error!$B$44,
IF(AND(_xlpm.baseRow,OR($E188="Tier 2",$E188="Tier 2 Grove"),$C188&lt;&gt;"",$D188&gt;=12,COUNTIF(Tables2!$B$153:$B$162,$C188)&gt;0),
Error!$B$45,
IF(AND(_xlpm.baseRow,$E188="Tier 2 Grove",$D188&lt;12),
Error!$B$41,
IF(AND(_xlpm.baseRow,$E188="Tier 2",$D188&lt;5.88),
Error!$B$40,
IF(AND(_xlpm.baseRow,OR($E188="Tier 2",$E188="Tier 2 Grove"),$C188&lt;&gt;"",$D188&lt;12,$D188&gt;=6,COUNTIF(Tables2!$B$153:$B$162,$C188)&gt;0),
Error!$B$54,
IF(AND(_xlpm.baseRow,$E188="Tier 2",COUNTIF(Tables2!$B$166:$B$674,$C188)&gt;0,$D188&lt;24),
Error!$B$54,
IF(AND(_xlpm.baseRow,$E188="Tier 3",ISNA(MATCH($C188,Tables2!$B$153:$B$162,0)),OR($D188&lt;12,$D188&gt;=24)),
Error!$B$9,
IF(AND(_xlpm.baseRow,$E188="Tier 3",COUNTIF(Tables2!$B$153:$B$162,$C188)&gt;0,$D188&lt;12),
Error!$B$46,
IF(AND(_xlpm.baseRow,$E188="Tier 4",OR($D188&lt;6,$D188&gt;=12)),
Error!$B$10,
IF(AND(_xlpm.baseRow,$E188="&lt;6in DSH for Tree Points",OR($D188&gt;=6,$D188="")),
Error!$B$8,
IF(AND(_xlpm.baseRow,$E188="Street Tree for Green Factor",$F188&lt;&gt;"",$F188&lt;&gt;"Retain"),
Error!$B$14,
IF(AND($E188="&lt;6in DSH for Tree Points",$F188="Retain",$H188&lt;&gt;"",ISNA(MATCH($H188,Tables!$B$174:$B$174,0))),
Error!$B$15,
IF(AND($E188="Street Tree for Green Factor",$F188="Retain",$H188&lt;&gt;"",$H188&lt;&gt;"Zoning: Green Factor"),
Error!$B$15,
IF(AND($E188="ECA / Shoreline Tree",$F188="Remove",$H188&lt;&gt;"",ISNA(MATCH($H188,Tables!$B$189:$B$190,0))),
Error!$B$15,
IF(AND($E188="ECA / Shoreline Tree",$F188="Retain",$H188&lt;&gt;"",ISNA(MATCH($H188,Tables!$B$184:$B$186,0))),
Error!$B$15,
IF(AND($E188="Tier 4",$F188="Remove",$H188&lt;&gt;"",ISNA(MATCH($H188,Tables!$B$171,0))),
Error!$B$15,
IF(AND($E188="Tier 4",$F188="Retain",$H188&lt;&gt;"",ISNA(MATCH($H188,Tables!$B$166:$B$168,0))),
Error!$B$15,
IF(AND($E188="Tier 3",$F188="Retain",$H188&lt;&gt;"",ISNA(MATCH($H188,Tables!$B$158:$B$160,0))),
Error!$B$15,
IF(AND($E188="Tier 3",$F188="Remove",$H188&lt;&gt;"",ISNA(MATCH($H188,Tables!$B$163,0))),
Error!$B$15,
IF(AND(OR($E188="Tier 2",$E188="Tier 2 Grove"),$F188="Remove",$H188&lt;&gt;"",ISNA(MATCH($H188,Tables!$B$153:$B$155,0))),
Error!$B$15,
IF(AND(OR($E188="Tier 2",$E188="Tier 2 Grove"),$F188="Retain",$H188&lt;&gt;"",ISNA(MATCH($H188,Tables!$B$147:$B$150,0))),
Error!$B$15,
IF(AND($E188="Tier 1",$F188="Remove",$H188&lt;&gt;"",ISNA(MATCH($H188,Tables!$B$143:$B$144,0))),
Error!$B$15,
IF(AND($E188="Tier 1",$F188="Retain",$H188&lt;&gt;"",ISNA(MATCH($H188,Tables!$B$137:$B$140,0))),
Error!$B$15,
IF(AND($E188&lt;&gt;"Tier 2",$E188&lt;&gt;"Tier 2 Grove",$E188&lt;&gt;"Tier 3",$E188&lt;&gt;"Tier 4",$H188="Zoning: Green Factor",OR($D188="",$D188&lt;6)),
Error!$B$11,
IF(AND(_xlpm.baseRow,$D188&lt;6,$E188="&lt;6in DSH for Tree Points",_xlpm.TreePoints_H=0),
Error!$B$21,
IF(AND(_xlpm.baseRow,$E188&lt;&gt;"",$D188&lt;&gt;"",$F188=""),
Error!$B$4,
IF(AND(_xlpm.baseRow,$F188="Remove",OR($E188="Tier 1",$E188="Tier 2",$E188="Tier 2 Grove"),COUNTBLANK(_xlpm.HRange)&lt;3,_xlpm.uniqueH&gt;=2),
Error!$B$48,
IF(AND(_xlpm.baseRow,$F188="Retain",OR($E188="Tier 1",$E188="Tier 2",$E188="Tier 2 Grove"),COUNTIF(_xlpm.HRange,"Tree Code: Required to Retain Tier 1-2 Tree")=0),
Error!$B$47,
IF(AND(_xlpm.baseRow,$E188&lt;&gt;"",$D188&lt;&gt;"",$F188&lt;&gt;"",COUNTBLANK(_xlpm.HRange)=4),
Error!$B$5,
IF(AND($F188="Remove",$H188&lt;&gt;"",$I188=""),
Error!$B$18,
IF(AND($E188="Tier 4",$F188="Remove",$H188="Tree Protection Code: Tier 3 or Tier 4 Allowance",$H188&lt;&gt;"",ISNA(MATCH($I188,Tables!$B$200,0))),
Error!$B$17,
IF(AND($E188="Tier 3",$F188="Remove",$H188&lt;&gt;"",$H188="Tree Protection Code: Tier 3 or Tier 4 Allowance",OR($I188="",ISNA(MATCH($I188,Tables!$B$193:$B$197,0)))),
Error!$B$17,
IF(AND(OR($E188="Tier 2",$E188="Tier 2 Grove"),$F188="Remove",$H188="Tree Protection Code: Other removal allowance or exemption",$I188&lt;&gt;"",ISNA(MATCH($I188,Tables!$B$215:$B$218,0))),
Error!$B$17,
IF(AND(OR($E188="Tier 2",$E188="Tier 2 Grove"),$F188="Remove",$H188="Tree Protection Code: Development Capacity",$I188&lt;&gt;"",ISNA(MATCH($I188,Tables!$B$193:$B$197,0))),
Error!$B$17,
IF(AND(OR($E188="Tier 2",$E188="Tier 2 Grove"),$F188="Remove",$H188="Tree Protection Code: Necessary for Construction",$I188&lt;&gt;"",ISNA(MATCH($I188,Tables!$B$193:$B$197,0))),
Error!$B$17,
IF(AND($E188="Tier 1",$F188="Remove",$H188="Tree Protection Code: Special Exception",$I188&lt;&gt;"",ISNA(MATCH($I188,Tables!$B$215:$B$218,0))),
Error!$B$17,
IF(AND($E188="Tier 1",$F188="Remove",$H188="Tree Protection Code: Other removal allowance or exemption",$I188&lt;&gt;"",ISNA(MATCH($I188,Tables!$B$215:$B$218,0))),
Error!$B$17,
IF(AND($E188="ECA / Shoreline Tree",$F188="Remove",$H188&lt;&gt;"",OR($H188="Shoreline",$H188="Environmental Critical Area (ECA)"),ISNA(MATCH($I188,Tables!$B$209:$B$212,0))),
Error!$B$17,
IF(AND(_xlpm.baseRow,$F188="Retain",$E188="ECA / Shoreline Tree",_xlpm.ECA_Short=0),
Error!$B$61,
IF(AND($F188="Remove",ISNUMBER(MATCH($E188,{"Tier 1","Tier 2","Tier 3","Tier 4","Tier 2 Grove"},0)),ISNUMBER(MATCH($I188,{"On-site replacement","Off-site replacement"},0)),$J188="",$H188&lt;&gt;""),
Error!$B$19,
IF(AND(_xlpm.baseRow,$E188&lt;&gt;"",$D188&lt;&gt;"",$F188&lt;&gt;"",COUNTBLANK($B188:$C188)&gt;0,COUNTBLANK(_xlpm.HRange)&lt;&gt;4),
Error!$B$22,
IF(AND($H188="Zoning: Tree Points",$K188&lt;&gt;"",ISNA(MATCH($K188,Tables!$B$242:$B$253,0))),
Error!$B$58,
IF(AND($H188="Zoning: Tree Points",$K188="Small",$L188&lt;&gt;"",ISNA(MATCH($L188,Tables!$C$243:$C$244,0))),
Error!$B$59,
IF(AND($H188="Zoning: Tree Points",$K188="Small/Medium",$L188&lt;&gt;"",ISNA(MATCH($L188,Tables!$C$246:$C$247,0))),
Error!$B$59,
IF(AND($H188="Zoning: Tree Points",$K188="Medium/Large",$L188&lt;&gt;"",ISNA(MATCH($L188,Tables!$C$249:$C$250,0))),
Error!$B$59,
IF(AND($H188="Zoning: Tree Points",$K188="Large",$L188&lt;&gt;"",ISNA(MATCH($L188,Tables!$C$252:$C$253,0))),
Error!$B$59,
IF(AND($F188="Retain",$H188="Zoning: Tree Points",$C188&lt;&gt;"",$D188&lt;&gt;"",OR($K188="",$L188="",$M188="")),
Error!$B$20,
""
)))))))))))))))))))))))))))))))))))))))))))))))))))))))),
Error!$B$23))</f>
        <v/>
      </c>
      <c r="O188" s="343" t="str" cm="1">
        <f t="array" aca="1" ref="O188" ca="1">IFERROR(_xlfn.LET(
    _xlpm.txt, $C188,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89" spans="1:15" x14ac:dyDescent="0.3">
      <c r="A189" s="320"/>
      <c r="B189" s="616" t="str">
        <f t="shared" si="179"/>
        <v/>
      </c>
      <c r="C189" s="617" t="str">
        <f t="shared" si="180"/>
        <v/>
      </c>
      <c r="D189" s="618" t="str">
        <f t="shared" si="181"/>
        <v/>
      </c>
      <c r="E189" s="616" t="str">
        <f t="shared" si="182"/>
        <v/>
      </c>
      <c r="F189" s="616" t="str">
        <f t="shared" si="183"/>
        <v/>
      </c>
      <c r="G189" s="619" t="str">
        <f>IF(Tree_Table1[[#This Row],[Tree Status  &amp;]]="Retain", Tables!$B$237, IF(Tree_Table1[[#This Row],[Tree Status  &amp;]]="Remove", Tables!$B$238, ""))</f>
        <v/>
      </c>
      <c r="H189" s="321"/>
      <c r="I189" s="322"/>
      <c r="J189" s="453"/>
      <c r="K189" s="323" t="str">
        <f>IFERROR(
    IF(
        AND($H189="Zoning: Tree Points", NOT(ISNUMBER(SEARCH("sp.", $C189)))),
        VLOOKUP($C189, 'Tree List'!$C$3:$F$601, 4, FALSE),
        ""
    ),
"")</f>
        <v/>
      </c>
      <c r="L189" s="324" t="str" cm="1">
        <f t="array" ref="L189">IFERROR(
IF(
    AND($H189="Zoning: Tree Points", NOT(ISNUMBER(SEARCH("sp.", $C189)))),
    _xlfn.IFS(
        (COUNTIFS('Tree List'!$C$3:$C$601,$C189,'Tree List'!$D$3:$D$601,"Coniferous")
        + COUNTIFS('Tree List'!$C$3:$C$601,$C189,'Tree List'!$D$3:$D$601,"Deciduous Conifer")) &gt; 0,
            _xlfn.IFS($K189="Small",0.5,$K189="Small/Medium",1,$K189="Medium/Large",1.4,$K189="Large",1.8),
        (COUNTIFS('Tree List'!$C$3:$C$601,$C189,'Tree List'!$D$3:$D$601,"Deciduous")
        + COUNTIFS('Tree List'!$C$3:$C$601,$C189,'Tree List'!$D$3:$D$601,"Broadleaf Evergreen")) &gt; 0,
            _xlfn.IFS($K189="Small",0.4,$K189="Small/Medium",0.8,$K189="Medium/Large",1.2,$K189="Large",1.6)
    ),
    ""
),
"")</f>
        <v/>
      </c>
      <c r="M189" s="475" t="str">
        <f t="shared" si="168"/>
        <v/>
      </c>
      <c r="N189" s="346" t="str" cm="1">
        <f t="array" aca="1" ref="N18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IF(AND(_xlpm.baseRow,ISNA(MATCH($C189,'Tree List'!$C$3:$C$601,0)),SUMPRODUCT(--ISNUMBER(SEARCH(Tables2!$C$677:$C$772,$O189)))&gt;0),
Error!$B$57,
IF(AND(_xlpm.hasDM,$F189="Remove",$H189&lt;&gt;"",OR($I189="On-site replacement",$I189="Off-site replacement",$I189="Payment In Lieu")),
Error!$B$56,
IF(AND(_xlpm.hasDM,$F189="Remove",$H189&lt;&gt;"",$I189="Relocation"),
Error!$B$66,
IF(AND(OR(_xlpm.hasCN,_xlpm.hasPH,_xlpm.hasGR),$H189&lt;&gt;"",COUNTIF(Tables!$B$132:$B$134,$H189)&gt;0,$I189="N/A (No replacement required)"),
Error!$B$62,
IF(AND(_xlpm.baseRow,$E189&lt;&gt;"",ISNA(MATCH($E189,Tables!$B$225:$B$232,0))),
Error!$B$2,
IF(AND(_xlpm.baseRow,$F189&lt;&gt;"",ISNA(MATCH($F189,Tables!$B$234:$B$235,0))),
Error!$B$24,
IF(AND(_xlpm.baseRow,_xlpm.ECA_H&gt;0,_xlpm.Shore_H&gt;0),
Error!$B$16,
IF(AND(_xlpm.baseRow,$E189&lt;&gt;"",$D189=""),
Error!$B$3,
IF(AND(_xlpm.baseRow,OR($E189="Tier 3",$E189="Tier 4"),$C189&lt;&gt;"",$D189&gt;=24,COUNTIF(Tables2!$B$166:$B$674,$C189)&gt;0),
Error!$B$44,
IF(AND(_xlpm.baseRow,OR($E189="Tier 3",$E189="Tier 4"),$C189&lt;&gt;"",$D189&lt;&gt;"",COUNTIF(Tables2!$B$73:$B$152,$C189)&gt;0,
$D189&gt;=IFERROR(INDEX(Tables2!$C$73:$C$152,MATCH($C189,Tables2!$B$73:$B$152,0)),-1)),
Error!$B$44,
IF(AND(_xlpm.baseRow,OR($E189="Tier 2",$E189="Tier 2 Grove"),$C189&lt;&gt;"",$D189&gt;=12,COUNTIF(Tables2!$B$153:$B$162,$C189)&gt;0),
Error!$B$45,
IF(AND(_xlpm.baseRow,$E189="Tier 2 Grove",$D189&lt;12),
Error!$B$41,
IF(AND(_xlpm.baseRow,$E189="Tier 2",$D189&lt;5.88),
Error!$B$40,
IF(AND(_xlpm.baseRow,OR($E189="Tier 2",$E189="Tier 2 Grove"),$C189&lt;&gt;"",$D189&lt;12,$D189&gt;=6,COUNTIF(Tables2!$B$153:$B$162,$C189)&gt;0),
Error!$B$54,
IF(AND(_xlpm.baseRow,$E189="Tier 2",COUNTIF(Tables2!$B$166:$B$674,$C189)&gt;0,$D189&lt;24),
Error!$B$54,
IF(AND(_xlpm.baseRow,$E189="Tier 3",ISNA(MATCH($C189,Tables2!$B$153:$B$162,0)),OR($D189&lt;12,$D189&gt;=24)),
Error!$B$9,
IF(AND(_xlpm.baseRow,$E189="Tier 3",COUNTIF(Tables2!$B$153:$B$162,$C189)&gt;0,$D189&lt;12),
Error!$B$46,
IF(AND(_xlpm.baseRow,$E189="Tier 4",OR($D189&lt;6,$D189&gt;=12)),
Error!$B$10,
IF(AND(_xlpm.baseRow,$E189="&lt;6in DSH for Tree Points",OR($D189&gt;=6,$D189="")),
Error!$B$8,
IF(AND(_xlpm.baseRow,$E189="Street Tree for Green Factor",$F189&lt;&gt;"",$F189&lt;&gt;"Retain"),
Error!$B$14,
IF(AND($E189="&lt;6in DSH for Tree Points",$F189="Retain",$H189&lt;&gt;"",ISNA(MATCH($H189,Tables!$B$174:$B$174,0))),
Error!$B$15,
IF(AND($E189="Street Tree for Green Factor",$F189="Retain",$H189&lt;&gt;"",$H189&lt;&gt;"Zoning: Green Factor"),
Error!$B$15,
IF(AND($E189="ECA / Shoreline Tree",$F189="Remove",$H189&lt;&gt;"",ISNA(MATCH($H189,Tables!$B$189:$B$190,0))),
Error!$B$15,
IF(AND($E189="ECA / Shoreline Tree",$F189="Retain",$H189&lt;&gt;"",ISNA(MATCH($H189,Tables!$B$184:$B$186,0))),
Error!$B$15,
IF(AND($E189="Tier 4",$F189="Remove",$H189&lt;&gt;"",ISNA(MATCH($H189,Tables!$B$171,0))),
Error!$B$15,
IF(AND($E189="Tier 4",$F189="Retain",$H189&lt;&gt;"",ISNA(MATCH($H189,Tables!$B$166:$B$168,0))),
Error!$B$15,
IF(AND($E189="Tier 3",$F189="Retain",$H189&lt;&gt;"",ISNA(MATCH($H189,Tables!$B$158:$B$160,0))),
Error!$B$15,
IF(AND($E189="Tier 3",$F189="Remove",$H189&lt;&gt;"",ISNA(MATCH($H189,Tables!$B$163,0))),
Error!$B$15,
IF(AND(OR($E189="Tier 2",$E189="Tier 2 Grove"),$F189="Remove",$H189&lt;&gt;"",ISNA(MATCH($H189,Tables!$B$153:$B$155,0))),
Error!$B$15,
IF(AND(OR($E189="Tier 2",$E189="Tier 2 Grove"),$F189="Retain",$H189&lt;&gt;"",ISNA(MATCH($H189,Tables!$B$147:$B$150,0))),
Error!$B$15,
IF(AND($E189="Tier 1",$F189="Remove",$H189&lt;&gt;"",ISNA(MATCH($H189,Tables!$B$143:$B$144,0))),
Error!$B$15,
IF(AND($E189="Tier 1",$F189="Retain",$H189&lt;&gt;"",ISNA(MATCH($H189,Tables!$B$137:$B$140,0))),
Error!$B$15,
IF(AND($E189&lt;&gt;"Tier 2",$E189&lt;&gt;"Tier 2 Grove",$E189&lt;&gt;"Tier 3",$E189&lt;&gt;"Tier 4",$H189="Zoning: Green Factor",OR($D189="",$D189&lt;6)),
Error!$B$11,
IF(AND(_xlpm.baseRow,$D189&lt;6,$E189="&lt;6in DSH for Tree Points",_xlpm.TreePoints_H=0),
Error!$B$21,
IF(AND(_xlpm.baseRow,$E189&lt;&gt;"",$D189&lt;&gt;"",$F189=""),
Error!$B$4,
IF(AND(_xlpm.baseRow,$F189="Remove",OR($E189="Tier 1",$E189="Tier 2",$E189="Tier 2 Grove"),COUNTBLANK(_xlpm.HRange)&lt;3,_xlpm.uniqueH&gt;=2),
Error!$B$48,
IF(AND(_xlpm.baseRow,$F189="Retain",OR($E189="Tier 1",$E189="Tier 2",$E189="Tier 2 Grove"),COUNTIF(_xlpm.HRange,"Tree Code: Required to Retain Tier 1-2 Tree")=0),
Error!$B$47,
IF(AND(_xlpm.baseRow,$E189&lt;&gt;"",$D189&lt;&gt;"",$F189&lt;&gt;"",COUNTBLANK(_xlpm.HRange)=4),
Error!$B$5,
IF(AND($F189="Remove",$H189&lt;&gt;"",$I189=""),
Error!$B$18,
IF(AND($E189="Tier 4",$F189="Remove",$H189="Tree Protection Code: Tier 3 or Tier 4 Allowance",$H189&lt;&gt;"",ISNA(MATCH($I189,Tables!$B$200,0))),
Error!$B$17,
IF(AND($E189="Tier 3",$F189="Remove",$H189&lt;&gt;"",$H189="Tree Protection Code: Tier 3 or Tier 4 Allowance",OR($I189="",ISNA(MATCH($I189,Tables!$B$193:$B$197,0)))),
Error!$B$17,
IF(AND(OR($E189="Tier 2",$E189="Tier 2 Grove"),$F189="Remove",$H189="Tree Protection Code: Other removal allowance or exemption",$I189&lt;&gt;"",ISNA(MATCH($I189,Tables!$B$215:$B$218,0))),
Error!$B$17,
IF(AND(OR($E189="Tier 2",$E189="Tier 2 Grove"),$F189="Remove",$H189="Tree Protection Code: Development Capacity",$I189&lt;&gt;"",ISNA(MATCH($I189,Tables!$B$193:$B$197,0))),
Error!$B$17,
IF(AND(OR($E189="Tier 2",$E189="Tier 2 Grove"),$F189="Remove",$H189="Tree Protection Code: Necessary for Construction",$I189&lt;&gt;"",ISNA(MATCH($I189,Tables!$B$193:$B$197,0))),
Error!$B$17,
IF(AND($E189="Tier 1",$F189="Remove",$H189="Tree Protection Code: Special Exception",$I189&lt;&gt;"",ISNA(MATCH($I189,Tables!$B$215:$B$218,0))),
Error!$B$17,
IF(AND($E189="Tier 1",$F189="Remove",$H189="Tree Protection Code: Other removal allowance or exemption",$I189&lt;&gt;"",ISNA(MATCH($I189,Tables!$B$215:$B$218,0))),
Error!$B$17,
IF(AND($E189="ECA / Shoreline Tree",$F189="Remove",$H189&lt;&gt;"",OR($H189="Shoreline",$H189="Environmental Critical Area (ECA)"),ISNA(MATCH($I189,Tables!$B$209:$B$212,0))),
Error!$B$17,
IF(AND(_xlpm.baseRow,$F189="Retain",$E189="ECA / Shoreline Tree",_xlpm.ECA_Short=0),
Error!$B$61,
IF(AND($F189="Remove",ISNUMBER(MATCH($E189,{"Tier 1","Tier 2","Tier 3","Tier 4","Tier 2 Grove"},0)),ISNUMBER(MATCH($I189,{"On-site replacement","Off-site replacement"},0)),$J189="",$H189&lt;&gt;""),
Error!$B$19,
IF(AND(_xlpm.baseRow,$E189&lt;&gt;"",$D189&lt;&gt;"",$F189&lt;&gt;"",COUNTBLANK($B189:$C189)&gt;0,COUNTBLANK(_xlpm.HRange)&lt;&gt;4),
Error!$B$22,
IF(AND($H189="Zoning: Tree Points",$K189&lt;&gt;"",ISNA(MATCH($K189,Tables!$B$242:$B$253,0))),
Error!$B$58,
IF(AND($H189="Zoning: Tree Points",$K189="Small",$L189&lt;&gt;"",ISNA(MATCH($L189,Tables!$C$243:$C$244,0))),
Error!$B$59,
IF(AND($H189="Zoning: Tree Points",$K189="Small/Medium",$L189&lt;&gt;"",ISNA(MATCH($L189,Tables!$C$246:$C$247,0))),
Error!$B$59,
IF(AND($H189="Zoning: Tree Points",$K189="Medium/Large",$L189&lt;&gt;"",ISNA(MATCH($L189,Tables!$C$249:$C$250,0))),
Error!$B$59,
IF(AND($H189="Zoning: Tree Points",$K189="Large",$L189&lt;&gt;"",ISNA(MATCH($L189,Tables!$C$252:$C$253,0))),
Error!$B$59,
IF(AND($F189="Retain",$H189="Zoning: Tree Points",$C189&lt;&gt;"",$D189&lt;&gt;"",OR($K189="",$L189="",$M189="")),
Error!$B$20,
""
)))))))))))))))))))))))))))))))))))))))))))))))))))))))),
Error!$B$23))</f>
        <v/>
      </c>
      <c r="O189" s="343" t="str" cm="1">
        <f t="array" aca="1" ref="O189" ca="1">IFERROR(_xlfn.LET(
    _xlpm.txt, $C189,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90" spans="1:15" ht="15" thickBot="1" x14ac:dyDescent="0.35">
      <c r="A190" s="331"/>
      <c r="B190" s="616" t="str">
        <f t="shared" si="179"/>
        <v/>
      </c>
      <c r="C190" s="617" t="str">
        <f t="shared" si="180"/>
        <v/>
      </c>
      <c r="D190" s="618" t="str">
        <f t="shared" si="181"/>
        <v/>
      </c>
      <c r="E190" s="616" t="str">
        <f t="shared" si="182"/>
        <v/>
      </c>
      <c r="F190" s="616" t="str">
        <f t="shared" si="183"/>
        <v/>
      </c>
      <c r="G190" s="619" t="str">
        <f>IF(Tree_Table1[[#This Row],[Tree Status  &amp;]]="Retain", Tables!$B$237, IF(Tree_Table1[[#This Row],[Tree Status  &amp;]]="Remove", Tables!$B$238, ""))</f>
        <v/>
      </c>
      <c r="H190" s="329"/>
      <c r="I190" s="330"/>
      <c r="J190" s="455"/>
      <c r="K190" s="327" t="str">
        <f>IFERROR(
    IF(
        AND($H190="Zoning: Tree Points", NOT(ISNUMBER(SEARCH("sp.", $C190)))),
        VLOOKUP($C190, 'Tree List'!$C$3:$F$601, 4, FALSE),
        ""
    ),
"")</f>
        <v/>
      </c>
      <c r="L190" s="328" t="str" cm="1">
        <f t="array" ref="L190">IFERROR(
IF(
    AND($H190="Zoning: Tree Points", NOT(ISNUMBER(SEARCH("sp.", $C190)))),
    _xlfn.IFS(
        (COUNTIFS('Tree List'!$C$3:$C$601,$C190,'Tree List'!$D$3:$D$601,"Coniferous")
        + COUNTIFS('Tree List'!$C$3:$C$601,$C190,'Tree List'!$D$3:$D$601,"Deciduous Conifer")) &gt; 0,
            _xlfn.IFS($K190="Small",0.5,$K190="Small/Medium",1,$K190="Medium/Large",1.4,$K190="Large",1.8),
        (COUNTIFS('Tree List'!$C$3:$C$601,$C190,'Tree List'!$D$3:$D$601,"Deciduous")
        + COUNTIFS('Tree List'!$C$3:$C$601,$C190,'Tree List'!$D$3:$D$601,"Broadleaf Evergreen")) &gt; 0,
            _xlfn.IFS($K190="Small",0.4,$K190="Small/Medium",0.8,$K190="Medium/Large",1.2,$K190="Large",1.6)
    ),
    ""
),
"")</f>
        <v/>
      </c>
      <c r="M190" s="476" t="str">
        <f t="shared" si="168"/>
        <v/>
      </c>
      <c r="N190" s="347" t="str" cm="1">
        <f t="array" aca="1" ref="N19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IF(AND(_xlpm.baseRow,ISNA(MATCH($C190,'Tree List'!$C$3:$C$601,0)),SUMPRODUCT(--ISNUMBER(SEARCH(Tables2!$C$677:$C$772,$O190)))&gt;0),
Error!$B$57,
IF(AND(_xlpm.hasDM,$F190="Remove",$H190&lt;&gt;"",OR($I190="On-site replacement",$I190="Off-site replacement",$I190="Payment In Lieu")),
Error!$B$56,
IF(AND(_xlpm.hasDM,$F190="Remove",$H190&lt;&gt;"",$I190="Relocation"),
Error!$B$66,
IF(AND(OR(_xlpm.hasCN,_xlpm.hasPH,_xlpm.hasGR),$H190&lt;&gt;"",COUNTIF(Tables!$B$132:$B$134,$H190)&gt;0,$I190="N/A (No replacement required)"),
Error!$B$62,
IF(AND(_xlpm.baseRow,$E190&lt;&gt;"",ISNA(MATCH($E190,Tables!$B$225:$B$232,0))),
Error!$B$2,
IF(AND(_xlpm.baseRow,$F190&lt;&gt;"",ISNA(MATCH($F190,Tables!$B$234:$B$235,0))),
Error!$B$24,
IF(AND(_xlpm.baseRow,_xlpm.ECA_H&gt;0,_xlpm.Shore_H&gt;0),
Error!$B$16,
IF(AND(_xlpm.baseRow,$E190&lt;&gt;"",$D190=""),
Error!$B$3,
IF(AND(_xlpm.baseRow,OR($E190="Tier 3",$E190="Tier 4"),$C190&lt;&gt;"",$D190&gt;=24,COUNTIF(Tables2!$B$166:$B$674,$C190)&gt;0),
Error!$B$44,
IF(AND(_xlpm.baseRow,OR($E190="Tier 3",$E190="Tier 4"),$C190&lt;&gt;"",$D190&lt;&gt;"",COUNTIF(Tables2!$B$73:$B$152,$C190)&gt;0,
$D190&gt;=IFERROR(INDEX(Tables2!$C$73:$C$152,MATCH($C190,Tables2!$B$73:$B$152,0)),-1)),
Error!$B$44,
IF(AND(_xlpm.baseRow,OR($E190="Tier 2",$E190="Tier 2 Grove"),$C190&lt;&gt;"",$D190&gt;=12,COUNTIF(Tables2!$B$153:$B$162,$C190)&gt;0),
Error!$B$45,
IF(AND(_xlpm.baseRow,$E190="Tier 2 Grove",$D190&lt;12),
Error!$B$41,
IF(AND(_xlpm.baseRow,$E190="Tier 2",$D190&lt;5.88),
Error!$B$40,
IF(AND(_xlpm.baseRow,OR($E190="Tier 2",$E190="Tier 2 Grove"),$C190&lt;&gt;"",$D190&lt;12,$D190&gt;=6,COUNTIF(Tables2!$B$153:$B$162,$C190)&gt;0),
Error!$B$54,
IF(AND(_xlpm.baseRow,$E190="Tier 2",COUNTIF(Tables2!$B$166:$B$674,$C190)&gt;0,$D190&lt;24),
Error!$B$54,
IF(AND(_xlpm.baseRow,$E190="Tier 3",ISNA(MATCH($C190,Tables2!$B$153:$B$162,0)),OR($D190&lt;12,$D190&gt;=24)),
Error!$B$9,
IF(AND(_xlpm.baseRow,$E190="Tier 3",COUNTIF(Tables2!$B$153:$B$162,$C190)&gt;0,$D190&lt;12),
Error!$B$46,
IF(AND(_xlpm.baseRow,$E190="Tier 4",OR($D190&lt;6,$D190&gt;=12)),
Error!$B$10,
IF(AND(_xlpm.baseRow,$E190="&lt;6in DSH for Tree Points",OR($D190&gt;=6,$D190="")),
Error!$B$8,
IF(AND(_xlpm.baseRow,$E190="Street Tree for Green Factor",$F190&lt;&gt;"",$F190&lt;&gt;"Retain"),
Error!$B$14,
IF(AND($E190="&lt;6in DSH for Tree Points",$F190="Retain",$H190&lt;&gt;"",ISNA(MATCH($H190,Tables!$B$174:$B$174,0))),
Error!$B$15,
IF(AND($E190="Street Tree for Green Factor",$F190="Retain",$H190&lt;&gt;"",$H190&lt;&gt;"Zoning: Green Factor"),
Error!$B$15,
IF(AND($E190="ECA / Shoreline Tree",$F190="Remove",$H190&lt;&gt;"",ISNA(MATCH($H190,Tables!$B$189:$B$190,0))),
Error!$B$15,
IF(AND($E190="ECA / Shoreline Tree",$F190="Retain",$H190&lt;&gt;"",ISNA(MATCH($H190,Tables!$B$184:$B$186,0))),
Error!$B$15,
IF(AND($E190="Tier 4",$F190="Remove",$H190&lt;&gt;"",ISNA(MATCH($H190,Tables!$B$171,0))),
Error!$B$15,
IF(AND($E190="Tier 4",$F190="Retain",$H190&lt;&gt;"",ISNA(MATCH($H190,Tables!$B$166:$B$168,0))),
Error!$B$15,
IF(AND($E190="Tier 3",$F190="Retain",$H190&lt;&gt;"",ISNA(MATCH($H190,Tables!$B$158:$B$160,0))),
Error!$B$15,
IF(AND($E190="Tier 3",$F190="Remove",$H190&lt;&gt;"",ISNA(MATCH($H190,Tables!$B$163,0))),
Error!$B$15,
IF(AND(OR($E190="Tier 2",$E190="Tier 2 Grove"),$F190="Remove",$H190&lt;&gt;"",ISNA(MATCH($H190,Tables!$B$153:$B$155,0))),
Error!$B$15,
IF(AND(OR($E190="Tier 2",$E190="Tier 2 Grove"),$F190="Retain",$H190&lt;&gt;"",ISNA(MATCH($H190,Tables!$B$147:$B$150,0))),
Error!$B$15,
IF(AND($E190="Tier 1",$F190="Remove",$H190&lt;&gt;"",ISNA(MATCH($H190,Tables!$B$143:$B$144,0))),
Error!$B$15,
IF(AND($E190="Tier 1",$F190="Retain",$H190&lt;&gt;"",ISNA(MATCH($H190,Tables!$B$137:$B$140,0))),
Error!$B$15,
IF(AND($E190&lt;&gt;"Tier 2",$E190&lt;&gt;"Tier 2 Grove",$E190&lt;&gt;"Tier 3",$E190&lt;&gt;"Tier 4",$H190="Zoning: Green Factor",OR($D190="",$D190&lt;6)),
Error!$B$11,
IF(AND(_xlpm.baseRow,$D190&lt;6,$E190="&lt;6in DSH for Tree Points",_xlpm.TreePoints_H=0),
Error!$B$21,
IF(AND(_xlpm.baseRow,$E190&lt;&gt;"",$D190&lt;&gt;"",$F190=""),
Error!$B$4,
IF(AND(_xlpm.baseRow,$F190="Remove",OR($E190="Tier 1",$E190="Tier 2",$E190="Tier 2 Grove"),COUNTBLANK(_xlpm.HRange)&lt;3,_xlpm.uniqueH&gt;=2),
Error!$B$48,
IF(AND(_xlpm.baseRow,$F190="Retain",OR($E190="Tier 1",$E190="Tier 2",$E190="Tier 2 Grove"),COUNTIF(_xlpm.HRange,"Tree Code: Required to Retain Tier 1-2 Tree")=0),
Error!$B$47,
IF(AND(_xlpm.baseRow,$E190&lt;&gt;"",$D190&lt;&gt;"",$F190&lt;&gt;"",COUNTBLANK(_xlpm.HRange)=4),
Error!$B$5,
IF(AND($F190="Remove",$H190&lt;&gt;"",$I190=""),
Error!$B$18,
IF(AND($E190="Tier 4",$F190="Remove",$H190="Tree Protection Code: Tier 3 or Tier 4 Allowance",$H190&lt;&gt;"",ISNA(MATCH($I190,Tables!$B$200,0))),
Error!$B$17,
IF(AND($E190="Tier 3",$F190="Remove",$H190&lt;&gt;"",$H190="Tree Protection Code: Tier 3 or Tier 4 Allowance",OR($I190="",ISNA(MATCH($I190,Tables!$B$193:$B$197,0)))),
Error!$B$17,
IF(AND(OR($E190="Tier 2",$E190="Tier 2 Grove"),$F190="Remove",$H190="Tree Protection Code: Other removal allowance or exemption",$I190&lt;&gt;"",ISNA(MATCH($I190,Tables!$B$215:$B$218,0))),
Error!$B$17,
IF(AND(OR($E190="Tier 2",$E190="Tier 2 Grove"),$F190="Remove",$H190="Tree Protection Code: Development Capacity",$I190&lt;&gt;"",ISNA(MATCH($I190,Tables!$B$193:$B$197,0))),
Error!$B$17,
IF(AND(OR($E190="Tier 2",$E190="Tier 2 Grove"),$F190="Remove",$H190="Tree Protection Code: Necessary for Construction",$I190&lt;&gt;"",ISNA(MATCH($I190,Tables!$B$193:$B$197,0))),
Error!$B$17,
IF(AND($E190="Tier 1",$F190="Remove",$H190="Tree Protection Code: Special Exception",$I190&lt;&gt;"",ISNA(MATCH($I190,Tables!$B$215:$B$218,0))),
Error!$B$17,
IF(AND($E190="Tier 1",$F190="Remove",$H190="Tree Protection Code: Other removal allowance or exemption",$I190&lt;&gt;"",ISNA(MATCH($I190,Tables!$B$215:$B$218,0))),
Error!$B$17,
IF(AND($E190="ECA / Shoreline Tree",$F190="Remove",$H190&lt;&gt;"",OR($H190="Shoreline",$H190="Environmental Critical Area (ECA)"),ISNA(MATCH($I190,Tables!$B$209:$B$212,0))),
Error!$B$17,
IF(AND(_xlpm.baseRow,$F190="Retain",$E190="ECA / Shoreline Tree",_xlpm.ECA_Short=0),
Error!$B$61,
IF(AND($F190="Remove",ISNUMBER(MATCH($E190,{"Tier 1","Tier 2","Tier 3","Tier 4","Tier 2 Grove"},0)),ISNUMBER(MATCH($I190,{"On-site replacement","Off-site replacement"},0)),$J190="",$H190&lt;&gt;""),
Error!$B$19,
IF(AND(_xlpm.baseRow,$E190&lt;&gt;"",$D190&lt;&gt;"",$F190&lt;&gt;"",COUNTBLANK($B190:$C190)&gt;0,COUNTBLANK(_xlpm.HRange)&lt;&gt;4),
Error!$B$22,
IF(AND($H190="Zoning: Tree Points",$K190&lt;&gt;"",ISNA(MATCH($K190,Tables!$B$242:$B$253,0))),
Error!$B$58,
IF(AND($H190="Zoning: Tree Points",$K190="Small",$L190&lt;&gt;"",ISNA(MATCH($L190,Tables!$C$243:$C$244,0))),
Error!$B$59,
IF(AND($H190="Zoning: Tree Points",$K190="Small/Medium",$L190&lt;&gt;"",ISNA(MATCH($L190,Tables!$C$246:$C$247,0))),
Error!$B$59,
IF(AND($H190="Zoning: Tree Points",$K190="Medium/Large",$L190&lt;&gt;"",ISNA(MATCH($L190,Tables!$C$249:$C$250,0))),
Error!$B$59,
IF(AND($H190="Zoning: Tree Points",$K190="Large",$L190&lt;&gt;"",ISNA(MATCH($L190,Tables!$C$252:$C$253,0))),
Error!$B$59,
IF(AND($F190="Retain",$H190="Zoning: Tree Points",$C190&lt;&gt;"",$D190&lt;&gt;"",OR($K190="",$L190="",$M190="")),
Error!$B$20,
""
)))))))))))))))))))))))))))))))))))))))))))))))))))))))),
Error!$B$23))</f>
        <v/>
      </c>
      <c r="O190" s="343" t="str" cm="1">
        <f t="array" aca="1" ref="O190" ca="1">IFERROR(_xlfn.LET(
    _xlpm.txt, $C190,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91" spans="1:15" ht="15" thickBot="1" x14ac:dyDescent="0.35">
      <c r="A191" s="311">
        <v>46</v>
      </c>
      <c r="B191" s="312"/>
      <c r="C191" s="313"/>
      <c r="D191" s="478"/>
      <c r="E191" s="314"/>
      <c r="F191" s="314"/>
      <c r="G191" s="315" t="str">
        <f>IF(Tree_Table1[[#This Row],[Tree Status  &amp;]]="Retain", Tables!$B$237, IF(Tree_Table1[[#This Row],[Tree Status  &amp;]]="Remove", Tables!$B$238, ""))</f>
        <v/>
      </c>
      <c r="H191" s="316"/>
      <c r="I191" s="317"/>
      <c r="J191" s="452"/>
      <c r="K191" s="318" t="str">
        <f>IFERROR(
    IF(
        AND($H191="Zoning: Tree Points", NOT(ISNUMBER(SEARCH("sp.", $C191)))),
        VLOOKUP($C191, 'Tree List'!$C$3:$F$601, 4, FALSE),
        ""
    ),
"")</f>
        <v/>
      </c>
      <c r="L191" s="319" t="str" cm="1">
        <f t="array" ref="L191">IFERROR(
IF(
    AND($H191="Zoning: Tree Points", NOT(ISNUMBER(SEARCH("sp.", $C191)))),
    _xlfn.IFS(
        (COUNTIFS('Tree List'!$C$3:$C$601,$C191,'Tree List'!$D$3:$D$601,"Coniferous")
        + COUNTIFS('Tree List'!$C$3:$C$601,$C191,'Tree List'!$D$3:$D$601,"Deciduous Conifer")) &gt; 0,
            _xlfn.IFS($K191="Small",0.5,$K191="Small/Medium",1,$K191="Medium/Large",1.4,$K191="Large",1.8),
        (COUNTIFS('Tree List'!$C$3:$C$601,$C191,'Tree List'!$D$3:$D$601,"Deciduous")
        + COUNTIFS('Tree List'!$C$3:$C$601,$C191,'Tree List'!$D$3:$D$601,"Broadleaf Evergreen")) &gt; 0,
            _xlfn.IFS($K191="Small",0.4,$K191="Small/Medium",0.8,$K191="Medium/Large",1.2,$K191="Large",1.6)
    ),
    ""
),
"")</f>
        <v/>
      </c>
      <c r="M191" s="474" t="str">
        <f t="shared" si="168"/>
        <v/>
      </c>
      <c r="N191" s="620" t="str" cm="1">
        <f t="array" aca="1" ref="N19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IF(AND(_xlpm.baseRow,ISNA(MATCH($C191,'Tree List'!$C$3:$C$601,0)),SUMPRODUCT(--ISNUMBER(SEARCH(Tables2!$C$677:$C$772,$O191)))&gt;0),
Error!$B$57,
IF(AND(_xlpm.hasDM,$F191="Remove",$H191&lt;&gt;"",OR($I191="On-site replacement",$I191="Off-site replacement",$I191="Payment In Lieu")),
Error!$B$56,
IF(AND(_xlpm.hasDM,$F191="Remove",$H191&lt;&gt;"",$I191="Relocation"),
Error!$B$66,
IF(AND(OR(_xlpm.hasCN,_xlpm.hasPH,_xlpm.hasGR),$H191&lt;&gt;"",COUNTIF(Tables!$B$132:$B$134,$H191)&gt;0,$I191="N/A (No replacement required)"),
Error!$B$62,
IF(AND(_xlpm.baseRow,$E191&lt;&gt;"",ISNA(MATCH($E191,Tables!$B$225:$B$232,0))),
Error!$B$2,
IF(AND(_xlpm.baseRow,$F191&lt;&gt;"",ISNA(MATCH($F191,Tables!$B$234:$B$235,0))),
Error!$B$24,
IF(AND(_xlpm.baseRow,_xlpm.ECA_H&gt;0,_xlpm.Shore_H&gt;0),
Error!$B$16,
IF(AND(_xlpm.baseRow,$E191&lt;&gt;"",$D191=""),
Error!$B$3,
IF(AND(_xlpm.baseRow,OR($E191="Tier 3",$E191="Tier 4"),$C191&lt;&gt;"",$D191&gt;=24,COUNTIF(Tables2!$B$166:$B$674,$C191)&gt;0),
Error!$B$44,
IF(AND(_xlpm.baseRow,OR($E191="Tier 3",$E191="Tier 4"),$C191&lt;&gt;"",$D191&lt;&gt;"",COUNTIF(Tables2!$B$73:$B$152,$C191)&gt;0,
$D191&gt;=IFERROR(INDEX(Tables2!$C$73:$C$152,MATCH($C191,Tables2!$B$73:$B$152,0)),-1)),
Error!$B$44,
IF(AND(_xlpm.baseRow,OR($E191="Tier 2",$E191="Tier 2 Grove"),$C191&lt;&gt;"",$D191&gt;=12,COUNTIF(Tables2!$B$153:$B$162,$C191)&gt;0),
Error!$B$45,
IF(AND(_xlpm.baseRow,$E191="Tier 2 Grove",$D191&lt;12),
Error!$B$41,
IF(AND(_xlpm.baseRow,$E191="Tier 2",$D191&lt;5.88),
Error!$B$40,
IF(AND(_xlpm.baseRow,OR($E191="Tier 2",$E191="Tier 2 Grove"),$C191&lt;&gt;"",$D191&lt;12,$D191&gt;=6,COUNTIF(Tables2!$B$153:$B$162,$C191)&gt;0),
Error!$B$54,
IF(AND(_xlpm.baseRow,$E191="Tier 2",COUNTIF(Tables2!$B$166:$B$674,$C191)&gt;0,$D191&lt;24),
Error!$B$54,
IF(AND(_xlpm.baseRow,$E191="Tier 3",ISNA(MATCH($C191,Tables2!$B$153:$B$162,0)),OR($D191&lt;12,$D191&gt;=24)),
Error!$B$9,
IF(AND(_xlpm.baseRow,$E191="Tier 3",COUNTIF(Tables2!$B$153:$B$162,$C191)&gt;0,$D191&lt;12),
Error!$B$46,
IF(AND(_xlpm.baseRow,$E191="Tier 4",OR($D191&lt;6,$D191&gt;=12)),
Error!$B$10,
IF(AND(_xlpm.baseRow,$E191="&lt;6in DSH for Tree Points",OR($D191&gt;=6,$D191="")),
Error!$B$8,
IF(AND(_xlpm.baseRow,$E191="Street Tree for Green Factor",$F191&lt;&gt;"",$F191&lt;&gt;"Retain"),
Error!$B$14,
IF(AND($E191="&lt;6in DSH for Tree Points",$F191="Retain",$H191&lt;&gt;"",ISNA(MATCH($H191,Tables!$B$174:$B$174,0))),
Error!$B$15,
IF(AND($E191="Street Tree for Green Factor",$F191="Retain",$H191&lt;&gt;"",$H191&lt;&gt;"Zoning: Green Factor"),
Error!$B$15,
IF(AND($E191="ECA / Shoreline Tree",$F191="Remove",$H191&lt;&gt;"",ISNA(MATCH($H191,Tables!$B$189:$B$190,0))),
Error!$B$15,
IF(AND($E191="ECA / Shoreline Tree",$F191="Retain",$H191&lt;&gt;"",ISNA(MATCH($H191,Tables!$B$184:$B$186,0))),
Error!$B$15,
IF(AND($E191="Tier 4",$F191="Remove",$H191&lt;&gt;"",ISNA(MATCH($H191,Tables!$B$171,0))),
Error!$B$15,
IF(AND($E191="Tier 4",$F191="Retain",$H191&lt;&gt;"",ISNA(MATCH($H191,Tables!$B$166:$B$168,0))),
Error!$B$15,
IF(AND($E191="Tier 3",$F191="Retain",$H191&lt;&gt;"",ISNA(MATCH($H191,Tables!$B$158:$B$160,0))),
Error!$B$15,
IF(AND($E191="Tier 3",$F191="Remove",$H191&lt;&gt;"",ISNA(MATCH($H191,Tables!$B$163,0))),
Error!$B$15,
IF(AND(OR($E191="Tier 2",$E191="Tier 2 Grove"),$F191="Remove",$H191&lt;&gt;"",ISNA(MATCH($H191,Tables!$B$153:$B$155,0))),
Error!$B$15,
IF(AND(OR($E191="Tier 2",$E191="Tier 2 Grove"),$F191="Retain",$H191&lt;&gt;"",ISNA(MATCH($H191,Tables!$B$147:$B$150,0))),
Error!$B$15,
IF(AND($E191="Tier 1",$F191="Remove",$H191&lt;&gt;"",ISNA(MATCH($H191,Tables!$B$143:$B$144,0))),
Error!$B$15,
IF(AND($E191="Tier 1",$F191="Retain",$H191&lt;&gt;"",ISNA(MATCH($H191,Tables!$B$137:$B$140,0))),
Error!$B$15,
IF(AND($E191&lt;&gt;"Tier 2",$E191&lt;&gt;"Tier 2 Grove",$E191&lt;&gt;"Tier 3",$E191&lt;&gt;"Tier 4",$H191="Zoning: Green Factor",OR($D191="",$D191&lt;6)),
Error!$B$11,
IF(AND(_xlpm.baseRow,$D191&lt;6,$E191="&lt;6in DSH for Tree Points",_xlpm.TreePoints_H=0),
Error!$B$21,
IF(AND(_xlpm.baseRow,$E191&lt;&gt;"",$D191&lt;&gt;"",$F191=""),
Error!$B$4,
IF(AND(_xlpm.baseRow,$F191="Remove",OR($E191="Tier 1",$E191="Tier 2",$E191="Tier 2 Grove"),COUNTBLANK(_xlpm.HRange)&lt;3,_xlpm.uniqueH&gt;=2),
Error!$B$48,
IF(AND(_xlpm.baseRow,$F191="Retain",OR($E191="Tier 1",$E191="Tier 2",$E191="Tier 2 Grove"),COUNTIF(_xlpm.HRange,"Tree Code: Required to Retain Tier 1-2 Tree")=0),
Error!$B$47,
IF(AND(_xlpm.baseRow,$E191&lt;&gt;"",$D191&lt;&gt;"",$F191&lt;&gt;"",COUNTBLANK(_xlpm.HRange)=4),
Error!$B$5,
IF(AND($F191="Remove",$H191&lt;&gt;"",$I191=""),
Error!$B$18,
IF(AND($E191="Tier 4",$F191="Remove",$H191="Tree Protection Code: Tier 3 or Tier 4 Allowance",$H191&lt;&gt;"",ISNA(MATCH($I191,Tables!$B$200,0))),
Error!$B$17,
IF(AND($E191="Tier 3",$F191="Remove",$H191&lt;&gt;"",$H191="Tree Protection Code: Tier 3 or Tier 4 Allowance",OR($I191="",ISNA(MATCH($I191,Tables!$B$193:$B$197,0)))),
Error!$B$17,
IF(AND(OR($E191="Tier 2",$E191="Tier 2 Grove"),$F191="Remove",$H191="Tree Protection Code: Other removal allowance or exemption",$I191&lt;&gt;"",ISNA(MATCH($I191,Tables!$B$215:$B$218,0))),
Error!$B$17,
IF(AND(OR($E191="Tier 2",$E191="Tier 2 Grove"),$F191="Remove",$H191="Tree Protection Code: Development Capacity",$I191&lt;&gt;"",ISNA(MATCH($I191,Tables!$B$193:$B$197,0))),
Error!$B$17,
IF(AND(OR($E191="Tier 2",$E191="Tier 2 Grove"),$F191="Remove",$H191="Tree Protection Code: Necessary for Construction",$I191&lt;&gt;"",ISNA(MATCH($I191,Tables!$B$193:$B$197,0))),
Error!$B$17,
IF(AND($E191="Tier 1",$F191="Remove",$H191="Tree Protection Code: Special Exception",$I191&lt;&gt;"",ISNA(MATCH($I191,Tables!$B$215:$B$218,0))),
Error!$B$17,
IF(AND($E191="Tier 1",$F191="Remove",$H191="Tree Protection Code: Other removal allowance or exemption",$I191&lt;&gt;"",ISNA(MATCH($I191,Tables!$B$215:$B$218,0))),
Error!$B$17,
IF(AND($E191="ECA / Shoreline Tree",$F191="Remove",$H191&lt;&gt;"",OR($H191="Shoreline",$H191="Environmental Critical Area (ECA)"),ISNA(MATCH($I191,Tables!$B$209:$B$212,0))),
Error!$B$17,
IF(AND(_xlpm.baseRow,$F191="Retain",$E191="ECA / Shoreline Tree",_xlpm.ECA_Short=0),
Error!$B$61,
IF(AND($F191="Remove",ISNUMBER(MATCH($E191,{"Tier 1","Tier 2","Tier 3","Tier 4","Tier 2 Grove"},0)),ISNUMBER(MATCH($I191,{"On-site replacement","Off-site replacement"},0)),$J191="",$H191&lt;&gt;""),
Error!$B$19,
IF(AND(_xlpm.baseRow,$E191&lt;&gt;"",$D191&lt;&gt;"",$F191&lt;&gt;"",COUNTBLANK($B191:$C191)&gt;0,COUNTBLANK(_xlpm.HRange)&lt;&gt;4),
Error!$B$22,
IF(AND($H191="Zoning: Tree Points",$K191&lt;&gt;"",ISNA(MATCH($K191,Tables!$B$242:$B$253,0))),
Error!$B$58,
IF(AND($H191="Zoning: Tree Points",$K191="Small",$L191&lt;&gt;"",ISNA(MATCH($L191,Tables!$C$243:$C$244,0))),
Error!$B$59,
IF(AND($H191="Zoning: Tree Points",$K191="Small/Medium",$L191&lt;&gt;"",ISNA(MATCH($L191,Tables!$C$246:$C$247,0))),
Error!$B$59,
IF(AND($H191="Zoning: Tree Points",$K191="Medium/Large",$L191&lt;&gt;"",ISNA(MATCH($L191,Tables!$C$249:$C$250,0))),
Error!$B$59,
IF(AND($H191="Zoning: Tree Points",$K191="Large",$L191&lt;&gt;"",ISNA(MATCH($L191,Tables!$C$252:$C$253,0))),
Error!$B$59,
IF(AND($F191="Retain",$H191="Zoning: Tree Points",$C191&lt;&gt;"",$D191&lt;&gt;"",OR($K191="",$L191="",$M191="")),
Error!$B$20,
""
)))))))))))))))))))))))))))))))))))))))))))))))))))))))),
Error!$B$23))</f>
        <v/>
      </c>
      <c r="O191" s="343" t="str" cm="1">
        <f t="array" aca="1" ref="O191" ca="1">IFERROR(_xlfn.LET(
    _xlpm.txt, $C191,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92" spans="1:15" x14ac:dyDescent="0.3">
      <c r="A192" s="320"/>
      <c r="B192" s="616" t="str">
        <f t="shared" ref="B192:B194" si="184">IF($B191="", "", $B191)</f>
        <v/>
      </c>
      <c r="C192" s="617" t="str">
        <f t="shared" ref="C192:C194" si="185">IF($C191="", "", $C191)</f>
        <v/>
      </c>
      <c r="D192" s="618" t="str">
        <f t="shared" ref="D192:D194" si="186">IF($D191="", "", $D191)</f>
        <v/>
      </c>
      <c r="E192" s="616" t="str">
        <f t="shared" ref="E192:E194" si="187">IF($E191="", "", $E191)</f>
        <v/>
      </c>
      <c r="F192" s="616" t="str">
        <f t="shared" ref="F192:F194" si="188">IF($F191="", "", $F191)</f>
        <v/>
      </c>
      <c r="G192" s="619" t="str">
        <f>IF(Tree_Table1[[#This Row],[Tree Status  &amp;]]="Retain", Tables!$B$237, IF(Tree_Table1[[#This Row],[Tree Status  &amp;]]="Remove", Tables!$B$238, ""))</f>
        <v/>
      </c>
      <c r="H192" s="321"/>
      <c r="I192" s="322"/>
      <c r="J192" s="453"/>
      <c r="K192" s="323" t="str">
        <f>IFERROR(
    IF(
        AND($H192="Zoning: Tree Points", NOT(ISNUMBER(SEARCH("sp.", $C192)))),
        VLOOKUP($C192, 'Tree List'!$C$3:$F$601, 4, FALSE),
        ""
    ),
"")</f>
        <v/>
      </c>
      <c r="L192" s="324" t="str" cm="1">
        <f t="array" ref="L192">IFERROR(
IF(
    AND($H192="Zoning: Tree Points", NOT(ISNUMBER(SEARCH("sp.", $C192)))),
    _xlfn.IFS(
        (COUNTIFS('Tree List'!$C$3:$C$601,$C192,'Tree List'!$D$3:$D$601,"Coniferous")
        + COUNTIFS('Tree List'!$C$3:$C$601,$C192,'Tree List'!$D$3:$D$601,"Deciduous Conifer")) &gt; 0,
            _xlfn.IFS($K192="Small",0.5,$K192="Small/Medium",1,$K192="Medium/Large",1.4,$K192="Large",1.8),
        (COUNTIFS('Tree List'!$C$3:$C$601,$C192,'Tree List'!$D$3:$D$601,"Deciduous")
        + COUNTIFS('Tree List'!$C$3:$C$601,$C192,'Tree List'!$D$3:$D$601,"Broadleaf Evergreen")) &gt; 0,
            _xlfn.IFS($K192="Small",0.4,$K192="Small/Medium",0.8,$K192="Medium/Large",1.2,$K192="Large",1.6)
    ),
    ""
),
"")</f>
        <v/>
      </c>
      <c r="M192" s="475" t="str">
        <f t="shared" si="168"/>
        <v/>
      </c>
      <c r="N192" s="346" t="str" cm="1">
        <f t="array" aca="1" ref="N19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IF(AND(_xlpm.baseRow,ISNA(MATCH($C192,'Tree List'!$C$3:$C$601,0)),SUMPRODUCT(--ISNUMBER(SEARCH(Tables2!$C$677:$C$772,$O192)))&gt;0),
Error!$B$57,
IF(AND(_xlpm.hasDM,$F192="Remove",$H192&lt;&gt;"",OR($I192="On-site replacement",$I192="Off-site replacement",$I192="Payment In Lieu")),
Error!$B$56,
IF(AND(_xlpm.hasDM,$F192="Remove",$H192&lt;&gt;"",$I192="Relocation"),
Error!$B$66,
IF(AND(OR(_xlpm.hasCN,_xlpm.hasPH,_xlpm.hasGR),$H192&lt;&gt;"",COUNTIF(Tables!$B$132:$B$134,$H192)&gt;0,$I192="N/A (No replacement required)"),
Error!$B$62,
IF(AND(_xlpm.baseRow,$E192&lt;&gt;"",ISNA(MATCH($E192,Tables!$B$225:$B$232,0))),
Error!$B$2,
IF(AND(_xlpm.baseRow,$F192&lt;&gt;"",ISNA(MATCH($F192,Tables!$B$234:$B$235,0))),
Error!$B$24,
IF(AND(_xlpm.baseRow,_xlpm.ECA_H&gt;0,_xlpm.Shore_H&gt;0),
Error!$B$16,
IF(AND(_xlpm.baseRow,$E192&lt;&gt;"",$D192=""),
Error!$B$3,
IF(AND(_xlpm.baseRow,OR($E192="Tier 3",$E192="Tier 4"),$C192&lt;&gt;"",$D192&gt;=24,COUNTIF(Tables2!$B$166:$B$674,$C192)&gt;0),
Error!$B$44,
IF(AND(_xlpm.baseRow,OR($E192="Tier 3",$E192="Tier 4"),$C192&lt;&gt;"",$D192&lt;&gt;"",COUNTIF(Tables2!$B$73:$B$152,$C192)&gt;0,
$D192&gt;=IFERROR(INDEX(Tables2!$C$73:$C$152,MATCH($C192,Tables2!$B$73:$B$152,0)),-1)),
Error!$B$44,
IF(AND(_xlpm.baseRow,OR($E192="Tier 2",$E192="Tier 2 Grove"),$C192&lt;&gt;"",$D192&gt;=12,COUNTIF(Tables2!$B$153:$B$162,$C192)&gt;0),
Error!$B$45,
IF(AND(_xlpm.baseRow,$E192="Tier 2 Grove",$D192&lt;12),
Error!$B$41,
IF(AND(_xlpm.baseRow,$E192="Tier 2",$D192&lt;5.88),
Error!$B$40,
IF(AND(_xlpm.baseRow,OR($E192="Tier 2",$E192="Tier 2 Grove"),$C192&lt;&gt;"",$D192&lt;12,$D192&gt;=6,COUNTIF(Tables2!$B$153:$B$162,$C192)&gt;0),
Error!$B$54,
IF(AND(_xlpm.baseRow,$E192="Tier 2",COUNTIF(Tables2!$B$166:$B$674,$C192)&gt;0,$D192&lt;24),
Error!$B$54,
IF(AND(_xlpm.baseRow,$E192="Tier 3",ISNA(MATCH($C192,Tables2!$B$153:$B$162,0)),OR($D192&lt;12,$D192&gt;=24)),
Error!$B$9,
IF(AND(_xlpm.baseRow,$E192="Tier 3",COUNTIF(Tables2!$B$153:$B$162,$C192)&gt;0,$D192&lt;12),
Error!$B$46,
IF(AND(_xlpm.baseRow,$E192="Tier 4",OR($D192&lt;6,$D192&gt;=12)),
Error!$B$10,
IF(AND(_xlpm.baseRow,$E192="&lt;6in DSH for Tree Points",OR($D192&gt;=6,$D192="")),
Error!$B$8,
IF(AND(_xlpm.baseRow,$E192="Street Tree for Green Factor",$F192&lt;&gt;"",$F192&lt;&gt;"Retain"),
Error!$B$14,
IF(AND($E192="&lt;6in DSH for Tree Points",$F192="Retain",$H192&lt;&gt;"",ISNA(MATCH($H192,Tables!$B$174:$B$174,0))),
Error!$B$15,
IF(AND($E192="Street Tree for Green Factor",$F192="Retain",$H192&lt;&gt;"",$H192&lt;&gt;"Zoning: Green Factor"),
Error!$B$15,
IF(AND($E192="ECA / Shoreline Tree",$F192="Remove",$H192&lt;&gt;"",ISNA(MATCH($H192,Tables!$B$189:$B$190,0))),
Error!$B$15,
IF(AND($E192="ECA / Shoreline Tree",$F192="Retain",$H192&lt;&gt;"",ISNA(MATCH($H192,Tables!$B$184:$B$186,0))),
Error!$B$15,
IF(AND($E192="Tier 4",$F192="Remove",$H192&lt;&gt;"",ISNA(MATCH($H192,Tables!$B$171,0))),
Error!$B$15,
IF(AND($E192="Tier 4",$F192="Retain",$H192&lt;&gt;"",ISNA(MATCH($H192,Tables!$B$166:$B$168,0))),
Error!$B$15,
IF(AND($E192="Tier 3",$F192="Retain",$H192&lt;&gt;"",ISNA(MATCH($H192,Tables!$B$158:$B$160,0))),
Error!$B$15,
IF(AND($E192="Tier 3",$F192="Remove",$H192&lt;&gt;"",ISNA(MATCH($H192,Tables!$B$163,0))),
Error!$B$15,
IF(AND(OR($E192="Tier 2",$E192="Tier 2 Grove"),$F192="Remove",$H192&lt;&gt;"",ISNA(MATCH($H192,Tables!$B$153:$B$155,0))),
Error!$B$15,
IF(AND(OR($E192="Tier 2",$E192="Tier 2 Grove"),$F192="Retain",$H192&lt;&gt;"",ISNA(MATCH($H192,Tables!$B$147:$B$150,0))),
Error!$B$15,
IF(AND($E192="Tier 1",$F192="Remove",$H192&lt;&gt;"",ISNA(MATCH($H192,Tables!$B$143:$B$144,0))),
Error!$B$15,
IF(AND($E192="Tier 1",$F192="Retain",$H192&lt;&gt;"",ISNA(MATCH($H192,Tables!$B$137:$B$140,0))),
Error!$B$15,
IF(AND($E192&lt;&gt;"Tier 2",$E192&lt;&gt;"Tier 2 Grove",$E192&lt;&gt;"Tier 3",$E192&lt;&gt;"Tier 4",$H192="Zoning: Green Factor",OR($D192="",$D192&lt;6)),
Error!$B$11,
IF(AND(_xlpm.baseRow,$D192&lt;6,$E192="&lt;6in DSH for Tree Points",_xlpm.TreePoints_H=0),
Error!$B$21,
IF(AND(_xlpm.baseRow,$E192&lt;&gt;"",$D192&lt;&gt;"",$F192=""),
Error!$B$4,
IF(AND(_xlpm.baseRow,$F192="Remove",OR($E192="Tier 1",$E192="Tier 2",$E192="Tier 2 Grove"),COUNTBLANK(_xlpm.HRange)&lt;3,_xlpm.uniqueH&gt;=2),
Error!$B$48,
IF(AND(_xlpm.baseRow,$F192="Retain",OR($E192="Tier 1",$E192="Tier 2",$E192="Tier 2 Grove"),COUNTIF(_xlpm.HRange,"Tree Code: Required to Retain Tier 1-2 Tree")=0),
Error!$B$47,
IF(AND(_xlpm.baseRow,$E192&lt;&gt;"",$D192&lt;&gt;"",$F192&lt;&gt;"",COUNTBLANK(_xlpm.HRange)=4),
Error!$B$5,
IF(AND($F192="Remove",$H192&lt;&gt;"",$I192=""),
Error!$B$18,
IF(AND($E192="Tier 4",$F192="Remove",$H192="Tree Protection Code: Tier 3 or Tier 4 Allowance",$H192&lt;&gt;"",ISNA(MATCH($I192,Tables!$B$200,0))),
Error!$B$17,
IF(AND($E192="Tier 3",$F192="Remove",$H192&lt;&gt;"",$H192="Tree Protection Code: Tier 3 or Tier 4 Allowance",OR($I192="",ISNA(MATCH($I192,Tables!$B$193:$B$197,0)))),
Error!$B$17,
IF(AND(OR($E192="Tier 2",$E192="Tier 2 Grove"),$F192="Remove",$H192="Tree Protection Code: Other removal allowance or exemption",$I192&lt;&gt;"",ISNA(MATCH($I192,Tables!$B$215:$B$218,0))),
Error!$B$17,
IF(AND(OR($E192="Tier 2",$E192="Tier 2 Grove"),$F192="Remove",$H192="Tree Protection Code: Development Capacity",$I192&lt;&gt;"",ISNA(MATCH($I192,Tables!$B$193:$B$197,0))),
Error!$B$17,
IF(AND(OR($E192="Tier 2",$E192="Tier 2 Grove"),$F192="Remove",$H192="Tree Protection Code: Necessary for Construction",$I192&lt;&gt;"",ISNA(MATCH($I192,Tables!$B$193:$B$197,0))),
Error!$B$17,
IF(AND($E192="Tier 1",$F192="Remove",$H192="Tree Protection Code: Special Exception",$I192&lt;&gt;"",ISNA(MATCH($I192,Tables!$B$215:$B$218,0))),
Error!$B$17,
IF(AND($E192="Tier 1",$F192="Remove",$H192="Tree Protection Code: Other removal allowance or exemption",$I192&lt;&gt;"",ISNA(MATCH($I192,Tables!$B$215:$B$218,0))),
Error!$B$17,
IF(AND($E192="ECA / Shoreline Tree",$F192="Remove",$H192&lt;&gt;"",OR($H192="Shoreline",$H192="Environmental Critical Area (ECA)"),ISNA(MATCH($I192,Tables!$B$209:$B$212,0))),
Error!$B$17,
IF(AND(_xlpm.baseRow,$F192="Retain",$E192="ECA / Shoreline Tree",_xlpm.ECA_Short=0),
Error!$B$61,
IF(AND($F192="Remove",ISNUMBER(MATCH($E192,{"Tier 1","Tier 2","Tier 3","Tier 4","Tier 2 Grove"},0)),ISNUMBER(MATCH($I192,{"On-site replacement","Off-site replacement"},0)),$J192="",$H192&lt;&gt;""),
Error!$B$19,
IF(AND(_xlpm.baseRow,$E192&lt;&gt;"",$D192&lt;&gt;"",$F192&lt;&gt;"",COUNTBLANK($B192:$C192)&gt;0,COUNTBLANK(_xlpm.HRange)&lt;&gt;4),
Error!$B$22,
IF(AND($H192="Zoning: Tree Points",$K192&lt;&gt;"",ISNA(MATCH($K192,Tables!$B$242:$B$253,0))),
Error!$B$58,
IF(AND($H192="Zoning: Tree Points",$K192="Small",$L192&lt;&gt;"",ISNA(MATCH($L192,Tables!$C$243:$C$244,0))),
Error!$B$59,
IF(AND($H192="Zoning: Tree Points",$K192="Small/Medium",$L192&lt;&gt;"",ISNA(MATCH($L192,Tables!$C$246:$C$247,0))),
Error!$B$59,
IF(AND($H192="Zoning: Tree Points",$K192="Medium/Large",$L192&lt;&gt;"",ISNA(MATCH($L192,Tables!$C$249:$C$250,0))),
Error!$B$59,
IF(AND($H192="Zoning: Tree Points",$K192="Large",$L192&lt;&gt;"",ISNA(MATCH($L192,Tables!$C$252:$C$253,0))),
Error!$B$59,
IF(AND($F192="Retain",$H192="Zoning: Tree Points",$C192&lt;&gt;"",$D192&lt;&gt;"",OR($K192="",$L192="",$M192="")),
Error!$B$20,
""
)))))))))))))))))))))))))))))))))))))))))))))))))))))))),
Error!$B$23))</f>
        <v/>
      </c>
      <c r="O192" s="343" t="str" cm="1">
        <f t="array" aca="1" ref="O192" ca="1">IFERROR(_xlfn.LET(
    _xlpm.txt, $C192,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93" spans="1:15" x14ac:dyDescent="0.3">
      <c r="A193" s="320"/>
      <c r="B193" s="616" t="str">
        <f t="shared" si="184"/>
        <v/>
      </c>
      <c r="C193" s="617" t="str">
        <f t="shared" si="185"/>
        <v/>
      </c>
      <c r="D193" s="618" t="str">
        <f t="shared" si="186"/>
        <v/>
      </c>
      <c r="E193" s="616" t="str">
        <f t="shared" si="187"/>
        <v/>
      </c>
      <c r="F193" s="616" t="str">
        <f t="shared" si="188"/>
        <v/>
      </c>
      <c r="G193" s="619" t="str">
        <f>IF(Tree_Table1[[#This Row],[Tree Status  &amp;]]="Retain", Tables!$B$237, IF(Tree_Table1[[#This Row],[Tree Status  &amp;]]="Remove", Tables!$B$238, ""))</f>
        <v/>
      </c>
      <c r="H193" s="321"/>
      <c r="I193" s="322"/>
      <c r="J193" s="453"/>
      <c r="K193" s="323" t="str">
        <f>IFERROR(
    IF(
        AND($H193="Zoning: Tree Points", NOT(ISNUMBER(SEARCH("sp.", $C193)))),
        VLOOKUP($C193, 'Tree List'!$C$3:$F$601, 4, FALSE),
        ""
    ),
"")</f>
        <v/>
      </c>
      <c r="L193" s="324" t="str" cm="1">
        <f t="array" ref="L193">IFERROR(
IF(
    AND($H193="Zoning: Tree Points", NOT(ISNUMBER(SEARCH("sp.", $C193)))),
    _xlfn.IFS(
        (COUNTIFS('Tree List'!$C$3:$C$601,$C193,'Tree List'!$D$3:$D$601,"Coniferous")
        + COUNTIFS('Tree List'!$C$3:$C$601,$C193,'Tree List'!$D$3:$D$601,"Deciduous Conifer")) &gt; 0,
            _xlfn.IFS($K193="Small",0.5,$K193="Small/Medium",1,$K193="Medium/Large",1.4,$K193="Large",1.8),
        (COUNTIFS('Tree List'!$C$3:$C$601,$C193,'Tree List'!$D$3:$D$601,"Deciduous")
        + COUNTIFS('Tree List'!$C$3:$C$601,$C193,'Tree List'!$D$3:$D$601,"Broadleaf Evergreen")) &gt; 0,
            _xlfn.IFS($K193="Small",0.4,$K193="Small/Medium",0.8,$K193="Medium/Large",1.2,$K193="Large",1.6)
    ),
    ""
),
"")</f>
        <v/>
      </c>
      <c r="M193" s="475" t="str">
        <f t="shared" si="168"/>
        <v/>
      </c>
      <c r="N193" s="346" t="str" cm="1">
        <f t="array" aca="1" ref="N19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IF(AND(_xlpm.baseRow,ISNA(MATCH($C193,'Tree List'!$C$3:$C$601,0)),SUMPRODUCT(--ISNUMBER(SEARCH(Tables2!$C$677:$C$772,$O193)))&gt;0),
Error!$B$57,
IF(AND(_xlpm.hasDM,$F193="Remove",$H193&lt;&gt;"",OR($I193="On-site replacement",$I193="Off-site replacement",$I193="Payment In Lieu")),
Error!$B$56,
IF(AND(_xlpm.hasDM,$F193="Remove",$H193&lt;&gt;"",$I193="Relocation"),
Error!$B$66,
IF(AND(OR(_xlpm.hasCN,_xlpm.hasPH,_xlpm.hasGR),$H193&lt;&gt;"",COUNTIF(Tables!$B$132:$B$134,$H193)&gt;0,$I193="N/A (No replacement required)"),
Error!$B$62,
IF(AND(_xlpm.baseRow,$E193&lt;&gt;"",ISNA(MATCH($E193,Tables!$B$225:$B$232,0))),
Error!$B$2,
IF(AND(_xlpm.baseRow,$F193&lt;&gt;"",ISNA(MATCH($F193,Tables!$B$234:$B$235,0))),
Error!$B$24,
IF(AND(_xlpm.baseRow,_xlpm.ECA_H&gt;0,_xlpm.Shore_H&gt;0),
Error!$B$16,
IF(AND(_xlpm.baseRow,$E193&lt;&gt;"",$D193=""),
Error!$B$3,
IF(AND(_xlpm.baseRow,OR($E193="Tier 3",$E193="Tier 4"),$C193&lt;&gt;"",$D193&gt;=24,COUNTIF(Tables2!$B$166:$B$674,$C193)&gt;0),
Error!$B$44,
IF(AND(_xlpm.baseRow,OR($E193="Tier 3",$E193="Tier 4"),$C193&lt;&gt;"",$D193&lt;&gt;"",COUNTIF(Tables2!$B$73:$B$152,$C193)&gt;0,
$D193&gt;=IFERROR(INDEX(Tables2!$C$73:$C$152,MATCH($C193,Tables2!$B$73:$B$152,0)),-1)),
Error!$B$44,
IF(AND(_xlpm.baseRow,OR($E193="Tier 2",$E193="Tier 2 Grove"),$C193&lt;&gt;"",$D193&gt;=12,COUNTIF(Tables2!$B$153:$B$162,$C193)&gt;0),
Error!$B$45,
IF(AND(_xlpm.baseRow,$E193="Tier 2 Grove",$D193&lt;12),
Error!$B$41,
IF(AND(_xlpm.baseRow,$E193="Tier 2",$D193&lt;5.88),
Error!$B$40,
IF(AND(_xlpm.baseRow,OR($E193="Tier 2",$E193="Tier 2 Grove"),$C193&lt;&gt;"",$D193&lt;12,$D193&gt;=6,COUNTIF(Tables2!$B$153:$B$162,$C193)&gt;0),
Error!$B$54,
IF(AND(_xlpm.baseRow,$E193="Tier 2",COUNTIF(Tables2!$B$166:$B$674,$C193)&gt;0,$D193&lt;24),
Error!$B$54,
IF(AND(_xlpm.baseRow,$E193="Tier 3",ISNA(MATCH($C193,Tables2!$B$153:$B$162,0)),OR($D193&lt;12,$D193&gt;=24)),
Error!$B$9,
IF(AND(_xlpm.baseRow,$E193="Tier 3",COUNTIF(Tables2!$B$153:$B$162,$C193)&gt;0,$D193&lt;12),
Error!$B$46,
IF(AND(_xlpm.baseRow,$E193="Tier 4",OR($D193&lt;6,$D193&gt;=12)),
Error!$B$10,
IF(AND(_xlpm.baseRow,$E193="&lt;6in DSH for Tree Points",OR($D193&gt;=6,$D193="")),
Error!$B$8,
IF(AND(_xlpm.baseRow,$E193="Street Tree for Green Factor",$F193&lt;&gt;"",$F193&lt;&gt;"Retain"),
Error!$B$14,
IF(AND($E193="&lt;6in DSH for Tree Points",$F193="Retain",$H193&lt;&gt;"",ISNA(MATCH($H193,Tables!$B$174:$B$174,0))),
Error!$B$15,
IF(AND($E193="Street Tree for Green Factor",$F193="Retain",$H193&lt;&gt;"",$H193&lt;&gt;"Zoning: Green Factor"),
Error!$B$15,
IF(AND($E193="ECA / Shoreline Tree",$F193="Remove",$H193&lt;&gt;"",ISNA(MATCH($H193,Tables!$B$189:$B$190,0))),
Error!$B$15,
IF(AND($E193="ECA / Shoreline Tree",$F193="Retain",$H193&lt;&gt;"",ISNA(MATCH($H193,Tables!$B$184:$B$186,0))),
Error!$B$15,
IF(AND($E193="Tier 4",$F193="Remove",$H193&lt;&gt;"",ISNA(MATCH($H193,Tables!$B$171,0))),
Error!$B$15,
IF(AND($E193="Tier 4",$F193="Retain",$H193&lt;&gt;"",ISNA(MATCH($H193,Tables!$B$166:$B$168,0))),
Error!$B$15,
IF(AND($E193="Tier 3",$F193="Retain",$H193&lt;&gt;"",ISNA(MATCH($H193,Tables!$B$158:$B$160,0))),
Error!$B$15,
IF(AND($E193="Tier 3",$F193="Remove",$H193&lt;&gt;"",ISNA(MATCH($H193,Tables!$B$163,0))),
Error!$B$15,
IF(AND(OR($E193="Tier 2",$E193="Tier 2 Grove"),$F193="Remove",$H193&lt;&gt;"",ISNA(MATCH($H193,Tables!$B$153:$B$155,0))),
Error!$B$15,
IF(AND(OR($E193="Tier 2",$E193="Tier 2 Grove"),$F193="Retain",$H193&lt;&gt;"",ISNA(MATCH($H193,Tables!$B$147:$B$150,0))),
Error!$B$15,
IF(AND($E193="Tier 1",$F193="Remove",$H193&lt;&gt;"",ISNA(MATCH($H193,Tables!$B$143:$B$144,0))),
Error!$B$15,
IF(AND($E193="Tier 1",$F193="Retain",$H193&lt;&gt;"",ISNA(MATCH($H193,Tables!$B$137:$B$140,0))),
Error!$B$15,
IF(AND($E193&lt;&gt;"Tier 2",$E193&lt;&gt;"Tier 2 Grove",$E193&lt;&gt;"Tier 3",$E193&lt;&gt;"Tier 4",$H193="Zoning: Green Factor",OR($D193="",$D193&lt;6)),
Error!$B$11,
IF(AND(_xlpm.baseRow,$D193&lt;6,$E193="&lt;6in DSH for Tree Points",_xlpm.TreePoints_H=0),
Error!$B$21,
IF(AND(_xlpm.baseRow,$E193&lt;&gt;"",$D193&lt;&gt;"",$F193=""),
Error!$B$4,
IF(AND(_xlpm.baseRow,$F193="Remove",OR($E193="Tier 1",$E193="Tier 2",$E193="Tier 2 Grove"),COUNTBLANK(_xlpm.HRange)&lt;3,_xlpm.uniqueH&gt;=2),
Error!$B$48,
IF(AND(_xlpm.baseRow,$F193="Retain",OR($E193="Tier 1",$E193="Tier 2",$E193="Tier 2 Grove"),COUNTIF(_xlpm.HRange,"Tree Code: Required to Retain Tier 1-2 Tree")=0),
Error!$B$47,
IF(AND(_xlpm.baseRow,$E193&lt;&gt;"",$D193&lt;&gt;"",$F193&lt;&gt;"",COUNTBLANK(_xlpm.HRange)=4),
Error!$B$5,
IF(AND($F193="Remove",$H193&lt;&gt;"",$I193=""),
Error!$B$18,
IF(AND($E193="Tier 4",$F193="Remove",$H193="Tree Protection Code: Tier 3 or Tier 4 Allowance",$H193&lt;&gt;"",ISNA(MATCH($I193,Tables!$B$200,0))),
Error!$B$17,
IF(AND($E193="Tier 3",$F193="Remove",$H193&lt;&gt;"",$H193="Tree Protection Code: Tier 3 or Tier 4 Allowance",OR($I193="",ISNA(MATCH($I193,Tables!$B$193:$B$197,0)))),
Error!$B$17,
IF(AND(OR($E193="Tier 2",$E193="Tier 2 Grove"),$F193="Remove",$H193="Tree Protection Code: Other removal allowance or exemption",$I193&lt;&gt;"",ISNA(MATCH($I193,Tables!$B$215:$B$218,0))),
Error!$B$17,
IF(AND(OR($E193="Tier 2",$E193="Tier 2 Grove"),$F193="Remove",$H193="Tree Protection Code: Development Capacity",$I193&lt;&gt;"",ISNA(MATCH($I193,Tables!$B$193:$B$197,0))),
Error!$B$17,
IF(AND(OR($E193="Tier 2",$E193="Tier 2 Grove"),$F193="Remove",$H193="Tree Protection Code: Necessary for Construction",$I193&lt;&gt;"",ISNA(MATCH($I193,Tables!$B$193:$B$197,0))),
Error!$B$17,
IF(AND($E193="Tier 1",$F193="Remove",$H193="Tree Protection Code: Special Exception",$I193&lt;&gt;"",ISNA(MATCH($I193,Tables!$B$215:$B$218,0))),
Error!$B$17,
IF(AND($E193="Tier 1",$F193="Remove",$H193="Tree Protection Code: Other removal allowance or exemption",$I193&lt;&gt;"",ISNA(MATCH($I193,Tables!$B$215:$B$218,0))),
Error!$B$17,
IF(AND($E193="ECA / Shoreline Tree",$F193="Remove",$H193&lt;&gt;"",OR($H193="Shoreline",$H193="Environmental Critical Area (ECA)"),ISNA(MATCH($I193,Tables!$B$209:$B$212,0))),
Error!$B$17,
IF(AND(_xlpm.baseRow,$F193="Retain",$E193="ECA / Shoreline Tree",_xlpm.ECA_Short=0),
Error!$B$61,
IF(AND($F193="Remove",ISNUMBER(MATCH($E193,{"Tier 1","Tier 2","Tier 3","Tier 4","Tier 2 Grove"},0)),ISNUMBER(MATCH($I193,{"On-site replacement","Off-site replacement"},0)),$J193="",$H193&lt;&gt;""),
Error!$B$19,
IF(AND(_xlpm.baseRow,$E193&lt;&gt;"",$D193&lt;&gt;"",$F193&lt;&gt;"",COUNTBLANK($B193:$C193)&gt;0,COUNTBLANK(_xlpm.HRange)&lt;&gt;4),
Error!$B$22,
IF(AND($H193="Zoning: Tree Points",$K193&lt;&gt;"",ISNA(MATCH($K193,Tables!$B$242:$B$253,0))),
Error!$B$58,
IF(AND($H193="Zoning: Tree Points",$K193="Small",$L193&lt;&gt;"",ISNA(MATCH($L193,Tables!$C$243:$C$244,0))),
Error!$B$59,
IF(AND($H193="Zoning: Tree Points",$K193="Small/Medium",$L193&lt;&gt;"",ISNA(MATCH($L193,Tables!$C$246:$C$247,0))),
Error!$B$59,
IF(AND($H193="Zoning: Tree Points",$K193="Medium/Large",$L193&lt;&gt;"",ISNA(MATCH($L193,Tables!$C$249:$C$250,0))),
Error!$B$59,
IF(AND($H193="Zoning: Tree Points",$K193="Large",$L193&lt;&gt;"",ISNA(MATCH($L193,Tables!$C$252:$C$253,0))),
Error!$B$59,
IF(AND($F193="Retain",$H193="Zoning: Tree Points",$C193&lt;&gt;"",$D193&lt;&gt;"",OR($K193="",$L193="",$M193="")),
Error!$B$20,
""
)))))))))))))))))))))))))))))))))))))))))))))))))))))))),
Error!$B$23))</f>
        <v/>
      </c>
      <c r="O193" s="343" t="str" cm="1">
        <f t="array" aca="1" ref="O193" ca="1">IFERROR(_xlfn.LET(
    _xlpm.txt, $C193,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94" spans="1:15" ht="15" thickBot="1" x14ac:dyDescent="0.35">
      <c r="A194" s="331"/>
      <c r="B194" s="616" t="str">
        <f t="shared" si="184"/>
        <v/>
      </c>
      <c r="C194" s="617" t="str">
        <f t="shared" si="185"/>
        <v/>
      </c>
      <c r="D194" s="618" t="str">
        <f t="shared" si="186"/>
        <v/>
      </c>
      <c r="E194" s="616" t="str">
        <f t="shared" si="187"/>
        <v/>
      </c>
      <c r="F194" s="616" t="str">
        <f t="shared" si="188"/>
        <v/>
      </c>
      <c r="G194" s="619" t="str">
        <f>IF(Tree_Table1[[#This Row],[Tree Status  &amp;]]="Retain", Tables!$B$237, IF(Tree_Table1[[#This Row],[Tree Status  &amp;]]="Remove", Tables!$B$238, ""))</f>
        <v/>
      </c>
      <c r="H194" s="329"/>
      <c r="I194" s="330"/>
      <c r="J194" s="455"/>
      <c r="K194" s="327" t="str">
        <f>IFERROR(
    IF(
        AND($H194="Zoning: Tree Points", NOT(ISNUMBER(SEARCH("sp.", $C194)))),
        VLOOKUP($C194, 'Tree List'!$C$3:$F$601, 4, FALSE),
        ""
    ),
"")</f>
        <v/>
      </c>
      <c r="L194" s="328" t="str" cm="1">
        <f t="array" ref="L194">IFERROR(
IF(
    AND($H194="Zoning: Tree Points", NOT(ISNUMBER(SEARCH("sp.", $C194)))),
    _xlfn.IFS(
        (COUNTIFS('Tree List'!$C$3:$C$601,$C194,'Tree List'!$D$3:$D$601,"Coniferous")
        + COUNTIFS('Tree List'!$C$3:$C$601,$C194,'Tree List'!$D$3:$D$601,"Deciduous Conifer")) &gt; 0,
            _xlfn.IFS($K194="Small",0.5,$K194="Small/Medium",1,$K194="Medium/Large",1.4,$K194="Large",1.8),
        (COUNTIFS('Tree List'!$C$3:$C$601,$C194,'Tree List'!$D$3:$D$601,"Deciduous")
        + COUNTIFS('Tree List'!$C$3:$C$601,$C194,'Tree List'!$D$3:$D$601,"Broadleaf Evergreen")) &gt; 0,
            _xlfn.IFS($K194="Small",0.4,$K194="Small/Medium",0.8,$K194="Medium/Large",1.2,$K194="Large",1.6)
    ),
    ""
),
"")</f>
        <v/>
      </c>
      <c r="M194" s="476" t="str">
        <f t="shared" si="168"/>
        <v/>
      </c>
      <c r="N194" s="347" t="str" cm="1">
        <f t="array" aca="1" ref="N19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IF(AND(_xlpm.baseRow,ISNA(MATCH($C194,'Tree List'!$C$3:$C$601,0)),SUMPRODUCT(--ISNUMBER(SEARCH(Tables2!$C$677:$C$772,$O194)))&gt;0),
Error!$B$57,
IF(AND(_xlpm.hasDM,$F194="Remove",$H194&lt;&gt;"",OR($I194="On-site replacement",$I194="Off-site replacement",$I194="Payment In Lieu")),
Error!$B$56,
IF(AND(_xlpm.hasDM,$F194="Remove",$H194&lt;&gt;"",$I194="Relocation"),
Error!$B$66,
IF(AND(OR(_xlpm.hasCN,_xlpm.hasPH,_xlpm.hasGR),$H194&lt;&gt;"",COUNTIF(Tables!$B$132:$B$134,$H194)&gt;0,$I194="N/A (No replacement required)"),
Error!$B$62,
IF(AND(_xlpm.baseRow,$E194&lt;&gt;"",ISNA(MATCH($E194,Tables!$B$225:$B$232,0))),
Error!$B$2,
IF(AND(_xlpm.baseRow,$F194&lt;&gt;"",ISNA(MATCH($F194,Tables!$B$234:$B$235,0))),
Error!$B$24,
IF(AND(_xlpm.baseRow,_xlpm.ECA_H&gt;0,_xlpm.Shore_H&gt;0),
Error!$B$16,
IF(AND(_xlpm.baseRow,$E194&lt;&gt;"",$D194=""),
Error!$B$3,
IF(AND(_xlpm.baseRow,OR($E194="Tier 3",$E194="Tier 4"),$C194&lt;&gt;"",$D194&gt;=24,COUNTIF(Tables2!$B$166:$B$674,$C194)&gt;0),
Error!$B$44,
IF(AND(_xlpm.baseRow,OR($E194="Tier 3",$E194="Tier 4"),$C194&lt;&gt;"",$D194&lt;&gt;"",COUNTIF(Tables2!$B$73:$B$152,$C194)&gt;0,
$D194&gt;=IFERROR(INDEX(Tables2!$C$73:$C$152,MATCH($C194,Tables2!$B$73:$B$152,0)),-1)),
Error!$B$44,
IF(AND(_xlpm.baseRow,OR($E194="Tier 2",$E194="Tier 2 Grove"),$C194&lt;&gt;"",$D194&gt;=12,COUNTIF(Tables2!$B$153:$B$162,$C194)&gt;0),
Error!$B$45,
IF(AND(_xlpm.baseRow,$E194="Tier 2 Grove",$D194&lt;12),
Error!$B$41,
IF(AND(_xlpm.baseRow,$E194="Tier 2",$D194&lt;5.88),
Error!$B$40,
IF(AND(_xlpm.baseRow,OR($E194="Tier 2",$E194="Tier 2 Grove"),$C194&lt;&gt;"",$D194&lt;12,$D194&gt;=6,COUNTIF(Tables2!$B$153:$B$162,$C194)&gt;0),
Error!$B$54,
IF(AND(_xlpm.baseRow,$E194="Tier 2",COUNTIF(Tables2!$B$166:$B$674,$C194)&gt;0,$D194&lt;24),
Error!$B$54,
IF(AND(_xlpm.baseRow,$E194="Tier 3",ISNA(MATCH($C194,Tables2!$B$153:$B$162,0)),OR($D194&lt;12,$D194&gt;=24)),
Error!$B$9,
IF(AND(_xlpm.baseRow,$E194="Tier 3",COUNTIF(Tables2!$B$153:$B$162,$C194)&gt;0,$D194&lt;12),
Error!$B$46,
IF(AND(_xlpm.baseRow,$E194="Tier 4",OR($D194&lt;6,$D194&gt;=12)),
Error!$B$10,
IF(AND(_xlpm.baseRow,$E194="&lt;6in DSH for Tree Points",OR($D194&gt;=6,$D194="")),
Error!$B$8,
IF(AND(_xlpm.baseRow,$E194="Street Tree for Green Factor",$F194&lt;&gt;"",$F194&lt;&gt;"Retain"),
Error!$B$14,
IF(AND($E194="&lt;6in DSH for Tree Points",$F194="Retain",$H194&lt;&gt;"",ISNA(MATCH($H194,Tables!$B$174:$B$174,0))),
Error!$B$15,
IF(AND($E194="Street Tree for Green Factor",$F194="Retain",$H194&lt;&gt;"",$H194&lt;&gt;"Zoning: Green Factor"),
Error!$B$15,
IF(AND($E194="ECA / Shoreline Tree",$F194="Remove",$H194&lt;&gt;"",ISNA(MATCH($H194,Tables!$B$189:$B$190,0))),
Error!$B$15,
IF(AND($E194="ECA / Shoreline Tree",$F194="Retain",$H194&lt;&gt;"",ISNA(MATCH($H194,Tables!$B$184:$B$186,0))),
Error!$B$15,
IF(AND($E194="Tier 4",$F194="Remove",$H194&lt;&gt;"",ISNA(MATCH($H194,Tables!$B$171,0))),
Error!$B$15,
IF(AND($E194="Tier 4",$F194="Retain",$H194&lt;&gt;"",ISNA(MATCH($H194,Tables!$B$166:$B$168,0))),
Error!$B$15,
IF(AND($E194="Tier 3",$F194="Retain",$H194&lt;&gt;"",ISNA(MATCH($H194,Tables!$B$158:$B$160,0))),
Error!$B$15,
IF(AND($E194="Tier 3",$F194="Remove",$H194&lt;&gt;"",ISNA(MATCH($H194,Tables!$B$163,0))),
Error!$B$15,
IF(AND(OR($E194="Tier 2",$E194="Tier 2 Grove"),$F194="Remove",$H194&lt;&gt;"",ISNA(MATCH($H194,Tables!$B$153:$B$155,0))),
Error!$B$15,
IF(AND(OR($E194="Tier 2",$E194="Tier 2 Grove"),$F194="Retain",$H194&lt;&gt;"",ISNA(MATCH($H194,Tables!$B$147:$B$150,0))),
Error!$B$15,
IF(AND($E194="Tier 1",$F194="Remove",$H194&lt;&gt;"",ISNA(MATCH($H194,Tables!$B$143:$B$144,0))),
Error!$B$15,
IF(AND($E194="Tier 1",$F194="Retain",$H194&lt;&gt;"",ISNA(MATCH($H194,Tables!$B$137:$B$140,0))),
Error!$B$15,
IF(AND($E194&lt;&gt;"Tier 2",$E194&lt;&gt;"Tier 2 Grove",$E194&lt;&gt;"Tier 3",$E194&lt;&gt;"Tier 4",$H194="Zoning: Green Factor",OR($D194="",$D194&lt;6)),
Error!$B$11,
IF(AND(_xlpm.baseRow,$D194&lt;6,$E194="&lt;6in DSH for Tree Points",_xlpm.TreePoints_H=0),
Error!$B$21,
IF(AND(_xlpm.baseRow,$E194&lt;&gt;"",$D194&lt;&gt;"",$F194=""),
Error!$B$4,
IF(AND(_xlpm.baseRow,$F194="Remove",OR($E194="Tier 1",$E194="Tier 2",$E194="Tier 2 Grove"),COUNTBLANK(_xlpm.HRange)&lt;3,_xlpm.uniqueH&gt;=2),
Error!$B$48,
IF(AND(_xlpm.baseRow,$F194="Retain",OR($E194="Tier 1",$E194="Tier 2",$E194="Tier 2 Grove"),COUNTIF(_xlpm.HRange,"Tree Code: Required to Retain Tier 1-2 Tree")=0),
Error!$B$47,
IF(AND(_xlpm.baseRow,$E194&lt;&gt;"",$D194&lt;&gt;"",$F194&lt;&gt;"",COUNTBLANK(_xlpm.HRange)=4),
Error!$B$5,
IF(AND($F194="Remove",$H194&lt;&gt;"",$I194=""),
Error!$B$18,
IF(AND($E194="Tier 4",$F194="Remove",$H194="Tree Protection Code: Tier 3 or Tier 4 Allowance",$H194&lt;&gt;"",ISNA(MATCH($I194,Tables!$B$200,0))),
Error!$B$17,
IF(AND($E194="Tier 3",$F194="Remove",$H194&lt;&gt;"",$H194="Tree Protection Code: Tier 3 or Tier 4 Allowance",OR($I194="",ISNA(MATCH($I194,Tables!$B$193:$B$197,0)))),
Error!$B$17,
IF(AND(OR($E194="Tier 2",$E194="Tier 2 Grove"),$F194="Remove",$H194="Tree Protection Code: Other removal allowance or exemption",$I194&lt;&gt;"",ISNA(MATCH($I194,Tables!$B$215:$B$218,0))),
Error!$B$17,
IF(AND(OR($E194="Tier 2",$E194="Tier 2 Grove"),$F194="Remove",$H194="Tree Protection Code: Development Capacity",$I194&lt;&gt;"",ISNA(MATCH($I194,Tables!$B$193:$B$197,0))),
Error!$B$17,
IF(AND(OR($E194="Tier 2",$E194="Tier 2 Grove"),$F194="Remove",$H194="Tree Protection Code: Necessary for Construction",$I194&lt;&gt;"",ISNA(MATCH($I194,Tables!$B$193:$B$197,0))),
Error!$B$17,
IF(AND($E194="Tier 1",$F194="Remove",$H194="Tree Protection Code: Special Exception",$I194&lt;&gt;"",ISNA(MATCH($I194,Tables!$B$215:$B$218,0))),
Error!$B$17,
IF(AND($E194="Tier 1",$F194="Remove",$H194="Tree Protection Code: Other removal allowance or exemption",$I194&lt;&gt;"",ISNA(MATCH($I194,Tables!$B$215:$B$218,0))),
Error!$B$17,
IF(AND($E194="ECA / Shoreline Tree",$F194="Remove",$H194&lt;&gt;"",OR($H194="Shoreline",$H194="Environmental Critical Area (ECA)"),ISNA(MATCH($I194,Tables!$B$209:$B$212,0))),
Error!$B$17,
IF(AND(_xlpm.baseRow,$F194="Retain",$E194="ECA / Shoreline Tree",_xlpm.ECA_Short=0),
Error!$B$61,
IF(AND($F194="Remove",ISNUMBER(MATCH($E194,{"Tier 1","Tier 2","Tier 3","Tier 4","Tier 2 Grove"},0)),ISNUMBER(MATCH($I194,{"On-site replacement","Off-site replacement"},0)),$J194="",$H194&lt;&gt;""),
Error!$B$19,
IF(AND(_xlpm.baseRow,$E194&lt;&gt;"",$D194&lt;&gt;"",$F194&lt;&gt;"",COUNTBLANK($B194:$C194)&gt;0,COUNTBLANK(_xlpm.HRange)&lt;&gt;4),
Error!$B$22,
IF(AND($H194="Zoning: Tree Points",$K194&lt;&gt;"",ISNA(MATCH($K194,Tables!$B$242:$B$253,0))),
Error!$B$58,
IF(AND($H194="Zoning: Tree Points",$K194="Small",$L194&lt;&gt;"",ISNA(MATCH($L194,Tables!$C$243:$C$244,0))),
Error!$B$59,
IF(AND($H194="Zoning: Tree Points",$K194="Small/Medium",$L194&lt;&gt;"",ISNA(MATCH($L194,Tables!$C$246:$C$247,0))),
Error!$B$59,
IF(AND($H194="Zoning: Tree Points",$K194="Medium/Large",$L194&lt;&gt;"",ISNA(MATCH($L194,Tables!$C$249:$C$250,0))),
Error!$B$59,
IF(AND($H194="Zoning: Tree Points",$K194="Large",$L194&lt;&gt;"",ISNA(MATCH($L194,Tables!$C$252:$C$253,0))),
Error!$B$59,
IF(AND($F194="Retain",$H194="Zoning: Tree Points",$C194&lt;&gt;"",$D194&lt;&gt;"",OR($K194="",$L194="",$M194="")),
Error!$B$20,
""
)))))))))))))))))))))))))))))))))))))))))))))))))))))))),
Error!$B$23))</f>
        <v/>
      </c>
      <c r="O194" s="343" t="str" cm="1">
        <f t="array" aca="1" ref="O194" ca="1">IFERROR(_xlfn.LET(
    _xlpm.txt, $C194,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95" spans="1:15" ht="15" thickBot="1" x14ac:dyDescent="0.35">
      <c r="A195" s="311">
        <v>47</v>
      </c>
      <c r="B195" s="312"/>
      <c r="C195" s="313"/>
      <c r="D195" s="478"/>
      <c r="E195" s="314"/>
      <c r="F195" s="314"/>
      <c r="G195" s="315" t="str">
        <f>IF(Tree_Table1[[#This Row],[Tree Status  &amp;]]="Retain", Tables!$B$237, IF(Tree_Table1[[#This Row],[Tree Status  &amp;]]="Remove", Tables!$B$238, ""))</f>
        <v/>
      </c>
      <c r="H195" s="316"/>
      <c r="I195" s="317"/>
      <c r="J195" s="452"/>
      <c r="K195" s="318" t="str">
        <f>IFERROR(
    IF(
        AND($H195="Zoning: Tree Points", NOT(ISNUMBER(SEARCH("sp.", $C195)))),
        VLOOKUP($C195, 'Tree List'!$C$3:$F$601, 4, FALSE),
        ""
    ),
"")</f>
        <v/>
      </c>
      <c r="L195" s="319" t="str" cm="1">
        <f t="array" ref="L195">IFERROR(
IF(
    AND($H195="Zoning: Tree Points", NOT(ISNUMBER(SEARCH("sp.", $C195)))),
    _xlfn.IFS(
        (COUNTIFS('Tree List'!$C$3:$C$601,$C195,'Tree List'!$D$3:$D$601,"Coniferous")
        + COUNTIFS('Tree List'!$C$3:$C$601,$C195,'Tree List'!$D$3:$D$601,"Deciduous Conifer")) &gt; 0,
            _xlfn.IFS($K195="Small",0.5,$K195="Small/Medium",1,$K195="Medium/Large",1.4,$K195="Large",1.8),
        (COUNTIFS('Tree List'!$C$3:$C$601,$C195,'Tree List'!$D$3:$D$601,"Deciduous")
        + COUNTIFS('Tree List'!$C$3:$C$601,$C195,'Tree List'!$D$3:$D$601,"Broadleaf Evergreen")) &gt; 0,
            _xlfn.IFS($K195="Small",0.4,$K195="Small/Medium",0.8,$K195="Medium/Large",1.2,$K195="Large",1.6)
    ),
    ""
),
"")</f>
        <v/>
      </c>
      <c r="M195" s="474" t="str">
        <f t="shared" si="168"/>
        <v/>
      </c>
      <c r="N195" s="620" t="str" cm="1">
        <f t="array" aca="1" ref="N19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IF(AND(_xlpm.baseRow,ISNA(MATCH($C195,'Tree List'!$C$3:$C$601,0)),SUMPRODUCT(--ISNUMBER(SEARCH(Tables2!$C$677:$C$772,$O195)))&gt;0),
Error!$B$57,
IF(AND(_xlpm.hasDM,$F195="Remove",$H195&lt;&gt;"",OR($I195="On-site replacement",$I195="Off-site replacement",$I195="Payment In Lieu")),
Error!$B$56,
IF(AND(_xlpm.hasDM,$F195="Remove",$H195&lt;&gt;"",$I195="Relocation"),
Error!$B$66,
IF(AND(OR(_xlpm.hasCN,_xlpm.hasPH,_xlpm.hasGR),$H195&lt;&gt;"",COUNTIF(Tables!$B$132:$B$134,$H195)&gt;0,$I195="N/A (No replacement required)"),
Error!$B$62,
IF(AND(_xlpm.baseRow,$E195&lt;&gt;"",ISNA(MATCH($E195,Tables!$B$225:$B$232,0))),
Error!$B$2,
IF(AND(_xlpm.baseRow,$F195&lt;&gt;"",ISNA(MATCH($F195,Tables!$B$234:$B$235,0))),
Error!$B$24,
IF(AND(_xlpm.baseRow,_xlpm.ECA_H&gt;0,_xlpm.Shore_H&gt;0),
Error!$B$16,
IF(AND(_xlpm.baseRow,$E195&lt;&gt;"",$D195=""),
Error!$B$3,
IF(AND(_xlpm.baseRow,OR($E195="Tier 3",$E195="Tier 4"),$C195&lt;&gt;"",$D195&gt;=24,COUNTIF(Tables2!$B$166:$B$674,$C195)&gt;0),
Error!$B$44,
IF(AND(_xlpm.baseRow,OR($E195="Tier 3",$E195="Tier 4"),$C195&lt;&gt;"",$D195&lt;&gt;"",COUNTIF(Tables2!$B$73:$B$152,$C195)&gt;0,
$D195&gt;=IFERROR(INDEX(Tables2!$C$73:$C$152,MATCH($C195,Tables2!$B$73:$B$152,0)),-1)),
Error!$B$44,
IF(AND(_xlpm.baseRow,OR($E195="Tier 2",$E195="Tier 2 Grove"),$C195&lt;&gt;"",$D195&gt;=12,COUNTIF(Tables2!$B$153:$B$162,$C195)&gt;0),
Error!$B$45,
IF(AND(_xlpm.baseRow,$E195="Tier 2 Grove",$D195&lt;12),
Error!$B$41,
IF(AND(_xlpm.baseRow,$E195="Tier 2",$D195&lt;5.88),
Error!$B$40,
IF(AND(_xlpm.baseRow,OR($E195="Tier 2",$E195="Tier 2 Grove"),$C195&lt;&gt;"",$D195&lt;12,$D195&gt;=6,COUNTIF(Tables2!$B$153:$B$162,$C195)&gt;0),
Error!$B$54,
IF(AND(_xlpm.baseRow,$E195="Tier 2",COUNTIF(Tables2!$B$166:$B$674,$C195)&gt;0,$D195&lt;24),
Error!$B$54,
IF(AND(_xlpm.baseRow,$E195="Tier 3",ISNA(MATCH($C195,Tables2!$B$153:$B$162,0)),OR($D195&lt;12,$D195&gt;=24)),
Error!$B$9,
IF(AND(_xlpm.baseRow,$E195="Tier 3",COUNTIF(Tables2!$B$153:$B$162,$C195)&gt;0,$D195&lt;12),
Error!$B$46,
IF(AND(_xlpm.baseRow,$E195="Tier 4",OR($D195&lt;6,$D195&gt;=12)),
Error!$B$10,
IF(AND(_xlpm.baseRow,$E195="&lt;6in DSH for Tree Points",OR($D195&gt;=6,$D195="")),
Error!$B$8,
IF(AND(_xlpm.baseRow,$E195="Street Tree for Green Factor",$F195&lt;&gt;"",$F195&lt;&gt;"Retain"),
Error!$B$14,
IF(AND($E195="&lt;6in DSH for Tree Points",$F195="Retain",$H195&lt;&gt;"",ISNA(MATCH($H195,Tables!$B$174:$B$174,0))),
Error!$B$15,
IF(AND($E195="Street Tree for Green Factor",$F195="Retain",$H195&lt;&gt;"",$H195&lt;&gt;"Zoning: Green Factor"),
Error!$B$15,
IF(AND($E195="ECA / Shoreline Tree",$F195="Remove",$H195&lt;&gt;"",ISNA(MATCH($H195,Tables!$B$189:$B$190,0))),
Error!$B$15,
IF(AND($E195="ECA / Shoreline Tree",$F195="Retain",$H195&lt;&gt;"",ISNA(MATCH($H195,Tables!$B$184:$B$186,0))),
Error!$B$15,
IF(AND($E195="Tier 4",$F195="Remove",$H195&lt;&gt;"",ISNA(MATCH($H195,Tables!$B$171,0))),
Error!$B$15,
IF(AND($E195="Tier 4",$F195="Retain",$H195&lt;&gt;"",ISNA(MATCH($H195,Tables!$B$166:$B$168,0))),
Error!$B$15,
IF(AND($E195="Tier 3",$F195="Retain",$H195&lt;&gt;"",ISNA(MATCH($H195,Tables!$B$158:$B$160,0))),
Error!$B$15,
IF(AND($E195="Tier 3",$F195="Remove",$H195&lt;&gt;"",ISNA(MATCH($H195,Tables!$B$163,0))),
Error!$B$15,
IF(AND(OR($E195="Tier 2",$E195="Tier 2 Grove"),$F195="Remove",$H195&lt;&gt;"",ISNA(MATCH($H195,Tables!$B$153:$B$155,0))),
Error!$B$15,
IF(AND(OR($E195="Tier 2",$E195="Tier 2 Grove"),$F195="Retain",$H195&lt;&gt;"",ISNA(MATCH($H195,Tables!$B$147:$B$150,0))),
Error!$B$15,
IF(AND($E195="Tier 1",$F195="Remove",$H195&lt;&gt;"",ISNA(MATCH($H195,Tables!$B$143:$B$144,0))),
Error!$B$15,
IF(AND($E195="Tier 1",$F195="Retain",$H195&lt;&gt;"",ISNA(MATCH($H195,Tables!$B$137:$B$140,0))),
Error!$B$15,
IF(AND($E195&lt;&gt;"Tier 2",$E195&lt;&gt;"Tier 2 Grove",$E195&lt;&gt;"Tier 3",$E195&lt;&gt;"Tier 4",$H195="Zoning: Green Factor",OR($D195="",$D195&lt;6)),
Error!$B$11,
IF(AND(_xlpm.baseRow,$D195&lt;6,$E195="&lt;6in DSH for Tree Points",_xlpm.TreePoints_H=0),
Error!$B$21,
IF(AND(_xlpm.baseRow,$E195&lt;&gt;"",$D195&lt;&gt;"",$F195=""),
Error!$B$4,
IF(AND(_xlpm.baseRow,$F195="Remove",OR($E195="Tier 1",$E195="Tier 2",$E195="Tier 2 Grove"),COUNTBLANK(_xlpm.HRange)&lt;3,_xlpm.uniqueH&gt;=2),
Error!$B$48,
IF(AND(_xlpm.baseRow,$F195="Retain",OR($E195="Tier 1",$E195="Tier 2",$E195="Tier 2 Grove"),COUNTIF(_xlpm.HRange,"Tree Code: Required to Retain Tier 1-2 Tree")=0),
Error!$B$47,
IF(AND(_xlpm.baseRow,$E195&lt;&gt;"",$D195&lt;&gt;"",$F195&lt;&gt;"",COUNTBLANK(_xlpm.HRange)=4),
Error!$B$5,
IF(AND($F195="Remove",$H195&lt;&gt;"",$I195=""),
Error!$B$18,
IF(AND($E195="Tier 4",$F195="Remove",$H195="Tree Protection Code: Tier 3 or Tier 4 Allowance",$H195&lt;&gt;"",ISNA(MATCH($I195,Tables!$B$200,0))),
Error!$B$17,
IF(AND($E195="Tier 3",$F195="Remove",$H195&lt;&gt;"",$H195="Tree Protection Code: Tier 3 or Tier 4 Allowance",OR($I195="",ISNA(MATCH($I195,Tables!$B$193:$B$197,0)))),
Error!$B$17,
IF(AND(OR($E195="Tier 2",$E195="Tier 2 Grove"),$F195="Remove",$H195="Tree Protection Code: Other removal allowance or exemption",$I195&lt;&gt;"",ISNA(MATCH($I195,Tables!$B$215:$B$218,0))),
Error!$B$17,
IF(AND(OR($E195="Tier 2",$E195="Tier 2 Grove"),$F195="Remove",$H195="Tree Protection Code: Development Capacity",$I195&lt;&gt;"",ISNA(MATCH($I195,Tables!$B$193:$B$197,0))),
Error!$B$17,
IF(AND(OR($E195="Tier 2",$E195="Tier 2 Grove"),$F195="Remove",$H195="Tree Protection Code: Necessary for Construction",$I195&lt;&gt;"",ISNA(MATCH($I195,Tables!$B$193:$B$197,0))),
Error!$B$17,
IF(AND($E195="Tier 1",$F195="Remove",$H195="Tree Protection Code: Special Exception",$I195&lt;&gt;"",ISNA(MATCH($I195,Tables!$B$215:$B$218,0))),
Error!$B$17,
IF(AND($E195="Tier 1",$F195="Remove",$H195="Tree Protection Code: Other removal allowance or exemption",$I195&lt;&gt;"",ISNA(MATCH($I195,Tables!$B$215:$B$218,0))),
Error!$B$17,
IF(AND($E195="ECA / Shoreline Tree",$F195="Remove",$H195&lt;&gt;"",OR($H195="Shoreline",$H195="Environmental Critical Area (ECA)"),ISNA(MATCH($I195,Tables!$B$209:$B$212,0))),
Error!$B$17,
IF(AND(_xlpm.baseRow,$F195="Retain",$E195="ECA / Shoreline Tree",_xlpm.ECA_Short=0),
Error!$B$61,
IF(AND($F195="Remove",ISNUMBER(MATCH($E195,{"Tier 1","Tier 2","Tier 3","Tier 4","Tier 2 Grove"},0)),ISNUMBER(MATCH($I195,{"On-site replacement","Off-site replacement"},0)),$J195="",$H195&lt;&gt;""),
Error!$B$19,
IF(AND(_xlpm.baseRow,$E195&lt;&gt;"",$D195&lt;&gt;"",$F195&lt;&gt;"",COUNTBLANK($B195:$C195)&gt;0,COUNTBLANK(_xlpm.HRange)&lt;&gt;4),
Error!$B$22,
IF(AND($H195="Zoning: Tree Points",$K195&lt;&gt;"",ISNA(MATCH($K195,Tables!$B$242:$B$253,0))),
Error!$B$58,
IF(AND($H195="Zoning: Tree Points",$K195="Small",$L195&lt;&gt;"",ISNA(MATCH($L195,Tables!$C$243:$C$244,0))),
Error!$B$59,
IF(AND($H195="Zoning: Tree Points",$K195="Small/Medium",$L195&lt;&gt;"",ISNA(MATCH($L195,Tables!$C$246:$C$247,0))),
Error!$B$59,
IF(AND($H195="Zoning: Tree Points",$K195="Medium/Large",$L195&lt;&gt;"",ISNA(MATCH($L195,Tables!$C$249:$C$250,0))),
Error!$B$59,
IF(AND($H195="Zoning: Tree Points",$K195="Large",$L195&lt;&gt;"",ISNA(MATCH($L195,Tables!$C$252:$C$253,0))),
Error!$B$59,
IF(AND($F195="Retain",$H195="Zoning: Tree Points",$C195&lt;&gt;"",$D195&lt;&gt;"",OR($K195="",$L195="",$M195="")),
Error!$B$20,
""
)))))))))))))))))))))))))))))))))))))))))))))))))))))))),
Error!$B$23))</f>
        <v/>
      </c>
      <c r="O195" s="343" t="str" cm="1">
        <f t="array" aca="1" ref="O195" ca="1">IFERROR(_xlfn.LET(
    _xlpm.txt, $C195,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96" spans="1:15" x14ac:dyDescent="0.3">
      <c r="A196" s="320"/>
      <c r="B196" s="616" t="str">
        <f t="shared" ref="B196:B198" si="189">IF($B195="", "", $B195)</f>
        <v/>
      </c>
      <c r="C196" s="617" t="str">
        <f t="shared" ref="C196:C198" si="190">IF($C195="", "", $C195)</f>
        <v/>
      </c>
      <c r="D196" s="618" t="str">
        <f t="shared" ref="D196:D198" si="191">IF($D195="", "", $D195)</f>
        <v/>
      </c>
      <c r="E196" s="616" t="str">
        <f t="shared" ref="E196:E198" si="192">IF($E195="", "", $E195)</f>
        <v/>
      </c>
      <c r="F196" s="616" t="str">
        <f t="shared" ref="F196:F198" si="193">IF($F195="", "", $F195)</f>
        <v/>
      </c>
      <c r="G196" s="619" t="str">
        <f>IF(Tree_Table1[[#This Row],[Tree Status  &amp;]]="Retain", Tables!$B$237, IF(Tree_Table1[[#This Row],[Tree Status  &amp;]]="Remove", Tables!$B$238, ""))</f>
        <v/>
      </c>
      <c r="H196" s="321"/>
      <c r="I196" s="322"/>
      <c r="J196" s="453"/>
      <c r="K196" s="323" t="str">
        <f>IFERROR(
    IF(
        AND($H196="Zoning: Tree Points", NOT(ISNUMBER(SEARCH("sp.", $C196)))),
        VLOOKUP($C196, 'Tree List'!$C$3:$F$601, 4, FALSE),
        ""
    ),
"")</f>
        <v/>
      </c>
      <c r="L196" s="324" t="str" cm="1">
        <f t="array" ref="L196">IFERROR(
IF(
    AND($H196="Zoning: Tree Points", NOT(ISNUMBER(SEARCH("sp.", $C196)))),
    _xlfn.IFS(
        (COUNTIFS('Tree List'!$C$3:$C$601,$C196,'Tree List'!$D$3:$D$601,"Coniferous")
        + COUNTIFS('Tree List'!$C$3:$C$601,$C196,'Tree List'!$D$3:$D$601,"Deciduous Conifer")) &gt; 0,
            _xlfn.IFS($K196="Small",0.5,$K196="Small/Medium",1,$K196="Medium/Large",1.4,$K196="Large",1.8),
        (COUNTIFS('Tree List'!$C$3:$C$601,$C196,'Tree List'!$D$3:$D$601,"Deciduous")
        + COUNTIFS('Tree List'!$C$3:$C$601,$C196,'Tree List'!$D$3:$D$601,"Broadleaf Evergreen")) &gt; 0,
            _xlfn.IFS($K196="Small",0.4,$K196="Small/Medium",0.8,$K196="Medium/Large",1.2,$K196="Large",1.6)
    ),
    ""
),
"")</f>
        <v/>
      </c>
      <c r="M196" s="475" t="str">
        <f t="shared" si="168"/>
        <v/>
      </c>
      <c r="N196" s="346" t="str" cm="1">
        <f t="array" aca="1" ref="N19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IF(AND(_xlpm.baseRow,ISNA(MATCH($C196,'Tree List'!$C$3:$C$601,0)),SUMPRODUCT(--ISNUMBER(SEARCH(Tables2!$C$677:$C$772,$O196)))&gt;0),
Error!$B$57,
IF(AND(_xlpm.hasDM,$F196="Remove",$H196&lt;&gt;"",OR($I196="On-site replacement",$I196="Off-site replacement",$I196="Payment In Lieu")),
Error!$B$56,
IF(AND(_xlpm.hasDM,$F196="Remove",$H196&lt;&gt;"",$I196="Relocation"),
Error!$B$66,
IF(AND(OR(_xlpm.hasCN,_xlpm.hasPH,_xlpm.hasGR),$H196&lt;&gt;"",COUNTIF(Tables!$B$132:$B$134,$H196)&gt;0,$I196="N/A (No replacement required)"),
Error!$B$62,
IF(AND(_xlpm.baseRow,$E196&lt;&gt;"",ISNA(MATCH($E196,Tables!$B$225:$B$232,0))),
Error!$B$2,
IF(AND(_xlpm.baseRow,$F196&lt;&gt;"",ISNA(MATCH($F196,Tables!$B$234:$B$235,0))),
Error!$B$24,
IF(AND(_xlpm.baseRow,_xlpm.ECA_H&gt;0,_xlpm.Shore_H&gt;0),
Error!$B$16,
IF(AND(_xlpm.baseRow,$E196&lt;&gt;"",$D196=""),
Error!$B$3,
IF(AND(_xlpm.baseRow,OR($E196="Tier 3",$E196="Tier 4"),$C196&lt;&gt;"",$D196&gt;=24,COUNTIF(Tables2!$B$166:$B$674,$C196)&gt;0),
Error!$B$44,
IF(AND(_xlpm.baseRow,OR($E196="Tier 3",$E196="Tier 4"),$C196&lt;&gt;"",$D196&lt;&gt;"",COUNTIF(Tables2!$B$73:$B$152,$C196)&gt;0,
$D196&gt;=IFERROR(INDEX(Tables2!$C$73:$C$152,MATCH($C196,Tables2!$B$73:$B$152,0)),-1)),
Error!$B$44,
IF(AND(_xlpm.baseRow,OR($E196="Tier 2",$E196="Tier 2 Grove"),$C196&lt;&gt;"",$D196&gt;=12,COUNTIF(Tables2!$B$153:$B$162,$C196)&gt;0),
Error!$B$45,
IF(AND(_xlpm.baseRow,$E196="Tier 2 Grove",$D196&lt;12),
Error!$B$41,
IF(AND(_xlpm.baseRow,$E196="Tier 2",$D196&lt;5.88),
Error!$B$40,
IF(AND(_xlpm.baseRow,OR($E196="Tier 2",$E196="Tier 2 Grove"),$C196&lt;&gt;"",$D196&lt;12,$D196&gt;=6,COUNTIF(Tables2!$B$153:$B$162,$C196)&gt;0),
Error!$B$54,
IF(AND(_xlpm.baseRow,$E196="Tier 2",COUNTIF(Tables2!$B$166:$B$674,$C196)&gt;0,$D196&lt;24),
Error!$B$54,
IF(AND(_xlpm.baseRow,$E196="Tier 3",ISNA(MATCH($C196,Tables2!$B$153:$B$162,0)),OR($D196&lt;12,$D196&gt;=24)),
Error!$B$9,
IF(AND(_xlpm.baseRow,$E196="Tier 3",COUNTIF(Tables2!$B$153:$B$162,$C196)&gt;0,$D196&lt;12),
Error!$B$46,
IF(AND(_xlpm.baseRow,$E196="Tier 4",OR($D196&lt;6,$D196&gt;=12)),
Error!$B$10,
IF(AND(_xlpm.baseRow,$E196="&lt;6in DSH for Tree Points",OR($D196&gt;=6,$D196="")),
Error!$B$8,
IF(AND(_xlpm.baseRow,$E196="Street Tree for Green Factor",$F196&lt;&gt;"",$F196&lt;&gt;"Retain"),
Error!$B$14,
IF(AND($E196="&lt;6in DSH for Tree Points",$F196="Retain",$H196&lt;&gt;"",ISNA(MATCH($H196,Tables!$B$174:$B$174,0))),
Error!$B$15,
IF(AND($E196="Street Tree for Green Factor",$F196="Retain",$H196&lt;&gt;"",$H196&lt;&gt;"Zoning: Green Factor"),
Error!$B$15,
IF(AND($E196="ECA / Shoreline Tree",$F196="Remove",$H196&lt;&gt;"",ISNA(MATCH($H196,Tables!$B$189:$B$190,0))),
Error!$B$15,
IF(AND($E196="ECA / Shoreline Tree",$F196="Retain",$H196&lt;&gt;"",ISNA(MATCH($H196,Tables!$B$184:$B$186,0))),
Error!$B$15,
IF(AND($E196="Tier 4",$F196="Remove",$H196&lt;&gt;"",ISNA(MATCH($H196,Tables!$B$171,0))),
Error!$B$15,
IF(AND($E196="Tier 4",$F196="Retain",$H196&lt;&gt;"",ISNA(MATCH($H196,Tables!$B$166:$B$168,0))),
Error!$B$15,
IF(AND($E196="Tier 3",$F196="Retain",$H196&lt;&gt;"",ISNA(MATCH($H196,Tables!$B$158:$B$160,0))),
Error!$B$15,
IF(AND($E196="Tier 3",$F196="Remove",$H196&lt;&gt;"",ISNA(MATCH($H196,Tables!$B$163,0))),
Error!$B$15,
IF(AND(OR($E196="Tier 2",$E196="Tier 2 Grove"),$F196="Remove",$H196&lt;&gt;"",ISNA(MATCH($H196,Tables!$B$153:$B$155,0))),
Error!$B$15,
IF(AND(OR($E196="Tier 2",$E196="Tier 2 Grove"),$F196="Retain",$H196&lt;&gt;"",ISNA(MATCH($H196,Tables!$B$147:$B$150,0))),
Error!$B$15,
IF(AND($E196="Tier 1",$F196="Remove",$H196&lt;&gt;"",ISNA(MATCH($H196,Tables!$B$143:$B$144,0))),
Error!$B$15,
IF(AND($E196="Tier 1",$F196="Retain",$H196&lt;&gt;"",ISNA(MATCH($H196,Tables!$B$137:$B$140,0))),
Error!$B$15,
IF(AND($E196&lt;&gt;"Tier 2",$E196&lt;&gt;"Tier 2 Grove",$E196&lt;&gt;"Tier 3",$E196&lt;&gt;"Tier 4",$H196="Zoning: Green Factor",OR($D196="",$D196&lt;6)),
Error!$B$11,
IF(AND(_xlpm.baseRow,$D196&lt;6,$E196="&lt;6in DSH for Tree Points",_xlpm.TreePoints_H=0),
Error!$B$21,
IF(AND(_xlpm.baseRow,$E196&lt;&gt;"",$D196&lt;&gt;"",$F196=""),
Error!$B$4,
IF(AND(_xlpm.baseRow,$F196="Remove",OR($E196="Tier 1",$E196="Tier 2",$E196="Tier 2 Grove"),COUNTBLANK(_xlpm.HRange)&lt;3,_xlpm.uniqueH&gt;=2),
Error!$B$48,
IF(AND(_xlpm.baseRow,$F196="Retain",OR($E196="Tier 1",$E196="Tier 2",$E196="Tier 2 Grove"),COUNTIF(_xlpm.HRange,"Tree Code: Required to Retain Tier 1-2 Tree")=0),
Error!$B$47,
IF(AND(_xlpm.baseRow,$E196&lt;&gt;"",$D196&lt;&gt;"",$F196&lt;&gt;"",COUNTBLANK(_xlpm.HRange)=4),
Error!$B$5,
IF(AND($F196="Remove",$H196&lt;&gt;"",$I196=""),
Error!$B$18,
IF(AND($E196="Tier 4",$F196="Remove",$H196="Tree Protection Code: Tier 3 or Tier 4 Allowance",$H196&lt;&gt;"",ISNA(MATCH($I196,Tables!$B$200,0))),
Error!$B$17,
IF(AND($E196="Tier 3",$F196="Remove",$H196&lt;&gt;"",$H196="Tree Protection Code: Tier 3 or Tier 4 Allowance",OR($I196="",ISNA(MATCH($I196,Tables!$B$193:$B$197,0)))),
Error!$B$17,
IF(AND(OR($E196="Tier 2",$E196="Tier 2 Grove"),$F196="Remove",$H196="Tree Protection Code: Other removal allowance or exemption",$I196&lt;&gt;"",ISNA(MATCH($I196,Tables!$B$215:$B$218,0))),
Error!$B$17,
IF(AND(OR($E196="Tier 2",$E196="Tier 2 Grove"),$F196="Remove",$H196="Tree Protection Code: Development Capacity",$I196&lt;&gt;"",ISNA(MATCH($I196,Tables!$B$193:$B$197,0))),
Error!$B$17,
IF(AND(OR($E196="Tier 2",$E196="Tier 2 Grove"),$F196="Remove",$H196="Tree Protection Code: Necessary for Construction",$I196&lt;&gt;"",ISNA(MATCH($I196,Tables!$B$193:$B$197,0))),
Error!$B$17,
IF(AND($E196="Tier 1",$F196="Remove",$H196="Tree Protection Code: Special Exception",$I196&lt;&gt;"",ISNA(MATCH($I196,Tables!$B$215:$B$218,0))),
Error!$B$17,
IF(AND($E196="Tier 1",$F196="Remove",$H196="Tree Protection Code: Other removal allowance or exemption",$I196&lt;&gt;"",ISNA(MATCH($I196,Tables!$B$215:$B$218,0))),
Error!$B$17,
IF(AND($E196="ECA / Shoreline Tree",$F196="Remove",$H196&lt;&gt;"",OR($H196="Shoreline",$H196="Environmental Critical Area (ECA)"),ISNA(MATCH($I196,Tables!$B$209:$B$212,0))),
Error!$B$17,
IF(AND(_xlpm.baseRow,$F196="Retain",$E196="ECA / Shoreline Tree",_xlpm.ECA_Short=0),
Error!$B$61,
IF(AND($F196="Remove",ISNUMBER(MATCH($E196,{"Tier 1","Tier 2","Tier 3","Tier 4","Tier 2 Grove"},0)),ISNUMBER(MATCH($I196,{"On-site replacement","Off-site replacement"},0)),$J196="",$H196&lt;&gt;""),
Error!$B$19,
IF(AND(_xlpm.baseRow,$E196&lt;&gt;"",$D196&lt;&gt;"",$F196&lt;&gt;"",COUNTBLANK($B196:$C196)&gt;0,COUNTBLANK(_xlpm.HRange)&lt;&gt;4),
Error!$B$22,
IF(AND($H196="Zoning: Tree Points",$K196&lt;&gt;"",ISNA(MATCH($K196,Tables!$B$242:$B$253,0))),
Error!$B$58,
IF(AND($H196="Zoning: Tree Points",$K196="Small",$L196&lt;&gt;"",ISNA(MATCH($L196,Tables!$C$243:$C$244,0))),
Error!$B$59,
IF(AND($H196="Zoning: Tree Points",$K196="Small/Medium",$L196&lt;&gt;"",ISNA(MATCH($L196,Tables!$C$246:$C$247,0))),
Error!$B$59,
IF(AND($H196="Zoning: Tree Points",$K196="Medium/Large",$L196&lt;&gt;"",ISNA(MATCH($L196,Tables!$C$249:$C$250,0))),
Error!$B$59,
IF(AND($H196="Zoning: Tree Points",$K196="Large",$L196&lt;&gt;"",ISNA(MATCH($L196,Tables!$C$252:$C$253,0))),
Error!$B$59,
IF(AND($F196="Retain",$H196="Zoning: Tree Points",$C196&lt;&gt;"",$D196&lt;&gt;"",OR($K196="",$L196="",$M196="")),
Error!$B$20,
""
)))))))))))))))))))))))))))))))))))))))))))))))))))))))),
Error!$B$23))</f>
        <v/>
      </c>
      <c r="O196" s="343" t="str" cm="1">
        <f t="array" aca="1" ref="O196" ca="1">IFERROR(_xlfn.LET(
    _xlpm.txt, $C196,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97" spans="1:15" x14ac:dyDescent="0.3">
      <c r="A197" s="320"/>
      <c r="B197" s="616" t="str">
        <f t="shared" si="189"/>
        <v/>
      </c>
      <c r="C197" s="617" t="str">
        <f t="shared" si="190"/>
        <v/>
      </c>
      <c r="D197" s="618" t="str">
        <f t="shared" si="191"/>
        <v/>
      </c>
      <c r="E197" s="616" t="str">
        <f t="shared" si="192"/>
        <v/>
      </c>
      <c r="F197" s="616" t="str">
        <f t="shared" si="193"/>
        <v/>
      </c>
      <c r="G197" s="619" t="str">
        <f>IF(Tree_Table1[[#This Row],[Tree Status  &amp;]]="Retain", Tables!$B$237, IF(Tree_Table1[[#This Row],[Tree Status  &amp;]]="Remove", Tables!$B$238, ""))</f>
        <v/>
      </c>
      <c r="H197" s="321"/>
      <c r="I197" s="322"/>
      <c r="J197" s="453"/>
      <c r="K197" s="323" t="str">
        <f>IFERROR(
    IF(
        AND($H197="Zoning: Tree Points", NOT(ISNUMBER(SEARCH("sp.", $C197)))),
        VLOOKUP($C197, 'Tree List'!$C$3:$F$601, 4, FALSE),
        ""
    ),
"")</f>
        <v/>
      </c>
      <c r="L197" s="324" t="str" cm="1">
        <f t="array" ref="L197">IFERROR(
IF(
    AND($H197="Zoning: Tree Points", NOT(ISNUMBER(SEARCH("sp.", $C197)))),
    _xlfn.IFS(
        (COUNTIFS('Tree List'!$C$3:$C$601,$C197,'Tree List'!$D$3:$D$601,"Coniferous")
        + COUNTIFS('Tree List'!$C$3:$C$601,$C197,'Tree List'!$D$3:$D$601,"Deciduous Conifer")) &gt; 0,
            _xlfn.IFS($K197="Small",0.5,$K197="Small/Medium",1,$K197="Medium/Large",1.4,$K197="Large",1.8),
        (COUNTIFS('Tree List'!$C$3:$C$601,$C197,'Tree List'!$D$3:$D$601,"Deciduous")
        + COUNTIFS('Tree List'!$C$3:$C$601,$C197,'Tree List'!$D$3:$D$601,"Broadleaf Evergreen")) &gt; 0,
            _xlfn.IFS($K197="Small",0.4,$K197="Small/Medium",0.8,$K197="Medium/Large",1.2,$K197="Large",1.6)
    ),
    ""
),
"")</f>
        <v/>
      </c>
      <c r="M197" s="475" t="str">
        <f t="shared" si="168"/>
        <v/>
      </c>
      <c r="N197" s="346" t="str" cm="1">
        <f t="array" aca="1" ref="N19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IF(AND(_xlpm.baseRow,ISNA(MATCH($C197,'Tree List'!$C$3:$C$601,0)),SUMPRODUCT(--ISNUMBER(SEARCH(Tables2!$C$677:$C$772,$O197)))&gt;0),
Error!$B$57,
IF(AND(_xlpm.hasDM,$F197="Remove",$H197&lt;&gt;"",OR($I197="On-site replacement",$I197="Off-site replacement",$I197="Payment In Lieu")),
Error!$B$56,
IF(AND(_xlpm.hasDM,$F197="Remove",$H197&lt;&gt;"",$I197="Relocation"),
Error!$B$66,
IF(AND(OR(_xlpm.hasCN,_xlpm.hasPH,_xlpm.hasGR),$H197&lt;&gt;"",COUNTIF(Tables!$B$132:$B$134,$H197)&gt;0,$I197="N/A (No replacement required)"),
Error!$B$62,
IF(AND(_xlpm.baseRow,$E197&lt;&gt;"",ISNA(MATCH($E197,Tables!$B$225:$B$232,0))),
Error!$B$2,
IF(AND(_xlpm.baseRow,$F197&lt;&gt;"",ISNA(MATCH($F197,Tables!$B$234:$B$235,0))),
Error!$B$24,
IF(AND(_xlpm.baseRow,_xlpm.ECA_H&gt;0,_xlpm.Shore_H&gt;0),
Error!$B$16,
IF(AND(_xlpm.baseRow,$E197&lt;&gt;"",$D197=""),
Error!$B$3,
IF(AND(_xlpm.baseRow,OR($E197="Tier 3",$E197="Tier 4"),$C197&lt;&gt;"",$D197&gt;=24,COUNTIF(Tables2!$B$166:$B$674,$C197)&gt;0),
Error!$B$44,
IF(AND(_xlpm.baseRow,OR($E197="Tier 3",$E197="Tier 4"),$C197&lt;&gt;"",$D197&lt;&gt;"",COUNTIF(Tables2!$B$73:$B$152,$C197)&gt;0,
$D197&gt;=IFERROR(INDEX(Tables2!$C$73:$C$152,MATCH($C197,Tables2!$B$73:$B$152,0)),-1)),
Error!$B$44,
IF(AND(_xlpm.baseRow,OR($E197="Tier 2",$E197="Tier 2 Grove"),$C197&lt;&gt;"",$D197&gt;=12,COUNTIF(Tables2!$B$153:$B$162,$C197)&gt;0),
Error!$B$45,
IF(AND(_xlpm.baseRow,$E197="Tier 2 Grove",$D197&lt;12),
Error!$B$41,
IF(AND(_xlpm.baseRow,$E197="Tier 2",$D197&lt;5.88),
Error!$B$40,
IF(AND(_xlpm.baseRow,OR($E197="Tier 2",$E197="Tier 2 Grove"),$C197&lt;&gt;"",$D197&lt;12,$D197&gt;=6,COUNTIF(Tables2!$B$153:$B$162,$C197)&gt;0),
Error!$B$54,
IF(AND(_xlpm.baseRow,$E197="Tier 2",COUNTIF(Tables2!$B$166:$B$674,$C197)&gt;0,$D197&lt;24),
Error!$B$54,
IF(AND(_xlpm.baseRow,$E197="Tier 3",ISNA(MATCH($C197,Tables2!$B$153:$B$162,0)),OR($D197&lt;12,$D197&gt;=24)),
Error!$B$9,
IF(AND(_xlpm.baseRow,$E197="Tier 3",COUNTIF(Tables2!$B$153:$B$162,$C197)&gt;0,$D197&lt;12),
Error!$B$46,
IF(AND(_xlpm.baseRow,$E197="Tier 4",OR($D197&lt;6,$D197&gt;=12)),
Error!$B$10,
IF(AND(_xlpm.baseRow,$E197="&lt;6in DSH for Tree Points",OR($D197&gt;=6,$D197="")),
Error!$B$8,
IF(AND(_xlpm.baseRow,$E197="Street Tree for Green Factor",$F197&lt;&gt;"",$F197&lt;&gt;"Retain"),
Error!$B$14,
IF(AND($E197="&lt;6in DSH for Tree Points",$F197="Retain",$H197&lt;&gt;"",ISNA(MATCH($H197,Tables!$B$174:$B$174,0))),
Error!$B$15,
IF(AND($E197="Street Tree for Green Factor",$F197="Retain",$H197&lt;&gt;"",$H197&lt;&gt;"Zoning: Green Factor"),
Error!$B$15,
IF(AND($E197="ECA / Shoreline Tree",$F197="Remove",$H197&lt;&gt;"",ISNA(MATCH($H197,Tables!$B$189:$B$190,0))),
Error!$B$15,
IF(AND($E197="ECA / Shoreline Tree",$F197="Retain",$H197&lt;&gt;"",ISNA(MATCH($H197,Tables!$B$184:$B$186,0))),
Error!$B$15,
IF(AND($E197="Tier 4",$F197="Remove",$H197&lt;&gt;"",ISNA(MATCH($H197,Tables!$B$171,0))),
Error!$B$15,
IF(AND($E197="Tier 4",$F197="Retain",$H197&lt;&gt;"",ISNA(MATCH($H197,Tables!$B$166:$B$168,0))),
Error!$B$15,
IF(AND($E197="Tier 3",$F197="Retain",$H197&lt;&gt;"",ISNA(MATCH($H197,Tables!$B$158:$B$160,0))),
Error!$B$15,
IF(AND($E197="Tier 3",$F197="Remove",$H197&lt;&gt;"",ISNA(MATCH($H197,Tables!$B$163,0))),
Error!$B$15,
IF(AND(OR($E197="Tier 2",$E197="Tier 2 Grove"),$F197="Remove",$H197&lt;&gt;"",ISNA(MATCH($H197,Tables!$B$153:$B$155,0))),
Error!$B$15,
IF(AND(OR($E197="Tier 2",$E197="Tier 2 Grove"),$F197="Retain",$H197&lt;&gt;"",ISNA(MATCH($H197,Tables!$B$147:$B$150,0))),
Error!$B$15,
IF(AND($E197="Tier 1",$F197="Remove",$H197&lt;&gt;"",ISNA(MATCH($H197,Tables!$B$143:$B$144,0))),
Error!$B$15,
IF(AND($E197="Tier 1",$F197="Retain",$H197&lt;&gt;"",ISNA(MATCH($H197,Tables!$B$137:$B$140,0))),
Error!$B$15,
IF(AND($E197&lt;&gt;"Tier 2",$E197&lt;&gt;"Tier 2 Grove",$E197&lt;&gt;"Tier 3",$E197&lt;&gt;"Tier 4",$H197="Zoning: Green Factor",OR($D197="",$D197&lt;6)),
Error!$B$11,
IF(AND(_xlpm.baseRow,$D197&lt;6,$E197="&lt;6in DSH for Tree Points",_xlpm.TreePoints_H=0),
Error!$B$21,
IF(AND(_xlpm.baseRow,$E197&lt;&gt;"",$D197&lt;&gt;"",$F197=""),
Error!$B$4,
IF(AND(_xlpm.baseRow,$F197="Remove",OR($E197="Tier 1",$E197="Tier 2",$E197="Tier 2 Grove"),COUNTBLANK(_xlpm.HRange)&lt;3,_xlpm.uniqueH&gt;=2),
Error!$B$48,
IF(AND(_xlpm.baseRow,$F197="Retain",OR($E197="Tier 1",$E197="Tier 2",$E197="Tier 2 Grove"),COUNTIF(_xlpm.HRange,"Tree Code: Required to Retain Tier 1-2 Tree")=0),
Error!$B$47,
IF(AND(_xlpm.baseRow,$E197&lt;&gt;"",$D197&lt;&gt;"",$F197&lt;&gt;"",COUNTBLANK(_xlpm.HRange)=4),
Error!$B$5,
IF(AND($F197="Remove",$H197&lt;&gt;"",$I197=""),
Error!$B$18,
IF(AND($E197="Tier 4",$F197="Remove",$H197="Tree Protection Code: Tier 3 or Tier 4 Allowance",$H197&lt;&gt;"",ISNA(MATCH($I197,Tables!$B$200,0))),
Error!$B$17,
IF(AND($E197="Tier 3",$F197="Remove",$H197&lt;&gt;"",$H197="Tree Protection Code: Tier 3 or Tier 4 Allowance",OR($I197="",ISNA(MATCH($I197,Tables!$B$193:$B$197,0)))),
Error!$B$17,
IF(AND(OR($E197="Tier 2",$E197="Tier 2 Grove"),$F197="Remove",$H197="Tree Protection Code: Other removal allowance or exemption",$I197&lt;&gt;"",ISNA(MATCH($I197,Tables!$B$215:$B$218,0))),
Error!$B$17,
IF(AND(OR($E197="Tier 2",$E197="Tier 2 Grove"),$F197="Remove",$H197="Tree Protection Code: Development Capacity",$I197&lt;&gt;"",ISNA(MATCH($I197,Tables!$B$193:$B$197,0))),
Error!$B$17,
IF(AND(OR($E197="Tier 2",$E197="Tier 2 Grove"),$F197="Remove",$H197="Tree Protection Code: Necessary for Construction",$I197&lt;&gt;"",ISNA(MATCH($I197,Tables!$B$193:$B$197,0))),
Error!$B$17,
IF(AND($E197="Tier 1",$F197="Remove",$H197="Tree Protection Code: Special Exception",$I197&lt;&gt;"",ISNA(MATCH($I197,Tables!$B$215:$B$218,0))),
Error!$B$17,
IF(AND($E197="Tier 1",$F197="Remove",$H197="Tree Protection Code: Other removal allowance or exemption",$I197&lt;&gt;"",ISNA(MATCH($I197,Tables!$B$215:$B$218,0))),
Error!$B$17,
IF(AND($E197="ECA / Shoreline Tree",$F197="Remove",$H197&lt;&gt;"",OR($H197="Shoreline",$H197="Environmental Critical Area (ECA)"),ISNA(MATCH($I197,Tables!$B$209:$B$212,0))),
Error!$B$17,
IF(AND(_xlpm.baseRow,$F197="Retain",$E197="ECA / Shoreline Tree",_xlpm.ECA_Short=0),
Error!$B$61,
IF(AND($F197="Remove",ISNUMBER(MATCH($E197,{"Tier 1","Tier 2","Tier 3","Tier 4","Tier 2 Grove"},0)),ISNUMBER(MATCH($I197,{"On-site replacement","Off-site replacement"},0)),$J197="",$H197&lt;&gt;""),
Error!$B$19,
IF(AND(_xlpm.baseRow,$E197&lt;&gt;"",$D197&lt;&gt;"",$F197&lt;&gt;"",COUNTBLANK($B197:$C197)&gt;0,COUNTBLANK(_xlpm.HRange)&lt;&gt;4),
Error!$B$22,
IF(AND($H197="Zoning: Tree Points",$K197&lt;&gt;"",ISNA(MATCH($K197,Tables!$B$242:$B$253,0))),
Error!$B$58,
IF(AND($H197="Zoning: Tree Points",$K197="Small",$L197&lt;&gt;"",ISNA(MATCH($L197,Tables!$C$243:$C$244,0))),
Error!$B$59,
IF(AND($H197="Zoning: Tree Points",$K197="Small/Medium",$L197&lt;&gt;"",ISNA(MATCH($L197,Tables!$C$246:$C$247,0))),
Error!$B$59,
IF(AND($H197="Zoning: Tree Points",$K197="Medium/Large",$L197&lt;&gt;"",ISNA(MATCH($L197,Tables!$C$249:$C$250,0))),
Error!$B$59,
IF(AND($H197="Zoning: Tree Points",$K197="Large",$L197&lt;&gt;"",ISNA(MATCH($L197,Tables!$C$252:$C$253,0))),
Error!$B$59,
IF(AND($F197="Retain",$H197="Zoning: Tree Points",$C197&lt;&gt;"",$D197&lt;&gt;"",OR($K197="",$L197="",$M197="")),
Error!$B$20,
""
)))))))))))))))))))))))))))))))))))))))))))))))))))))))),
Error!$B$23))</f>
        <v/>
      </c>
      <c r="O197" s="343" t="str" cm="1">
        <f t="array" aca="1" ref="O197" ca="1">IFERROR(_xlfn.LET(
    _xlpm.txt, $C197,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98" spans="1:15" ht="15" thickBot="1" x14ac:dyDescent="0.35">
      <c r="A198" s="331"/>
      <c r="B198" s="616" t="str">
        <f t="shared" si="189"/>
        <v/>
      </c>
      <c r="C198" s="617" t="str">
        <f t="shared" si="190"/>
        <v/>
      </c>
      <c r="D198" s="618" t="str">
        <f t="shared" si="191"/>
        <v/>
      </c>
      <c r="E198" s="616" t="str">
        <f t="shared" si="192"/>
        <v/>
      </c>
      <c r="F198" s="616" t="str">
        <f t="shared" si="193"/>
        <v/>
      </c>
      <c r="G198" s="619" t="str">
        <f>IF(Tree_Table1[[#This Row],[Tree Status  &amp;]]="Retain", Tables!$B$237, IF(Tree_Table1[[#This Row],[Tree Status  &amp;]]="Remove", Tables!$B$238, ""))</f>
        <v/>
      </c>
      <c r="H198" s="329"/>
      <c r="I198" s="330"/>
      <c r="J198" s="455"/>
      <c r="K198" s="327" t="str">
        <f>IFERROR(
    IF(
        AND($H198="Zoning: Tree Points", NOT(ISNUMBER(SEARCH("sp.", $C198)))),
        VLOOKUP($C198, 'Tree List'!$C$3:$F$601, 4, FALSE),
        ""
    ),
"")</f>
        <v/>
      </c>
      <c r="L198" s="328" t="str" cm="1">
        <f t="array" ref="L198">IFERROR(
IF(
    AND($H198="Zoning: Tree Points", NOT(ISNUMBER(SEARCH("sp.", $C198)))),
    _xlfn.IFS(
        (COUNTIFS('Tree List'!$C$3:$C$601,$C198,'Tree List'!$D$3:$D$601,"Coniferous")
        + COUNTIFS('Tree List'!$C$3:$C$601,$C198,'Tree List'!$D$3:$D$601,"Deciduous Conifer")) &gt; 0,
            _xlfn.IFS($K198="Small",0.5,$K198="Small/Medium",1,$K198="Medium/Large",1.4,$K198="Large",1.8),
        (COUNTIFS('Tree List'!$C$3:$C$601,$C198,'Tree List'!$D$3:$D$601,"Deciduous")
        + COUNTIFS('Tree List'!$C$3:$C$601,$C198,'Tree List'!$D$3:$D$601,"Broadleaf Evergreen")) &gt; 0,
            _xlfn.IFS($K198="Small",0.4,$K198="Small/Medium",0.8,$K198="Medium/Large",1.2,$K198="Large",1.6)
    ),
    ""
),
"")</f>
        <v/>
      </c>
      <c r="M198" s="476" t="str">
        <f t="shared" si="168"/>
        <v/>
      </c>
      <c r="N198" s="347" t="str" cm="1">
        <f t="array" aca="1" ref="N19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IF(AND(_xlpm.baseRow,ISNA(MATCH($C198,'Tree List'!$C$3:$C$601,0)),SUMPRODUCT(--ISNUMBER(SEARCH(Tables2!$C$677:$C$772,$O198)))&gt;0),
Error!$B$57,
IF(AND(_xlpm.hasDM,$F198="Remove",$H198&lt;&gt;"",OR($I198="On-site replacement",$I198="Off-site replacement",$I198="Payment In Lieu")),
Error!$B$56,
IF(AND(_xlpm.hasDM,$F198="Remove",$H198&lt;&gt;"",$I198="Relocation"),
Error!$B$66,
IF(AND(OR(_xlpm.hasCN,_xlpm.hasPH,_xlpm.hasGR),$H198&lt;&gt;"",COUNTIF(Tables!$B$132:$B$134,$H198)&gt;0,$I198="N/A (No replacement required)"),
Error!$B$62,
IF(AND(_xlpm.baseRow,$E198&lt;&gt;"",ISNA(MATCH($E198,Tables!$B$225:$B$232,0))),
Error!$B$2,
IF(AND(_xlpm.baseRow,$F198&lt;&gt;"",ISNA(MATCH($F198,Tables!$B$234:$B$235,0))),
Error!$B$24,
IF(AND(_xlpm.baseRow,_xlpm.ECA_H&gt;0,_xlpm.Shore_H&gt;0),
Error!$B$16,
IF(AND(_xlpm.baseRow,$E198&lt;&gt;"",$D198=""),
Error!$B$3,
IF(AND(_xlpm.baseRow,OR($E198="Tier 3",$E198="Tier 4"),$C198&lt;&gt;"",$D198&gt;=24,COUNTIF(Tables2!$B$166:$B$674,$C198)&gt;0),
Error!$B$44,
IF(AND(_xlpm.baseRow,OR($E198="Tier 3",$E198="Tier 4"),$C198&lt;&gt;"",$D198&lt;&gt;"",COUNTIF(Tables2!$B$73:$B$152,$C198)&gt;0,
$D198&gt;=IFERROR(INDEX(Tables2!$C$73:$C$152,MATCH($C198,Tables2!$B$73:$B$152,0)),-1)),
Error!$B$44,
IF(AND(_xlpm.baseRow,OR($E198="Tier 2",$E198="Tier 2 Grove"),$C198&lt;&gt;"",$D198&gt;=12,COUNTIF(Tables2!$B$153:$B$162,$C198)&gt;0),
Error!$B$45,
IF(AND(_xlpm.baseRow,$E198="Tier 2 Grove",$D198&lt;12),
Error!$B$41,
IF(AND(_xlpm.baseRow,$E198="Tier 2",$D198&lt;5.88),
Error!$B$40,
IF(AND(_xlpm.baseRow,OR($E198="Tier 2",$E198="Tier 2 Grove"),$C198&lt;&gt;"",$D198&lt;12,$D198&gt;=6,COUNTIF(Tables2!$B$153:$B$162,$C198)&gt;0),
Error!$B$54,
IF(AND(_xlpm.baseRow,$E198="Tier 2",COUNTIF(Tables2!$B$166:$B$674,$C198)&gt;0,$D198&lt;24),
Error!$B$54,
IF(AND(_xlpm.baseRow,$E198="Tier 3",ISNA(MATCH($C198,Tables2!$B$153:$B$162,0)),OR($D198&lt;12,$D198&gt;=24)),
Error!$B$9,
IF(AND(_xlpm.baseRow,$E198="Tier 3",COUNTIF(Tables2!$B$153:$B$162,$C198)&gt;0,$D198&lt;12),
Error!$B$46,
IF(AND(_xlpm.baseRow,$E198="Tier 4",OR($D198&lt;6,$D198&gt;=12)),
Error!$B$10,
IF(AND(_xlpm.baseRow,$E198="&lt;6in DSH for Tree Points",OR($D198&gt;=6,$D198="")),
Error!$B$8,
IF(AND(_xlpm.baseRow,$E198="Street Tree for Green Factor",$F198&lt;&gt;"",$F198&lt;&gt;"Retain"),
Error!$B$14,
IF(AND($E198="&lt;6in DSH for Tree Points",$F198="Retain",$H198&lt;&gt;"",ISNA(MATCH($H198,Tables!$B$174:$B$174,0))),
Error!$B$15,
IF(AND($E198="Street Tree for Green Factor",$F198="Retain",$H198&lt;&gt;"",$H198&lt;&gt;"Zoning: Green Factor"),
Error!$B$15,
IF(AND($E198="ECA / Shoreline Tree",$F198="Remove",$H198&lt;&gt;"",ISNA(MATCH($H198,Tables!$B$189:$B$190,0))),
Error!$B$15,
IF(AND($E198="ECA / Shoreline Tree",$F198="Retain",$H198&lt;&gt;"",ISNA(MATCH($H198,Tables!$B$184:$B$186,0))),
Error!$B$15,
IF(AND($E198="Tier 4",$F198="Remove",$H198&lt;&gt;"",ISNA(MATCH($H198,Tables!$B$171,0))),
Error!$B$15,
IF(AND($E198="Tier 4",$F198="Retain",$H198&lt;&gt;"",ISNA(MATCH($H198,Tables!$B$166:$B$168,0))),
Error!$B$15,
IF(AND($E198="Tier 3",$F198="Retain",$H198&lt;&gt;"",ISNA(MATCH($H198,Tables!$B$158:$B$160,0))),
Error!$B$15,
IF(AND($E198="Tier 3",$F198="Remove",$H198&lt;&gt;"",ISNA(MATCH($H198,Tables!$B$163,0))),
Error!$B$15,
IF(AND(OR($E198="Tier 2",$E198="Tier 2 Grove"),$F198="Remove",$H198&lt;&gt;"",ISNA(MATCH($H198,Tables!$B$153:$B$155,0))),
Error!$B$15,
IF(AND(OR($E198="Tier 2",$E198="Tier 2 Grove"),$F198="Retain",$H198&lt;&gt;"",ISNA(MATCH($H198,Tables!$B$147:$B$150,0))),
Error!$B$15,
IF(AND($E198="Tier 1",$F198="Remove",$H198&lt;&gt;"",ISNA(MATCH($H198,Tables!$B$143:$B$144,0))),
Error!$B$15,
IF(AND($E198="Tier 1",$F198="Retain",$H198&lt;&gt;"",ISNA(MATCH($H198,Tables!$B$137:$B$140,0))),
Error!$B$15,
IF(AND($E198&lt;&gt;"Tier 2",$E198&lt;&gt;"Tier 2 Grove",$E198&lt;&gt;"Tier 3",$E198&lt;&gt;"Tier 4",$H198="Zoning: Green Factor",OR($D198="",$D198&lt;6)),
Error!$B$11,
IF(AND(_xlpm.baseRow,$D198&lt;6,$E198="&lt;6in DSH for Tree Points",_xlpm.TreePoints_H=0),
Error!$B$21,
IF(AND(_xlpm.baseRow,$E198&lt;&gt;"",$D198&lt;&gt;"",$F198=""),
Error!$B$4,
IF(AND(_xlpm.baseRow,$F198="Remove",OR($E198="Tier 1",$E198="Tier 2",$E198="Tier 2 Grove"),COUNTBLANK(_xlpm.HRange)&lt;3,_xlpm.uniqueH&gt;=2),
Error!$B$48,
IF(AND(_xlpm.baseRow,$F198="Retain",OR($E198="Tier 1",$E198="Tier 2",$E198="Tier 2 Grove"),COUNTIF(_xlpm.HRange,"Tree Code: Required to Retain Tier 1-2 Tree")=0),
Error!$B$47,
IF(AND(_xlpm.baseRow,$E198&lt;&gt;"",$D198&lt;&gt;"",$F198&lt;&gt;"",COUNTBLANK(_xlpm.HRange)=4),
Error!$B$5,
IF(AND($F198="Remove",$H198&lt;&gt;"",$I198=""),
Error!$B$18,
IF(AND($E198="Tier 4",$F198="Remove",$H198="Tree Protection Code: Tier 3 or Tier 4 Allowance",$H198&lt;&gt;"",ISNA(MATCH($I198,Tables!$B$200,0))),
Error!$B$17,
IF(AND($E198="Tier 3",$F198="Remove",$H198&lt;&gt;"",$H198="Tree Protection Code: Tier 3 or Tier 4 Allowance",OR($I198="",ISNA(MATCH($I198,Tables!$B$193:$B$197,0)))),
Error!$B$17,
IF(AND(OR($E198="Tier 2",$E198="Tier 2 Grove"),$F198="Remove",$H198="Tree Protection Code: Other removal allowance or exemption",$I198&lt;&gt;"",ISNA(MATCH($I198,Tables!$B$215:$B$218,0))),
Error!$B$17,
IF(AND(OR($E198="Tier 2",$E198="Tier 2 Grove"),$F198="Remove",$H198="Tree Protection Code: Development Capacity",$I198&lt;&gt;"",ISNA(MATCH($I198,Tables!$B$193:$B$197,0))),
Error!$B$17,
IF(AND(OR($E198="Tier 2",$E198="Tier 2 Grove"),$F198="Remove",$H198="Tree Protection Code: Necessary for Construction",$I198&lt;&gt;"",ISNA(MATCH($I198,Tables!$B$193:$B$197,0))),
Error!$B$17,
IF(AND($E198="Tier 1",$F198="Remove",$H198="Tree Protection Code: Special Exception",$I198&lt;&gt;"",ISNA(MATCH($I198,Tables!$B$215:$B$218,0))),
Error!$B$17,
IF(AND($E198="Tier 1",$F198="Remove",$H198="Tree Protection Code: Other removal allowance or exemption",$I198&lt;&gt;"",ISNA(MATCH($I198,Tables!$B$215:$B$218,0))),
Error!$B$17,
IF(AND($E198="ECA / Shoreline Tree",$F198="Remove",$H198&lt;&gt;"",OR($H198="Shoreline",$H198="Environmental Critical Area (ECA)"),ISNA(MATCH($I198,Tables!$B$209:$B$212,0))),
Error!$B$17,
IF(AND(_xlpm.baseRow,$F198="Retain",$E198="ECA / Shoreline Tree",_xlpm.ECA_Short=0),
Error!$B$61,
IF(AND($F198="Remove",ISNUMBER(MATCH($E198,{"Tier 1","Tier 2","Tier 3","Tier 4","Tier 2 Grove"},0)),ISNUMBER(MATCH($I198,{"On-site replacement","Off-site replacement"},0)),$J198="",$H198&lt;&gt;""),
Error!$B$19,
IF(AND(_xlpm.baseRow,$E198&lt;&gt;"",$D198&lt;&gt;"",$F198&lt;&gt;"",COUNTBLANK($B198:$C198)&gt;0,COUNTBLANK(_xlpm.HRange)&lt;&gt;4),
Error!$B$22,
IF(AND($H198="Zoning: Tree Points",$K198&lt;&gt;"",ISNA(MATCH($K198,Tables!$B$242:$B$253,0))),
Error!$B$58,
IF(AND($H198="Zoning: Tree Points",$K198="Small",$L198&lt;&gt;"",ISNA(MATCH($L198,Tables!$C$243:$C$244,0))),
Error!$B$59,
IF(AND($H198="Zoning: Tree Points",$K198="Small/Medium",$L198&lt;&gt;"",ISNA(MATCH($L198,Tables!$C$246:$C$247,0))),
Error!$B$59,
IF(AND($H198="Zoning: Tree Points",$K198="Medium/Large",$L198&lt;&gt;"",ISNA(MATCH($L198,Tables!$C$249:$C$250,0))),
Error!$B$59,
IF(AND($H198="Zoning: Tree Points",$K198="Large",$L198&lt;&gt;"",ISNA(MATCH($L198,Tables!$C$252:$C$253,0))),
Error!$B$59,
IF(AND($F198="Retain",$H198="Zoning: Tree Points",$C198&lt;&gt;"",$D198&lt;&gt;"",OR($K198="",$L198="",$M198="")),
Error!$B$20,
""
)))))))))))))))))))))))))))))))))))))))))))))))))))))))),
Error!$B$23))</f>
        <v/>
      </c>
      <c r="O198" s="343" t="str" cm="1">
        <f t="array" aca="1" ref="O198" ca="1">IFERROR(_xlfn.LET(
    _xlpm.txt, $C198,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99" spans="1:15" ht="15" thickBot="1" x14ac:dyDescent="0.35">
      <c r="A199" s="311">
        <v>48</v>
      </c>
      <c r="B199" s="312"/>
      <c r="C199" s="313"/>
      <c r="D199" s="478"/>
      <c r="E199" s="314"/>
      <c r="F199" s="314"/>
      <c r="G199" s="315" t="str">
        <f>IF(Tree_Table1[[#This Row],[Tree Status  &amp;]]="Retain", Tables!$B$237, IF(Tree_Table1[[#This Row],[Tree Status  &amp;]]="Remove", Tables!$B$238, ""))</f>
        <v/>
      </c>
      <c r="H199" s="316"/>
      <c r="I199" s="317"/>
      <c r="J199" s="452"/>
      <c r="K199" s="318" t="str">
        <f>IFERROR(
    IF(
        AND($H199="Zoning: Tree Points", NOT(ISNUMBER(SEARCH("sp.", $C199)))),
        VLOOKUP($C199, 'Tree List'!$C$3:$F$601, 4, FALSE),
        ""
    ),
"")</f>
        <v/>
      </c>
      <c r="L199" s="319" t="str" cm="1">
        <f t="array" ref="L199">IFERROR(
IF(
    AND($H199="Zoning: Tree Points", NOT(ISNUMBER(SEARCH("sp.", $C199)))),
    _xlfn.IFS(
        (COUNTIFS('Tree List'!$C$3:$C$601,$C199,'Tree List'!$D$3:$D$601,"Coniferous")
        + COUNTIFS('Tree List'!$C$3:$C$601,$C199,'Tree List'!$D$3:$D$601,"Deciduous Conifer")) &gt; 0,
            _xlfn.IFS($K199="Small",0.5,$K199="Small/Medium",1,$K199="Medium/Large",1.4,$K199="Large",1.8),
        (COUNTIFS('Tree List'!$C$3:$C$601,$C199,'Tree List'!$D$3:$D$601,"Deciduous")
        + COUNTIFS('Tree List'!$C$3:$C$601,$C199,'Tree List'!$D$3:$D$601,"Broadleaf Evergreen")) &gt; 0,
            _xlfn.IFS($K199="Small",0.4,$K199="Small/Medium",0.8,$K199="Medium/Large",1.2,$K199="Large",1.6)
    ),
    ""
),
"")</f>
        <v/>
      </c>
      <c r="M199" s="474" t="str">
        <f t="shared" si="168"/>
        <v/>
      </c>
      <c r="N199" s="620" t="str" cm="1">
        <f t="array" aca="1" ref="N19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IF(AND(_xlpm.baseRow,ISNA(MATCH($C199,'Tree List'!$C$3:$C$601,0)),SUMPRODUCT(--ISNUMBER(SEARCH(Tables2!$C$677:$C$772,$O199)))&gt;0),
Error!$B$57,
IF(AND(_xlpm.hasDM,$F199="Remove",$H199&lt;&gt;"",OR($I199="On-site replacement",$I199="Off-site replacement",$I199="Payment In Lieu")),
Error!$B$56,
IF(AND(_xlpm.hasDM,$F199="Remove",$H199&lt;&gt;"",$I199="Relocation"),
Error!$B$66,
IF(AND(OR(_xlpm.hasCN,_xlpm.hasPH,_xlpm.hasGR),$H199&lt;&gt;"",COUNTIF(Tables!$B$132:$B$134,$H199)&gt;0,$I199="N/A (No replacement required)"),
Error!$B$62,
IF(AND(_xlpm.baseRow,$E199&lt;&gt;"",ISNA(MATCH($E199,Tables!$B$225:$B$232,0))),
Error!$B$2,
IF(AND(_xlpm.baseRow,$F199&lt;&gt;"",ISNA(MATCH($F199,Tables!$B$234:$B$235,0))),
Error!$B$24,
IF(AND(_xlpm.baseRow,_xlpm.ECA_H&gt;0,_xlpm.Shore_H&gt;0),
Error!$B$16,
IF(AND(_xlpm.baseRow,$E199&lt;&gt;"",$D199=""),
Error!$B$3,
IF(AND(_xlpm.baseRow,OR($E199="Tier 3",$E199="Tier 4"),$C199&lt;&gt;"",$D199&gt;=24,COUNTIF(Tables2!$B$166:$B$674,$C199)&gt;0),
Error!$B$44,
IF(AND(_xlpm.baseRow,OR($E199="Tier 3",$E199="Tier 4"),$C199&lt;&gt;"",$D199&lt;&gt;"",COUNTIF(Tables2!$B$73:$B$152,$C199)&gt;0,
$D199&gt;=IFERROR(INDEX(Tables2!$C$73:$C$152,MATCH($C199,Tables2!$B$73:$B$152,0)),-1)),
Error!$B$44,
IF(AND(_xlpm.baseRow,OR($E199="Tier 2",$E199="Tier 2 Grove"),$C199&lt;&gt;"",$D199&gt;=12,COUNTIF(Tables2!$B$153:$B$162,$C199)&gt;0),
Error!$B$45,
IF(AND(_xlpm.baseRow,$E199="Tier 2 Grove",$D199&lt;12),
Error!$B$41,
IF(AND(_xlpm.baseRow,$E199="Tier 2",$D199&lt;5.88),
Error!$B$40,
IF(AND(_xlpm.baseRow,OR($E199="Tier 2",$E199="Tier 2 Grove"),$C199&lt;&gt;"",$D199&lt;12,$D199&gt;=6,COUNTIF(Tables2!$B$153:$B$162,$C199)&gt;0),
Error!$B$54,
IF(AND(_xlpm.baseRow,$E199="Tier 2",COUNTIF(Tables2!$B$166:$B$674,$C199)&gt;0,$D199&lt;24),
Error!$B$54,
IF(AND(_xlpm.baseRow,$E199="Tier 3",ISNA(MATCH($C199,Tables2!$B$153:$B$162,0)),OR($D199&lt;12,$D199&gt;=24)),
Error!$B$9,
IF(AND(_xlpm.baseRow,$E199="Tier 3",COUNTIF(Tables2!$B$153:$B$162,$C199)&gt;0,$D199&lt;12),
Error!$B$46,
IF(AND(_xlpm.baseRow,$E199="Tier 4",OR($D199&lt;6,$D199&gt;=12)),
Error!$B$10,
IF(AND(_xlpm.baseRow,$E199="&lt;6in DSH for Tree Points",OR($D199&gt;=6,$D199="")),
Error!$B$8,
IF(AND(_xlpm.baseRow,$E199="Street Tree for Green Factor",$F199&lt;&gt;"",$F199&lt;&gt;"Retain"),
Error!$B$14,
IF(AND($E199="&lt;6in DSH for Tree Points",$F199="Retain",$H199&lt;&gt;"",ISNA(MATCH($H199,Tables!$B$174:$B$174,0))),
Error!$B$15,
IF(AND($E199="Street Tree for Green Factor",$F199="Retain",$H199&lt;&gt;"",$H199&lt;&gt;"Zoning: Green Factor"),
Error!$B$15,
IF(AND($E199="ECA / Shoreline Tree",$F199="Remove",$H199&lt;&gt;"",ISNA(MATCH($H199,Tables!$B$189:$B$190,0))),
Error!$B$15,
IF(AND($E199="ECA / Shoreline Tree",$F199="Retain",$H199&lt;&gt;"",ISNA(MATCH($H199,Tables!$B$184:$B$186,0))),
Error!$B$15,
IF(AND($E199="Tier 4",$F199="Remove",$H199&lt;&gt;"",ISNA(MATCH($H199,Tables!$B$171,0))),
Error!$B$15,
IF(AND($E199="Tier 4",$F199="Retain",$H199&lt;&gt;"",ISNA(MATCH($H199,Tables!$B$166:$B$168,0))),
Error!$B$15,
IF(AND($E199="Tier 3",$F199="Retain",$H199&lt;&gt;"",ISNA(MATCH($H199,Tables!$B$158:$B$160,0))),
Error!$B$15,
IF(AND($E199="Tier 3",$F199="Remove",$H199&lt;&gt;"",ISNA(MATCH($H199,Tables!$B$163,0))),
Error!$B$15,
IF(AND(OR($E199="Tier 2",$E199="Tier 2 Grove"),$F199="Remove",$H199&lt;&gt;"",ISNA(MATCH($H199,Tables!$B$153:$B$155,0))),
Error!$B$15,
IF(AND(OR($E199="Tier 2",$E199="Tier 2 Grove"),$F199="Retain",$H199&lt;&gt;"",ISNA(MATCH($H199,Tables!$B$147:$B$150,0))),
Error!$B$15,
IF(AND($E199="Tier 1",$F199="Remove",$H199&lt;&gt;"",ISNA(MATCH($H199,Tables!$B$143:$B$144,0))),
Error!$B$15,
IF(AND($E199="Tier 1",$F199="Retain",$H199&lt;&gt;"",ISNA(MATCH($H199,Tables!$B$137:$B$140,0))),
Error!$B$15,
IF(AND($E199&lt;&gt;"Tier 2",$E199&lt;&gt;"Tier 2 Grove",$E199&lt;&gt;"Tier 3",$E199&lt;&gt;"Tier 4",$H199="Zoning: Green Factor",OR($D199="",$D199&lt;6)),
Error!$B$11,
IF(AND(_xlpm.baseRow,$D199&lt;6,$E199="&lt;6in DSH for Tree Points",_xlpm.TreePoints_H=0),
Error!$B$21,
IF(AND(_xlpm.baseRow,$E199&lt;&gt;"",$D199&lt;&gt;"",$F199=""),
Error!$B$4,
IF(AND(_xlpm.baseRow,$F199="Remove",OR($E199="Tier 1",$E199="Tier 2",$E199="Tier 2 Grove"),COUNTBLANK(_xlpm.HRange)&lt;3,_xlpm.uniqueH&gt;=2),
Error!$B$48,
IF(AND(_xlpm.baseRow,$F199="Retain",OR($E199="Tier 1",$E199="Tier 2",$E199="Tier 2 Grove"),COUNTIF(_xlpm.HRange,"Tree Code: Required to Retain Tier 1-2 Tree")=0),
Error!$B$47,
IF(AND(_xlpm.baseRow,$E199&lt;&gt;"",$D199&lt;&gt;"",$F199&lt;&gt;"",COUNTBLANK(_xlpm.HRange)=4),
Error!$B$5,
IF(AND($F199="Remove",$H199&lt;&gt;"",$I199=""),
Error!$B$18,
IF(AND($E199="Tier 4",$F199="Remove",$H199="Tree Protection Code: Tier 3 or Tier 4 Allowance",$H199&lt;&gt;"",ISNA(MATCH($I199,Tables!$B$200,0))),
Error!$B$17,
IF(AND($E199="Tier 3",$F199="Remove",$H199&lt;&gt;"",$H199="Tree Protection Code: Tier 3 or Tier 4 Allowance",OR($I199="",ISNA(MATCH($I199,Tables!$B$193:$B$197,0)))),
Error!$B$17,
IF(AND(OR($E199="Tier 2",$E199="Tier 2 Grove"),$F199="Remove",$H199="Tree Protection Code: Other removal allowance or exemption",$I199&lt;&gt;"",ISNA(MATCH($I199,Tables!$B$215:$B$218,0))),
Error!$B$17,
IF(AND(OR($E199="Tier 2",$E199="Tier 2 Grove"),$F199="Remove",$H199="Tree Protection Code: Development Capacity",$I199&lt;&gt;"",ISNA(MATCH($I199,Tables!$B$193:$B$197,0))),
Error!$B$17,
IF(AND(OR($E199="Tier 2",$E199="Tier 2 Grove"),$F199="Remove",$H199="Tree Protection Code: Necessary for Construction",$I199&lt;&gt;"",ISNA(MATCH($I199,Tables!$B$193:$B$197,0))),
Error!$B$17,
IF(AND($E199="Tier 1",$F199="Remove",$H199="Tree Protection Code: Special Exception",$I199&lt;&gt;"",ISNA(MATCH($I199,Tables!$B$215:$B$218,0))),
Error!$B$17,
IF(AND($E199="Tier 1",$F199="Remove",$H199="Tree Protection Code: Other removal allowance or exemption",$I199&lt;&gt;"",ISNA(MATCH($I199,Tables!$B$215:$B$218,0))),
Error!$B$17,
IF(AND($E199="ECA / Shoreline Tree",$F199="Remove",$H199&lt;&gt;"",OR($H199="Shoreline",$H199="Environmental Critical Area (ECA)"),ISNA(MATCH($I199,Tables!$B$209:$B$212,0))),
Error!$B$17,
IF(AND(_xlpm.baseRow,$F199="Retain",$E199="ECA / Shoreline Tree",_xlpm.ECA_Short=0),
Error!$B$61,
IF(AND($F199="Remove",ISNUMBER(MATCH($E199,{"Tier 1","Tier 2","Tier 3","Tier 4","Tier 2 Grove"},0)),ISNUMBER(MATCH($I199,{"On-site replacement","Off-site replacement"},0)),$J199="",$H199&lt;&gt;""),
Error!$B$19,
IF(AND(_xlpm.baseRow,$E199&lt;&gt;"",$D199&lt;&gt;"",$F199&lt;&gt;"",COUNTBLANK($B199:$C199)&gt;0,COUNTBLANK(_xlpm.HRange)&lt;&gt;4),
Error!$B$22,
IF(AND($H199="Zoning: Tree Points",$K199&lt;&gt;"",ISNA(MATCH($K199,Tables!$B$242:$B$253,0))),
Error!$B$58,
IF(AND($H199="Zoning: Tree Points",$K199="Small",$L199&lt;&gt;"",ISNA(MATCH($L199,Tables!$C$243:$C$244,0))),
Error!$B$59,
IF(AND($H199="Zoning: Tree Points",$K199="Small/Medium",$L199&lt;&gt;"",ISNA(MATCH($L199,Tables!$C$246:$C$247,0))),
Error!$B$59,
IF(AND($H199="Zoning: Tree Points",$K199="Medium/Large",$L199&lt;&gt;"",ISNA(MATCH($L199,Tables!$C$249:$C$250,0))),
Error!$B$59,
IF(AND($H199="Zoning: Tree Points",$K199="Large",$L199&lt;&gt;"",ISNA(MATCH($L199,Tables!$C$252:$C$253,0))),
Error!$B$59,
IF(AND($F199="Retain",$H199="Zoning: Tree Points",$C199&lt;&gt;"",$D199&lt;&gt;"",OR($K199="",$L199="",$M199="")),
Error!$B$20,
""
)))))))))))))))))))))))))))))))))))))))))))))))))))))))),
Error!$B$23))</f>
        <v/>
      </c>
      <c r="O199" s="343" t="str" cm="1">
        <f t="array" aca="1" ref="O199" ca="1">IFERROR(_xlfn.LET(
    _xlpm.txt, $C199,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00" spans="1:15" x14ac:dyDescent="0.3">
      <c r="A200" s="320"/>
      <c r="B200" s="616" t="str">
        <f t="shared" ref="B200:B202" si="194">IF($B199="", "", $B199)</f>
        <v/>
      </c>
      <c r="C200" s="617" t="str">
        <f t="shared" ref="C200:C202" si="195">IF($C199="", "", $C199)</f>
        <v/>
      </c>
      <c r="D200" s="618" t="str">
        <f t="shared" ref="D200:D202" si="196">IF($D199="", "", $D199)</f>
        <v/>
      </c>
      <c r="E200" s="616" t="str">
        <f t="shared" ref="E200:E202" si="197">IF($E199="", "", $E199)</f>
        <v/>
      </c>
      <c r="F200" s="616" t="str">
        <f t="shared" ref="F200:F202" si="198">IF($F199="", "", $F199)</f>
        <v/>
      </c>
      <c r="G200" s="619" t="str">
        <f>IF(Tree_Table1[[#This Row],[Tree Status  &amp;]]="Retain", Tables!$B$237, IF(Tree_Table1[[#This Row],[Tree Status  &amp;]]="Remove", Tables!$B$238, ""))</f>
        <v/>
      </c>
      <c r="H200" s="321"/>
      <c r="I200" s="322"/>
      <c r="J200" s="453"/>
      <c r="K200" s="323" t="str">
        <f>IFERROR(
    IF(
        AND($H200="Zoning: Tree Points", NOT(ISNUMBER(SEARCH("sp.", $C200)))),
        VLOOKUP($C200, 'Tree List'!$C$3:$F$601, 4, FALSE),
        ""
    ),
"")</f>
        <v/>
      </c>
      <c r="L200" s="324" t="str" cm="1">
        <f t="array" ref="L200">IFERROR(
IF(
    AND($H200="Zoning: Tree Points", NOT(ISNUMBER(SEARCH("sp.", $C200)))),
    _xlfn.IFS(
        (COUNTIFS('Tree List'!$C$3:$C$601,$C200,'Tree List'!$D$3:$D$601,"Coniferous")
        + COUNTIFS('Tree List'!$C$3:$C$601,$C200,'Tree List'!$D$3:$D$601,"Deciduous Conifer")) &gt; 0,
            _xlfn.IFS($K200="Small",0.5,$K200="Small/Medium",1,$K200="Medium/Large",1.4,$K200="Large",1.8),
        (COUNTIFS('Tree List'!$C$3:$C$601,$C200,'Tree List'!$D$3:$D$601,"Deciduous")
        + COUNTIFS('Tree List'!$C$3:$C$601,$C200,'Tree List'!$D$3:$D$601,"Broadleaf Evergreen")) &gt; 0,
            _xlfn.IFS($K200="Small",0.4,$K200="Small/Medium",0.8,$K200="Medium/Large",1.2,$K200="Large",1.6)
    ),
    ""
),
"")</f>
        <v/>
      </c>
      <c r="M200" s="475" t="str">
        <f t="shared" si="168"/>
        <v/>
      </c>
      <c r="N200" s="346" t="str" cm="1">
        <f t="array" aca="1" ref="N20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IF(AND(_xlpm.baseRow,ISNA(MATCH($C200,'Tree List'!$C$3:$C$601,0)),SUMPRODUCT(--ISNUMBER(SEARCH(Tables2!$C$677:$C$772,$O200)))&gt;0),
Error!$B$57,
IF(AND(_xlpm.hasDM,$F200="Remove",$H200&lt;&gt;"",OR($I200="On-site replacement",$I200="Off-site replacement",$I200="Payment In Lieu")),
Error!$B$56,
IF(AND(_xlpm.hasDM,$F200="Remove",$H200&lt;&gt;"",$I200="Relocation"),
Error!$B$66,
IF(AND(OR(_xlpm.hasCN,_xlpm.hasPH,_xlpm.hasGR),$H200&lt;&gt;"",COUNTIF(Tables!$B$132:$B$134,$H200)&gt;0,$I200="N/A (No replacement required)"),
Error!$B$62,
IF(AND(_xlpm.baseRow,$E200&lt;&gt;"",ISNA(MATCH($E200,Tables!$B$225:$B$232,0))),
Error!$B$2,
IF(AND(_xlpm.baseRow,$F200&lt;&gt;"",ISNA(MATCH($F200,Tables!$B$234:$B$235,0))),
Error!$B$24,
IF(AND(_xlpm.baseRow,_xlpm.ECA_H&gt;0,_xlpm.Shore_H&gt;0),
Error!$B$16,
IF(AND(_xlpm.baseRow,$E200&lt;&gt;"",$D200=""),
Error!$B$3,
IF(AND(_xlpm.baseRow,OR($E200="Tier 3",$E200="Tier 4"),$C200&lt;&gt;"",$D200&gt;=24,COUNTIF(Tables2!$B$166:$B$674,$C200)&gt;0),
Error!$B$44,
IF(AND(_xlpm.baseRow,OR($E200="Tier 3",$E200="Tier 4"),$C200&lt;&gt;"",$D200&lt;&gt;"",COUNTIF(Tables2!$B$73:$B$152,$C200)&gt;0,
$D200&gt;=IFERROR(INDEX(Tables2!$C$73:$C$152,MATCH($C200,Tables2!$B$73:$B$152,0)),-1)),
Error!$B$44,
IF(AND(_xlpm.baseRow,OR($E200="Tier 2",$E200="Tier 2 Grove"),$C200&lt;&gt;"",$D200&gt;=12,COUNTIF(Tables2!$B$153:$B$162,$C200)&gt;0),
Error!$B$45,
IF(AND(_xlpm.baseRow,$E200="Tier 2 Grove",$D200&lt;12),
Error!$B$41,
IF(AND(_xlpm.baseRow,$E200="Tier 2",$D200&lt;5.88),
Error!$B$40,
IF(AND(_xlpm.baseRow,OR($E200="Tier 2",$E200="Tier 2 Grove"),$C200&lt;&gt;"",$D200&lt;12,$D200&gt;=6,COUNTIF(Tables2!$B$153:$B$162,$C200)&gt;0),
Error!$B$54,
IF(AND(_xlpm.baseRow,$E200="Tier 2",COUNTIF(Tables2!$B$166:$B$674,$C200)&gt;0,$D200&lt;24),
Error!$B$54,
IF(AND(_xlpm.baseRow,$E200="Tier 3",ISNA(MATCH($C200,Tables2!$B$153:$B$162,0)),OR($D200&lt;12,$D200&gt;=24)),
Error!$B$9,
IF(AND(_xlpm.baseRow,$E200="Tier 3",COUNTIF(Tables2!$B$153:$B$162,$C200)&gt;0,$D200&lt;12),
Error!$B$46,
IF(AND(_xlpm.baseRow,$E200="Tier 4",OR($D200&lt;6,$D200&gt;=12)),
Error!$B$10,
IF(AND(_xlpm.baseRow,$E200="&lt;6in DSH for Tree Points",OR($D200&gt;=6,$D200="")),
Error!$B$8,
IF(AND(_xlpm.baseRow,$E200="Street Tree for Green Factor",$F200&lt;&gt;"",$F200&lt;&gt;"Retain"),
Error!$B$14,
IF(AND($E200="&lt;6in DSH for Tree Points",$F200="Retain",$H200&lt;&gt;"",ISNA(MATCH($H200,Tables!$B$174:$B$174,0))),
Error!$B$15,
IF(AND($E200="Street Tree for Green Factor",$F200="Retain",$H200&lt;&gt;"",$H200&lt;&gt;"Zoning: Green Factor"),
Error!$B$15,
IF(AND($E200="ECA / Shoreline Tree",$F200="Remove",$H200&lt;&gt;"",ISNA(MATCH($H200,Tables!$B$189:$B$190,0))),
Error!$B$15,
IF(AND($E200="ECA / Shoreline Tree",$F200="Retain",$H200&lt;&gt;"",ISNA(MATCH($H200,Tables!$B$184:$B$186,0))),
Error!$B$15,
IF(AND($E200="Tier 4",$F200="Remove",$H200&lt;&gt;"",ISNA(MATCH($H200,Tables!$B$171,0))),
Error!$B$15,
IF(AND($E200="Tier 4",$F200="Retain",$H200&lt;&gt;"",ISNA(MATCH($H200,Tables!$B$166:$B$168,0))),
Error!$B$15,
IF(AND($E200="Tier 3",$F200="Retain",$H200&lt;&gt;"",ISNA(MATCH($H200,Tables!$B$158:$B$160,0))),
Error!$B$15,
IF(AND($E200="Tier 3",$F200="Remove",$H200&lt;&gt;"",ISNA(MATCH($H200,Tables!$B$163,0))),
Error!$B$15,
IF(AND(OR($E200="Tier 2",$E200="Tier 2 Grove"),$F200="Remove",$H200&lt;&gt;"",ISNA(MATCH($H200,Tables!$B$153:$B$155,0))),
Error!$B$15,
IF(AND(OR($E200="Tier 2",$E200="Tier 2 Grove"),$F200="Retain",$H200&lt;&gt;"",ISNA(MATCH($H200,Tables!$B$147:$B$150,0))),
Error!$B$15,
IF(AND($E200="Tier 1",$F200="Remove",$H200&lt;&gt;"",ISNA(MATCH($H200,Tables!$B$143:$B$144,0))),
Error!$B$15,
IF(AND($E200="Tier 1",$F200="Retain",$H200&lt;&gt;"",ISNA(MATCH($H200,Tables!$B$137:$B$140,0))),
Error!$B$15,
IF(AND($E200&lt;&gt;"Tier 2",$E200&lt;&gt;"Tier 2 Grove",$E200&lt;&gt;"Tier 3",$E200&lt;&gt;"Tier 4",$H200="Zoning: Green Factor",OR($D200="",$D200&lt;6)),
Error!$B$11,
IF(AND(_xlpm.baseRow,$D200&lt;6,$E200="&lt;6in DSH for Tree Points",_xlpm.TreePoints_H=0),
Error!$B$21,
IF(AND(_xlpm.baseRow,$E200&lt;&gt;"",$D200&lt;&gt;"",$F200=""),
Error!$B$4,
IF(AND(_xlpm.baseRow,$F200="Remove",OR($E200="Tier 1",$E200="Tier 2",$E200="Tier 2 Grove"),COUNTBLANK(_xlpm.HRange)&lt;3,_xlpm.uniqueH&gt;=2),
Error!$B$48,
IF(AND(_xlpm.baseRow,$F200="Retain",OR($E200="Tier 1",$E200="Tier 2",$E200="Tier 2 Grove"),COUNTIF(_xlpm.HRange,"Tree Code: Required to Retain Tier 1-2 Tree")=0),
Error!$B$47,
IF(AND(_xlpm.baseRow,$E200&lt;&gt;"",$D200&lt;&gt;"",$F200&lt;&gt;"",COUNTBLANK(_xlpm.HRange)=4),
Error!$B$5,
IF(AND($F200="Remove",$H200&lt;&gt;"",$I200=""),
Error!$B$18,
IF(AND($E200="Tier 4",$F200="Remove",$H200="Tree Protection Code: Tier 3 or Tier 4 Allowance",$H200&lt;&gt;"",ISNA(MATCH($I200,Tables!$B$200,0))),
Error!$B$17,
IF(AND($E200="Tier 3",$F200="Remove",$H200&lt;&gt;"",$H200="Tree Protection Code: Tier 3 or Tier 4 Allowance",OR($I200="",ISNA(MATCH($I200,Tables!$B$193:$B$197,0)))),
Error!$B$17,
IF(AND(OR($E200="Tier 2",$E200="Tier 2 Grove"),$F200="Remove",$H200="Tree Protection Code: Other removal allowance or exemption",$I200&lt;&gt;"",ISNA(MATCH($I200,Tables!$B$215:$B$218,0))),
Error!$B$17,
IF(AND(OR($E200="Tier 2",$E200="Tier 2 Grove"),$F200="Remove",$H200="Tree Protection Code: Development Capacity",$I200&lt;&gt;"",ISNA(MATCH($I200,Tables!$B$193:$B$197,0))),
Error!$B$17,
IF(AND(OR($E200="Tier 2",$E200="Tier 2 Grove"),$F200="Remove",$H200="Tree Protection Code: Necessary for Construction",$I200&lt;&gt;"",ISNA(MATCH($I200,Tables!$B$193:$B$197,0))),
Error!$B$17,
IF(AND($E200="Tier 1",$F200="Remove",$H200="Tree Protection Code: Special Exception",$I200&lt;&gt;"",ISNA(MATCH($I200,Tables!$B$215:$B$218,0))),
Error!$B$17,
IF(AND($E200="Tier 1",$F200="Remove",$H200="Tree Protection Code: Other removal allowance or exemption",$I200&lt;&gt;"",ISNA(MATCH($I200,Tables!$B$215:$B$218,0))),
Error!$B$17,
IF(AND($E200="ECA / Shoreline Tree",$F200="Remove",$H200&lt;&gt;"",OR($H200="Shoreline",$H200="Environmental Critical Area (ECA)"),ISNA(MATCH($I200,Tables!$B$209:$B$212,0))),
Error!$B$17,
IF(AND(_xlpm.baseRow,$F200="Retain",$E200="ECA / Shoreline Tree",_xlpm.ECA_Short=0),
Error!$B$61,
IF(AND($F200="Remove",ISNUMBER(MATCH($E200,{"Tier 1","Tier 2","Tier 3","Tier 4","Tier 2 Grove"},0)),ISNUMBER(MATCH($I200,{"On-site replacement","Off-site replacement"},0)),$J200="",$H200&lt;&gt;""),
Error!$B$19,
IF(AND(_xlpm.baseRow,$E200&lt;&gt;"",$D200&lt;&gt;"",$F200&lt;&gt;"",COUNTBLANK($B200:$C200)&gt;0,COUNTBLANK(_xlpm.HRange)&lt;&gt;4),
Error!$B$22,
IF(AND($H200="Zoning: Tree Points",$K200&lt;&gt;"",ISNA(MATCH($K200,Tables!$B$242:$B$253,0))),
Error!$B$58,
IF(AND($H200="Zoning: Tree Points",$K200="Small",$L200&lt;&gt;"",ISNA(MATCH($L200,Tables!$C$243:$C$244,0))),
Error!$B$59,
IF(AND($H200="Zoning: Tree Points",$K200="Small/Medium",$L200&lt;&gt;"",ISNA(MATCH($L200,Tables!$C$246:$C$247,0))),
Error!$B$59,
IF(AND($H200="Zoning: Tree Points",$K200="Medium/Large",$L200&lt;&gt;"",ISNA(MATCH($L200,Tables!$C$249:$C$250,0))),
Error!$B$59,
IF(AND($H200="Zoning: Tree Points",$K200="Large",$L200&lt;&gt;"",ISNA(MATCH($L200,Tables!$C$252:$C$253,0))),
Error!$B$59,
IF(AND($F200="Retain",$H200="Zoning: Tree Points",$C200&lt;&gt;"",$D200&lt;&gt;"",OR($K200="",$L200="",$M200="")),
Error!$B$20,
""
)))))))))))))))))))))))))))))))))))))))))))))))))))))))),
Error!$B$23))</f>
        <v/>
      </c>
      <c r="O200" s="343" t="str" cm="1">
        <f t="array" aca="1" ref="O200" ca="1">IFERROR(_xlfn.LET(
    _xlpm.txt, $C200,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01" spans="1:15" x14ac:dyDescent="0.3">
      <c r="A201" s="320"/>
      <c r="B201" s="616" t="str">
        <f t="shared" si="194"/>
        <v/>
      </c>
      <c r="C201" s="617" t="str">
        <f t="shared" si="195"/>
        <v/>
      </c>
      <c r="D201" s="618" t="str">
        <f t="shared" si="196"/>
        <v/>
      </c>
      <c r="E201" s="616" t="str">
        <f t="shared" si="197"/>
        <v/>
      </c>
      <c r="F201" s="616" t="str">
        <f t="shared" si="198"/>
        <v/>
      </c>
      <c r="G201" s="619" t="str">
        <f>IF(Tree_Table1[[#This Row],[Tree Status  &amp;]]="Retain", Tables!$B$237, IF(Tree_Table1[[#This Row],[Tree Status  &amp;]]="Remove", Tables!$B$238, ""))</f>
        <v/>
      </c>
      <c r="H201" s="321"/>
      <c r="I201" s="322"/>
      <c r="J201" s="453"/>
      <c r="K201" s="323" t="str">
        <f>IFERROR(
    IF(
        AND($H201="Zoning: Tree Points", NOT(ISNUMBER(SEARCH("sp.", $C201)))),
        VLOOKUP($C201, 'Tree List'!$C$3:$F$601, 4, FALSE),
        ""
    ),
"")</f>
        <v/>
      </c>
      <c r="L201" s="324" t="str" cm="1">
        <f t="array" ref="L201">IFERROR(
IF(
    AND($H201="Zoning: Tree Points", NOT(ISNUMBER(SEARCH("sp.", $C201)))),
    _xlfn.IFS(
        (COUNTIFS('Tree List'!$C$3:$C$601,$C201,'Tree List'!$D$3:$D$601,"Coniferous")
        + COUNTIFS('Tree List'!$C$3:$C$601,$C201,'Tree List'!$D$3:$D$601,"Deciduous Conifer")) &gt; 0,
            _xlfn.IFS($K201="Small",0.5,$K201="Small/Medium",1,$K201="Medium/Large",1.4,$K201="Large",1.8),
        (COUNTIFS('Tree List'!$C$3:$C$601,$C201,'Tree List'!$D$3:$D$601,"Deciduous")
        + COUNTIFS('Tree List'!$C$3:$C$601,$C201,'Tree List'!$D$3:$D$601,"Broadleaf Evergreen")) &gt; 0,
            _xlfn.IFS($K201="Small",0.4,$K201="Small/Medium",0.8,$K201="Medium/Large",1.2,$K201="Large",1.6)
    ),
    ""
),
"")</f>
        <v/>
      </c>
      <c r="M201" s="475" t="str">
        <f t="shared" si="168"/>
        <v/>
      </c>
      <c r="N201" s="346" t="str" cm="1">
        <f t="array" aca="1" ref="N20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IF(AND(_xlpm.baseRow,ISNA(MATCH($C201,'Tree List'!$C$3:$C$601,0)),SUMPRODUCT(--ISNUMBER(SEARCH(Tables2!$C$677:$C$772,$O201)))&gt;0),
Error!$B$57,
IF(AND(_xlpm.hasDM,$F201="Remove",$H201&lt;&gt;"",OR($I201="On-site replacement",$I201="Off-site replacement",$I201="Payment In Lieu")),
Error!$B$56,
IF(AND(_xlpm.hasDM,$F201="Remove",$H201&lt;&gt;"",$I201="Relocation"),
Error!$B$66,
IF(AND(OR(_xlpm.hasCN,_xlpm.hasPH,_xlpm.hasGR),$H201&lt;&gt;"",COUNTIF(Tables!$B$132:$B$134,$H201)&gt;0,$I201="N/A (No replacement required)"),
Error!$B$62,
IF(AND(_xlpm.baseRow,$E201&lt;&gt;"",ISNA(MATCH($E201,Tables!$B$225:$B$232,0))),
Error!$B$2,
IF(AND(_xlpm.baseRow,$F201&lt;&gt;"",ISNA(MATCH($F201,Tables!$B$234:$B$235,0))),
Error!$B$24,
IF(AND(_xlpm.baseRow,_xlpm.ECA_H&gt;0,_xlpm.Shore_H&gt;0),
Error!$B$16,
IF(AND(_xlpm.baseRow,$E201&lt;&gt;"",$D201=""),
Error!$B$3,
IF(AND(_xlpm.baseRow,OR($E201="Tier 3",$E201="Tier 4"),$C201&lt;&gt;"",$D201&gt;=24,COUNTIF(Tables2!$B$166:$B$674,$C201)&gt;0),
Error!$B$44,
IF(AND(_xlpm.baseRow,OR($E201="Tier 3",$E201="Tier 4"),$C201&lt;&gt;"",$D201&lt;&gt;"",COUNTIF(Tables2!$B$73:$B$152,$C201)&gt;0,
$D201&gt;=IFERROR(INDEX(Tables2!$C$73:$C$152,MATCH($C201,Tables2!$B$73:$B$152,0)),-1)),
Error!$B$44,
IF(AND(_xlpm.baseRow,OR($E201="Tier 2",$E201="Tier 2 Grove"),$C201&lt;&gt;"",$D201&gt;=12,COUNTIF(Tables2!$B$153:$B$162,$C201)&gt;0),
Error!$B$45,
IF(AND(_xlpm.baseRow,$E201="Tier 2 Grove",$D201&lt;12),
Error!$B$41,
IF(AND(_xlpm.baseRow,$E201="Tier 2",$D201&lt;5.88),
Error!$B$40,
IF(AND(_xlpm.baseRow,OR($E201="Tier 2",$E201="Tier 2 Grove"),$C201&lt;&gt;"",$D201&lt;12,$D201&gt;=6,COUNTIF(Tables2!$B$153:$B$162,$C201)&gt;0),
Error!$B$54,
IF(AND(_xlpm.baseRow,$E201="Tier 2",COUNTIF(Tables2!$B$166:$B$674,$C201)&gt;0,$D201&lt;24),
Error!$B$54,
IF(AND(_xlpm.baseRow,$E201="Tier 3",ISNA(MATCH($C201,Tables2!$B$153:$B$162,0)),OR($D201&lt;12,$D201&gt;=24)),
Error!$B$9,
IF(AND(_xlpm.baseRow,$E201="Tier 3",COUNTIF(Tables2!$B$153:$B$162,$C201)&gt;0,$D201&lt;12),
Error!$B$46,
IF(AND(_xlpm.baseRow,$E201="Tier 4",OR($D201&lt;6,$D201&gt;=12)),
Error!$B$10,
IF(AND(_xlpm.baseRow,$E201="&lt;6in DSH for Tree Points",OR($D201&gt;=6,$D201="")),
Error!$B$8,
IF(AND(_xlpm.baseRow,$E201="Street Tree for Green Factor",$F201&lt;&gt;"",$F201&lt;&gt;"Retain"),
Error!$B$14,
IF(AND($E201="&lt;6in DSH for Tree Points",$F201="Retain",$H201&lt;&gt;"",ISNA(MATCH($H201,Tables!$B$174:$B$174,0))),
Error!$B$15,
IF(AND($E201="Street Tree for Green Factor",$F201="Retain",$H201&lt;&gt;"",$H201&lt;&gt;"Zoning: Green Factor"),
Error!$B$15,
IF(AND($E201="ECA / Shoreline Tree",$F201="Remove",$H201&lt;&gt;"",ISNA(MATCH($H201,Tables!$B$189:$B$190,0))),
Error!$B$15,
IF(AND($E201="ECA / Shoreline Tree",$F201="Retain",$H201&lt;&gt;"",ISNA(MATCH($H201,Tables!$B$184:$B$186,0))),
Error!$B$15,
IF(AND($E201="Tier 4",$F201="Remove",$H201&lt;&gt;"",ISNA(MATCH($H201,Tables!$B$171,0))),
Error!$B$15,
IF(AND($E201="Tier 4",$F201="Retain",$H201&lt;&gt;"",ISNA(MATCH($H201,Tables!$B$166:$B$168,0))),
Error!$B$15,
IF(AND($E201="Tier 3",$F201="Retain",$H201&lt;&gt;"",ISNA(MATCH($H201,Tables!$B$158:$B$160,0))),
Error!$B$15,
IF(AND($E201="Tier 3",$F201="Remove",$H201&lt;&gt;"",ISNA(MATCH($H201,Tables!$B$163,0))),
Error!$B$15,
IF(AND(OR($E201="Tier 2",$E201="Tier 2 Grove"),$F201="Remove",$H201&lt;&gt;"",ISNA(MATCH($H201,Tables!$B$153:$B$155,0))),
Error!$B$15,
IF(AND(OR($E201="Tier 2",$E201="Tier 2 Grove"),$F201="Retain",$H201&lt;&gt;"",ISNA(MATCH($H201,Tables!$B$147:$B$150,0))),
Error!$B$15,
IF(AND($E201="Tier 1",$F201="Remove",$H201&lt;&gt;"",ISNA(MATCH($H201,Tables!$B$143:$B$144,0))),
Error!$B$15,
IF(AND($E201="Tier 1",$F201="Retain",$H201&lt;&gt;"",ISNA(MATCH($H201,Tables!$B$137:$B$140,0))),
Error!$B$15,
IF(AND($E201&lt;&gt;"Tier 2",$E201&lt;&gt;"Tier 2 Grove",$E201&lt;&gt;"Tier 3",$E201&lt;&gt;"Tier 4",$H201="Zoning: Green Factor",OR($D201="",$D201&lt;6)),
Error!$B$11,
IF(AND(_xlpm.baseRow,$D201&lt;6,$E201="&lt;6in DSH for Tree Points",_xlpm.TreePoints_H=0),
Error!$B$21,
IF(AND(_xlpm.baseRow,$E201&lt;&gt;"",$D201&lt;&gt;"",$F201=""),
Error!$B$4,
IF(AND(_xlpm.baseRow,$F201="Remove",OR($E201="Tier 1",$E201="Tier 2",$E201="Tier 2 Grove"),COUNTBLANK(_xlpm.HRange)&lt;3,_xlpm.uniqueH&gt;=2),
Error!$B$48,
IF(AND(_xlpm.baseRow,$F201="Retain",OR($E201="Tier 1",$E201="Tier 2",$E201="Tier 2 Grove"),COUNTIF(_xlpm.HRange,"Tree Code: Required to Retain Tier 1-2 Tree")=0),
Error!$B$47,
IF(AND(_xlpm.baseRow,$E201&lt;&gt;"",$D201&lt;&gt;"",$F201&lt;&gt;"",COUNTBLANK(_xlpm.HRange)=4),
Error!$B$5,
IF(AND($F201="Remove",$H201&lt;&gt;"",$I201=""),
Error!$B$18,
IF(AND($E201="Tier 4",$F201="Remove",$H201="Tree Protection Code: Tier 3 or Tier 4 Allowance",$H201&lt;&gt;"",ISNA(MATCH($I201,Tables!$B$200,0))),
Error!$B$17,
IF(AND($E201="Tier 3",$F201="Remove",$H201&lt;&gt;"",$H201="Tree Protection Code: Tier 3 or Tier 4 Allowance",OR($I201="",ISNA(MATCH($I201,Tables!$B$193:$B$197,0)))),
Error!$B$17,
IF(AND(OR($E201="Tier 2",$E201="Tier 2 Grove"),$F201="Remove",$H201="Tree Protection Code: Other removal allowance or exemption",$I201&lt;&gt;"",ISNA(MATCH($I201,Tables!$B$215:$B$218,0))),
Error!$B$17,
IF(AND(OR($E201="Tier 2",$E201="Tier 2 Grove"),$F201="Remove",$H201="Tree Protection Code: Development Capacity",$I201&lt;&gt;"",ISNA(MATCH($I201,Tables!$B$193:$B$197,0))),
Error!$B$17,
IF(AND(OR($E201="Tier 2",$E201="Tier 2 Grove"),$F201="Remove",$H201="Tree Protection Code: Necessary for Construction",$I201&lt;&gt;"",ISNA(MATCH($I201,Tables!$B$193:$B$197,0))),
Error!$B$17,
IF(AND($E201="Tier 1",$F201="Remove",$H201="Tree Protection Code: Special Exception",$I201&lt;&gt;"",ISNA(MATCH($I201,Tables!$B$215:$B$218,0))),
Error!$B$17,
IF(AND($E201="Tier 1",$F201="Remove",$H201="Tree Protection Code: Other removal allowance or exemption",$I201&lt;&gt;"",ISNA(MATCH($I201,Tables!$B$215:$B$218,0))),
Error!$B$17,
IF(AND($E201="ECA / Shoreline Tree",$F201="Remove",$H201&lt;&gt;"",OR($H201="Shoreline",$H201="Environmental Critical Area (ECA)"),ISNA(MATCH($I201,Tables!$B$209:$B$212,0))),
Error!$B$17,
IF(AND(_xlpm.baseRow,$F201="Retain",$E201="ECA / Shoreline Tree",_xlpm.ECA_Short=0),
Error!$B$61,
IF(AND($F201="Remove",ISNUMBER(MATCH($E201,{"Tier 1","Tier 2","Tier 3","Tier 4","Tier 2 Grove"},0)),ISNUMBER(MATCH($I201,{"On-site replacement","Off-site replacement"},0)),$J201="",$H201&lt;&gt;""),
Error!$B$19,
IF(AND(_xlpm.baseRow,$E201&lt;&gt;"",$D201&lt;&gt;"",$F201&lt;&gt;"",COUNTBLANK($B201:$C201)&gt;0,COUNTBLANK(_xlpm.HRange)&lt;&gt;4),
Error!$B$22,
IF(AND($H201="Zoning: Tree Points",$K201&lt;&gt;"",ISNA(MATCH($K201,Tables!$B$242:$B$253,0))),
Error!$B$58,
IF(AND($H201="Zoning: Tree Points",$K201="Small",$L201&lt;&gt;"",ISNA(MATCH($L201,Tables!$C$243:$C$244,0))),
Error!$B$59,
IF(AND($H201="Zoning: Tree Points",$K201="Small/Medium",$L201&lt;&gt;"",ISNA(MATCH($L201,Tables!$C$246:$C$247,0))),
Error!$B$59,
IF(AND($H201="Zoning: Tree Points",$K201="Medium/Large",$L201&lt;&gt;"",ISNA(MATCH($L201,Tables!$C$249:$C$250,0))),
Error!$B$59,
IF(AND($H201="Zoning: Tree Points",$K201="Large",$L201&lt;&gt;"",ISNA(MATCH($L201,Tables!$C$252:$C$253,0))),
Error!$B$59,
IF(AND($F201="Retain",$H201="Zoning: Tree Points",$C201&lt;&gt;"",$D201&lt;&gt;"",OR($K201="",$L201="",$M201="")),
Error!$B$20,
""
)))))))))))))))))))))))))))))))))))))))))))))))))))))))),
Error!$B$23))</f>
        <v/>
      </c>
      <c r="O201" s="343" t="str" cm="1">
        <f t="array" aca="1" ref="O201" ca="1">IFERROR(_xlfn.LET(
    _xlpm.txt, $C201,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02" spans="1:15" ht="15" thickBot="1" x14ac:dyDescent="0.35">
      <c r="A202" s="331"/>
      <c r="B202" s="616" t="str">
        <f t="shared" si="194"/>
        <v/>
      </c>
      <c r="C202" s="617" t="str">
        <f t="shared" si="195"/>
        <v/>
      </c>
      <c r="D202" s="618" t="str">
        <f t="shared" si="196"/>
        <v/>
      </c>
      <c r="E202" s="616" t="str">
        <f t="shared" si="197"/>
        <v/>
      </c>
      <c r="F202" s="616" t="str">
        <f t="shared" si="198"/>
        <v/>
      </c>
      <c r="G202" s="619" t="str">
        <f>IF(Tree_Table1[[#This Row],[Tree Status  &amp;]]="Retain", Tables!$B$237, IF(Tree_Table1[[#This Row],[Tree Status  &amp;]]="Remove", Tables!$B$238, ""))</f>
        <v/>
      </c>
      <c r="H202" s="329"/>
      <c r="I202" s="330"/>
      <c r="J202" s="455"/>
      <c r="K202" s="327" t="str">
        <f>IFERROR(
    IF(
        AND($H202="Zoning: Tree Points", NOT(ISNUMBER(SEARCH("sp.", $C202)))),
        VLOOKUP($C202, 'Tree List'!$C$3:$F$601, 4, FALSE),
        ""
    ),
"")</f>
        <v/>
      </c>
      <c r="L202" s="328" t="str" cm="1">
        <f t="array" ref="L202">IFERROR(
IF(
    AND($H202="Zoning: Tree Points", NOT(ISNUMBER(SEARCH("sp.", $C202)))),
    _xlfn.IFS(
        (COUNTIFS('Tree List'!$C$3:$C$601,$C202,'Tree List'!$D$3:$D$601,"Coniferous")
        + COUNTIFS('Tree List'!$C$3:$C$601,$C202,'Tree List'!$D$3:$D$601,"Deciduous Conifer")) &gt; 0,
            _xlfn.IFS($K202="Small",0.5,$K202="Small/Medium",1,$K202="Medium/Large",1.4,$K202="Large",1.8),
        (COUNTIFS('Tree List'!$C$3:$C$601,$C202,'Tree List'!$D$3:$D$601,"Deciduous")
        + COUNTIFS('Tree List'!$C$3:$C$601,$C202,'Tree List'!$D$3:$D$601,"Broadleaf Evergreen")) &gt; 0,
            _xlfn.IFS($K202="Small",0.4,$K202="Small/Medium",0.8,$K202="Medium/Large",1.2,$K202="Large",1.6)
    ),
    ""
),
"")</f>
        <v/>
      </c>
      <c r="M202" s="476" t="str">
        <f t="shared" si="168"/>
        <v/>
      </c>
      <c r="N202" s="347" t="str" cm="1">
        <f t="array" aca="1" ref="N20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IF(AND(_xlpm.baseRow,ISNA(MATCH($C202,'Tree List'!$C$3:$C$601,0)),SUMPRODUCT(--ISNUMBER(SEARCH(Tables2!$C$677:$C$772,$O202)))&gt;0),
Error!$B$57,
IF(AND(_xlpm.hasDM,$F202="Remove",$H202&lt;&gt;"",OR($I202="On-site replacement",$I202="Off-site replacement",$I202="Payment In Lieu")),
Error!$B$56,
IF(AND(_xlpm.hasDM,$F202="Remove",$H202&lt;&gt;"",$I202="Relocation"),
Error!$B$66,
IF(AND(OR(_xlpm.hasCN,_xlpm.hasPH,_xlpm.hasGR),$H202&lt;&gt;"",COUNTIF(Tables!$B$132:$B$134,$H202)&gt;0,$I202="N/A (No replacement required)"),
Error!$B$62,
IF(AND(_xlpm.baseRow,$E202&lt;&gt;"",ISNA(MATCH($E202,Tables!$B$225:$B$232,0))),
Error!$B$2,
IF(AND(_xlpm.baseRow,$F202&lt;&gt;"",ISNA(MATCH($F202,Tables!$B$234:$B$235,0))),
Error!$B$24,
IF(AND(_xlpm.baseRow,_xlpm.ECA_H&gt;0,_xlpm.Shore_H&gt;0),
Error!$B$16,
IF(AND(_xlpm.baseRow,$E202&lt;&gt;"",$D202=""),
Error!$B$3,
IF(AND(_xlpm.baseRow,OR($E202="Tier 3",$E202="Tier 4"),$C202&lt;&gt;"",$D202&gt;=24,COUNTIF(Tables2!$B$166:$B$674,$C202)&gt;0),
Error!$B$44,
IF(AND(_xlpm.baseRow,OR($E202="Tier 3",$E202="Tier 4"),$C202&lt;&gt;"",$D202&lt;&gt;"",COUNTIF(Tables2!$B$73:$B$152,$C202)&gt;0,
$D202&gt;=IFERROR(INDEX(Tables2!$C$73:$C$152,MATCH($C202,Tables2!$B$73:$B$152,0)),-1)),
Error!$B$44,
IF(AND(_xlpm.baseRow,OR($E202="Tier 2",$E202="Tier 2 Grove"),$C202&lt;&gt;"",$D202&gt;=12,COUNTIF(Tables2!$B$153:$B$162,$C202)&gt;0),
Error!$B$45,
IF(AND(_xlpm.baseRow,$E202="Tier 2 Grove",$D202&lt;12),
Error!$B$41,
IF(AND(_xlpm.baseRow,$E202="Tier 2",$D202&lt;5.88),
Error!$B$40,
IF(AND(_xlpm.baseRow,OR($E202="Tier 2",$E202="Tier 2 Grove"),$C202&lt;&gt;"",$D202&lt;12,$D202&gt;=6,COUNTIF(Tables2!$B$153:$B$162,$C202)&gt;0),
Error!$B$54,
IF(AND(_xlpm.baseRow,$E202="Tier 2",COUNTIF(Tables2!$B$166:$B$674,$C202)&gt;0,$D202&lt;24),
Error!$B$54,
IF(AND(_xlpm.baseRow,$E202="Tier 3",ISNA(MATCH($C202,Tables2!$B$153:$B$162,0)),OR($D202&lt;12,$D202&gt;=24)),
Error!$B$9,
IF(AND(_xlpm.baseRow,$E202="Tier 3",COUNTIF(Tables2!$B$153:$B$162,$C202)&gt;0,$D202&lt;12),
Error!$B$46,
IF(AND(_xlpm.baseRow,$E202="Tier 4",OR($D202&lt;6,$D202&gt;=12)),
Error!$B$10,
IF(AND(_xlpm.baseRow,$E202="&lt;6in DSH for Tree Points",OR($D202&gt;=6,$D202="")),
Error!$B$8,
IF(AND(_xlpm.baseRow,$E202="Street Tree for Green Factor",$F202&lt;&gt;"",$F202&lt;&gt;"Retain"),
Error!$B$14,
IF(AND($E202="&lt;6in DSH for Tree Points",$F202="Retain",$H202&lt;&gt;"",ISNA(MATCH($H202,Tables!$B$174:$B$174,0))),
Error!$B$15,
IF(AND($E202="Street Tree for Green Factor",$F202="Retain",$H202&lt;&gt;"",$H202&lt;&gt;"Zoning: Green Factor"),
Error!$B$15,
IF(AND($E202="ECA / Shoreline Tree",$F202="Remove",$H202&lt;&gt;"",ISNA(MATCH($H202,Tables!$B$189:$B$190,0))),
Error!$B$15,
IF(AND($E202="ECA / Shoreline Tree",$F202="Retain",$H202&lt;&gt;"",ISNA(MATCH($H202,Tables!$B$184:$B$186,0))),
Error!$B$15,
IF(AND($E202="Tier 4",$F202="Remove",$H202&lt;&gt;"",ISNA(MATCH($H202,Tables!$B$171,0))),
Error!$B$15,
IF(AND($E202="Tier 4",$F202="Retain",$H202&lt;&gt;"",ISNA(MATCH($H202,Tables!$B$166:$B$168,0))),
Error!$B$15,
IF(AND($E202="Tier 3",$F202="Retain",$H202&lt;&gt;"",ISNA(MATCH($H202,Tables!$B$158:$B$160,0))),
Error!$B$15,
IF(AND($E202="Tier 3",$F202="Remove",$H202&lt;&gt;"",ISNA(MATCH($H202,Tables!$B$163,0))),
Error!$B$15,
IF(AND(OR($E202="Tier 2",$E202="Tier 2 Grove"),$F202="Remove",$H202&lt;&gt;"",ISNA(MATCH($H202,Tables!$B$153:$B$155,0))),
Error!$B$15,
IF(AND(OR($E202="Tier 2",$E202="Tier 2 Grove"),$F202="Retain",$H202&lt;&gt;"",ISNA(MATCH($H202,Tables!$B$147:$B$150,0))),
Error!$B$15,
IF(AND($E202="Tier 1",$F202="Remove",$H202&lt;&gt;"",ISNA(MATCH($H202,Tables!$B$143:$B$144,0))),
Error!$B$15,
IF(AND($E202="Tier 1",$F202="Retain",$H202&lt;&gt;"",ISNA(MATCH($H202,Tables!$B$137:$B$140,0))),
Error!$B$15,
IF(AND($E202&lt;&gt;"Tier 2",$E202&lt;&gt;"Tier 2 Grove",$E202&lt;&gt;"Tier 3",$E202&lt;&gt;"Tier 4",$H202="Zoning: Green Factor",OR($D202="",$D202&lt;6)),
Error!$B$11,
IF(AND(_xlpm.baseRow,$D202&lt;6,$E202="&lt;6in DSH for Tree Points",_xlpm.TreePoints_H=0),
Error!$B$21,
IF(AND(_xlpm.baseRow,$E202&lt;&gt;"",$D202&lt;&gt;"",$F202=""),
Error!$B$4,
IF(AND(_xlpm.baseRow,$F202="Remove",OR($E202="Tier 1",$E202="Tier 2",$E202="Tier 2 Grove"),COUNTBLANK(_xlpm.HRange)&lt;3,_xlpm.uniqueH&gt;=2),
Error!$B$48,
IF(AND(_xlpm.baseRow,$F202="Retain",OR($E202="Tier 1",$E202="Tier 2",$E202="Tier 2 Grove"),COUNTIF(_xlpm.HRange,"Tree Code: Required to Retain Tier 1-2 Tree")=0),
Error!$B$47,
IF(AND(_xlpm.baseRow,$E202&lt;&gt;"",$D202&lt;&gt;"",$F202&lt;&gt;"",COUNTBLANK(_xlpm.HRange)=4),
Error!$B$5,
IF(AND($F202="Remove",$H202&lt;&gt;"",$I202=""),
Error!$B$18,
IF(AND($E202="Tier 4",$F202="Remove",$H202="Tree Protection Code: Tier 3 or Tier 4 Allowance",$H202&lt;&gt;"",ISNA(MATCH($I202,Tables!$B$200,0))),
Error!$B$17,
IF(AND($E202="Tier 3",$F202="Remove",$H202&lt;&gt;"",$H202="Tree Protection Code: Tier 3 or Tier 4 Allowance",OR($I202="",ISNA(MATCH($I202,Tables!$B$193:$B$197,0)))),
Error!$B$17,
IF(AND(OR($E202="Tier 2",$E202="Tier 2 Grove"),$F202="Remove",$H202="Tree Protection Code: Other removal allowance or exemption",$I202&lt;&gt;"",ISNA(MATCH($I202,Tables!$B$215:$B$218,0))),
Error!$B$17,
IF(AND(OR($E202="Tier 2",$E202="Tier 2 Grove"),$F202="Remove",$H202="Tree Protection Code: Development Capacity",$I202&lt;&gt;"",ISNA(MATCH($I202,Tables!$B$193:$B$197,0))),
Error!$B$17,
IF(AND(OR($E202="Tier 2",$E202="Tier 2 Grove"),$F202="Remove",$H202="Tree Protection Code: Necessary for Construction",$I202&lt;&gt;"",ISNA(MATCH($I202,Tables!$B$193:$B$197,0))),
Error!$B$17,
IF(AND($E202="Tier 1",$F202="Remove",$H202="Tree Protection Code: Special Exception",$I202&lt;&gt;"",ISNA(MATCH($I202,Tables!$B$215:$B$218,0))),
Error!$B$17,
IF(AND($E202="Tier 1",$F202="Remove",$H202="Tree Protection Code: Other removal allowance or exemption",$I202&lt;&gt;"",ISNA(MATCH($I202,Tables!$B$215:$B$218,0))),
Error!$B$17,
IF(AND($E202="ECA / Shoreline Tree",$F202="Remove",$H202&lt;&gt;"",OR($H202="Shoreline",$H202="Environmental Critical Area (ECA)"),ISNA(MATCH($I202,Tables!$B$209:$B$212,0))),
Error!$B$17,
IF(AND(_xlpm.baseRow,$F202="Retain",$E202="ECA / Shoreline Tree",_xlpm.ECA_Short=0),
Error!$B$61,
IF(AND($F202="Remove",ISNUMBER(MATCH($E202,{"Tier 1","Tier 2","Tier 3","Tier 4","Tier 2 Grove"},0)),ISNUMBER(MATCH($I202,{"On-site replacement","Off-site replacement"},0)),$J202="",$H202&lt;&gt;""),
Error!$B$19,
IF(AND(_xlpm.baseRow,$E202&lt;&gt;"",$D202&lt;&gt;"",$F202&lt;&gt;"",COUNTBLANK($B202:$C202)&gt;0,COUNTBLANK(_xlpm.HRange)&lt;&gt;4),
Error!$B$22,
IF(AND($H202="Zoning: Tree Points",$K202&lt;&gt;"",ISNA(MATCH($K202,Tables!$B$242:$B$253,0))),
Error!$B$58,
IF(AND($H202="Zoning: Tree Points",$K202="Small",$L202&lt;&gt;"",ISNA(MATCH($L202,Tables!$C$243:$C$244,0))),
Error!$B$59,
IF(AND($H202="Zoning: Tree Points",$K202="Small/Medium",$L202&lt;&gt;"",ISNA(MATCH($L202,Tables!$C$246:$C$247,0))),
Error!$B$59,
IF(AND($H202="Zoning: Tree Points",$K202="Medium/Large",$L202&lt;&gt;"",ISNA(MATCH($L202,Tables!$C$249:$C$250,0))),
Error!$B$59,
IF(AND($H202="Zoning: Tree Points",$K202="Large",$L202&lt;&gt;"",ISNA(MATCH($L202,Tables!$C$252:$C$253,0))),
Error!$B$59,
IF(AND($F202="Retain",$H202="Zoning: Tree Points",$C202&lt;&gt;"",$D202&lt;&gt;"",OR($K202="",$L202="",$M202="")),
Error!$B$20,
""
)))))))))))))))))))))))))))))))))))))))))))))))))))))))),
Error!$B$23))</f>
        <v/>
      </c>
      <c r="O202" s="343" t="str" cm="1">
        <f t="array" aca="1" ref="O202" ca="1">IFERROR(_xlfn.LET(
    _xlpm.txt, $C202,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03" spans="1:15" ht="15" thickBot="1" x14ac:dyDescent="0.35">
      <c r="A203" s="311">
        <v>49</v>
      </c>
      <c r="B203" s="312"/>
      <c r="C203" s="313"/>
      <c r="D203" s="478"/>
      <c r="E203" s="314"/>
      <c r="F203" s="314"/>
      <c r="G203" s="315" t="str">
        <f>IF(Tree_Table1[[#This Row],[Tree Status  &amp;]]="Retain", Tables!$B$237, IF(Tree_Table1[[#This Row],[Tree Status  &amp;]]="Remove", Tables!$B$238, ""))</f>
        <v/>
      </c>
      <c r="H203" s="316"/>
      <c r="I203" s="317"/>
      <c r="J203" s="452"/>
      <c r="K203" s="318" t="str">
        <f>IFERROR(
    IF(
        AND($H203="Zoning: Tree Points", NOT(ISNUMBER(SEARCH("sp.", $C203)))),
        VLOOKUP($C203, 'Tree List'!$C$3:$F$601, 4, FALSE),
        ""
    ),
"")</f>
        <v/>
      </c>
      <c r="L203" s="319" t="str" cm="1">
        <f t="array" ref="L203">IFERROR(
IF(
    AND($H203="Zoning: Tree Points", NOT(ISNUMBER(SEARCH("sp.", $C203)))),
    _xlfn.IFS(
        (COUNTIFS('Tree List'!$C$3:$C$601,$C203,'Tree List'!$D$3:$D$601,"Coniferous")
        + COUNTIFS('Tree List'!$C$3:$C$601,$C203,'Tree List'!$D$3:$D$601,"Deciduous Conifer")) &gt; 0,
            _xlfn.IFS($K203="Small",0.5,$K203="Small/Medium",1,$K203="Medium/Large",1.4,$K203="Large",1.8),
        (COUNTIFS('Tree List'!$C$3:$C$601,$C203,'Tree List'!$D$3:$D$601,"Deciduous")
        + COUNTIFS('Tree List'!$C$3:$C$601,$C203,'Tree List'!$D$3:$D$601,"Broadleaf Evergreen")) &gt; 0,
            _xlfn.IFS($K203="Small",0.4,$K203="Small/Medium",0.8,$K203="Medium/Large",1.2,$K203="Large",1.6)
    ),
    ""
),
"")</f>
        <v/>
      </c>
      <c r="M203" s="474" t="str">
        <f t="shared" si="168"/>
        <v/>
      </c>
      <c r="N203" s="620" t="str" cm="1">
        <f t="array" aca="1" ref="N20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IF(AND(_xlpm.baseRow,ISNA(MATCH($C203,'Tree List'!$C$3:$C$601,0)),SUMPRODUCT(--ISNUMBER(SEARCH(Tables2!$C$677:$C$772,$O203)))&gt;0),
Error!$B$57,
IF(AND(_xlpm.hasDM,$F203="Remove",$H203&lt;&gt;"",OR($I203="On-site replacement",$I203="Off-site replacement",$I203="Payment In Lieu")),
Error!$B$56,
IF(AND(_xlpm.hasDM,$F203="Remove",$H203&lt;&gt;"",$I203="Relocation"),
Error!$B$66,
IF(AND(OR(_xlpm.hasCN,_xlpm.hasPH,_xlpm.hasGR),$H203&lt;&gt;"",COUNTIF(Tables!$B$132:$B$134,$H203)&gt;0,$I203="N/A (No replacement required)"),
Error!$B$62,
IF(AND(_xlpm.baseRow,$E203&lt;&gt;"",ISNA(MATCH($E203,Tables!$B$225:$B$232,0))),
Error!$B$2,
IF(AND(_xlpm.baseRow,$F203&lt;&gt;"",ISNA(MATCH($F203,Tables!$B$234:$B$235,0))),
Error!$B$24,
IF(AND(_xlpm.baseRow,_xlpm.ECA_H&gt;0,_xlpm.Shore_H&gt;0),
Error!$B$16,
IF(AND(_xlpm.baseRow,$E203&lt;&gt;"",$D203=""),
Error!$B$3,
IF(AND(_xlpm.baseRow,OR($E203="Tier 3",$E203="Tier 4"),$C203&lt;&gt;"",$D203&gt;=24,COUNTIF(Tables2!$B$166:$B$674,$C203)&gt;0),
Error!$B$44,
IF(AND(_xlpm.baseRow,OR($E203="Tier 3",$E203="Tier 4"),$C203&lt;&gt;"",$D203&lt;&gt;"",COUNTIF(Tables2!$B$73:$B$152,$C203)&gt;0,
$D203&gt;=IFERROR(INDEX(Tables2!$C$73:$C$152,MATCH($C203,Tables2!$B$73:$B$152,0)),-1)),
Error!$B$44,
IF(AND(_xlpm.baseRow,OR($E203="Tier 2",$E203="Tier 2 Grove"),$C203&lt;&gt;"",$D203&gt;=12,COUNTIF(Tables2!$B$153:$B$162,$C203)&gt;0),
Error!$B$45,
IF(AND(_xlpm.baseRow,$E203="Tier 2 Grove",$D203&lt;12),
Error!$B$41,
IF(AND(_xlpm.baseRow,$E203="Tier 2",$D203&lt;5.88),
Error!$B$40,
IF(AND(_xlpm.baseRow,OR($E203="Tier 2",$E203="Tier 2 Grove"),$C203&lt;&gt;"",$D203&lt;12,$D203&gt;=6,COUNTIF(Tables2!$B$153:$B$162,$C203)&gt;0),
Error!$B$54,
IF(AND(_xlpm.baseRow,$E203="Tier 2",COUNTIF(Tables2!$B$166:$B$674,$C203)&gt;0,$D203&lt;24),
Error!$B$54,
IF(AND(_xlpm.baseRow,$E203="Tier 3",ISNA(MATCH($C203,Tables2!$B$153:$B$162,0)),OR($D203&lt;12,$D203&gt;=24)),
Error!$B$9,
IF(AND(_xlpm.baseRow,$E203="Tier 3",COUNTIF(Tables2!$B$153:$B$162,$C203)&gt;0,$D203&lt;12),
Error!$B$46,
IF(AND(_xlpm.baseRow,$E203="Tier 4",OR($D203&lt;6,$D203&gt;=12)),
Error!$B$10,
IF(AND(_xlpm.baseRow,$E203="&lt;6in DSH for Tree Points",OR($D203&gt;=6,$D203="")),
Error!$B$8,
IF(AND(_xlpm.baseRow,$E203="Street Tree for Green Factor",$F203&lt;&gt;"",$F203&lt;&gt;"Retain"),
Error!$B$14,
IF(AND($E203="&lt;6in DSH for Tree Points",$F203="Retain",$H203&lt;&gt;"",ISNA(MATCH($H203,Tables!$B$174:$B$174,0))),
Error!$B$15,
IF(AND($E203="Street Tree for Green Factor",$F203="Retain",$H203&lt;&gt;"",$H203&lt;&gt;"Zoning: Green Factor"),
Error!$B$15,
IF(AND($E203="ECA / Shoreline Tree",$F203="Remove",$H203&lt;&gt;"",ISNA(MATCH($H203,Tables!$B$189:$B$190,0))),
Error!$B$15,
IF(AND($E203="ECA / Shoreline Tree",$F203="Retain",$H203&lt;&gt;"",ISNA(MATCH($H203,Tables!$B$184:$B$186,0))),
Error!$B$15,
IF(AND($E203="Tier 4",$F203="Remove",$H203&lt;&gt;"",ISNA(MATCH($H203,Tables!$B$171,0))),
Error!$B$15,
IF(AND($E203="Tier 4",$F203="Retain",$H203&lt;&gt;"",ISNA(MATCH($H203,Tables!$B$166:$B$168,0))),
Error!$B$15,
IF(AND($E203="Tier 3",$F203="Retain",$H203&lt;&gt;"",ISNA(MATCH($H203,Tables!$B$158:$B$160,0))),
Error!$B$15,
IF(AND($E203="Tier 3",$F203="Remove",$H203&lt;&gt;"",ISNA(MATCH($H203,Tables!$B$163,0))),
Error!$B$15,
IF(AND(OR($E203="Tier 2",$E203="Tier 2 Grove"),$F203="Remove",$H203&lt;&gt;"",ISNA(MATCH($H203,Tables!$B$153:$B$155,0))),
Error!$B$15,
IF(AND(OR($E203="Tier 2",$E203="Tier 2 Grove"),$F203="Retain",$H203&lt;&gt;"",ISNA(MATCH($H203,Tables!$B$147:$B$150,0))),
Error!$B$15,
IF(AND($E203="Tier 1",$F203="Remove",$H203&lt;&gt;"",ISNA(MATCH($H203,Tables!$B$143:$B$144,0))),
Error!$B$15,
IF(AND($E203="Tier 1",$F203="Retain",$H203&lt;&gt;"",ISNA(MATCH($H203,Tables!$B$137:$B$140,0))),
Error!$B$15,
IF(AND($E203&lt;&gt;"Tier 2",$E203&lt;&gt;"Tier 2 Grove",$E203&lt;&gt;"Tier 3",$E203&lt;&gt;"Tier 4",$H203="Zoning: Green Factor",OR($D203="",$D203&lt;6)),
Error!$B$11,
IF(AND(_xlpm.baseRow,$D203&lt;6,$E203="&lt;6in DSH for Tree Points",_xlpm.TreePoints_H=0),
Error!$B$21,
IF(AND(_xlpm.baseRow,$E203&lt;&gt;"",$D203&lt;&gt;"",$F203=""),
Error!$B$4,
IF(AND(_xlpm.baseRow,$F203="Remove",OR($E203="Tier 1",$E203="Tier 2",$E203="Tier 2 Grove"),COUNTBLANK(_xlpm.HRange)&lt;3,_xlpm.uniqueH&gt;=2),
Error!$B$48,
IF(AND(_xlpm.baseRow,$F203="Retain",OR($E203="Tier 1",$E203="Tier 2",$E203="Tier 2 Grove"),COUNTIF(_xlpm.HRange,"Tree Code: Required to Retain Tier 1-2 Tree")=0),
Error!$B$47,
IF(AND(_xlpm.baseRow,$E203&lt;&gt;"",$D203&lt;&gt;"",$F203&lt;&gt;"",COUNTBLANK(_xlpm.HRange)=4),
Error!$B$5,
IF(AND($F203="Remove",$H203&lt;&gt;"",$I203=""),
Error!$B$18,
IF(AND($E203="Tier 4",$F203="Remove",$H203="Tree Protection Code: Tier 3 or Tier 4 Allowance",$H203&lt;&gt;"",ISNA(MATCH($I203,Tables!$B$200,0))),
Error!$B$17,
IF(AND($E203="Tier 3",$F203="Remove",$H203&lt;&gt;"",$H203="Tree Protection Code: Tier 3 or Tier 4 Allowance",OR($I203="",ISNA(MATCH($I203,Tables!$B$193:$B$197,0)))),
Error!$B$17,
IF(AND(OR($E203="Tier 2",$E203="Tier 2 Grove"),$F203="Remove",$H203="Tree Protection Code: Other removal allowance or exemption",$I203&lt;&gt;"",ISNA(MATCH($I203,Tables!$B$215:$B$218,0))),
Error!$B$17,
IF(AND(OR($E203="Tier 2",$E203="Tier 2 Grove"),$F203="Remove",$H203="Tree Protection Code: Development Capacity",$I203&lt;&gt;"",ISNA(MATCH($I203,Tables!$B$193:$B$197,0))),
Error!$B$17,
IF(AND(OR($E203="Tier 2",$E203="Tier 2 Grove"),$F203="Remove",$H203="Tree Protection Code: Necessary for Construction",$I203&lt;&gt;"",ISNA(MATCH($I203,Tables!$B$193:$B$197,0))),
Error!$B$17,
IF(AND($E203="Tier 1",$F203="Remove",$H203="Tree Protection Code: Special Exception",$I203&lt;&gt;"",ISNA(MATCH($I203,Tables!$B$215:$B$218,0))),
Error!$B$17,
IF(AND($E203="Tier 1",$F203="Remove",$H203="Tree Protection Code: Other removal allowance or exemption",$I203&lt;&gt;"",ISNA(MATCH($I203,Tables!$B$215:$B$218,0))),
Error!$B$17,
IF(AND($E203="ECA / Shoreline Tree",$F203="Remove",$H203&lt;&gt;"",OR($H203="Shoreline",$H203="Environmental Critical Area (ECA)"),ISNA(MATCH($I203,Tables!$B$209:$B$212,0))),
Error!$B$17,
IF(AND(_xlpm.baseRow,$F203="Retain",$E203="ECA / Shoreline Tree",_xlpm.ECA_Short=0),
Error!$B$61,
IF(AND($F203="Remove",ISNUMBER(MATCH($E203,{"Tier 1","Tier 2","Tier 3","Tier 4","Tier 2 Grove"},0)),ISNUMBER(MATCH($I203,{"On-site replacement","Off-site replacement"},0)),$J203="",$H203&lt;&gt;""),
Error!$B$19,
IF(AND(_xlpm.baseRow,$E203&lt;&gt;"",$D203&lt;&gt;"",$F203&lt;&gt;"",COUNTBLANK($B203:$C203)&gt;0,COUNTBLANK(_xlpm.HRange)&lt;&gt;4),
Error!$B$22,
IF(AND($H203="Zoning: Tree Points",$K203&lt;&gt;"",ISNA(MATCH($K203,Tables!$B$242:$B$253,0))),
Error!$B$58,
IF(AND($H203="Zoning: Tree Points",$K203="Small",$L203&lt;&gt;"",ISNA(MATCH($L203,Tables!$C$243:$C$244,0))),
Error!$B$59,
IF(AND($H203="Zoning: Tree Points",$K203="Small/Medium",$L203&lt;&gt;"",ISNA(MATCH($L203,Tables!$C$246:$C$247,0))),
Error!$B$59,
IF(AND($H203="Zoning: Tree Points",$K203="Medium/Large",$L203&lt;&gt;"",ISNA(MATCH($L203,Tables!$C$249:$C$250,0))),
Error!$B$59,
IF(AND($H203="Zoning: Tree Points",$K203="Large",$L203&lt;&gt;"",ISNA(MATCH($L203,Tables!$C$252:$C$253,0))),
Error!$B$59,
IF(AND($F203="Retain",$H203="Zoning: Tree Points",$C203&lt;&gt;"",$D203&lt;&gt;"",OR($K203="",$L203="",$M203="")),
Error!$B$20,
""
)))))))))))))))))))))))))))))))))))))))))))))))))))))))),
Error!$B$23))</f>
        <v/>
      </c>
      <c r="O203" s="343" t="str" cm="1">
        <f t="array" aca="1" ref="O203" ca="1">IFERROR(_xlfn.LET(
    _xlpm.txt, $C203,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04" spans="1:15" x14ac:dyDescent="0.3">
      <c r="A204" s="320"/>
      <c r="B204" s="616" t="str">
        <f t="shared" ref="B204:B206" si="199">IF($B203="", "", $B203)</f>
        <v/>
      </c>
      <c r="C204" s="617" t="str">
        <f t="shared" ref="C204:C206" si="200">IF($C203="", "", $C203)</f>
        <v/>
      </c>
      <c r="D204" s="618" t="str">
        <f t="shared" ref="D204:D206" si="201">IF($D203="", "", $D203)</f>
        <v/>
      </c>
      <c r="E204" s="616" t="str">
        <f t="shared" ref="E204:E206" si="202">IF($E203="", "", $E203)</f>
        <v/>
      </c>
      <c r="F204" s="616" t="str">
        <f t="shared" ref="F204:F206" si="203">IF($F203="", "", $F203)</f>
        <v/>
      </c>
      <c r="G204" s="619" t="str">
        <f>IF(Tree_Table1[[#This Row],[Tree Status  &amp;]]="Retain", Tables!$B$237, IF(Tree_Table1[[#This Row],[Tree Status  &amp;]]="Remove", Tables!$B$238, ""))</f>
        <v/>
      </c>
      <c r="H204" s="321"/>
      <c r="I204" s="322"/>
      <c r="J204" s="453"/>
      <c r="K204" s="323" t="str">
        <f>IFERROR(
    IF(
        AND($H204="Zoning: Tree Points", NOT(ISNUMBER(SEARCH("sp.", $C204)))),
        VLOOKUP($C204, 'Tree List'!$C$3:$F$601, 4, FALSE),
        ""
    ),
"")</f>
        <v/>
      </c>
      <c r="L204" s="324" t="str" cm="1">
        <f t="array" ref="L204">IFERROR(
IF(
    AND($H204="Zoning: Tree Points", NOT(ISNUMBER(SEARCH("sp.", $C204)))),
    _xlfn.IFS(
        (COUNTIFS('Tree List'!$C$3:$C$601,$C204,'Tree List'!$D$3:$D$601,"Coniferous")
        + COUNTIFS('Tree List'!$C$3:$C$601,$C204,'Tree List'!$D$3:$D$601,"Deciduous Conifer")) &gt; 0,
            _xlfn.IFS($K204="Small",0.5,$K204="Small/Medium",1,$K204="Medium/Large",1.4,$K204="Large",1.8),
        (COUNTIFS('Tree List'!$C$3:$C$601,$C204,'Tree List'!$D$3:$D$601,"Deciduous")
        + COUNTIFS('Tree List'!$C$3:$C$601,$C204,'Tree List'!$D$3:$D$601,"Broadleaf Evergreen")) &gt; 0,
            _xlfn.IFS($K204="Small",0.4,$K204="Small/Medium",0.8,$K204="Medium/Large",1.2,$K204="Large",1.6)
    ),
    ""
),
"")</f>
        <v/>
      </c>
      <c r="M204" s="475" t="str">
        <f t="shared" si="168"/>
        <v/>
      </c>
      <c r="N204" s="346" t="str" cm="1">
        <f t="array" aca="1" ref="N20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IF(AND(_xlpm.baseRow,ISNA(MATCH($C204,'Tree List'!$C$3:$C$601,0)),SUMPRODUCT(--ISNUMBER(SEARCH(Tables2!$C$677:$C$772,$O204)))&gt;0),
Error!$B$57,
IF(AND(_xlpm.hasDM,$F204="Remove",$H204&lt;&gt;"",OR($I204="On-site replacement",$I204="Off-site replacement",$I204="Payment In Lieu")),
Error!$B$56,
IF(AND(_xlpm.hasDM,$F204="Remove",$H204&lt;&gt;"",$I204="Relocation"),
Error!$B$66,
IF(AND(OR(_xlpm.hasCN,_xlpm.hasPH,_xlpm.hasGR),$H204&lt;&gt;"",COUNTIF(Tables!$B$132:$B$134,$H204)&gt;0,$I204="N/A (No replacement required)"),
Error!$B$62,
IF(AND(_xlpm.baseRow,$E204&lt;&gt;"",ISNA(MATCH($E204,Tables!$B$225:$B$232,0))),
Error!$B$2,
IF(AND(_xlpm.baseRow,$F204&lt;&gt;"",ISNA(MATCH($F204,Tables!$B$234:$B$235,0))),
Error!$B$24,
IF(AND(_xlpm.baseRow,_xlpm.ECA_H&gt;0,_xlpm.Shore_H&gt;0),
Error!$B$16,
IF(AND(_xlpm.baseRow,$E204&lt;&gt;"",$D204=""),
Error!$B$3,
IF(AND(_xlpm.baseRow,OR($E204="Tier 3",$E204="Tier 4"),$C204&lt;&gt;"",$D204&gt;=24,COUNTIF(Tables2!$B$166:$B$674,$C204)&gt;0),
Error!$B$44,
IF(AND(_xlpm.baseRow,OR($E204="Tier 3",$E204="Tier 4"),$C204&lt;&gt;"",$D204&lt;&gt;"",COUNTIF(Tables2!$B$73:$B$152,$C204)&gt;0,
$D204&gt;=IFERROR(INDEX(Tables2!$C$73:$C$152,MATCH($C204,Tables2!$B$73:$B$152,0)),-1)),
Error!$B$44,
IF(AND(_xlpm.baseRow,OR($E204="Tier 2",$E204="Tier 2 Grove"),$C204&lt;&gt;"",$D204&gt;=12,COUNTIF(Tables2!$B$153:$B$162,$C204)&gt;0),
Error!$B$45,
IF(AND(_xlpm.baseRow,$E204="Tier 2 Grove",$D204&lt;12),
Error!$B$41,
IF(AND(_xlpm.baseRow,$E204="Tier 2",$D204&lt;5.88),
Error!$B$40,
IF(AND(_xlpm.baseRow,OR($E204="Tier 2",$E204="Tier 2 Grove"),$C204&lt;&gt;"",$D204&lt;12,$D204&gt;=6,COUNTIF(Tables2!$B$153:$B$162,$C204)&gt;0),
Error!$B$54,
IF(AND(_xlpm.baseRow,$E204="Tier 2",COUNTIF(Tables2!$B$166:$B$674,$C204)&gt;0,$D204&lt;24),
Error!$B$54,
IF(AND(_xlpm.baseRow,$E204="Tier 3",ISNA(MATCH($C204,Tables2!$B$153:$B$162,0)),OR($D204&lt;12,$D204&gt;=24)),
Error!$B$9,
IF(AND(_xlpm.baseRow,$E204="Tier 3",COUNTIF(Tables2!$B$153:$B$162,$C204)&gt;0,$D204&lt;12),
Error!$B$46,
IF(AND(_xlpm.baseRow,$E204="Tier 4",OR($D204&lt;6,$D204&gt;=12)),
Error!$B$10,
IF(AND(_xlpm.baseRow,$E204="&lt;6in DSH for Tree Points",OR($D204&gt;=6,$D204="")),
Error!$B$8,
IF(AND(_xlpm.baseRow,$E204="Street Tree for Green Factor",$F204&lt;&gt;"",$F204&lt;&gt;"Retain"),
Error!$B$14,
IF(AND($E204="&lt;6in DSH for Tree Points",$F204="Retain",$H204&lt;&gt;"",ISNA(MATCH($H204,Tables!$B$174:$B$174,0))),
Error!$B$15,
IF(AND($E204="Street Tree for Green Factor",$F204="Retain",$H204&lt;&gt;"",$H204&lt;&gt;"Zoning: Green Factor"),
Error!$B$15,
IF(AND($E204="ECA / Shoreline Tree",$F204="Remove",$H204&lt;&gt;"",ISNA(MATCH($H204,Tables!$B$189:$B$190,0))),
Error!$B$15,
IF(AND($E204="ECA / Shoreline Tree",$F204="Retain",$H204&lt;&gt;"",ISNA(MATCH($H204,Tables!$B$184:$B$186,0))),
Error!$B$15,
IF(AND($E204="Tier 4",$F204="Remove",$H204&lt;&gt;"",ISNA(MATCH($H204,Tables!$B$171,0))),
Error!$B$15,
IF(AND($E204="Tier 4",$F204="Retain",$H204&lt;&gt;"",ISNA(MATCH($H204,Tables!$B$166:$B$168,0))),
Error!$B$15,
IF(AND($E204="Tier 3",$F204="Retain",$H204&lt;&gt;"",ISNA(MATCH($H204,Tables!$B$158:$B$160,0))),
Error!$B$15,
IF(AND($E204="Tier 3",$F204="Remove",$H204&lt;&gt;"",ISNA(MATCH($H204,Tables!$B$163,0))),
Error!$B$15,
IF(AND(OR($E204="Tier 2",$E204="Tier 2 Grove"),$F204="Remove",$H204&lt;&gt;"",ISNA(MATCH($H204,Tables!$B$153:$B$155,0))),
Error!$B$15,
IF(AND(OR($E204="Tier 2",$E204="Tier 2 Grove"),$F204="Retain",$H204&lt;&gt;"",ISNA(MATCH($H204,Tables!$B$147:$B$150,0))),
Error!$B$15,
IF(AND($E204="Tier 1",$F204="Remove",$H204&lt;&gt;"",ISNA(MATCH($H204,Tables!$B$143:$B$144,0))),
Error!$B$15,
IF(AND($E204="Tier 1",$F204="Retain",$H204&lt;&gt;"",ISNA(MATCH($H204,Tables!$B$137:$B$140,0))),
Error!$B$15,
IF(AND($E204&lt;&gt;"Tier 2",$E204&lt;&gt;"Tier 2 Grove",$E204&lt;&gt;"Tier 3",$E204&lt;&gt;"Tier 4",$H204="Zoning: Green Factor",OR($D204="",$D204&lt;6)),
Error!$B$11,
IF(AND(_xlpm.baseRow,$D204&lt;6,$E204="&lt;6in DSH for Tree Points",_xlpm.TreePoints_H=0),
Error!$B$21,
IF(AND(_xlpm.baseRow,$E204&lt;&gt;"",$D204&lt;&gt;"",$F204=""),
Error!$B$4,
IF(AND(_xlpm.baseRow,$F204="Remove",OR($E204="Tier 1",$E204="Tier 2",$E204="Tier 2 Grove"),COUNTBLANK(_xlpm.HRange)&lt;3,_xlpm.uniqueH&gt;=2),
Error!$B$48,
IF(AND(_xlpm.baseRow,$F204="Retain",OR($E204="Tier 1",$E204="Tier 2",$E204="Tier 2 Grove"),COUNTIF(_xlpm.HRange,"Tree Code: Required to Retain Tier 1-2 Tree")=0),
Error!$B$47,
IF(AND(_xlpm.baseRow,$E204&lt;&gt;"",$D204&lt;&gt;"",$F204&lt;&gt;"",COUNTBLANK(_xlpm.HRange)=4),
Error!$B$5,
IF(AND($F204="Remove",$H204&lt;&gt;"",$I204=""),
Error!$B$18,
IF(AND($E204="Tier 4",$F204="Remove",$H204="Tree Protection Code: Tier 3 or Tier 4 Allowance",$H204&lt;&gt;"",ISNA(MATCH($I204,Tables!$B$200,0))),
Error!$B$17,
IF(AND($E204="Tier 3",$F204="Remove",$H204&lt;&gt;"",$H204="Tree Protection Code: Tier 3 or Tier 4 Allowance",OR($I204="",ISNA(MATCH($I204,Tables!$B$193:$B$197,0)))),
Error!$B$17,
IF(AND(OR($E204="Tier 2",$E204="Tier 2 Grove"),$F204="Remove",$H204="Tree Protection Code: Other removal allowance or exemption",$I204&lt;&gt;"",ISNA(MATCH($I204,Tables!$B$215:$B$218,0))),
Error!$B$17,
IF(AND(OR($E204="Tier 2",$E204="Tier 2 Grove"),$F204="Remove",$H204="Tree Protection Code: Development Capacity",$I204&lt;&gt;"",ISNA(MATCH($I204,Tables!$B$193:$B$197,0))),
Error!$B$17,
IF(AND(OR($E204="Tier 2",$E204="Tier 2 Grove"),$F204="Remove",$H204="Tree Protection Code: Necessary for Construction",$I204&lt;&gt;"",ISNA(MATCH($I204,Tables!$B$193:$B$197,0))),
Error!$B$17,
IF(AND($E204="Tier 1",$F204="Remove",$H204="Tree Protection Code: Special Exception",$I204&lt;&gt;"",ISNA(MATCH($I204,Tables!$B$215:$B$218,0))),
Error!$B$17,
IF(AND($E204="Tier 1",$F204="Remove",$H204="Tree Protection Code: Other removal allowance or exemption",$I204&lt;&gt;"",ISNA(MATCH($I204,Tables!$B$215:$B$218,0))),
Error!$B$17,
IF(AND($E204="ECA / Shoreline Tree",$F204="Remove",$H204&lt;&gt;"",OR($H204="Shoreline",$H204="Environmental Critical Area (ECA)"),ISNA(MATCH($I204,Tables!$B$209:$B$212,0))),
Error!$B$17,
IF(AND(_xlpm.baseRow,$F204="Retain",$E204="ECA / Shoreline Tree",_xlpm.ECA_Short=0),
Error!$B$61,
IF(AND($F204="Remove",ISNUMBER(MATCH($E204,{"Tier 1","Tier 2","Tier 3","Tier 4","Tier 2 Grove"},0)),ISNUMBER(MATCH($I204,{"On-site replacement","Off-site replacement"},0)),$J204="",$H204&lt;&gt;""),
Error!$B$19,
IF(AND(_xlpm.baseRow,$E204&lt;&gt;"",$D204&lt;&gt;"",$F204&lt;&gt;"",COUNTBLANK($B204:$C204)&gt;0,COUNTBLANK(_xlpm.HRange)&lt;&gt;4),
Error!$B$22,
IF(AND($H204="Zoning: Tree Points",$K204&lt;&gt;"",ISNA(MATCH($K204,Tables!$B$242:$B$253,0))),
Error!$B$58,
IF(AND($H204="Zoning: Tree Points",$K204="Small",$L204&lt;&gt;"",ISNA(MATCH($L204,Tables!$C$243:$C$244,0))),
Error!$B$59,
IF(AND($H204="Zoning: Tree Points",$K204="Small/Medium",$L204&lt;&gt;"",ISNA(MATCH($L204,Tables!$C$246:$C$247,0))),
Error!$B$59,
IF(AND($H204="Zoning: Tree Points",$K204="Medium/Large",$L204&lt;&gt;"",ISNA(MATCH($L204,Tables!$C$249:$C$250,0))),
Error!$B$59,
IF(AND($H204="Zoning: Tree Points",$K204="Large",$L204&lt;&gt;"",ISNA(MATCH($L204,Tables!$C$252:$C$253,0))),
Error!$B$59,
IF(AND($F204="Retain",$H204="Zoning: Tree Points",$C204&lt;&gt;"",$D204&lt;&gt;"",OR($K204="",$L204="",$M204="")),
Error!$B$20,
""
)))))))))))))))))))))))))))))))))))))))))))))))))))))))),
Error!$B$23))</f>
        <v/>
      </c>
      <c r="O204" s="343" t="str" cm="1">
        <f t="array" aca="1" ref="O204" ca="1">IFERROR(_xlfn.LET(
    _xlpm.txt, $C204,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05" spans="1:15" x14ac:dyDescent="0.3">
      <c r="A205" s="320"/>
      <c r="B205" s="616" t="str">
        <f t="shared" si="199"/>
        <v/>
      </c>
      <c r="C205" s="617" t="str">
        <f t="shared" si="200"/>
        <v/>
      </c>
      <c r="D205" s="618" t="str">
        <f t="shared" si="201"/>
        <v/>
      </c>
      <c r="E205" s="616" t="str">
        <f t="shared" si="202"/>
        <v/>
      </c>
      <c r="F205" s="616" t="str">
        <f t="shared" si="203"/>
        <v/>
      </c>
      <c r="G205" s="619" t="str">
        <f>IF(Tree_Table1[[#This Row],[Tree Status  &amp;]]="Retain", Tables!$B$237, IF(Tree_Table1[[#This Row],[Tree Status  &amp;]]="Remove", Tables!$B$238, ""))</f>
        <v/>
      </c>
      <c r="H205" s="321"/>
      <c r="I205" s="322"/>
      <c r="J205" s="453"/>
      <c r="K205" s="323" t="str">
        <f>IFERROR(
    IF(
        AND($H205="Zoning: Tree Points", NOT(ISNUMBER(SEARCH("sp.", $C205)))),
        VLOOKUP($C205, 'Tree List'!$C$3:$F$601, 4, FALSE),
        ""
    ),
"")</f>
        <v/>
      </c>
      <c r="L205" s="324" t="str" cm="1">
        <f t="array" ref="L205">IFERROR(
IF(
    AND($H205="Zoning: Tree Points", NOT(ISNUMBER(SEARCH("sp.", $C205)))),
    _xlfn.IFS(
        (COUNTIFS('Tree List'!$C$3:$C$601,$C205,'Tree List'!$D$3:$D$601,"Coniferous")
        + COUNTIFS('Tree List'!$C$3:$C$601,$C205,'Tree List'!$D$3:$D$601,"Deciduous Conifer")) &gt; 0,
            _xlfn.IFS($K205="Small",0.5,$K205="Small/Medium",1,$K205="Medium/Large",1.4,$K205="Large",1.8),
        (COUNTIFS('Tree List'!$C$3:$C$601,$C205,'Tree List'!$D$3:$D$601,"Deciduous")
        + COUNTIFS('Tree List'!$C$3:$C$601,$C205,'Tree List'!$D$3:$D$601,"Broadleaf Evergreen")) &gt; 0,
            _xlfn.IFS($K205="Small",0.4,$K205="Small/Medium",0.8,$K205="Medium/Large",1.2,$K205="Large",1.6)
    ),
    ""
),
"")</f>
        <v/>
      </c>
      <c r="M205" s="475" t="str">
        <f t="shared" si="168"/>
        <v/>
      </c>
      <c r="N205" s="346" t="str" cm="1">
        <f t="array" aca="1" ref="N20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IF(AND(_xlpm.baseRow,ISNA(MATCH($C205,'Tree List'!$C$3:$C$601,0)),SUMPRODUCT(--ISNUMBER(SEARCH(Tables2!$C$677:$C$772,$O205)))&gt;0),
Error!$B$57,
IF(AND(_xlpm.hasDM,$F205="Remove",$H205&lt;&gt;"",OR($I205="On-site replacement",$I205="Off-site replacement",$I205="Payment In Lieu")),
Error!$B$56,
IF(AND(_xlpm.hasDM,$F205="Remove",$H205&lt;&gt;"",$I205="Relocation"),
Error!$B$66,
IF(AND(OR(_xlpm.hasCN,_xlpm.hasPH,_xlpm.hasGR),$H205&lt;&gt;"",COUNTIF(Tables!$B$132:$B$134,$H205)&gt;0,$I205="N/A (No replacement required)"),
Error!$B$62,
IF(AND(_xlpm.baseRow,$E205&lt;&gt;"",ISNA(MATCH($E205,Tables!$B$225:$B$232,0))),
Error!$B$2,
IF(AND(_xlpm.baseRow,$F205&lt;&gt;"",ISNA(MATCH($F205,Tables!$B$234:$B$235,0))),
Error!$B$24,
IF(AND(_xlpm.baseRow,_xlpm.ECA_H&gt;0,_xlpm.Shore_H&gt;0),
Error!$B$16,
IF(AND(_xlpm.baseRow,$E205&lt;&gt;"",$D205=""),
Error!$B$3,
IF(AND(_xlpm.baseRow,OR($E205="Tier 3",$E205="Tier 4"),$C205&lt;&gt;"",$D205&gt;=24,COUNTIF(Tables2!$B$166:$B$674,$C205)&gt;0),
Error!$B$44,
IF(AND(_xlpm.baseRow,OR($E205="Tier 3",$E205="Tier 4"),$C205&lt;&gt;"",$D205&lt;&gt;"",COUNTIF(Tables2!$B$73:$B$152,$C205)&gt;0,
$D205&gt;=IFERROR(INDEX(Tables2!$C$73:$C$152,MATCH($C205,Tables2!$B$73:$B$152,0)),-1)),
Error!$B$44,
IF(AND(_xlpm.baseRow,OR($E205="Tier 2",$E205="Tier 2 Grove"),$C205&lt;&gt;"",$D205&gt;=12,COUNTIF(Tables2!$B$153:$B$162,$C205)&gt;0),
Error!$B$45,
IF(AND(_xlpm.baseRow,$E205="Tier 2 Grove",$D205&lt;12),
Error!$B$41,
IF(AND(_xlpm.baseRow,$E205="Tier 2",$D205&lt;5.88),
Error!$B$40,
IF(AND(_xlpm.baseRow,OR($E205="Tier 2",$E205="Tier 2 Grove"),$C205&lt;&gt;"",$D205&lt;12,$D205&gt;=6,COUNTIF(Tables2!$B$153:$B$162,$C205)&gt;0),
Error!$B$54,
IF(AND(_xlpm.baseRow,$E205="Tier 2",COUNTIF(Tables2!$B$166:$B$674,$C205)&gt;0,$D205&lt;24),
Error!$B$54,
IF(AND(_xlpm.baseRow,$E205="Tier 3",ISNA(MATCH($C205,Tables2!$B$153:$B$162,0)),OR($D205&lt;12,$D205&gt;=24)),
Error!$B$9,
IF(AND(_xlpm.baseRow,$E205="Tier 3",COUNTIF(Tables2!$B$153:$B$162,$C205)&gt;0,$D205&lt;12),
Error!$B$46,
IF(AND(_xlpm.baseRow,$E205="Tier 4",OR($D205&lt;6,$D205&gt;=12)),
Error!$B$10,
IF(AND(_xlpm.baseRow,$E205="&lt;6in DSH for Tree Points",OR($D205&gt;=6,$D205="")),
Error!$B$8,
IF(AND(_xlpm.baseRow,$E205="Street Tree for Green Factor",$F205&lt;&gt;"",$F205&lt;&gt;"Retain"),
Error!$B$14,
IF(AND($E205="&lt;6in DSH for Tree Points",$F205="Retain",$H205&lt;&gt;"",ISNA(MATCH($H205,Tables!$B$174:$B$174,0))),
Error!$B$15,
IF(AND($E205="Street Tree for Green Factor",$F205="Retain",$H205&lt;&gt;"",$H205&lt;&gt;"Zoning: Green Factor"),
Error!$B$15,
IF(AND($E205="ECA / Shoreline Tree",$F205="Remove",$H205&lt;&gt;"",ISNA(MATCH($H205,Tables!$B$189:$B$190,0))),
Error!$B$15,
IF(AND($E205="ECA / Shoreline Tree",$F205="Retain",$H205&lt;&gt;"",ISNA(MATCH($H205,Tables!$B$184:$B$186,0))),
Error!$B$15,
IF(AND($E205="Tier 4",$F205="Remove",$H205&lt;&gt;"",ISNA(MATCH($H205,Tables!$B$171,0))),
Error!$B$15,
IF(AND($E205="Tier 4",$F205="Retain",$H205&lt;&gt;"",ISNA(MATCH($H205,Tables!$B$166:$B$168,0))),
Error!$B$15,
IF(AND($E205="Tier 3",$F205="Retain",$H205&lt;&gt;"",ISNA(MATCH($H205,Tables!$B$158:$B$160,0))),
Error!$B$15,
IF(AND($E205="Tier 3",$F205="Remove",$H205&lt;&gt;"",ISNA(MATCH($H205,Tables!$B$163,0))),
Error!$B$15,
IF(AND(OR($E205="Tier 2",$E205="Tier 2 Grove"),$F205="Remove",$H205&lt;&gt;"",ISNA(MATCH($H205,Tables!$B$153:$B$155,0))),
Error!$B$15,
IF(AND(OR($E205="Tier 2",$E205="Tier 2 Grove"),$F205="Retain",$H205&lt;&gt;"",ISNA(MATCH($H205,Tables!$B$147:$B$150,0))),
Error!$B$15,
IF(AND($E205="Tier 1",$F205="Remove",$H205&lt;&gt;"",ISNA(MATCH($H205,Tables!$B$143:$B$144,0))),
Error!$B$15,
IF(AND($E205="Tier 1",$F205="Retain",$H205&lt;&gt;"",ISNA(MATCH($H205,Tables!$B$137:$B$140,0))),
Error!$B$15,
IF(AND($E205&lt;&gt;"Tier 2",$E205&lt;&gt;"Tier 2 Grove",$E205&lt;&gt;"Tier 3",$E205&lt;&gt;"Tier 4",$H205="Zoning: Green Factor",OR($D205="",$D205&lt;6)),
Error!$B$11,
IF(AND(_xlpm.baseRow,$D205&lt;6,$E205="&lt;6in DSH for Tree Points",_xlpm.TreePoints_H=0),
Error!$B$21,
IF(AND(_xlpm.baseRow,$E205&lt;&gt;"",$D205&lt;&gt;"",$F205=""),
Error!$B$4,
IF(AND(_xlpm.baseRow,$F205="Remove",OR($E205="Tier 1",$E205="Tier 2",$E205="Tier 2 Grove"),COUNTBLANK(_xlpm.HRange)&lt;3,_xlpm.uniqueH&gt;=2),
Error!$B$48,
IF(AND(_xlpm.baseRow,$F205="Retain",OR($E205="Tier 1",$E205="Tier 2",$E205="Tier 2 Grove"),COUNTIF(_xlpm.HRange,"Tree Code: Required to Retain Tier 1-2 Tree")=0),
Error!$B$47,
IF(AND(_xlpm.baseRow,$E205&lt;&gt;"",$D205&lt;&gt;"",$F205&lt;&gt;"",COUNTBLANK(_xlpm.HRange)=4),
Error!$B$5,
IF(AND($F205="Remove",$H205&lt;&gt;"",$I205=""),
Error!$B$18,
IF(AND($E205="Tier 4",$F205="Remove",$H205="Tree Protection Code: Tier 3 or Tier 4 Allowance",$H205&lt;&gt;"",ISNA(MATCH($I205,Tables!$B$200,0))),
Error!$B$17,
IF(AND($E205="Tier 3",$F205="Remove",$H205&lt;&gt;"",$H205="Tree Protection Code: Tier 3 or Tier 4 Allowance",OR($I205="",ISNA(MATCH($I205,Tables!$B$193:$B$197,0)))),
Error!$B$17,
IF(AND(OR($E205="Tier 2",$E205="Tier 2 Grove"),$F205="Remove",$H205="Tree Protection Code: Other removal allowance or exemption",$I205&lt;&gt;"",ISNA(MATCH($I205,Tables!$B$215:$B$218,0))),
Error!$B$17,
IF(AND(OR($E205="Tier 2",$E205="Tier 2 Grove"),$F205="Remove",$H205="Tree Protection Code: Development Capacity",$I205&lt;&gt;"",ISNA(MATCH($I205,Tables!$B$193:$B$197,0))),
Error!$B$17,
IF(AND(OR($E205="Tier 2",$E205="Tier 2 Grove"),$F205="Remove",$H205="Tree Protection Code: Necessary for Construction",$I205&lt;&gt;"",ISNA(MATCH($I205,Tables!$B$193:$B$197,0))),
Error!$B$17,
IF(AND($E205="Tier 1",$F205="Remove",$H205="Tree Protection Code: Special Exception",$I205&lt;&gt;"",ISNA(MATCH($I205,Tables!$B$215:$B$218,0))),
Error!$B$17,
IF(AND($E205="Tier 1",$F205="Remove",$H205="Tree Protection Code: Other removal allowance or exemption",$I205&lt;&gt;"",ISNA(MATCH($I205,Tables!$B$215:$B$218,0))),
Error!$B$17,
IF(AND($E205="ECA / Shoreline Tree",$F205="Remove",$H205&lt;&gt;"",OR($H205="Shoreline",$H205="Environmental Critical Area (ECA)"),ISNA(MATCH($I205,Tables!$B$209:$B$212,0))),
Error!$B$17,
IF(AND(_xlpm.baseRow,$F205="Retain",$E205="ECA / Shoreline Tree",_xlpm.ECA_Short=0),
Error!$B$61,
IF(AND($F205="Remove",ISNUMBER(MATCH($E205,{"Tier 1","Tier 2","Tier 3","Tier 4","Tier 2 Grove"},0)),ISNUMBER(MATCH($I205,{"On-site replacement","Off-site replacement"},0)),$J205="",$H205&lt;&gt;""),
Error!$B$19,
IF(AND(_xlpm.baseRow,$E205&lt;&gt;"",$D205&lt;&gt;"",$F205&lt;&gt;"",COUNTBLANK($B205:$C205)&gt;0,COUNTBLANK(_xlpm.HRange)&lt;&gt;4),
Error!$B$22,
IF(AND($H205="Zoning: Tree Points",$K205&lt;&gt;"",ISNA(MATCH($K205,Tables!$B$242:$B$253,0))),
Error!$B$58,
IF(AND($H205="Zoning: Tree Points",$K205="Small",$L205&lt;&gt;"",ISNA(MATCH($L205,Tables!$C$243:$C$244,0))),
Error!$B$59,
IF(AND($H205="Zoning: Tree Points",$K205="Small/Medium",$L205&lt;&gt;"",ISNA(MATCH($L205,Tables!$C$246:$C$247,0))),
Error!$B$59,
IF(AND($H205="Zoning: Tree Points",$K205="Medium/Large",$L205&lt;&gt;"",ISNA(MATCH($L205,Tables!$C$249:$C$250,0))),
Error!$B$59,
IF(AND($H205="Zoning: Tree Points",$K205="Large",$L205&lt;&gt;"",ISNA(MATCH($L205,Tables!$C$252:$C$253,0))),
Error!$B$59,
IF(AND($F205="Retain",$H205="Zoning: Tree Points",$C205&lt;&gt;"",$D205&lt;&gt;"",OR($K205="",$L205="",$M205="")),
Error!$B$20,
""
)))))))))))))))))))))))))))))))))))))))))))))))))))))))),
Error!$B$23))</f>
        <v/>
      </c>
      <c r="O205" s="343" t="str" cm="1">
        <f t="array" aca="1" ref="O205" ca="1">IFERROR(_xlfn.LET(
    _xlpm.txt, $C205,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06" spans="1:15" ht="15" thickBot="1" x14ac:dyDescent="0.35">
      <c r="A206" s="331"/>
      <c r="B206" s="616" t="str">
        <f t="shared" si="199"/>
        <v/>
      </c>
      <c r="C206" s="617" t="str">
        <f t="shared" si="200"/>
        <v/>
      </c>
      <c r="D206" s="618" t="str">
        <f t="shared" si="201"/>
        <v/>
      </c>
      <c r="E206" s="616" t="str">
        <f t="shared" si="202"/>
        <v/>
      </c>
      <c r="F206" s="616" t="str">
        <f t="shared" si="203"/>
        <v/>
      </c>
      <c r="G206" s="619" t="str">
        <f>IF(Tree_Table1[[#This Row],[Tree Status  &amp;]]="Retain", Tables!$B$237, IF(Tree_Table1[[#This Row],[Tree Status  &amp;]]="Remove", Tables!$B$238, ""))</f>
        <v/>
      </c>
      <c r="H206" s="329"/>
      <c r="I206" s="330"/>
      <c r="J206" s="455"/>
      <c r="K206" s="327" t="str">
        <f>IFERROR(
    IF(
        AND($H206="Zoning: Tree Points", NOT(ISNUMBER(SEARCH("sp.", $C206)))),
        VLOOKUP($C206, 'Tree List'!$C$3:$F$601, 4, FALSE),
        ""
    ),
"")</f>
        <v/>
      </c>
      <c r="L206" s="328" t="str" cm="1">
        <f t="array" ref="L206">IFERROR(
IF(
    AND($H206="Zoning: Tree Points", NOT(ISNUMBER(SEARCH("sp.", $C206)))),
    _xlfn.IFS(
        (COUNTIFS('Tree List'!$C$3:$C$601,$C206,'Tree List'!$D$3:$D$601,"Coniferous")
        + COUNTIFS('Tree List'!$C$3:$C$601,$C206,'Tree List'!$D$3:$D$601,"Deciduous Conifer")) &gt; 0,
            _xlfn.IFS($K206="Small",0.5,$K206="Small/Medium",1,$K206="Medium/Large",1.4,$K206="Large",1.8),
        (COUNTIFS('Tree List'!$C$3:$C$601,$C206,'Tree List'!$D$3:$D$601,"Deciduous")
        + COUNTIFS('Tree List'!$C$3:$C$601,$C206,'Tree List'!$D$3:$D$601,"Broadleaf Evergreen")) &gt; 0,
            _xlfn.IFS($K206="Small",0.4,$K206="Small/Medium",0.8,$K206="Medium/Large",1.2,$K206="Large",1.6)
    ),
    ""
),
"")</f>
        <v/>
      </c>
      <c r="M206" s="476" t="str">
        <f t="shared" si="168"/>
        <v/>
      </c>
      <c r="N206" s="347" t="str" cm="1">
        <f t="array" aca="1" ref="N20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IF(AND(_xlpm.baseRow,ISNA(MATCH($C206,'Tree List'!$C$3:$C$601,0)),SUMPRODUCT(--ISNUMBER(SEARCH(Tables2!$C$677:$C$772,$O206)))&gt;0),
Error!$B$57,
IF(AND(_xlpm.hasDM,$F206="Remove",$H206&lt;&gt;"",OR($I206="On-site replacement",$I206="Off-site replacement",$I206="Payment In Lieu")),
Error!$B$56,
IF(AND(_xlpm.hasDM,$F206="Remove",$H206&lt;&gt;"",$I206="Relocation"),
Error!$B$66,
IF(AND(OR(_xlpm.hasCN,_xlpm.hasPH,_xlpm.hasGR),$H206&lt;&gt;"",COUNTIF(Tables!$B$132:$B$134,$H206)&gt;0,$I206="N/A (No replacement required)"),
Error!$B$62,
IF(AND(_xlpm.baseRow,$E206&lt;&gt;"",ISNA(MATCH($E206,Tables!$B$225:$B$232,0))),
Error!$B$2,
IF(AND(_xlpm.baseRow,$F206&lt;&gt;"",ISNA(MATCH($F206,Tables!$B$234:$B$235,0))),
Error!$B$24,
IF(AND(_xlpm.baseRow,_xlpm.ECA_H&gt;0,_xlpm.Shore_H&gt;0),
Error!$B$16,
IF(AND(_xlpm.baseRow,$E206&lt;&gt;"",$D206=""),
Error!$B$3,
IF(AND(_xlpm.baseRow,OR($E206="Tier 3",$E206="Tier 4"),$C206&lt;&gt;"",$D206&gt;=24,COUNTIF(Tables2!$B$166:$B$674,$C206)&gt;0),
Error!$B$44,
IF(AND(_xlpm.baseRow,OR($E206="Tier 3",$E206="Tier 4"),$C206&lt;&gt;"",$D206&lt;&gt;"",COUNTIF(Tables2!$B$73:$B$152,$C206)&gt;0,
$D206&gt;=IFERROR(INDEX(Tables2!$C$73:$C$152,MATCH($C206,Tables2!$B$73:$B$152,0)),-1)),
Error!$B$44,
IF(AND(_xlpm.baseRow,OR($E206="Tier 2",$E206="Tier 2 Grove"),$C206&lt;&gt;"",$D206&gt;=12,COUNTIF(Tables2!$B$153:$B$162,$C206)&gt;0),
Error!$B$45,
IF(AND(_xlpm.baseRow,$E206="Tier 2 Grove",$D206&lt;12),
Error!$B$41,
IF(AND(_xlpm.baseRow,$E206="Tier 2",$D206&lt;5.88),
Error!$B$40,
IF(AND(_xlpm.baseRow,OR($E206="Tier 2",$E206="Tier 2 Grove"),$C206&lt;&gt;"",$D206&lt;12,$D206&gt;=6,COUNTIF(Tables2!$B$153:$B$162,$C206)&gt;0),
Error!$B$54,
IF(AND(_xlpm.baseRow,$E206="Tier 2",COUNTIF(Tables2!$B$166:$B$674,$C206)&gt;0,$D206&lt;24),
Error!$B$54,
IF(AND(_xlpm.baseRow,$E206="Tier 3",ISNA(MATCH($C206,Tables2!$B$153:$B$162,0)),OR($D206&lt;12,$D206&gt;=24)),
Error!$B$9,
IF(AND(_xlpm.baseRow,$E206="Tier 3",COUNTIF(Tables2!$B$153:$B$162,$C206)&gt;0,$D206&lt;12),
Error!$B$46,
IF(AND(_xlpm.baseRow,$E206="Tier 4",OR($D206&lt;6,$D206&gt;=12)),
Error!$B$10,
IF(AND(_xlpm.baseRow,$E206="&lt;6in DSH for Tree Points",OR($D206&gt;=6,$D206="")),
Error!$B$8,
IF(AND(_xlpm.baseRow,$E206="Street Tree for Green Factor",$F206&lt;&gt;"",$F206&lt;&gt;"Retain"),
Error!$B$14,
IF(AND($E206="&lt;6in DSH for Tree Points",$F206="Retain",$H206&lt;&gt;"",ISNA(MATCH($H206,Tables!$B$174:$B$174,0))),
Error!$B$15,
IF(AND($E206="Street Tree for Green Factor",$F206="Retain",$H206&lt;&gt;"",$H206&lt;&gt;"Zoning: Green Factor"),
Error!$B$15,
IF(AND($E206="ECA / Shoreline Tree",$F206="Remove",$H206&lt;&gt;"",ISNA(MATCH($H206,Tables!$B$189:$B$190,0))),
Error!$B$15,
IF(AND($E206="ECA / Shoreline Tree",$F206="Retain",$H206&lt;&gt;"",ISNA(MATCH($H206,Tables!$B$184:$B$186,0))),
Error!$B$15,
IF(AND($E206="Tier 4",$F206="Remove",$H206&lt;&gt;"",ISNA(MATCH($H206,Tables!$B$171,0))),
Error!$B$15,
IF(AND($E206="Tier 4",$F206="Retain",$H206&lt;&gt;"",ISNA(MATCH($H206,Tables!$B$166:$B$168,0))),
Error!$B$15,
IF(AND($E206="Tier 3",$F206="Retain",$H206&lt;&gt;"",ISNA(MATCH($H206,Tables!$B$158:$B$160,0))),
Error!$B$15,
IF(AND($E206="Tier 3",$F206="Remove",$H206&lt;&gt;"",ISNA(MATCH($H206,Tables!$B$163,0))),
Error!$B$15,
IF(AND(OR($E206="Tier 2",$E206="Tier 2 Grove"),$F206="Remove",$H206&lt;&gt;"",ISNA(MATCH($H206,Tables!$B$153:$B$155,0))),
Error!$B$15,
IF(AND(OR($E206="Tier 2",$E206="Tier 2 Grove"),$F206="Retain",$H206&lt;&gt;"",ISNA(MATCH($H206,Tables!$B$147:$B$150,0))),
Error!$B$15,
IF(AND($E206="Tier 1",$F206="Remove",$H206&lt;&gt;"",ISNA(MATCH($H206,Tables!$B$143:$B$144,0))),
Error!$B$15,
IF(AND($E206="Tier 1",$F206="Retain",$H206&lt;&gt;"",ISNA(MATCH($H206,Tables!$B$137:$B$140,0))),
Error!$B$15,
IF(AND($E206&lt;&gt;"Tier 2",$E206&lt;&gt;"Tier 2 Grove",$E206&lt;&gt;"Tier 3",$E206&lt;&gt;"Tier 4",$H206="Zoning: Green Factor",OR($D206="",$D206&lt;6)),
Error!$B$11,
IF(AND(_xlpm.baseRow,$D206&lt;6,$E206="&lt;6in DSH for Tree Points",_xlpm.TreePoints_H=0),
Error!$B$21,
IF(AND(_xlpm.baseRow,$E206&lt;&gt;"",$D206&lt;&gt;"",$F206=""),
Error!$B$4,
IF(AND(_xlpm.baseRow,$F206="Remove",OR($E206="Tier 1",$E206="Tier 2",$E206="Tier 2 Grove"),COUNTBLANK(_xlpm.HRange)&lt;3,_xlpm.uniqueH&gt;=2),
Error!$B$48,
IF(AND(_xlpm.baseRow,$F206="Retain",OR($E206="Tier 1",$E206="Tier 2",$E206="Tier 2 Grove"),COUNTIF(_xlpm.HRange,"Tree Code: Required to Retain Tier 1-2 Tree")=0),
Error!$B$47,
IF(AND(_xlpm.baseRow,$E206&lt;&gt;"",$D206&lt;&gt;"",$F206&lt;&gt;"",COUNTBLANK(_xlpm.HRange)=4),
Error!$B$5,
IF(AND($F206="Remove",$H206&lt;&gt;"",$I206=""),
Error!$B$18,
IF(AND($E206="Tier 4",$F206="Remove",$H206="Tree Protection Code: Tier 3 or Tier 4 Allowance",$H206&lt;&gt;"",ISNA(MATCH($I206,Tables!$B$200,0))),
Error!$B$17,
IF(AND($E206="Tier 3",$F206="Remove",$H206&lt;&gt;"",$H206="Tree Protection Code: Tier 3 or Tier 4 Allowance",OR($I206="",ISNA(MATCH($I206,Tables!$B$193:$B$197,0)))),
Error!$B$17,
IF(AND(OR($E206="Tier 2",$E206="Tier 2 Grove"),$F206="Remove",$H206="Tree Protection Code: Other removal allowance or exemption",$I206&lt;&gt;"",ISNA(MATCH($I206,Tables!$B$215:$B$218,0))),
Error!$B$17,
IF(AND(OR($E206="Tier 2",$E206="Tier 2 Grove"),$F206="Remove",$H206="Tree Protection Code: Development Capacity",$I206&lt;&gt;"",ISNA(MATCH($I206,Tables!$B$193:$B$197,0))),
Error!$B$17,
IF(AND(OR($E206="Tier 2",$E206="Tier 2 Grove"),$F206="Remove",$H206="Tree Protection Code: Necessary for Construction",$I206&lt;&gt;"",ISNA(MATCH($I206,Tables!$B$193:$B$197,0))),
Error!$B$17,
IF(AND($E206="Tier 1",$F206="Remove",$H206="Tree Protection Code: Special Exception",$I206&lt;&gt;"",ISNA(MATCH($I206,Tables!$B$215:$B$218,0))),
Error!$B$17,
IF(AND($E206="Tier 1",$F206="Remove",$H206="Tree Protection Code: Other removal allowance or exemption",$I206&lt;&gt;"",ISNA(MATCH($I206,Tables!$B$215:$B$218,0))),
Error!$B$17,
IF(AND($E206="ECA / Shoreline Tree",$F206="Remove",$H206&lt;&gt;"",OR($H206="Shoreline",$H206="Environmental Critical Area (ECA)"),ISNA(MATCH($I206,Tables!$B$209:$B$212,0))),
Error!$B$17,
IF(AND(_xlpm.baseRow,$F206="Retain",$E206="ECA / Shoreline Tree",_xlpm.ECA_Short=0),
Error!$B$61,
IF(AND($F206="Remove",ISNUMBER(MATCH($E206,{"Tier 1","Tier 2","Tier 3","Tier 4","Tier 2 Grove"},0)),ISNUMBER(MATCH($I206,{"On-site replacement","Off-site replacement"},0)),$J206="",$H206&lt;&gt;""),
Error!$B$19,
IF(AND(_xlpm.baseRow,$E206&lt;&gt;"",$D206&lt;&gt;"",$F206&lt;&gt;"",COUNTBLANK($B206:$C206)&gt;0,COUNTBLANK(_xlpm.HRange)&lt;&gt;4),
Error!$B$22,
IF(AND($H206="Zoning: Tree Points",$K206&lt;&gt;"",ISNA(MATCH($K206,Tables!$B$242:$B$253,0))),
Error!$B$58,
IF(AND($H206="Zoning: Tree Points",$K206="Small",$L206&lt;&gt;"",ISNA(MATCH($L206,Tables!$C$243:$C$244,0))),
Error!$B$59,
IF(AND($H206="Zoning: Tree Points",$K206="Small/Medium",$L206&lt;&gt;"",ISNA(MATCH($L206,Tables!$C$246:$C$247,0))),
Error!$B$59,
IF(AND($H206="Zoning: Tree Points",$K206="Medium/Large",$L206&lt;&gt;"",ISNA(MATCH($L206,Tables!$C$249:$C$250,0))),
Error!$B$59,
IF(AND($H206="Zoning: Tree Points",$K206="Large",$L206&lt;&gt;"",ISNA(MATCH($L206,Tables!$C$252:$C$253,0))),
Error!$B$59,
IF(AND($F206="Retain",$H206="Zoning: Tree Points",$C206&lt;&gt;"",$D206&lt;&gt;"",OR($K206="",$L206="",$M206="")),
Error!$B$20,
""
)))))))))))))))))))))))))))))))))))))))))))))))))))))))),
Error!$B$23))</f>
        <v/>
      </c>
      <c r="O206" s="343" t="str" cm="1">
        <f t="array" aca="1" ref="O206" ca="1">IFERROR(_xlfn.LET(
    _xlpm.txt, $C206,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07" spans="1:15" ht="15" thickBot="1" x14ac:dyDescent="0.35">
      <c r="A207" s="311">
        <v>50</v>
      </c>
      <c r="B207" s="312"/>
      <c r="C207" s="313"/>
      <c r="D207" s="478"/>
      <c r="E207" s="314"/>
      <c r="F207" s="314"/>
      <c r="G207" s="315" t="str">
        <f>IF(Tree_Table1[[#This Row],[Tree Status  &amp;]]="Retain", Tables!$B$237, IF(Tree_Table1[[#This Row],[Tree Status  &amp;]]="Remove", Tables!$B$238, ""))</f>
        <v/>
      </c>
      <c r="H207" s="316"/>
      <c r="I207" s="317"/>
      <c r="J207" s="452"/>
      <c r="K207" s="318" t="str">
        <f>IFERROR(
    IF(
        AND($H207="Zoning: Tree Points", NOT(ISNUMBER(SEARCH("sp.", $C207)))),
        VLOOKUP($C207, 'Tree List'!$C$3:$F$601, 4, FALSE),
        ""
    ),
"")</f>
        <v/>
      </c>
      <c r="L207" s="319" t="str" cm="1">
        <f t="array" ref="L207">IFERROR(
IF(
    AND($H207="Zoning: Tree Points", NOT(ISNUMBER(SEARCH("sp.", $C207)))),
    _xlfn.IFS(
        (COUNTIFS('Tree List'!$C$3:$C$601,$C207,'Tree List'!$D$3:$D$601,"Coniferous")
        + COUNTIFS('Tree List'!$C$3:$C$601,$C207,'Tree List'!$D$3:$D$601,"Deciduous Conifer")) &gt; 0,
            _xlfn.IFS($K207="Small",0.5,$K207="Small/Medium",1,$K207="Medium/Large",1.4,$K207="Large",1.8),
        (COUNTIFS('Tree List'!$C$3:$C$601,$C207,'Tree List'!$D$3:$D$601,"Deciduous")
        + COUNTIFS('Tree List'!$C$3:$C$601,$C207,'Tree List'!$D$3:$D$601,"Broadleaf Evergreen")) &gt; 0,
            _xlfn.IFS($K207="Small",0.4,$K207="Small/Medium",0.8,$K207="Medium/Large",1.2,$K207="Large",1.6)
    ),
    ""
),
"")</f>
        <v/>
      </c>
      <c r="M207" s="474" t="str">
        <f t="shared" si="168"/>
        <v/>
      </c>
      <c r="N207" s="620" t="str" cm="1">
        <f t="array" aca="1" ref="N20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IF(AND(_xlpm.baseRow,ISNA(MATCH($C207,'Tree List'!$C$3:$C$601,0)),SUMPRODUCT(--ISNUMBER(SEARCH(Tables2!$C$677:$C$772,$O207)))&gt;0),
Error!$B$57,
IF(AND(_xlpm.hasDM,$F207="Remove",$H207&lt;&gt;"",OR($I207="On-site replacement",$I207="Off-site replacement",$I207="Payment In Lieu")),
Error!$B$56,
IF(AND(_xlpm.hasDM,$F207="Remove",$H207&lt;&gt;"",$I207="Relocation"),
Error!$B$66,
IF(AND(OR(_xlpm.hasCN,_xlpm.hasPH,_xlpm.hasGR),$H207&lt;&gt;"",COUNTIF(Tables!$B$132:$B$134,$H207)&gt;0,$I207="N/A (No replacement required)"),
Error!$B$62,
IF(AND(_xlpm.baseRow,$E207&lt;&gt;"",ISNA(MATCH($E207,Tables!$B$225:$B$232,0))),
Error!$B$2,
IF(AND(_xlpm.baseRow,$F207&lt;&gt;"",ISNA(MATCH($F207,Tables!$B$234:$B$235,0))),
Error!$B$24,
IF(AND(_xlpm.baseRow,_xlpm.ECA_H&gt;0,_xlpm.Shore_H&gt;0),
Error!$B$16,
IF(AND(_xlpm.baseRow,$E207&lt;&gt;"",$D207=""),
Error!$B$3,
IF(AND(_xlpm.baseRow,OR($E207="Tier 3",$E207="Tier 4"),$C207&lt;&gt;"",$D207&gt;=24,COUNTIF(Tables2!$B$166:$B$674,$C207)&gt;0),
Error!$B$44,
IF(AND(_xlpm.baseRow,OR($E207="Tier 3",$E207="Tier 4"),$C207&lt;&gt;"",$D207&lt;&gt;"",COUNTIF(Tables2!$B$73:$B$152,$C207)&gt;0,
$D207&gt;=IFERROR(INDEX(Tables2!$C$73:$C$152,MATCH($C207,Tables2!$B$73:$B$152,0)),-1)),
Error!$B$44,
IF(AND(_xlpm.baseRow,OR($E207="Tier 2",$E207="Tier 2 Grove"),$C207&lt;&gt;"",$D207&gt;=12,COUNTIF(Tables2!$B$153:$B$162,$C207)&gt;0),
Error!$B$45,
IF(AND(_xlpm.baseRow,$E207="Tier 2 Grove",$D207&lt;12),
Error!$B$41,
IF(AND(_xlpm.baseRow,$E207="Tier 2",$D207&lt;5.88),
Error!$B$40,
IF(AND(_xlpm.baseRow,OR($E207="Tier 2",$E207="Tier 2 Grove"),$C207&lt;&gt;"",$D207&lt;12,$D207&gt;=6,COUNTIF(Tables2!$B$153:$B$162,$C207)&gt;0),
Error!$B$54,
IF(AND(_xlpm.baseRow,$E207="Tier 2",COUNTIF(Tables2!$B$166:$B$674,$C207)&gt;0,$D207&lt;24),
Error!$B$54,
IF(AND(_xlpm.baseRow,$E207="Tier 3",ISNA(MATCH($C207,Tables2!$B$153:$B$162,0)),OR($D207&lt;12,$D207&gt;=24)),
Error!$B$9,
IF(AND(_xlpm.baseRow,$E207="Tier 3",COUNTIF(Tables2!$B$153:$B$162,$C207)&gt;0,$D207&lt;12),
Error!$B$46,
IF(AND(_xlpm.baseRow,$E207="Tier 4",OR($D207&lt;6,$D207&gt;=12)),
Error!$B$10,
IF(AND(_xlpm.baseRow,$E207="&lt;6in DSH for Tree Points",OR($D207&gt;=6,$D207="")),
Error!$B$8,
IF(AND(_xlpm.baseRow,$E207="Street Tree for Green Factor",$F207&lt;&gt;"",$F207&lt;&gt;"Retain"),
Error!$B$14,
IF(AND($E207="&lt;6in DSH for Tree Points",$F207="Retain",$H207&lt;&gt;"",ISNA(MATCH($H207,Tables!$B$174:$B$174,0))),
Error!$B$15,
IF(AND($E207="Street Tree for Green Factor",$F207="Retain",$H207&lt;&gt;"",$H207&lt;&gt;"Zoning: Green Factor"),
Error!$B$15,
IF(AND($E207="ECA / Shoreline Tree",$F207="Remove",$H207&lt;&gt;"",ISNA(MATCH($H207,Tables!$B$189:$B$190,0))),
Error!$B$15,
IF(AND($E207="ECA / Shoreline Tree",$F207="Retain",$H207&lt;&gt;"",ISNA(MATCH($H207,Tables!$B$184:$B$186,0))),
Error!$B$15,
IF(AND($E207="Tier 4",$F207="Remove",$H207&lt;&gt;"",ISNA(MATCH($H207,Tables!$B$171,0))),
Error!$B$15,
IF(AND($E207="Tier 4",$F207="Retain",$H207&lt;&gt;"",ISNA(MATCH($H207,Tables!$B$166:$B$168,0))),
Error!$B$15,
IF(AND($E207="Tier 3",$F207="Retain",$H207&lt;&gt;"",ISNA(MATCH($H207,Tables!$B$158:$B$160,0))),
Error!$B$15,
IF(AND($E207="Tier 3",$F207="Remove",$H207&lt;&gt;"",ISNA(MATCH($H207,Tables!$B$163,0))),
Error!$B$15,
IF(AND(OR($E207="Tier 2",$E207="Tier 2 Grove"),$F207="Remove",$H207&lt;&gt;"",ISNA(MATCH($H207,Tables!$B$153:$B$155,0))),
Error!$B$15,
IF(AND(OR($E207="Tier 2",$E207="Tier 2 Grove"),$F207="Retain",$H207&lt;&gt;"",ISNA(MATCH($H207,Tables!$B$147:$B$150,0))),
Error!$B$15,
IF(AND($E207="Tier 1",$F207="Remove",$H207&lt;&gt;"",ISNA(MATCH($H207,Tables!$B$143:$B$144,0))),
Error!$B$15,
IF(AND($E207="Tier 1",$F207="Retain",$H207&lt;&gt;"",ISNA(MATCH($H207,Tables!$B$137:$B$140,0))),
Error!$B$15,
IF(AND($E207&lt;&gt;"Tier 2",$E207&lt;&gt;"Tier 2 Grove",$E207&lt;&gt;"Tier 3",$E207&lt;&gt;"Tier 4",$H207="Zoning: Green Factor",OR($D207="",$D207&lt;6)),
Error!$B$11,
IF(AND(_xlpm.baseRow,$D207&lt;6,$E207="&lt;6in DSH for Tree Points",_xlpm.TreePoints_H=0),
Error!$B$21,
IF(AND(_xlpm.baseRow,$E207&lt;&gt;"",$D207&lt;&gt;"",$F207=""),
Error!$B$4,
IF(AND(_xlpm.baseRow,$F207="Remove",OR($E207="Tier 1",$E207="Tier 2",$E207="Tier 2 Grove"),COUNTBLANK(_xlpm.HRange)&lt;3,_xlpm.uniqueH&gt;=2),
Error!$B$48,
IF(AND(_xlpm.baseRow,$F207="Retain",OR($E207="Tier 1",$E207="Tier 2",$E207="Tier 2 Grove"),COUNTIF(_xlpm.HRange,"Tree Code: Required to Retain Tier 1-2 Tree")=0),
Error!$B$47,
IF(AND(_xlpm.baseRow,$E207&lt;&gt;"",$D207&lt;&gt;"",$F207&lt;&gt;"",COUNTBLANK(_xlpm.HRange)=4),
Error!$B$5,
IF(AND($F207="Remove",$H207&lt;&gt;"",$I207=""),
Error!$B$18,
IF(AND($E207="Tier 4",$F207="Remove",$H207="Tree Protection Code: Tier 3 or Tier 4 Allowance",$H207&lt;&gt;"",ISNA(MATCH($I207,Tables!$B$200,0))),
Error!$B$17,
IF(AND($E207="Tier 3",$F207="Remove",$H207&lt;&gt;"",$H207="Tree Protection Code: Tier 3 or Tier 4 Allowance",OR($I207="",ISNA(MATCH($I207,Tables!$B$193:$B$197,0)))),
Error!$B$17,
IF(AND(OR($E207="Tier 2",$E207="Tier 2 Grove"),$F207="Remove",$H207="Tree Protection Code: Other removal allowance or exemption",$I207&lt;&gt;"",ISNA(MATCH($I207,Tables!$B$215:$B$218,0))),
Error!$B$17,
IF(AND(OR($E207="Tier 2",$E207="Tier 2 Grove"),$F207="Remove",$H207="Tree Protection Code: Development Capacity",$I207&lt;&gt;"",ISNA(MATCH($I207,Tables!$B$193:$B$197,0))),
Error!$B$17,
IF(AND(OR($E207="Tier 2",$E207="Tier 2 Grove"),$F207="Remove",$H207="Tree Protection Code: Necessary for Construction",$I207&lt;&gt;"",ISNA(MATCH($I207,Tables!$B$193:$B$197,0))),
Error!$B$17,
IF(AND($E207="Tier 1",$F207="Remove",$H207="Tree Protection Code: Special Exception",$I207&lt;&gt;"",ISNA(MATCH($I207,Tables!$B$215:$B$218,0))),
Error!$B$17,
IF(AND($E207="Tier 1",$F207="Remove",$H207="Tree Protection Code: Other removal allowance or exemption",$I207&lt;&gt;"",ISNA(MATCH($I207,Tables!$B$215:$B$218,0))),
Error!$B$17,
IF(AND($E207="ECA / Shoreline Tree",$F207="Remove",$H207&lt;&gt;"",OR($H207="Shoreline",$H207="Environmental Critical Area (ECA)"),ISNA(MATCH($I207,Tables!$B$209:$B$212,0))),
Error!$B$17,
IF(AND(_xlpm.baseRow,$F207="Retain",$E207="ECA / Shoreline Tree",_xlpm.ECA_Short=0),
Error!$B$61,
IF(AND($F207="Remove",ISNUMBER(MATCH($E207,{"Tier 1","Tier 2","Tier 3","Tier 4","Tier 2 Grove"},0)),ISNUMBER(MATCH($I207,{"On-site replacement","Off-site replacement"},0)),$J207="",$H207&lt;&gt;""),
Error!$B$19,
IF(AND(_xlpm.baseRow,$E207&lt;&gt;"",$D207&lt;&gt;"",$F207&lt;&gt;"",COUNTBLANK($B207:$C207)&gt;0,COUNTBLANK(_xlpm.HRange)&lt;&gt;4),
Error!$B$22,
IF(AND($H207="Zoning: Tree Points",$K207&lt;&gt;"",ISNA(MATCH($K207,Tables!$B$242:$B$253,0))),
Error!$B$58,
IF(AND($H207="Zoning: Tree Points",$K207="Small",$L207&lt;&gt;"",ISNA(MATCH($L207,Tables!$C$243:$C$244,0))),
Error!$B$59,
IF(AND($H207="Zoning: Tree Points",$K207="Small/Medium",$L207&lt;&gt;"",ISNA(MATCH($L207,Tables!$C$246:$C$247,0))),
Error!$B$59,
IF(AND($H207="Zoning: Tree Points",$K207="Medium/Large",$L207&lt;&gt;"",ISNA(MATCH($L207,Tables!$C$249:$C$250,0))),
Error!$B$59,
IF(AND($H207="Zoning: Tree Points",$K207="Large",$L207&lt;&gt;"",ISNA(MATCH($L207,Tables!$C$252:$C$253,0))),
Error!$B$59,
IF(AND($F207="Retain",$H207="Zoning: Tree Points",$C207&lt;&gt;"",$D207&lt;&gt;"",OR($K207="",$L207="",$M207="")),
Error!$B$20,
""
)))))))))))))))))))))))))))))))))))))))))))))))))))))))),
Error!$B$23))</f>
        <v/>
      </c>
      <c r="O207" s="343" t="str" cm="1">
        <f t="array" aca="1" ref="O207" ca="1">IFERROR(_xlfn.LET(
    _xlpm.txt, $C207,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08" spans="1:15" x14ac:dyDescent="0.3">
      <c r="A208" s="320"/>
      <c r="B208" s="616" t="str">
        <f t="shared" ref="B208:B210" si="204">IF($B207="", "", $B207)</f>
        <v/>
      </c>
      <c r="C208" s="617" t="str">
        <f t="shared" ref="C208:C210" si="205">IF($C207="", "", $C207)</f>
        <v/>
      </c>
      <c r="D208" s="618" t="str">
        <f t="shared" ref="D208:D210" si="206">IF($D207="", "", $D207)</f>
        <v/>
      </c>
      <c r="E208" s="616" t="str">
        <f t="shared" ref="E208:E210" si="207">IF($E207="", "", $E207)</f>
        <v/>
      </c>
      <c r="F208" s="616" t="str">
        <f t="shared" ref="F208:F210" si="208">IF($F207="", "", $F207)</f>
        <v/>
      </c>
      <c r="G208" s="619" t="str">
        <f>IF(Tree_Table1[[#This Row],[Tree Status  &amp;]]="Retain", Tables!$B$237, IF(Tree_Table1[[#This Row],[Tree Status  &amp;]]="Remove", Tables!$B$238, ""))</f>
        <v/>
      </c>
      <c r="H208" s="321"/>
      <c r="I208" s="322"/>
      <c r="J208" s="453"/>
      <c r="K208" s="323" t="str">
        <f>IFERROR(
    IF(
        AND($H208="Zoning: Tree Points", NOT(ISNUMBER(SEARCH("sp.", $C208)))),
        VLOOKUP($C208, 'Tree List'!$C$3:$F$601, 4, FALSE),
        ""
    ),
"")</f>
        <v/>
      </c>
      <c r="L208" s="324" t="str" cm="1">
        <f t="array" ref="L208">IFERROR(
IF(
    AND($H208="Zoning: Tree Points", NOT(ISNUMBER(SEARCH("sp.", $C208)))),
    _xlfn.IFS(
        (COUNTIFS('Tree List'!$C$3:$C$601,$C208,'Tree List'!$D$3:$D$601,"Coniferous")
        + COUNTIFS('Tree List'!$C$3:$C$601,$C208,'Tree List'!$D$3:$D$601,"Deciduous Conifer")) &gt; 0,
            _xlfn.IFS($K208="Small",0.5,$K208="Small/Medium",1,$K208="Medium/Large",1.4,$K208="Large",1.8),
        (COUNTIFS('Tree List'!$C$3:$C$601,$C208,'Tree List'!$D$3:$D$601,"Deciduous")
        + COUNTIFS('Tree List'!$C$3:$C$601,$C208,'Tree List'!$D$3:$D$601,"Broadleaf Evergreen")) &gt; 0,
            _xlfn.IFS($K208="Small",0.4,$K208="Small/Medium",0.8,$K208="Medium/Large",1.2,$K208="Large",1.6)
    ),
    ""
),
"")</f>
        <v/>
      </c>
      <c r="M208" s="475" t="str">
        <f t="shared" si="168"/>
        <v/>
      </c>
      <c r="N208" s="346" t="str" cm="1">
        <f t="array" aca="1" ref="N20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IF(AND(_xlpm.baseRow,ISNA(MATCH($C208,'Tree List'!$C$3:$C$601,0)),SUMPRODUCT(--ISNUMBER(SEARCH(Tables2!$C$677:$C$772,$O208)))&gt;0),
Error!$B$57,
IF(AND(_xlpm.hasDM,$F208="Remove",$H208&lt;&gt;"",OR($I208="On-site replacement",$I208="Off-site replacement",$I208="Payment In Lieu")),
Error!$B$56,
IF(AND(_xlpm.hasDM,$F208="Remove",$H208&lt;&gt;"",$I208="Relocation"),
Error!$B$66,
IF(AND(OR(_xlpm.hasCN,_xlpm.hasPH,_xlpm.hasGR),$H208&lt;&gt;"",COUNTIF(Tables!$B$132:$B$134,$H208)&gt;0,$I208="N/A (No replacement required)"),
Error!$B$62,
IF(AND(_xlpm.baseRow,$E208&lt;&gt;"",ISNA(MATCH($E208,Tables!$B$225:$B$232,0))),
Error!$B$2,
IF(AND(_xlpm.baseRow,$F208&lt;&gt;"",ISNA(MATCH($F208,Tables!$B$234:$B$235,0))),
Error!$B$24,
IF(AND(_xlpm.baseRow,_xlpm.ECA_H&gt;0,_xlpm.Shore_H&gt;0),
Error!$B$16,
IF(AND(_xlpm.baseRow,$E208&lt;&gt;"",$D208=""),
Error!$B$3,
IF(AND(_xlpm.baseRow,OR($E208="Tier 3",$E208="Tier 4"),$C208&lt;&gt;"",$D208&gt;=24,COUNTIF(Tables2!$B$166:$B$674,$C208)&gt;0),
Error!$B$44,
IF(AND(_xlpm.baseRow,OR($E208="Tier 3",$E208="Tier 4"),$C208&lt;&gt;"",$D208&lt;&gt;"",COUNTIF(Tables2!$B$73:$B$152,$C208)&gt;0,
$D208&gt;=IFERROR(INDEX(Tables2!$C$73:$C$152,MATCH($C208,Tables2!$B$73:$B$152,0)),-1)),
Error!$B$44,
IF(AND(_xlpm.baseRow,OR($E208="Tier 2",$E208="Tier 2 Grove"),$C208&lt;&gt;"",$D208&gt;=12,COUNTIF(Tables2!$B$153:$B$162,$C208)&gt;0),
Error!$B$45,
IF(AND(_xlpm.baseRow,$E208="Tier 2 Grove",$D208&lt;12),
Error!$B$41,
IF(AND(_xlpm.baseRow,$E208="Tier 2",$D208&lt;5.88),
Error!$B$40,
IF(AND(_xlpm.baseRow,OR($E208="Tier 2",$E208="Tier 2 Grove"),$C208&lt;&gt;"",$D208&lt;12,$D208&gt;=6,COUNTIF(Tables2!$B$153:$B$162,$C208)&gt;0),
Error!$B$54,
IF(AND(_xlpm.baseRow,$E208="Tier 2",COUNTIF(Tables2!$B$166:$B$674,$C208)&gt;0,$D208&lt;24),
Error!$B$54,
IF(AND(_xlpm.baseRow,$E208="Tier 3",ISNA(MATCH($C208,Tables2!$B$153:$B$162,0)),OR($D208&lt;12,$D208&gt;=24)),
Error!$B$9,
IF(AND(_xlpm.baseRow,$E208="Tier 3",COUNTIF(Tables2!$B$153:$B$162,$C208)&gt;0,$D208&lt;12),
Error!$B$46,
IF(AND(_xlpm.baseRow,$E208="Tier 4",OR($D208&lt;6,$D208&gt;=12)),
Error!$B$10,
IF(AND(_xlpm.baseRow,$E208="&lt;6in DSH for Tree Points",OR($D208&gt;=6,$D208="")),
Error!$B$8,
IF(AND(_xlpm.baseRow,$E208="Street Tree for Green Factor",$F208&lt;&gt;"",$F208&lt;&gt;"Retain"),
Error!$B$14,
IF(AND($E208="&lt;6in DSH for Tree Points",$F208="Retain",$H208&lt;&gt;"",ISNA(MATCH($H208,Tables!$B$174:$B$174,0))),
Error!$B$15,
IF(AND($E208="Street Tree for Green Factor",$F208="Retain",$H208&lt;&gt;"",$H208&lt;&gt;"Zoning: Green Factor"),
Error!$B$15,
IF(AND($E208="ECA / Shoreline Tree",$F208="Remove",$H208&lt;&gt;"",ISNA(MATCH($H208,Tables!$B$189:$B$190,0))),
Error!$B$15,
IF(AND($E208="ECA / Shoreline Tree",$F208="Retain",$H208&lt;&gt;"",ISNA(MATCH($H208,Tables!$B$184:$B$186,0))),
Error!$B$15,
IF(AND($E208="Tier 4",$F208="Remove",$H208&lt;&gt;"",ISNA(MATCH($H208,Tables!$B$171,0))),
Error!$B$15,
IF(AND($E208="Tier 4",$F208="Retain",$H208&lt;&gt;"",ISNA(MATCH($H208,Tables!$B$166:$B$168,0))),
Error!$B$15,
IF(AND($E208="Tier 3",$F208="Retain",$H208&lt;&gt;"",ISNA(MATCH($H208,Tables!$B$158:$B$160,0))),
Error!$B$15,
IF(AND($E208="Tier 3",$F208="Remove",$H208&lt;&gt;"",ISNA(MATCH($H208,Tables!$B$163,0))),
Error!$B$15,
IF(AND(OR($E208="Tier 2",$E208="Tier 2 Grove"),$F208="Remove",$H208&lt;&gt;"",ISNA(MATCH($H208,Tables!$B$153:$B$155,0))),
Error!$B$15,
IF(AND(OR($E208="Tier 2",$E208="Tier 2 Grove"),$F208="Retain",$H208&lt;&gt;"",ISNA(MATCH($H208,Tables!$B$147:$B$150,0))),
Error!$B$15,
IF(AND($E208="Tier 1",$F208="Remove",$H208&lt;&gt;"",ISNA(MATCH($H208,Tables!$B$143:$B$144,0))),
Error!$B$15,
IF(AND($E208="Tier 1",$F208="Retain",$H208&lt;&gt;"",ISNA(MATCH($H208,Tables!$B$137:$B$140,0))),
Error!$B$15,
IF(AND($E208&lt;&gt;"Tier 2",$E208&lt;&gt;"Tier 2 Grove",$E208&lt;&gt;"Tier 3",$E208&lt;&gt;"Tier 4",$H208="Zoning: Green Factor",OR($D208="",$D208&lt;6)),
Error!$B$11,
IF(AND(_xlpm.baseRow,$D208&lt;6,$E208="&lt;6in DSH for Tree Points",_xlpm.TreePoints_H=0),
Error!$B$21,
IF(AND(_xlpm.baseRow,$E208&lt;&gt;"",$D208&lt;&gt;"",$F208=""),
Error!$B$4,
IF(AND(_xlpm.baseRow,$F208="Remove",OR($E208="Tier 1",$E208="Tier 2",$E208="Tier 2 Grove"),COUNTBLANK(_xlpm.HRange)&lt;3,_xlpm.uniqueH&gt;=2),
Error!$B$48,
IF(AND(_xlpm.baseRow,$F208="Retain",OR($E208="Tier 1",$E208="Tier 2",$E208="Tier 2 Grove"),COUNTIF(_xlpm.HRange,"Tree Code: Required to Retain Tier 1-2 Tree")=0),
Error!$B$47,
IF(AND(_xlpm.baseRow,$E208&lt;&gt;"",$D208&lt;&gt;"",$F208&lt;&gt;"",COUNTBLANK(_xlpm.HRange)=4),
Error!$B$5,
IF(AND($F208="Remove",$H208&lt;&gt;"",$I208=""),
Error!$B$18,
IF(AND($E208="Tier 4",$F208="Remove",$H208="Tree Protection Code: Tier 3 or Tier 4 Allowance",$H208&lt;&gt;"",ISNA(MATCH($I208,Tables!$B$200,0))),
Error!$B$17,
IF(AND($E208="Tier 3",$F208="Remove",$H208&lt;&gt;"",$H208="Tree Protection Code: Tier 3 or Tier 4 Allowance",OR($I208="",ISNA(MATCH($I208,Tables!$B$193:$B$197,0)))),
Error!$B$17,
IF(AND(OR($E208="Tier 2",$E208="Tier 2 Grove"),$F208="Remove",$H208="Tree Protection Code: Other removal allowance or exemption",$I208&lt;&gt;"",ISNA(MATCH($I208,Tables!$B$215:$B$218,0))),
Error!$B$17,
IF(AND(OR($E208="Tier 2",$E208="Tier 2 Grove"),$F208="Remove",$H208="Tree Protection Code: Development Capacity",$I208&lt;&gt;"",ISNA(MATCH($I208,Tables!$B$193:$B$197,0))),
Error!$B$17,
IF(AND(OR($E208="Tier 2",$E208="Tier 2 Grove"),$F208="Remove",$H208="Tree Protection Code: Necessary for Construction",$I208&lt;&gt;"",ISNA(MATCH($I208,Tables!$B$193:$B$197,0))),
Error!$B$17,
IF(AND($E208="Tier 1",$F208="Remove",$H208="Tree Protection Code: Special Exception",$I208&lt;&gt;"",ISNA(MATCH($I208,Tables!$B$215:$B$218,0))),
Error!$B$17,
IF(AND($E208="Tier 1",$F208="Remove",$H208="Tree Protection Code: Other removal allowance or exemption",$I208&lt;&gt;"",ISNA(MATCH($I208,Tables!$B$215:$B$218,0))),
Error!$B$17,
IF(AND($E208="ECA / Shoreline Tree",$F208="Remove",$H208&lt;&gt;"",OR($H208="Shoreline",$H208="Environmental Critical Area (ECA)"),ISNA(MATCH($I208,Tables!$B$209:$B$212,0))),
Error!$B$17,
IF(AND(_xlpm.baseRow,$F208="Retain",$E208="ECA / Shoreline Tree",_xlpm.ECA_Short=0),
Error!$B$61,
IF(AND($F208="Remove",ISNUMBER(MATCH($E208,{"Tier 1","Tier 2","Tier 3","Tier 4","Tier 2 Grove"},0)),ISNUMBER(MATCH($I208,{"On-site replacement","Off-site replacement"},0)),$J208="",$H208&lt;&gt;""),
Error!$B$19,
IF(AND(_xlpm.baseRow,$E208&lt;&gt;"",$D208&lt;&gt;"",$F208&lt;&gt;"",COUNTBLANK($B208:$C208)&gt;0,COUNTBLANK(_xlpm.HRange)&lt;&gt;4),
Error!$B$22,
IF(AND($H208="Zoning: Tree Points",$K208&lt;&gt;"",ISNA(MATCH($K208,Tables!$B$242:$B$253,0))),
Error!$B$58,
IF(AND($H208="Zoning: Tree Points",$K208="Small",$L208&lt;&gt;"",ISNA(MATCH($L208,Tables!$C$243:$C$244,0))),
Error!$B$59,
IF(AND($H208="Zoning: Tree Points",$K208="Small/Medium",$L208&lt;&gt;"",ISNA(MATCH($L208,Tables!$C$246:$C$247,0))),
Error!$B$59,
IF(AND($H208="Zoning: Tree Points",$K208="Medium/Large",$L208&lt;&gt;"",ISNA(MATCH($L208,Tables!$C$249:$C$250,0))),
Error!$B$59,
IF(AND($H208="Zoning: Tree Points",$K208="Large",$L208&lt;&gt;"",ISNA(MATCH($L208,Tables!$C$252:$C$253,0))),
Error!$B$59,
IF(AND($F208="Retain",$H208="Zoning: Tree Points",$C208&lt;&gt;"",$D208&lt;&gt;"",OR($K208="",$L208="",$M208="")),
Error!$B$20,
""
)))))))))))))))))))))))))))))))))))))))))))))))))))))))),
Error!$B$23))</f>
        <v/>
      </c>
      <c r="O208" s="343" t="str" cm="1">
        <f t="array" aca="1" ref="O208" ca="1">IFERROR(_xlfn.LET(
    _xlpm.txt, $C208,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09" spans="1:15" x14ac:dyDescent="0.3">
      <c r="A209" s="320"/>
      <c r="B209" s="616" t="str">
        <f t="shared" si="204"/>
        <v/>
      </c>
      <c r="C209" s="617" t="str">
        <f t="shared" si="205"/>
        <v/>
      </c>
      <c r="D209" s="618" t="str">
        <f t="shared" si="206"/>
        <v/>
      </c>
      <c r="E209" s="616" t="str">
        <f t="shared" si="207"/>
        <v/>
      </c>
      <c r="F209" s="616" t="str">
        <f t="shared" si="208"/>
        <v/>
      </c>
      <c r="G209" s="619" t="str">
        <f>IF(Tree_Table1[[#This Row],[Tree Status  &amp;]]="Retain", Tables!$B$237, IF(Tree_Table1[[#This Row],[Tree Status  &amp;]]="Remove", Tables!$B$238, ""))</f>
        <v/>
      </c>
      <c r="H209" s="321"/>
      <c r="I209" s="322"/>
      <c r="J209" s="453"/>
      <c r="K209" s="323" t="str">
        <f>IFERROR(
    IF(
        AND($H209="Zoning: Tree Points", NOT(ISNUMBER(SEARCH("sp.", $C209)))),
        VLOOKUP($C209, 'Tree List'!$C$3:$F$601, 4, FALSE),
        ""
    ),
"")</f>
        <v/>
      </c>
      <c r="L209" s="324" t="str" cm="1">
        <f t="array" ref="L209">IFERROR(
IF(
    AND($H209="Zoning: Tree Points", NOT(ISNUMBER(SEARCH("sp.", $C209)))),
    _xlfn.IFS(
        (COUNTIFS('Tree List'!$C$3:$C$601,$C209,'Tree List'!$D$3:$D$601,"Coniferous")
        + COUNTIFS('Tree List'!$C$3:$C$601,$C209,'Tree List'!$D$3:$D$601,"Deciduous Conifer")) &gt; 0,
            _xlfn.IFS($K209="Small",0.5,$K209="Small/Medium",1,$K209="Medium/Large",1.4,$K209="Large",1.8),
        (COUNTIFS('Tree List'!$C$3:$C$601,$C209,'Tree List'!$D$3:$D$601,"Deciduous")
        + COUNTIFS('Tree List'!$C$3:$C$601,$C209,'Tree List'!$D$3:$D$601,"Broadleaf Evergreen")) &gt; 0,
            _xlfn.IFS($K209="Small",0.4,$K209="Small/Medium",0.8,$K209="Medium/Large",1.2,$K209="Large",1.6)
    ),
    ""
),
"")</f>
        <v/>
      </c>
      <c r="M209" s="475" t="str">
        <f t="shared" si="168"/>
        <v/>
      </c>
      <c r="N209" s="346" t="str" cm="1">
        <f t="array" aca="1" ref="N20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IF(AND(_xlpm.baseRow,ISNA(MATCH($C209,'Tree List'!$C$3:$C$601,0)),SUMPRODUCT(--ISNUMBER(SEARCH(Tables2!$C$677:$C$772,$O209)))&gt;0),
Error!$B$57,
IF(AND(_xlpm.hasDM,$F209="Remove",$H209&lt;&gt;"",OR($I209="On-site replacement",$I209="Off-site replacement",$I209="Payment In Lieu")),
Error!$B$56,
IF(AND(_xlpm.hasDM,$F209="Remove",$H209&lt;&gt;"",$I209="Relocation"),
Error!$B$66,
IF(AND(OR(_xlpm.hasCN,_xlpm.hasPH,_xlpm.hasGR),$H209&lt;&gt;"",COUNTIF(Tables!$B$132:$B$134,$H209)&gt;0,$I209="N/A (No replacement required)"),
Error!$B$62,
IF(AND(_xlpm.baseRow,$E209&lt;&gt;"",ISNA(MATCH($E209,Tables!$B$225:$B$232,0))),
Error!$B$2,
IF(AND(_xlpm.baseRow,$F209&lt;&gt;"",ISNA(MATCH($F209,Tables!$B$234:$B$235,0))),
Error!$B$24,
IF(AND(_xlpm.baseRow,_xlpm.ECA_H&gt;0,_xlpm.Shore_H&gt;0),
Error!$B$16,
IF(AND(_xlpm.baseRow,$E209&lt;&gt;"",$D209=""),
Error!$B$3,
IF(AND(_xlpm.baseRow,OR($E209="Tier 3",$E209="Tier 4"),$C209&lt;&gt;"",$D209&gt;=24,COUNTIF(Tables2!$B$166:$B$674,$C209)&gt;0),
Error!$B$44,
IF(AND(_xlpm.baseRow,OR($E209="Tier 3",$E209="Tier 4"),$C209&lt;&gt;"",$D209&lt;&gt;"",COUNTIF(Tables2!$B$73:$B$152,$C209)&gt;0,
$D209&gt;=IFERROR(INDEX(Tables2!$C$73:$C$152,MATCH($C209,Tables2!$B$73:$B$152,0)),-1)),
Error!$B$44,
IF(AND(_xlpm.baseRow,OR($E209="Tier 2",$E209="Tier 2 Grove"),$C209&lt;&gt;"",$D209&gt;=12,COUNTIF(Tables2!$B$153:$B$162,$C209)&gt;0),
Error!$B$45,
IF(AND(_xlpm.baseRow,$E209="Tier 2 Grove",$D209&lt;12),
Error!$B$41,
IF(AND(_xlpm.baseRow,$E209="Tier 2",$D209&lt;5.88),
Error!$B$40,
IF(AND(_xlpm.baseRow,OR($E209="Tier 2",$E209="Tier 2 Grove"),$C209&lt;&gt;"",$D209&lt;12,$D209&gt;=6,COUNTIF(Tables2!$B$153:$B$162,$C209)&gt;0),
Error!$B$54,
IF(AND(_xlpm.baseRow,$E209="Tier 2",COUNTIF(Tables2!$B$166:$B$674,$C209)&gt;0,$D209&lt;24),
Error!$B$54,
IF(AND(_xlpm.baseRow,$E209="Tier 3",ISNA(MATCH($C209,Tables2!$B$153:$B$162,0)),OR($D209&lt;12,$D209&gt;=24)),
Error!$B$9,
IF(AND(_xlpm.baseRow,$E209="Tier 3",COUNTIF(Tables2!$B$153:$B$162,$C209)&gt;0,$D209&lt;12),
Error!$B$46,
IF(AND(_xlpm.baseRow,$E209="Tier 4",OR($D209&lt;6,$D209&gt;=12)),
Error!$B$10,
IF(AND(_xlpm.baseRow,$E209="&lt;6in DSH for Tree Points",OR($D209&gt;=6,$D209="")),
Error!$B$8,
IF(AND(_xlpm.baseRow,$E209="Street Tree for Green Factor",$F209&lt;&gt;"",$F209&lt;&gt;"Retain"),
Error!$B$14,
IF(AND($E209="&lt;6in DSH for Tree Points",$F209="Retain",$H209&lt;&gt;"",ISNA(MATCH($H209,Tables!$B$174:$B$174,0))),
Error!$B$15,
IF(AND($E209="Street Tree for Green Factor",$F209="Retain",$H209&lt;&gt;"",$H209&lt;&gt;"Zoning: Green Factor"),
Error!$B$15,
IF(AND($E209="ECA / Shoreline Tree",$F209="Remove",$H209&lt;&gt;"",ISNA(MATCH($H209,Tables!$B$189:$B$190,0))),
Error!$B$15,
IF(AND($E209="ECA / Shoreline Tree",$F209="Retain",$H209&lt;&gt;"",ISNA(MATCH($H209,Tables!$B$184:$B$186,0))),
Error!$B$15,
IF(AND($E209="Tier 4",$F209="Remove",$H209&lt;&gt;"",ISNA(MATCH($H209,Tables!$B$171,0))),
Error!$B$15,
IF(AND($E209="Tier 4",$F209="Retain",$H209&lt;&gt;"",ISNA(MATCH($H209,Tables!$B$166:$B$168,0))),
Error!$B$15,
IF(AND($E209="Tier 3",$F209="Retain",$H209&lt;&gt;"",ISNA(MATCH($H209,Tables!$B$158:$B$160,0))),
Error!$B$15,
IF(AND($E209="Tier 3",$F209="Remove",$H209&lt;&gt;"",ISNA(MATCH($H209,Tables!$B$163,0))),
Error!$B$15,
IF(AND(OR($E209="Tier 2",$E209="Tier 2 Grove"),$F209="Remove",$H209&lt;&gt;"",ISNA(MATCH($H209,Tables!$B$153:$B$155,0))),
Error!$B$15,
IF(AND(OR($E209="Tier 2",$E209="Tier 2 Grove"),$F209="Retain",$H209&lt;&gt;"",ISNA(MATCH($H209,Tables!$B$147:$B$150,0))),
Error!$B$15,
IF(AND($E209="Tier 1",$F209="Remove",$H209&lt;&gt;"",ISNA(MATCH($H209,Tables!$B$143:$B$144,0))),
Error!$B$15,
IF(AND($E209="Tier 1",$F209="Retain",$H209&lt;&gt;"",ISNA(MATCH($H209,Tables!$B$137:$B$140,0))),
Error!$B$15,
IF(AND($E209&lt;&gt;"Tier 2",$E209&lt;&gt;"Tier 2 Grove",$E209&lt;&gt;"Tier 3",$E209&lt;&gt;"Tier 4",$H209="Zoning: Green Factor",OR($D209="",$D209&lt;6)),
Error!$B$11,
IF(AND(_xlpm.baseRow,$D209&lt;6,$E209="&lt;6in DSH for Tree Points",_xlpm.TreePoints_H=0),
Error!$B$21,
IF(AND(_xlpm.baseRow,$E209&lt;&gt;"",$D209&lt;&gt;"",$F209=""),
Error!$B$4,
IF(AND(_xlpm.baseRow,$F209="Remove",OR($E209="Tier 1",$E209="Tier 2",$E209="Tier 2 Grove"),COUNTBLANK(_xlpm.HRange)&lt;3,_xlpm.uniqueH&gt;=2),
Error!$B$48,
IF(AND(_xlpm.baseRow,$F209="Retain",OR($E209="Tier 1",$E209="Tier 2",$E209="Tier 2 Grove"),COUNTIF(_xlpm.HRange,"Tree Code: Required to Retain Tier 1-2 Tree")=0),
Error!$B$47,
IF(AND(_xlpm.baseRow,$E209&lt;&gt;"",$D209&lt;&gt;"",$F209&lt;&gt;"",COUNTBLANK(_xlpm.HRange)=4),
Error!$B$5,
IF(AND($F209="Remove",$H209&lt;&gt;"",$I209=""),
Error!$B$18,
IF(AND($E209="Tier 4",$F209="Remove",$H209="Tree Protection Code: Tier 3 or Tier 4 Allowance",$H209&lt;&gt;"",ISNA(MATCH($I209,Tables!$B$200,0))),
Error!$B$17,
IF(AND($E209="Tier 3",$F209="Remove",$H209&lt;&gt;"",$H209="Tree Protection Code: Tier 3 or Tier 4 Allowance",OR($I209="",ISNA(MATCH($I209,Tables!$B$193:$B$197,0)))),
Error!$B$17,
IF(AND(OR($E209="Tier 2",$E209="Tier 2 Grove"),$F209="Remove",$H209="Tree Protection Code: Other removal allowance or exemption",$I209&lt;&gt;"",ISNA(MATCH($I209,Tables!$B$215:$B$218,0))),
Error!$B$17,
IF(AND(OR($E209="Tier 2",$E209="Tier 2 Grove"),$F209="Remove",$H209="Tree Protection Code: Development Capacity",$I209&lt;&gt;"",ISNA(MATCH($I209,Tables!$B$193:$B$197,0))),
Error!$B$17,
IF(AND(OR($E209="Tier 2",$E209="Tier 2 Grove"),$F209="Remove",$H209="Tree Protection Code: Necessary for Construction",$I209&lt;&gt;"",ISNA(MATCH($I209,Tables!$B$193:$B$197,0))),
Error!$B$17,
IF(AND($E209="Tier 1",$F209="Remove",$H209="Tree Protection Code: Special Exception",$I209&lt;&gt;"",ISNA(MATCH($I209,Tables!$B$215:$B$218,0))),
Error!$B$17,
IF(AND($E209="Tier 1",$F209="Remove",$H209="Tree Protection Code: Other removal allowance or exemption",$I209&lt;&gt;"",ISNA(MATCH($I209,Tables!$B$215:$B$218,0))),
Error!$B$17,
IF(AND($E209="ECA / Shoreline Tree",$F209="Remove",$H209&lt;&gt;"",OR($H209="Shoreline",$H209="Environmental Critical Area (ECA)"),ISNA(MATCH($I209,Tables!$B$209:$B$212,0))),
Error!$B$17,
IF(AND(_xlpm.baseRow,$F209="Retain",$E209="ECA / Shoreline Tree",_xlpm.ECA_Short=0),
Error!$B$61,
IF(AND($F209="Remove",ISNUMBER(MATCH($E209,{"Tier 1","Tier 2","Tier 3","Tier 4","Tier 2 Grove"},0)),ISNUMBER(MATCH($I209,{"On-site replacement","Off-site replacement"},0)),$J209="",$H209&lt;&gt;""),
Error!$B$19,
IF(AND(_xlpm.baseRow,$E209&lt;&gt;"",$D209&lt;&gt;"",$F209&lt;&gt;"",COUNTBLANK($B209:$C209)&gt;0,COUNTBLANK(_xlpm.HRange)&lt;&gt;4),
Error!$B$22,
IF(AND($H209="Zoning: Tree Points",$K209&lt;&gt;"",ISNA(MATCH($K209,Tables!$B$242:$B$253,0))),
Error!$B$58,
IF(AND($H209="Zoning: Tree Points",$K209="Small",$L209&lt;&gt;"",ISNA(MATCH($L209,Tables!$C$243:$C$244,0))),
Error!$B$59,
IF(AND($H209="Zoning: Tree Points",$K209="Small/Medium",$L209&lt;&gt;"",ISNA(MATCH($L209,Tables!$C$246:$C$247,0))),
Error!$B$59,
IF(AND($H209="Zoning: Tree Points",$K209="Medium/Large",$L209&lt;&gt;"",ISNA(MATCH($L209,Tables!$C$249:$C$250,0))),
Error!$B$59,
IF(AND($H209="Zoning: Tree Points",$K209="Large",$L209&lt;&gt;"",ISNA(MATCH($L209,Tables!$C$252:$C$253,0))),
Error!$B$59,
IF(AND($F209="Retain",$H209="Zoning: Tree Points",$C209&lt;&gt;"",$D209&lt;&gt;"",OR($K209="",$L209="",$M209="")),
Error!$B$20,
""
)))))))))))))))))))))))))))))))))))))))))))))))))))))))),
Error!$B$23))</f>
        <v/>
      </c>
      <c r="O209" s="343" t="str" cm="1">
        <f t="array" aca="1" ref="O209" ca="1">IFERROR(_xlfn.LET(
    _xlpm.txt, $C209,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10" spans="1:15" ht="15" thickBot="1" x14ac:dyDescent="0.35">
      <c r="A210" s="331"/>
      <c r="B210" s="616" t="str">
        <f t="shared" si="204"/>
        <v/>
      </c>
      <c r="C210" s="617" t="str">
        <f t="shared" si="205"/>
        <v/>
      </c>
      <c r="D210" s="618" t="str">
        <f t="shared" si="206"/>
        <v/>
      </c>
      <c r="E210" s="616" t="str">
        <f t="shared" si="207"/>
        <v/>
      </c>
      <c r="F210" s="616" t="str">
        <f t="shared" si="208"/>
        <v/>
      </c>
      <c r="G210" s="619" t="str">
        <f>IF(Tree_Table1[[#This Row],[Tree Status  &amp;]]="Retain", Tables!$B$237, IF(Tree_Table1[[#This Row],[Tree Status  &amp;]]="Remove", Tables!$B$238, ""))</f>
        <v/>
      </c>
      <c r="H210" s="329"/>
      <c r="I210" s="330"/>
      <c r="J210" s="455"/>
      <c r="K210" s="327" t="str">
        <f>IFERROR(
    IF(
        AND($H210="Zoning: Tree Points", NOT(ISNUMBER(SEARCH("sp.", $C210)))),
        VLOOKUP($C210, 'Tree List'!$C$3:$F$601, 4, FALSE),
        ""
    ),
"")</f>
        <v/>
      </c>
      <c r="L210" s="328" t="str" cm="1">
        <f t="array" ref="L210">IFERROR(
IF(
    AND($H210="Zoning: Tree Points", NOT(ISNUMBER(SEARCH("sp.", $C210)))),
    _xlfn.IFS(
        (COUNTIFS('Tree List'!$C$3:$C$601,$C210,'Tree List'!$D$3:$D$601,"Coniferous")
        + COUNTIFS('Tree List'!$C$3:$C$601,$C210,'Tree List'!$D$3:$D$601,"Deciduous Conifer")) &gt; 0,
            _xlfn.IFS($K210="Small",0.5,$K210="Small/Medium",1,$K210="Medium/Large",1.4,$K210="Large",1.8),
        (COUNTIFS('Tree List'!$C$3:$C$601,$C210,'Tree List'!$D$3:$D$601,"Deciduous")
        + COUNTIFS('Tree List'!$C$3:$C$601,$C210,'Tree List'!$D$3:$D$601,"Broadleaf Evergreen")) &gt; 0,
            _xlfn.IFS($K210="Small",0.4,$K210="Small/Medium",0.8,$K210="Medium/Large",1.2,$K210="Large",1.6)
    ),
    ""
),
"")</f>
        <v/>
      </c>
      <c r="M210" s="476" t="str">
        <f t="shared" si="168"/>
        <v/>
      </c>
      <c r="N210" s="347" t="str" cm="1">
        <f t="array" aca="1" ref="N21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IF(AND(_xlpm.baseRow,ISNA(MATCH($C210,'Tree List'!$C$3:$C$601,0)),SUMPRODUCT(--ISNUMBER(SEARCH(Tables2!$C$677:$C$772,$O210)))&gt;0),
Error!$B$57,
IF(AND(_xlpm.hasDM,$F210="Remove",$H210&lt;&gt;"",OR($I210="On-site replacement",$I210="Off-site replacement",$I210="Payment In Lieu")),
Error!$B$56,
IF(AND(_xlpm.hasDM,$F210="Remove",$H210&lt;&gt;"",$I210="Relocation"),
Error!$B$66,
IF(AND(OR(_xlpm.hasCN,_xlpm.hasPH,_xlpm.hasGR),$H210&lt;&gt;"",COUNTIF(Tables!$B$132:$B$134,$H210)&gt;0,$I210="N/A (No replacement required)"),
Error!$B$62,
IF(AND(_xlpm.baseRow,$E210&lt;&gt;"",ISNA(MATCH($E210,Tables!$B$225:$B$232,0))),
Error!$B$2,
IF(AND(_xlpm.baseRow,$F210&lt;&gt;"",ISNA(MATCH($F210,Tables!$B$234:$B$235,0))),
Error!$B$24,
IF(AND(_xlpm.baseRow,_xlpm.ECA_H&gt;0,_xlpm.Shore_H&gt;0),
Error!$B$16,
IF(AND(_xlpm.baseRow,$E210&lt;&gt;"",$D210=""),
Error!$B$3,
IF(AND(_xlpm.baseRow,OR($E210="Tier 3",$E210="Tier 4"),$C210&lt;&gt;"",$D210&gt;=24,COUNTIF(Tables2!$B$166:$B$674,$C210)&gt;0),
Error!$B$44,
IF(AND(_xlpm.baseRow,OR($E210="Tier 3",$E210="Tier 4"),$C210&lt;&gt;"",$D210&lt;&gt;"",COUNTIF(Tables2!$B$73:$B$152,$C210)&gt;0,
$D210&gt;=IFERROR(INDEX(Tables2!$C$73:$C$152,MATCH($C210,Tables2!$B$73:$B$152,0)),-1)),
Error!$B$44,
IF(AND(_xlpm.baseRow,OR($E210="Tier 2",$E210="Tier 2 Grove"),$C210&lt;&gt;"",$D210&gt;=12,COUNTIF(Tables2!$B$153:$B$162,$C210)&gt;0),
Error!$B$45,
IF(AND(_xlpm.baseRow,$E210="Tier 2 Grove",$D210&lt;12),
Error!$B$41,
IF(AND(_xlpm.baseRow,$E210="Tier 2",$D210&lt;5.88),
Error!$B$40,
IF(AND(_xlpm.baseRow,OR($E210="Tier 2",$E210="Tier 2 Grove"),$C210&lt;&gt;"",$D210&lt;12,$D210&gt;=6,COUNTIF(Tables2!$B$153:$B$162,$C210)&gt;0),
Error!$B$54,
IF(AND(_xlpm.baseRow,$E210="Tier 2",COUNTIF(Tables2!$B$166:$B$674,$C210)&gt;0,$D210&lt;24),
Error!$B$54,
IF(AND(_xlpm.baseRow,$E210="Tier 3",ISNA(MATCH($C210,Tables2!$B$153:$B$162,0)),OR($D210&lt;12,$D210&gt;=24)),
Error!$B$9,
IF(AND(_xlpm.baseRow,$E210="Tier 3",COUNTIF(Tables2!$B$153:$B$162,$C210)&gt;0,$D210&lt;12),
Error!$B$46,
IF(AND(_xlpm.baseRow,$E210="Tier 4",OR($D210&lt;6,$D210&gt;=12)),
Error!$B$10,
IF(AND(_xlpm.baseRow,$E210="&lt;6in DSH for Tree Points",OR($D210&gt;=6,$D210="")),
Error!$B$8,
IF(AND(_xlpm.baseRow,$E210="Street Tree for Green Factor",$F210&lt;&gt;"",$F210&lt;&gt;"Retain"),
Error!$B$14,
IF(AND($E210="&lt;6in DSH for Tree Points",$F210="Retain",$H210&lt;&gt;"",ISNA(MATCH($H210,Tables!$B$174:$B$174,0))),
Error!$B$15,
IF(AND($E210="Street Tree for Green Factor",$F210="Retain",$H210&lt;&gt;"",$H210&lt;&gt;"Zoning: Green Factor"),
Error!$B$15,
IF(AND($E210="ECA / Shoreline Tree",$F210="Remove",$H210&lt;&gt;"",ISNA(MATCH($H210,Tables!$B$189:$B$190,0))),
Error!$B$15,
IF(AND($E210="ECA / Shoreline Tree",$F210="Retain",$H210&lt;&gt;"",ISNA(MATCH($H210,Tables!$B$184:$B$186,0))),
Error!$B$15,
IF(AND($E210="Tier 4",$F210="Remove",$H210&lt;&gt;"",ISNA(MATCH($H210,Tables!$B$171,0))),
Error!$B$15,
IF(AND($E210="Tier 4",$F210="Retain",$H210&lt;&gt;"",ISNA(MATCH($H210,Tables!$B$166:$B$168,0))),
Error!$B$15,
IF(AND($E210="Tier 3",$F210="Retain",$H210&lt;&gt;"",ISNA(MATCH($H210,Tables!$B$158:$B$160,0))),
Error!$B$15,
IF(AND($E210="Tier 3",$F210="Remove",$H210&lt;&gt;"",ISNA(MATCH($H210,Tables!$B$163,0))),
Error!$B$15,
IF(AND(OR($E210="Tier 2",$E210="Tier 2 Grove"),$F210="Remove",$H210&lt;&gt;"",ISNA(MATCH($H210,Tables!$B$153:$B$155,0))),
Error!$B$15,
IF(AND(OR($E210="Tier 2",$E210="Tier 2 Grove"),$F210="Retain",$H210&lt;&gt;"",ISNA(MATCH($H210,Tables!$B$147:$B$150,0))),
Error!$B$15,
IF(AND($E210="Tier 1",$F210="Remove",$H210&lt;&gt;"",ISNA(MATCH($H210,Tables!$B$143:$B$144,0))),
Error!$B$15,
IF(AND($E210="Tier 1",$F210="Retain",$H210&lt;&gt;"",ISNA(MATCH($H210,Tables!$B$137:$B$140,0))),
Error!$B$15,
IF(AND($E210&lt;&gt;"Tier 2",$E210&lt;&gt;"Tier 2 Grove",$E210&lt;&gt;"Tier 3",$E210&lt;&gt;"Tier 4",$H210="Zoning: Green Factor",OR($D210="",$D210&lt;6)),
Error!$B$11,
IF(AND(_xlpm.baseRow,$D210&lt;6,$E210="&lt;6in DSH for Tree Points",_xlpm.TreePoints_H=0),
Error!$B$21,
IF(AND(_xlpm.baseRow,$E210&lt;&gt;"",$D210&lt;&gt;"",$F210=""),
Error!$B$4,
IF(AND(_xlpm.baseRow,$F210="Remove",OR($E210="Tier 1",$E210="Tier 2",$E210="Tier 2 Grove"),COUNTBLANK(_xlpm.HRange)&lt;3,_xlpm.uniqueH&gt;=2),
Error!$B$48,
IF(AND(_xlpm.baseRow,$F210="Retain",OR($E210="Tier 1",$E210="Tier 2",$E210="Tier 2 Grove"),COUNTIF(_xlpm.HRange,"Tree Code: Required to Retain Tier 1-2 Tree")=0),
Error!$B$47,
IF(AND(_xlpm.baseRow,$E210&lt;&gt;"",$D210&lt;&gt;"",$F210&lt;&gt;"",COUNTBLANK(_xlpm.HRange)=4),
Error!$B$5,
IF(AND($F210="Remove",$H210&lt;&gt;"",$I210=""),
Error!$B$18,
IF(AND($E210="Tier 4",$F210="Remove",$H210="Tree Protection Code: Tier 3 or Tier 4 Allowance",$H210&lt;&gt;"",ISNA(MATCH($I210,Tables!$B$200,0))),
Error!$B$17,
IF(AND($E210="Tier 3",$F210="Remove",$H210&lt;&gt;"",$H210="Tree Protection Code: Tier 3 or Tier 4 Allowance",OR($I210="",ISNA(MATCH($I210,Tables!$B$193:$B$197,0)))),
Error!$B$17,
IF(AND(OR($E210="Tier 2",$E210="Tier 2 Grove"),$F210="Remove",$H210="Tree Protection Code: Other removal allowance or exemption",$I210&lt;&gt;"",ISNA(MATCH($I210,Tables!$B$215:$B$218,0))),
Error!$B$17,
IF(AND(OR($E210="Tier 2",$E210="Tier 2 Grove"),$F210="Remove",$H210="Tree Protection Code: Development Capacity",$I210&lt;&gt;"",ISNA(MATCH($I210,Tables!$B$193:$B$197,0))),
Error!$B$17,
IF(AND(OR($E210="Tier 2",$E210="Tier 2 Grove"),$F210="Remove",$H210="Tree Protection Code: Necessary for Construction",$I210&lt;&gt;"",ISNA(MATCH($I210,Tables!$B$193:$B$197,0))),
Error!$B$17,
IF(AND($E210="Tier 1",$F210="Remove",$H210="Tree Protection Code: Special Exception",$I210&lt;&gt;"",ISNA(MATCH($I210,Tables!$B$215:$B$218,0))),
Error!$B$17,
IF(AND($E210="Tier 1",$F210="Remove",$H210="Tree Protection Code: Other removal allowance or exemption",$I210&lt;&gt;"",ISNA(MATCH($I210,Tables!$B$215:$B$218,0))),
Error!$B$17,
IF(AND($E210="ECA / Shoreline Tree",$F210="Remove",$H210&lt;&gt;"",OR($H210="Shoreline",$H210="Environmental Critical Area (ECA)"),ISNA(MATCH($I210,Tables!$B$209:$B$212,0))),
Error!$B$17,
IF(AND(_xlpm.baseRow,$F210="Retain",$E210="ECA / Shoreline Tree",_xlpm.ECA_Short=0),
Error!$B$61,
IF(AND($F210="Remove",ISNUMBER(MATCH($E210,{"Tier 1","Tier 2","Tier 3","Tier 4","Tier 2 Grove"},0)),ISNUMBER(MATCH($I210,{"On-site replacement","Off-site replacement"},0)),$J210="",$H210&lt;&gt;""),
Error!$B$19,
IF(AND(_xlpm.baseRow,$E210&lt;&gt;"",$D210&lt;&gt;"",$F210&lt;&gt;"",COUNTBLANK($B210:$C210)&gt;0,COUNTBLANK(_xlpm.HRange)&lt;&gt;4),
Error!$B$22,
IF(AND($H210="Zoning: Tree Points",$K210&lt;&gt;"",ISNA(MATCH($K210,Tables!$B$242:$B$253,0))),
Error!$B$58,
IF(AND($H210="Zoning: Tree Points",$K210="Small",$L210&lt;&gt;"",ISNA(MATCH($L210,Tables!$C$243:$C$244,0))),
Error!$B$59,
IF(AND($H210="Zoning: Tree Points",$K210="Small/Medium",$L210&lt;&gt;"",ISNA(MATCH($L210,Tables!$C$246:$C$247,0))),
Error!$B$59,
IF(AND($H210="Zoning: Tree Points",$K210="Medium/Large",$L210&lt;&gt;"",ISNA(MATCH($L210,Tables!$C$249:$C$250,0))),
Error!$B$59,
IF(AND($H210="Zoning: Tree Points",$K210="Large",$L210&lt;&gt;"",ISNA(MATCH($L210,Tables!$C$252:$C$253,0))),
Error!$B$59,
IF(AND($F210="Retain",$H210="Zoning: Tree Points",$C210&lt;&gt;"",$D210&lt;&gt;"",OR($K210="",$L210="",$M210="")),
Error!$B$20,
""
)))))))))))))))))))))))))))))))))))))))))))))))))))))))),
Error!$B$23))</f>
        <v/>
      </c>
      <c r="O210" s="343" t="str" cm="1">
        <f t="array" aca="1" ref="O210" ca="1">IFERROR(_xlfn.LET(
    _xlpm.txt, $C210,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11" spans="1:15" ht="15" thickBot="1" x14ac:dyDescent="0.35">
      <c r="A211" s="311">
        <v>51</v>
      </c>
      <c r="B211" s="312"/>
      <c r="C211" s="313"/>
      <c r="D211" s="478"/>
      <c r="E211" s="314"/>
      <c r="F211" s="314"/>
      <c r="G211" s="315" t="str">
        <f>IF(Tree_Table1[[#This Row],[Tree Status  &amp;]]="Retain", Tables!$B$237, IF(Tree_Table1[[#This Row],[Tree Status  &amp;]]="Remove", Tables!$B$238, ""))</f>
        <v/>
      </c>
      <c r="H211" s="316"/>
      <c r="I211" s="317"/>
      <c r="J211" s="452"/>
      <c r="K211" s="318" t="str">
        <f>IFERROR(
    IF(
        AND($H211="Zoning: Tree Points", NOT(ISNUMBER(SEARCH("sp.", $C211)))),
        VLOOKUP($C211, 'Tree List'!$C$3:$F$601, 4, FALSE),
        ""
    ),
"")</f>
        <v/>
      </c>
      <c r="L211" s="319" t="str" cm="1">
        <f t="array" ref="L211">IFERROR(
IF(
    AND($H211="Zoning: Tree Points", NOT(ISNUMBER(SEARCH("sp.", $C211)))),
    _xlfn.IFS(
        (COUNTIFS('Tree List'!$C$3:$C$601,$C211,'Tree List'!$D$3:$D$601,"Coniferous")
        + COUNTIFS('Tree List'!$C$3:$C$601,$C211,'Tree List'!$D$3:$D$601,"Deciduous Conifer")) &gt; 0,
            _xlfn.IFS($K211="Small",0.5,$K211="Small/Medium",1,$K211="Medium/Large",1.4,$K211="Large",1.8),
        (COUNTIFS('Tree List'!$C$3:$C$601,$C211,'Tree List'!$D$3:$D$601,"Deciduous")
        + COUNTIFS('Tree List'!$C$3:$C$601,$C211,'Tree List'!$D$3:$D$601,"Broadleaf Evergreen")) &gt; 0,
            _xlfn.IFS($K211="Small",0.4,$K211="Small/Medium",0.8,$K211="Medium/Large",1.2,$K211="Large",1.6)
    ),
    ""
),
"")</f>
        <v/>
      </c>
      <c r="M211" s="474" t="str">
        <f t="shared" si="168"/>
        <v/>
      </c>
      <c r="N211" s="620" t="str" cm="1">
        <f t="array" aca="1" ref="N21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IF(AND(_xlpm.baseRow,ISNA(MATCH($C211,'Tree List'!$C$3:$C$601,0)),SUMPRODUCT(--ISNUMBER(SEARCH(Tables2!$C$677:$C$772,$O211)))&gt;0),
Error!$B$57,
IF(AND(_xlpm.hasDM,$F211="Remove",$H211&lt;&gt;"",OR($I211="On-site replacement",$I211="Off-site replacement",$I211="Payment In Lieu")),
Error!$B$56,
IF(AND(_xlpm.hasDM,$F211="Remove",$H211&lt;&gt;"",$I211="Relocation"),
Error!$B$66,
IF(AND(OR(_xlpm.hasCN,_xlpm.hasPH,_xlpm.hasGR),$H211&lt;&gt;"",COUNTIF(Tables!$B$132:$B$134,$H211)&gt;0,$I211="N/A (No replacement required)"),
Error!$B$62,
IF(AND(_xlpm.baseRow,$E211&lt;&gt;"",ISNA(MATCH($E211,Tables!$B$225:$B$232,0))),
Error!$B$2,
IF(AND(_xlpm.baseRow,$F211&lt;&gt;"",ISNA(MATCH($F211,Tables!$B$234:$B$235,0))),
Error!$B$24,
IF(AND(_xlpm.baseRow,_xlpm.ECA_H&gt;0,_xlpm.Shore_H&gt;0),
Error!$B$16,
IF(AND(_xlpm.baseRow,$E211&lt;&gt;"",$D211=""),
Error!$B$3,
IF(AND(_xlpm.baseRow,OR($E211="Tier 3",$E211="Tier 4"),$C211&lt;&gt;"",$D211&gt;=24,COUNTIF(Tables2!$B$166:$B$674,$C211)&gt;0),
Error!$B$44,
IF(AND(_xlpm.baseRow,OR($E211="Tier 3",$E211="Tier 4"),$C211&lt;&gt;"",$D211&lt;&gt;"",COUNTIF(Tables2!$B$73:$B$152,$C211)&gt;0,
$D211&gt;=IFERROR(INDEX(Tables2!$C$73:$C$152,MATCH($C211,Tables2!$B$73:$B$152,0)),-1)),
Error!$B$44,
IF(AND(_xlpm.baseRow,OR($E211="Tier 2",$E211="Tier 2 Grove"),$C211&lt;&gt;"",$D211&gt;=12,COUNTIF(Tables2!$B$153:$B$162,$C211)&gt;0),
Error!$B$45,
IF(AND(_xlpm.baseRow,$E211="Tier 2 Grove",$D211&lt;12),
Error!$B$41,
IF(AND(_xlpm.baseRow,$E211="Tier 2",$D211&lt;5.88),
Error!$B$40,
IF(AND(_xlpm.baseRow,OR($E211="Tier 2",$E211="Tier 2 Grove"),$C211&lt;&gt;"",$D211&lt;12,$D211&gt;=6,COUNTIF(Tables2!$B$153:$B$162,$C211)&gt;0),
Error!$B$54,
IF(AND(_xlpm.baseRow,$E211="Tier 2",COUNTIF(Tables2!$B$166:$B$674,$C211)&gt;0,$D211&lt;24),
Error!$B$54,
IF(AND(_xlpm.baseRow,$E211="Tier 3",ISNA(MATCH($C211,Tables2!$B$153:$B$162,0)),OR($D211&lt;12,$D211&gt;=24)),
Error!$B$9,
IF(AND(_xlpm.baseRow,$E211="Tier 3",COUNTIF(Tables2!$B$153:$B$162,$C211)&gt;0,$D211&lt;12),
Error!$B$46,
IF(AND(_xlpm.baseRow,$E211="Tier 4",OR($D211&lt;6,$D211&gt;=12)),
Error!$B$10,
IF(AND(_xlpm.baseRow,$E211="&lt;6in DSH for Tree Points",OR($D211&gt;=6,$D211="")),
Error!$B$8,
IF(AND(_xlpm.baseRow,$E211="Street Tree for Green Factor",$F211&lt;&gt;"",$F211&lt;&gt;"Retain"),
Error!$B$14,
IF(AND($E211="&lt;6in DSH for Tree Points",$F211="Retain",$H211&lt;&gt;"",ISNA(MATCH($H211,Tables!$B$174:$B$174,0))),
Error!$B$15,
IF(AND($E211="Street Tree for Green Factor",$F211="Retain",$H211&lt;&gt;"",$H211&lt;&gt;"Zoning: Green Factor"),
Error!$B$15,
IF(AND($E211="ECA / Shoreline Tree",$F211="Remove",$H211&lt;&gt;"",ISNA(MATCH($H211,Tables!$B$189:$B$190,0))),
Error!$B$15,
IF(AND($E211="ECA / Shoreline Tree",$F211="Retain",$H211&lt;&gt;"",ISNA(MATCH($H211,Tables!$B$184:$B$186,0))),
Error!$B$15,
IF(AND($E211="Tier 4",$F211="Remove",$H211&lt;&gt;"",ISNA(MATCH($H211,Tables!$B$171,0))),
Error!$B$15,
IF(AND($E211="Tier 4",$F211="Retain",$H211&lt;&gt;"",ISNA(MATCH($H211,Tables!$B$166:$B$168,0))),
Error!$B$15,
IF(AND($E211="Tier 3",$F211="Retain",$H211&lt;&gt;"",ISNA(MATCH($H211,Tables!$B$158:$B$160,0))),
Error!$B$15,
IF(AND($E211="Tier 3",$F211="Remove",$H211&lt;&gt;"",ISNA(MATCH($H211,Tables!$B$163,0))),
Error!$B$15,
IF(AND(OR($E211="Tier 2",$E211="Tier 2 Grove"),$F211="Remove",$H211&lt;&gt;"",ISNA(MATCH($H211,Tables!$B$153:$B$155,0))),
Error!$B$15,
IF(AND(OR($E211="Tier 2",$E211="Tier 2 Grove"),$F211="Retain",$H211&lt;&gt;"",ISNA(MATCH($H211,Tables!$B$147:$B$150,0))),
Error!$B$15,
IF(AND($E211="Tier 1",$F211="Remove",$H211&lt;&gt;"",ISNA(MATCH($H211,Tables!$B$143:$B$144,0))),
Error!$B$15,
IF(AND($E211="Tier 1",$F211="Retain",$H211&lt;&gt;"",ISNA(MATCH($H211,Tables!$B$137:$B$140,0))),
Error!$B$15,
IF(AND($E211&lt;&gt;"Tier 2",$E211&lt;&gt;"Tier 2 Grove",$E211&lt;&gt;"Tier 3",$E211&lt;&gt;"Tier 4",$H211="Zoning: Green Factor",OR($D211="",$D211&lt;6)),
Error!$B$11,
IF(AND(_xlpm.baseRow,$D211&lt;6,$E211="&lt;6in DSH for Tree Points",_xlpm.TreePoints_H=0),
Error!$B$21,
IF(AND(_xlpm.baseRow,$E211&lt;&gt;"",$D211&lt;&gt;"",$F211=""),
Error!$B$4,
IF(AND(_xlpm.baseRow,$F211="Remove",OR($E211="Tier 1",$E211="Tier 2",$E211="Tier 2 Grove"),COUNTBLANK(_xlpm.HRange)&lt;3,_xlpm.uniqueH&gt;=2),
Error!$B$48,
IF(AND(_xlpm.baseRow,$F211="Retain",OR($E211="Tier 1",$E211="Tier 2",$E211="Tier 2 Grove"),COUNTIF(_xlpm.HRange,"Tree Code: Required to Retain Tier 1-2 Tree")=0),
Error!$B$47,
IF(AND(_xlpm.baseRow,$E211&lt;&gt;"",$D211&lt;&gt;"",$F211&lt;&gt;"",COUNTBLANK(_xlpm.HRange)=4),
Error!$B$5,
IF(AND($F211="Remove",$H211&lt;&gt;"",$I211=""),
Error!$B$18,
IF(AND($E211="Tier 4",$F211="Remove",$H211="Tree Protection Code: Tier 3 or Tier 4 Allowance",$H211&lt;&gt;"",ISNA(MATCH($I211,Tables!$B$200,0))),
Error!$B$17,
IF(AND($E211="Tier 3",$F211="Remove",$H211&lt;&gt;"",$H211="Tree Protection Code: Tier 3 or Tier 4 Allowance",OR($I211="",ISNA(MATCH($I211,Tables!$B$193:$B$197,0)))),
Error!$B$17,
IF(AND(OR($E211="Tier 2",$E211="Tier 2 Grove"),$F211="Remove",$H211="Tree Protection Code: Other removal allowance or exemption",$I211&lt;&gt;"",ISNA(MATCH($I211,Tables!$B$215:$B$218,0))),
Error!$B$17,
IF(AND(OR($E211="Tier 2",$E211="Tier 2 Grove"),$F211="Remove",$H211="Tree Protection Code: Development Capacity",$I211&lt;&gt;"",ISNA(MATCH($I211,Tables!$B$193:$B$197,0))),
Error!$B$17,
IF(AND(OR($E211="Tier 2",$E211="Tier 2 Grove"),$F211="Remove",$H211="Tree Protection Code: Necessary for Construction",$I211&lt;&gt;"",ISNA(MATCH($I211,Tables!$B$193:$B$197,0))),
Error!$B$17,
IF(AND($E211="Tier 1",$F211="Remove",$H211="Tree Protection Code: Special Exception",$I211&lt;&gt;"",ISNA(MATCH($I211,Tables!$B$215:$B$218,0))),
Error!$B$17,
IF(AND($E211="Tier 1",$F211="Remove",$H211="Tree Protection Code: Other removal allowance or exemption",$I211&lt;&gt;"",ISNA(MATCH($I211,Tables!$B$215:$B$218,0))),
Error!$B$17,
IF(AND($E211="ECA / Shoreline Tree",$F211="Remove",$H211&lt;&gt;"",OR($H211="Shoreline",$H211="Environmental Critical Area (ECA)"),ISNA(MATCH($I211,Tables!$B$209:$B$212,0))),
Error!$B$17,
IF(AND(_xlpm.baseRow,$F211="Retain",$E211="ECA / Shoreline Tree",_xlpm.ECA_Short=0),
Error!$B$61,
IF(AND($F211="Remove",ISNUMBER(MATCH($E211,{"Tier 1","Tier 2","Tier 3","Tier 4","Tier 2 Grove"},0)),ISNUMBER(MATCH($I211,{"On-site replacement","Off-site replacement"},0)),$J211="",$H211&lt;&gt;""),
Error!$B$19,
IF(AND(_xlpm.baseRow,$E211&lt;&gt;"",$D211&lt;&gt;"",$F211&lt;&gt;"",COUNTBLANK($B211:$C211)&gt;0,COUNTBLANK(_xlpm.HRange)&lt;&gt;4),
Error!$B$22,
IF(AND($H211="Zoning: Tree Points",$K211&lt;&gt;"",ISNA(MATCH($K211,Tables!$B$242:$B$253,0))),
Error!$B$58,
IF(AND($H211="Zoning: Tree Points",$K211="Small",$L211&lt;&gt;"",ISNA(MATCH($L211,Tables!$C$243:$C$244,0))),
Error!$B$59,
IF(AND($H211="Zoning: Tree Points",$K211="Small/Medium",$L211&lt;&gt;"",ISNA(MATCH($L211,Tables!$C$246:$C$247,0))),
Error!$B$59,
IF(AND($H211="Zoning: Tree Points",$K211="Medium/Large",$L211&lt;&gt;"",ISNA(MATCH($L211,Tables!$C$249:$C$250,0))),
Error!$B$59,
IF(AND($H211="Zoning: Tree Points",$K211="Large",$L211&lt;&gt;"",ISNA(MATCH($L211,Tables!$C$252:$C$253,0))),
Error!$B$59,
IF(AND($F211="Retain",$H211="Zoning: Tree Points",$C211&lt;&gt;"",$D211&lt;&gt;"",OR($K211="",$L211="",$M211="")),
Error!$B$20,
""
)))))))))))))))))))))))))))))))))))))))))))))))))))))))),
Error!$B$23))</f>
        <v/>
      </c>
      <c r="O211" s="343" t="str" cm="1">
        <f t="array" aca="1" ref="O211" ca="1">IFERROR(_xlfn.LET(
    _xlpm.txt, $C211,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12" spans="1:15" x14ac:dyDescent="0.3">
      <c r="A212" s="320"/>
      <c r="B212" s="616" t="str">
        <f t="shared" ref="B212:B214" si="209">IF($B211="", "", $B211)</f>
        <v/>
      </c>
      <c r="C212" s="617" t="str">
        <f t="shared" ref="C212:C214" si="210">IF($C211="", "", $C211)</f>
        <v/>
      </c>
      <c r="D212" s="618" t="str">
        <f t="shared" ref="D212:D214" si="211">IF($D211="", "", $D211)</f>
        <v/>
      </c>
      <c r="E212" s="616" t="str">
        <f t="shared" ref="E212:E214" si="212">IF($E211="", "", $E211)</f>
        <v/>
      </c>
      <c r="F212" s="616" t="str">
        <f t="shared" ref="F212:F214" si="213">IF($F211="", "", $F211)</f>
        <v/>
      </c>
      <c r="G212" s="619" t="str">
        <f>IF(Tree_Table1[[#This Row],[Tree Status  &amp;]]="Retain", Tables!$B$237, IF(Tree_Table1[[#This Row],[Tree Status  &amp;]]="Remove", Tables!$B$238, ""))</f>
        <v/>
      </c>
      <c r="H212" s="321"/>
      <c r="I212" s="322"/>
      <c r="J212" s="453"/>
      <c r="K212" s="323" t="str">
        <f>IFERROR(
    IF(
        AND($H212="Zoning: Tree Points", NOT(ISNUMBER(SEARCH("sp.", $C212)))),
        VLOOKUP($C212, 'Tree List'!$C$3:$F$601, 4, FALSE),
        ""
    ),
"")</f>
        <v/>
      </c>
      <c r="L212" s="324" t="str" cm="1">
        <f t="array" ref="L212">IFERROR(
IF(
    AND($H212="Zoning: Tree Points", NOT(ISNUMBER(SEARCH("sp.", $C212)))),
    _xlfn.IFS(
        (COUNTIFS('Tree List'!$C$3:$C$601,$C212,'Tree List'!$D$3:$D$601,"Coniferous")
        + COUNTIFS('Tree List'!$C$3:$C$601,$C212,'Tree List'!$D$3:$D$601,"Deciduous Conifer")) &gt; 0,
            _xlfn.IFS($K212="Small",0.5,$K212="Small/Medium",1,$K212="Medium/Large",1.4,$K212="Large",1.8),
        (COUNTIFS('Tree List'!$C$3:$C$601,$C212,'Tree List'!$D$3:$D$601,"Deciduous")
        + COUNTIFS('Tree List'!$C$3:$C$601,$C212,'Tree List'!$D$3:$D$601,"Broadleaf Evergreen")) &gt; 0,
            _xlfn.IFS($K212="Small",0.4,$K212="Small/Medium",0.8,$K212="Medium/Large",1.2,$K212="Large",1.6)
    ),
    ""
),
"")</f>
        <v/>
      </c>
      <c r="M212" s="475" t="str">
        <f t="shared" si="168"/>
        <v/>
      </c>
      <c r="N212" s="346" t="str" cm="1">
        <f t="array" aca="1" ref="N21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IF(AND(_xlpm.baseRow,ISNA(MATCH($C212,'Tree List'!$C$3:$C$601,0)),SUMPRODUCT(--ISNUMBER(SEARCH(Tables2!$C$677:$C$772,$O212)))&gt;0),
Error!$B$57,
IF(AND(_xlpm.hasDM,$F212="Remove",$H212&lt;&gt;"",OR($I212="On-site replacement",$I212="Off-site replacement",$I212="Payment In Lieu")),
Error!$B$56,
IF(AND(_xlpm.hasDM,$F212="Remove",$H212&lt;&gt;"",$I212="Relocation"),
Error!$B$66,
IF(AND(OR(_xlpm.hasCN,_xlpm.hasPH,_xlpm.hasGR),$H212&lt;&gt;"",COUNTIF(Tables!$B$132:$B$134,$H212)&gt;0,$I212="N/A (No replacement required)"),
Error!$B$62,
IF(AND(_xlpm.baseRow,$E212&lt;&gt;"",ISNA(MATCH($E212,Tables!$B$225:$B$232,0))),
Error!$B$2,
IF(AND(_xlpm.baseRow,$F212&lt;&gt;"",ISNA(MATCH($F212,Tables!$B$234:$B$235,0))),
Error!$B$24,
IF(AND(_xlpm.baseRow,_xlpm.ECA_H&gt;0,_xlpm.Shore_H&gt;0),
Error!$B$16,
IF(AND(_xlpm.baseRow,$E212&lt;&gt;"",$D212=""),
Error!$B$3,
IF(AND(_xlpm.baseRow,OR($E212="Tier 3",$E212="Tier 4"),$C212&lt;&gt;"",$D212&gt;=24,COUNTIF(Tables2!$B$166:$B$674,$C212)&gt;0),
Error!$B$44,
IF(AND(_xlpm.baseRow,OR($E212="Tier 3",$E212="Tier 4"),$C212&lt;&gt;"",$D212&lt;&gt;"",COUNTIF(Tables2!$B$73:$B$152,$C212)&gt;0,
$D212&gt;=IFERROR(INDEX(Tables2!$C$73:$C$152,MATCH($C212,Tables2!$B$73:$B$152,0)),-1)),
Error!$B$44,
IF(AND(_xlpm.baseRow,OR($E212="Tier 2",$E212="Tier 2 Grove"),$C212&lt;&gt;"",$D212&gt;=12,COUNTIF(Tables2!$B$153:$B$162,$C212)&gt;0),
Error!$B$45,
IF(AND(_xlpm.baseRow,$E212="Tier 2 Grove",$D212&lt;12),
Error!$B$41,
IF(AND(_xlpm.baseRow,$E212="Tier 2",$D212&lt;5.88),
Error!$B$40,
IF(AND(_xlpm.baseRow,OR($E212="Tier 2",$E212="Tier 2 Grove"),$C212&lt;&gt;"",$D212&lt;12,$D212&gt;=6,COUNTIF(Tables2!$B$153:$B$162,$C212)&gt;0),
Error!$B$54,
IF(AND(_xlpm.baseRow,$E212="Tier 2",COUNTIF(Tables2!$B$166:$B$674,$C212)&gt;0,$D212&lt;24),
Error!$B$54,
IF(AND(_xlpm.baseRow,$E212="Tier 3",ISNA(MATCH($C212,Tables2!$B$153:$B$162,0)),OR($D212&lt;12,$D212&gt;=24)),
Error!$B$9,
IF(AND(_xlpm.baseRow,$E212="Tier 3",COUNTIF(Tables2!$B$153:$B$162,$C212)&gt;0,$D212&lt;12),
Error!$B$46,
IF(AND(_xlpm.baseRow,$E212="Tier 4",OR($D212&lt;6,$D212&gt;=12)),
Error!$B$10,
IF(AND(_xlpm.baseRow,$E212="&lt;6in DSH for Tree Points",OR($D212&gt;=6,$D212="")),
Error!$B$8,
IF(AND(_xlpm.baseRow,$E212="Street Tree for Green Factor",$F212&lt;&gt;"",$F212&lt;&gt;"Retain"),
Error!$B$14,
IF(AND($E212="&lt;6in DSH for Tree Points",$F212="Retain",$H212&lt;&gt;"",ISNA(MATCH($H212,Tables!$B$174:$B$174,0))),
Error!$B$15,
IF(AND($E212="Street Tree for Green Factor",$F212="Retain",$H212&lt;&gt;"",$H212&lt;&gt;"Zoning: Green Factor"),
Error!$B$15,
IF(AND($E212="ECA / Shoreline Tree",$F212="Remove",$H212&lt;&gt;"",ISNA(MATCH($H212,Tables!$B$189:$B$190,0))),
Error!$B$15,
IF(AND($E212="ECA / Shoreline Tree",$F212="Retain",$H212&lt;&gt;"",ISNA(MATCH($H212,Tables!$B$184:$B$186,0))),
Error!$B$15,
IF(AND($E212="Tier 4",$F212="Remove",$H212&lt;&gt;"",ISNA(MATCH($H212,Tables!$B$171,0))),
Error!$B$15,
IF(AND($E212="Tier 4",$F212="Retain",$H212&lt;&gt;"",ISNA(MATCH($H212,Tables!$B$166:$B$168,0))),
Error!$B$15,
IF(AND($E212="Tier 3",$F212="Retain",$H212&lt;&gt;"",ISNA(MATCH($H212,Tables!$B$158:$B$160,0))),
Error!$B$15,
IF(AND($E212="Tier 3",$F212="Remove",$H212&lt;&gt;"",ISNA(MATCH($H212,Tables!$B$163,0))),
Error!$B$15,
IF(AND(OR($E212="Tier 2",$E212="Tier 2 Grove"),$F212="Remove",$H212&lt;&gt;"",ISNA(MATCH($H212,Tables!$B$153:$B$155,0))),
Error!$B$15,
IF(AND(OR($E212="Tier 2",$E212="Tier 2 Grove"),$F212="Retain",$H212&lt;&gt;"",ISNA(MATCH($H212,Tables!$B$147:$B$150,0))),
Error!$B$15,
IF(AND($E212="Tier 1",$F212="Remove",$H212&lt;&gt;"",ISNA(MATCH($H212,Tables!$B$143:$B$144,0))),
Error!$B$15,
IF(AND($E212="Tier 1",$F212="Retain",$H212&lt;&gt;"",ISNA(MATCH($H212,Tables!$B$137:$B$140,0))),
Error!$B$15,
IF(AND($E212&lt;&gt;"Tier 2",$E212&lt;&gt;"Tier 2 Grove",$E212&lt;&gt;"Tier 3",$E212&lt;&gt;"Tier 4",$H212="Zoning: Green Factor",OR($D212="",$D212&lt;6)),
Error!$B$11,
IF(AND(_xlpm.baseRow,$D212&lt;6,$E212="&lt;6in DSH for Tree Points",_xlpm.TreePoints_H=0),
Error!$B$21,
IF(AND(_xlpm.baseRow,$E212&lt;&gt;"",$D212&lt;&gt;"",$F212=""),
Error!$B$4,
IF(AND(_xlpm.baseRow,$F212="Remove",OR($E212="Tier 1",$E212="Tier 2",$E212="Tier 2 Grove"),COUNTBLANK(_xlpm.HRange)&lt;3,_xlpm.uniqueH&gt;=2),
Error!$B$48,
IF(AND(_xlpm.baseRow,$F212="Retain",OR($E212="Tier 1",$E212="Tier 2",$E212="Tier 2 Grove"),COUNTIF(_xlpm.HRange,"Tree Code: Required to Retain Tier 1-2 Tree")=0),
Error!$B$47,
IF(AND(_xlpm.baseRow,$E212&lt;&gt;"",$D212&lt;&gt;"",$F212&lt;&gt;"",COUNTBLANK(_xlpm.HRange)=4),
Error!$B$5,
IF(AND($F212="Remove",$H212&lt;&gt;"",$I212=""),
Error!$B$18,
IF(AND($E212="Tier 4",$F212="Remove",$H212="Tree Protection Code: Tier 3 or Tier 4 Allowance",$H212&lt;&gt;"",ISNA(MATCH($I212,Tables!$B$200,0))),
Error!$B$17,
IF(AND($E212="Tier 3",$F212="Remove",$H212&lt;&gt;"",$H212="Tree Protection Code: Tier 3 or Tier 4 Allowance",OR($I212="",ISNA(MATCH($I212,Tables!$B$193:$B$197,0)))),
Error!$B$17,
IF(AND(OR($E212="Tier 2",$E212="Tier 2 Grove"),$F212="Remove",$H212="Tree Protection Code: Other removal allowance or exemption",$I212&lt;&gt;"",ISNA(MATCH($I212,Tables!$B$215:$B$218,0))),
Error!$B$17,
IF(AND(OR($E212="Tier 2",$E212="Tier 2 Grove"),$F212="Remove",$H212="Tree Protection Code: Development Capacity",$I212&lt;&gt;"",ISNA(MATCH($I212,Tables!$B$193:$B$197,0))),
Error!$B$17,
IF(AND(OR($E212="Tier 2",$E212="Tier 2 Grove"),$F212="Remove",$H212="Tree Protection Code: Necessary for Construction",$I212&lt;&gt;"",ISNA(MATCH($I212,Tables!$B$193:$B$197,0))),
Error!$B$17,
IF(AND($E212="Tier 1",$F212="Remove",$H212="Tree Protection Code: Special Exception",$I212&lt;&gt;"",ISNA(MATCH($I212,Tables!$B$215:$B$218,0))),
Error!$B$17,
IF(AND($E212="Tier 1",$F212="Remove",$H212="Tree Protection Code: Other removal allowance or exemption",$I212&lt;&gt;"",ISNA(MATCH($I212,Tables!$B$215:$B$218,0))),
Error!$B$17,
IF(AND($E212="ECA / Shoreline Tree",$F212="Remove",$H212&lt;&gt;"",OR($H212="Shoreline",$H212="Environmental Critical Area (ECA)"),ISNA(MATCH($I212,Tables!$B$209:$B$212,0))),
Error!$B$17,
IF(AND(_xlpm.baseRow,$F212="Retain",$E212="ECA / Shoreline Tree",_xlpm.ECA_Short=0),
Error!$B$61,
IF(AND($F212="Remove",ISNUMBER(MATCH($E212,{"Tier 1","Tier 2","Tier 3","Tier 4","Tier 2 Grove"},0)),ISNUMBER(MATCH($I212,{"On-site replacement","Off-site replacement"},0)),$J212="",$H212&lt;&gt;""),
Error!$B$19,
IF(AND(_xlpm.baseRow,$E212&lt;&gt;"",$D212&lt;&gt;"",$F212&lt;&gt;"",COUNTBLANK($B212:$C212)&gt;0,COUNTBLANK(_xlpm.HRange)&lt;&gt;4),
Error!$B$22,
IF(AND($H212="Zoning: Tree Points",$K212&lt;&gt;"",ISNA(MATCH($K212,Tables!$B$242:$B$253,0))),
Error!$B$58,
IF(AND($H212="Zoning: Tree Points",$K212="Small",$L212&lt;&gt;"",ISNA(MATCH($L212,Tables!$C$243:$C$244,0))),
Error!$B$59,
IF(AND($H212="Zoning: Tree Points",$K212="Small/Medium",$L212&lt;&gt;"",ISNA(MATCH($L212,Tables!$C$246:$C$247,0))),
Error!$B$59,
IF(AND($H212="Zoning: Tree Points",$K212="Medium/Large",$L212&lt;&gt;"",ISNA(MATCH($L212,Tables!$C$249:$C$250,0))),
Error!$B$59,
IF(AND($H212="Zoning: Tree Points",$K212="Large",$L212&lt;&gt;"",ISNA(MATCH($L212,Tables!$C$252:$C$253,0))),
Error!$B$59,
IF(AND($F212="Retain",$H212="Zoning: Tree Points",$C212&lt;&gt;"",$D212&lt;&gt;"",OR($K212="",$L212="",$M212="")),
Error!$B$20,
""
)))))))))))))))))))))))))))))))))))))))))))))))))))))))),
Error!$B$23))</f>
        <v/>
      </c>
      <c r="O212" s="343" t="str" cm="1">
        <f t="array" aca="1" ref="O212" ca="1">IFERROR(_xlfn.LET(
    _xlpm.txt, $C212,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13" spans="1:15" x14ac:dyDescent="0.3">
      <c r="A213" s="320"/>
      <c r="B213" s="616" t="str">
        <f t="shared" si="209"/>
        <v/>
      </c>
      <c r="C213" s="617" t="str">
        <f t="shared" si="210"/>
        <v/>
      </c>
      <c r="D213" s="618" t="str">
        <f t="shared" si="211"/>
        <v/>
      </c>
      <c r="E213" s="616" t="str">
        <f t="shared" si="212"/>
        <v/>
      </c>
      <c r="F213" s="616" t="str">
        <f t="shared" si="213"/>
        <v/>
      </c>
      <c r="G213" s="619" t="str">
        <f>IF(Tree_Table1[[#This Row],[Tree Status  &amp;]]="Retain", Tables!$B$237, IF(Tree_Table1[[#This Row],[Tree Status  &amp;]]="Remove", Tables!$B$238, ""))</f>
        <v/>
      </c>
      <c r="H213" s="321"/>
      <c r="I213" s="322"/>
      <c r="J213" s="453"/>
      <c r="K213" s="323" t="str">
        <f>IFERROR(
    IF(
        AND($H213="Zoning: Tree Points", NOT(ISNUMBER(SEARCH("sp.", $C213)))),
        VLOOKUP($C213, 'Tree List'!$C$3:$F$601, 4, FALSE),
        ""
    ),
"")</f>
        <v/>
      </c>
      <c r="L213" s="324" t="str" cm="1">
        <f t="array" ref="L213">IFERROR(
IF(
    AND($H213="Zoning: Tree Points", NOT(ISNUMBER(SEARCH("sp.", $C213)))),
    _xlfn.IFS(
        (COUNTIFS('Tree List'!$C$3:$C$601,$C213,'Tree List'!$D$3:$D$601,"Coniferous")
        + COUNTIFS('Tree List'!$C$3:$C$601,$C213,'Tree List'!$D$3:$D$601,"Deciduous Conifer")) &gt; 0,
            _xlfn.IFS($K213="Small",0.5,$K213="Small/Medium",1,$K213="Medium/Large",1.4,$K213="Large",1.8),
        (COUNTIFS('Tree List'!$C$3:$C$601,$C213,'Tree List'!$D$3:$D$601,"Deciduous")
        + COUNTIFS('Tree List'!$C$3:$C$601,$C213,'Tree List'!$D$3:$D$601,"Broadleaf Evergreen")) &gt; 0,
            _xlfn.IFS($K213="Small",0.4,$K213="Small/Medium",0.8,$K213="Medium/Large",1.2,$K213="Large",1.6)
    ),
    ""
),
"")</f>
        <v/>
      </c>
      <c r="M213" s="475" t="str">
        <f t="shared" si="168"/>
        <v/>
      </c>
      <c r="N213" s="346" t="str" cm="1">
        <f t="array" aca="1" ref="N21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IF(AND(_xlpm.baseRow,ISNA(MATCH($C213,'Tree List'!$C$3:$C$601,0)),SUMPRODUCT(--ISNUMBER(SEARCH(Tables2!$C$677:$C$772,$O213)))&gt;0),
Error!$B$57,
IF(AND(_xlpm.hasDM,$F213="Remove",$H213&lt;&gt;"",OR($I213="On-site replacement",$I213="Off-site replacement",$I213="Payment In Lieu")),
Error!$B$56,
IF(AND(_xlpm.hasDM,$F213="Remove",$H213&lt;&gt;"",$I213="Relocation"),
Error!$B$66,
IF(AND(OR(_xlpm.hasCN,_xlpm.hasPH,_xlpm.hasGR),$H213&lt;&gt;"",COUNTIF(Tables!$B$132:$B$134,$H213)&gt;0,$I213="N/A (No replacement required)"),
Error!$B$62,
IF(AND(_xlpm.baseRow,$E213&lt;&gt;"",ISNA(MATCH($E213,Tables!$B$225:$B$232,0))),
Error!$B$2,
IF(AND(_xlpm.baseRow,$F213&lt;&gt;"",ISNA(MATCH($F213,Tables!$B$234:$B$235,0))),
Error!$B$24,
IF(AND(_xlpm.baseRow,_xlpm.ECA_H&gt;0,_xlpm.Shore_H&gt;0),
Error!$B$16,
IF(AND(_xlpm.baseRow,$E213&lt;&gt;"",$D213=""),
Error!$B$3,
IF(AND(_xlpm.baseRow,OR($E213="Tier 3",$E213="Tier 4"),$C213&lt;&gt;"",$D213&gt;=24,COUNTIF(Tables2!$B$166:$B$674,$C213)&gt;0),
Error!$B$44,
IF(AND(_xlpm.baseRow,OR($E213="Tier 3",$E213="Tier 4"),$C213&lt;&gt;"",$D213&lt;&gt;"",COUNTIF(Tables2!$B$73:$B$152,$C213)&gt;0,
$D213&gt;=IFERROR(INDEX(Tables2!$C$73:$C$152,MATCH($C213,Tables2!$B$73:$B$152,0)),-1)),
Error!$B$44,
IF(AND(_xlpm.baseRow,OR($E213="Tier 2",$E213="Tier 2 Grove"),$C213&lt;&gt;"",$D213&gt;=12,COUNTIF(Tables2!$B$153:$B$162,$C213)&gt;0),
Error!$B$45,
IF(AND(_xlpm.baseRow,$E213="Tier 2 Grove",$D213&lt;12),
Error!$B$41,
IF(AND(_xlpm.baseRow,$E213="Tier 2",$D213&lt;5.88),
Error!$B$40,
IF(AND(_xlpm.baseRow,OR($E213="Tier 2",$E213="Tier 2 Grove"),$C213&lt;&gt;"",$D213&lt;12,$D213&gt;=6,COUNTIF(Tables2!$B$153:$B$162,$C213)&gt;0),
Error!$B$54,
IF(AND(_xlpm.baseRow,$E213="Tier 2",COUNTIF(Tables2!$B$166:$B$674,$C213)&gt;0,$D213&lt;24),
Error!$B$54,
IF(AND(_xlpm.baseRow,$E213="Tier 3",ISNA(MATCH($C213,Tables2!$B$153:$B$162,0)),OR($D213&lt;12,$D213&gt;=24)),
Error!$B$9,
IF(AND(_xlpm.baseRow,$E213="Tier 3",COUNTIF(Tables2!$B$153:$B$162,$C213)&gt;0,$D213&lt;12),
Error!$B$46,
IF(AND(_xlpm.baseRow,$E213="Tier 4",OR($D213&lt;6,$D213&gt;=12)),
Error!$B$10,
IF(AND(_xlpm.baseRow,$E213="&lt;6in DSH for Tree Points",OR($D213&gt;=6,$D213="")),
Error!$B$8,
IF(AND(_xlpm.baseRow,$E213="Street Tree for Green Factor",$F213&lt;&gt;"",$F213&lt;&gt;"Retain"),
Error!$B$14,
IF(AND($E213="&lt;6in DSH for Tree Points",$F213="Retain",$H213&lt;&gt;"",ISNA(MATCH($H213,Tables!$B$174:$B$174,0))),
Error!$B$15,
IF(AND($E213="Street Tree for Green Factor",$F213="Retain",$H213&lt;&gt;"",$H213&lt;&gt;"Zoning: Green Factor"),
Error!$B$15,
IF(AND($E213="ECA / Shoreline Tree",$F213="Remove",$H213&lt;&gt;"",ISNA(MATCH($H213,Tables!$B$189:$B$190,0))),
Error!$B$15,
IF(AND($E213="ECA / Shoreline Tree",$F213="Retain",$H213&lt;&gt;"",ISNA(MATCH($H213,Tables!$B$184:$B$186,0))),
Error!$B$15,
IF(AND($E213="Tier 4",$F213="Remove",$H213&lt;&gt;"",ISNA(MATCH($H213,Tables!$B$171,0))),
Error!$B$15,
IF(AND($E213="Tier 4",$F213="Retain",$H213&lt;&gt;"",ISNA(MATCH($H213,Tables!$B$166:$B$168,0))),
Error!$B$15,
IF(AND($E213="Tier 3",$F213="Retain",$H213&lt;&gt;"",ISNA(MATCH($H213,Tables!$B$158:$B$160,0))),
Error!$B$15,
IF(AND($E213="Tier 3",$F213="Remove",$H213&lt;&gt;"",ISNA(MATCH($H213,Tables!$B$163,0))),
Error!$B$15,
IF(AND(OR($E213="Tier 2",$E213="Tier 2 Grove"),$F213="Remove",$H213&lt;&gt;"",ISNA(MATCH($H213,Tables!$B$153:$B$155,0))),
Error!$B$15,
IF(AND(OR($E213="Tier 2",$E213="Tier 2 Grove"),$F213="Retain",$H213&lt;&gt;"",ISNA(MATCH($H213,Tables!$B$147:$B$150,0))),
Error!$B$15,
IF(AND($E213="Tier 1",$F213="Remove",$H213&lt;&gt;"",ISNA(MATCH($H213,Tables!$B$143:$B$144,0))),
Error!$B$15,
IF(AND($E213="Tier 1",$F213="Retain",$H213&lt;&gt;"",ISNA(MATCH($H213,Tables!$B$137:$B$140,0))),
Error!$B$15,
IF(AND($E213&lt;&gt;"Tier 2",$E213&lt;&gt;"Tier 2 Grove",$E213&lt;&gt;"Tier 3",$E213&lt;&gt;"Tier 4",$H213="Zoning: Green Factor",OR($D213="",$D213&lt;6)),
Error!$B$11,
IF(AND(_xlpm.baseRow,$D213&lt;6,$E213="&lt;6in DSH for Tree Points",_xlpm.TreePoints_H=0),
Error!$B$21,
IF(AND(_xlpm.baseRow,$E213&lt;&gt;"",$D213&lt;&gt;"",$F213=""),
Error!$B$4,
IF(AND(_xlpm.baseRow,$F213="Remove",OR($E213="Tier 1",$E213="Tier 2",$E213="Tier 2 Grove"),COUNTBLANK(_xlpm.HRange)&lt;3,_xlpm.uniqueH&gt;=2),
Error!$B$48,
IF(AND(_xlpm.baseRow,$F213="Retain",OR($E213="Tier 1",$E213="Tier 2",$E213="Tier 2 Grove"),COUNTIF(_xlpm.HRange,"Tree Code: Required to Retain Tier 1-2 Tree")=0),
Error!$B$47,
IF(AND(_xlpm.baseRow,$E213&lt;&gt;"",$D213&lt;&gt;"",$F213&lt;&gt;"",COUNTBLANK(_xlpm.HRange)=4),
Error!$B$5,
IF(AND($F213="Remove",$H213&lt;&gt;"",$I213=""),
Error!$B$18,
IF(AND($E213="Tier 4",$F213="Remove",$H213="Tree Protection Code: Tier 3 or Tier 4 Allowance",$H213&lt;&gt;"",ISNA(MATCH($I213,Tables!$B$200,0))),
Error!$B$17,
IF(AND($E213="Tier 3",$F213="Remove",$H213&lt;&gt;"",$H213="Tree Protection Code: Tier 3 or Tier 4 Allowance",OR($I213="",ISNA(MATCH($I213,Tables!$B$193:$B$197,0)))),
Error!$B$17,
IF(AND(OR($E213="Tier 2",$E213="Tier 2 Grove"),$F213="Remove",$H213="Tree Protection Code: Other removal allowance or exemption",$I213&lt;&gt;"",ISNA(MATCH($I213,Tables!$B$215:$B$218,0))),
Error!$B$17,
IF(AND(OR($E213="Tier 2",$E213="Tier 2 Grove"),$F213="Remove",$H213="Tree Protection Code: Development Capacity",$I213&lt;&gt;"",ISNA(MATCH($I213,Tables!$B$193:$B$197,0))),
Error!$B$17,
IF(AND(OR($E213="Tier 2",$E213="Tier 2 Grove"),$F213="Remove",$H213="Tree Protection Code: Necessary for Construction",$I213&lt;&gt;"",ISNA(MATCH($I213,Tables!$B$193:$B$197,0))),
Error!$B$17,
IF(AND($E213="Tier 1",$F213="Remove",$H213="Tree Protection Code: Special Exception",$I213&lt;&gt;"",ISNA(MATCH($I213,Tables!$B$215:$B$218,0))),
Error!$B$17,
IF(AND($E213="Tier 1",$F213="Remove",$H213="Tree Protection Code: Other removal allowance or exemption",$I213&lt;&gt;"",ISNA(MATCH($I213,Tables!$B$215:$B$218,0))),
Error!$B$17,
IF(AND($E213="ECA / Shoreline Tree",$F213="Remove",$H213&lt;&gt;"",OR($H213="Shoreline",$H213="Environmental Critical Area (ECA)"),ISNA(MATCH($I213,Tables!$B$209:$B$212,0))),
Error!$B$17,
IF(AND(_xlpm.baseRow,$F213="Retain",$E213="ECA / Shoreline Tree",_xlpm.ECA_Short=0),
Error!$B$61,
IF(AND($F213="Remove",ISNUMBER(MATCH($E213,{"Tier 1","Tier 2","Tier 3","Tier 4","Tier 2 Grove"},0)),ISNUMBER(MATCH($I213,{"On-site replacement","Off-site replacement"},0)),$J213="",$H213&lt;&gt;""),
Error!$B$19,
IF(AND(_xlpm.baseRow,$E213&lt;&gt;"",$D213&lt;&gt;"",$F213&lt;&gt;"",COUNTBLANK($B213:$C213)&gt;0,COUNTBLANK(_xlpm.HRange)&lt;&gt;4),
Error!$B$22,
IF(AND($H213="Zoning: Tree Points",$K213&lt;&gt;"",ISNA(MATCH($K213,Tables!$B$242:$B$253,0))),
Error!$B$58,
IF(AND($H213="Zoning: Tree Points",$K213="Small",$L213&lt;&gt;"",ISNA(MATCH($L213,Tables!$C$243:$C$244,0))),
Error!$B$59,
IF(AND($H213="Zoning: Tree Points",$K213="Small/Medium",$L213&lt;&gt;"",ISNA(MATCH($L213,Tables!$C$246:$C$247,0))),
Error!$B$59,
IF(AND($H213="Zoning: Tree Points",$K213="Medium/Large",$L213&lt;&gt;"",ISNA(MATCH($L213,Tables!$C$249:$C$250,0))),
Error!$B$59,
IF(AND($H213="Zoning: Tree Points",$K213="Large",$L213&lt;&gt;"",ISNA(MATCH($L213,Tables!$C$252:$C$253,0))),
Error!$B$59,
IF(AND($F213="Retain",$H213="Zoning: Tree Points",$C213&lt;&gt;"",$D213&lt;&gt;"",OR($K213="",$L213="",$M213="")),
Error!$B$20,
""
)))))))))))))))))))))))))))))))))))))))))))))))))))))))),
Error!$B$23))</f>
        <v/>
      </c>
      <c r="O213" s="343" t="str" cm="1">
        <f t="array" aca="1" ref="O213" ca="1">IFERROR(_xlfn.LET(
    _xlpm.txt, $C213,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14" spans="1:15" ht="15" thickBot="1" x14ac:dyDescent="0.35">
      <c r="A214" s="331"/>
      <c r="B214" s="616" t="str">
        <f t="shared" si="209"/>
        <v/>
      </c>
      <c r="C214" s="617" t="str">
        <f t="shared" si="210"/>
        <v/>
      </c>
      <c r="D214" s="618" t="str">
        <f t="shared" si="211"/>
        <v/>
      </c>
      <c r="E214" s="616" t="str">
        <f t="shared" si="212"/>
        <v/>
      </c>
      <c r="F214" s="616" t="str">
        <f t="shared" si="213"/>
        <v/>
      </c>
      <c r="G214" s="619" t="str">
        <f>IF(Tree_Table1[[#This Row],[Tree Status  &amp;]]="Retain", Tables!$B$237, IF(Tree_Table1[[#This Row],[Tree Status  &amp;]]="Remove", Tables!$B$238, ""))</f>
        <v/>
      </c>
      <c r="H214" s="329"/>
      <c r="I214" s="330"/>
      <c r="J214" s="455"/>
      <c r="K214" s="327" t="str">
        <f>IFERROR(
    IF(
        AND($H214="Zoning: Tree Points", NOT(ISNUMBER(SEARCH("sp.", $C214)))),
        VLOOKUP($C214, 'Tree List'!$C$3:$F$601, 4, FALSE),
        ""
    ),
"")</f>
        <v/>
      </c>
      <c r="L214" s="328" t="str" cm="1">
        <f t="array" ref="L214">IFERROR(
IF(
    AND($H214="Zoning: Tree Points", NOT(ISNUMBER(SEARCH("sp.", $C214)))),
    _xlfn.IFS(
        (COUNTIFS('Tree List'!$C$3:$C$601,$C214,'Tree List'!$D$3:$D$601,"Coniferous")
        + COUNTIFS('Tree List'!$C$3:$C$601,$C214,'Tree List'!$D$3:$D$601,"Deciduous Conifer")) &gt; 0,
            _xlfn.IFS($K214="Small",0.5,$K214="Small/Medium",1,$K214="Medium/Large",1.4,$K214="Large",1.8),
        (COUNTIFS('Tree List'!$C$3:$C$601,$C214,'Tree List'!$D$3:$D$601,"Deciduous")
        + COUNTIFS('Tree List'!$C$3:$C$601,$C214,'Tree List'!$D$3:$D$601,"Broadleaf Evergreen")) &gt; 0,
            _xlfn.IFS($K214="Small",0.4,$K214="Small/Medium",0.8,$K214="Medium/Large",1.2,$K214="Large",1.6)
    ),
    ""
),
"")</f>
        <v/>
      </c>
      <c r="M214" s="476" t="str">
        <f t="shared" si="168"/>
        <v/>
      </c>
      <c r="N214" s="347" t="str" cm="1">
        <f t="array" aca="1" ref="N21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IF(AND(_xlpm.baseRow,ISNA(MATCH($C214,'Tree List'!$C$3:$C$601,0)),SUMPRODUCT(--ISNUMBER(SEARCH(Tables2!$C$677:$C$772,$O214)))&gt;0),
Error!$B$57,
IF(AND(_xlpm.hasDM,$F214="Remove",$H214&lt;&gt;"",OR($I214="On-site replacement",$I214="Off-site replacement",$I214="Payment In Lieu")),
Error!$B$56,
IF(AND(_xlpm.hasDM,$F214="Remove",$H214&lt;&gt;"",$I214="Relocation"),
Error!$B$66,
IF(AND(OR(_xlpm.hasCN,_xlpm.hasPH,_xlpm.hasGR),$H214&lt;&gt;"",COUNTIF(Tables!$B$132:$B$134,$H214)&gt;0,$I214="N/A (No replacement required)"),
Error!$B$62,
IF(AND(_xlpm.baseRow,$E214&lt;&gt;"",ISNA(MATCH($E214,Tables!$B$225:$B$232,0))),
Error!$B$2,
IF(AND(_xlpm.baseRow,$F214&lt;&gt;"",ISNA(MATCH($F214,Tables!$B$234:$B$235,0))),
Error!$B$24,
IF(AND(_xlpm.baseRow,_xlpm.ECA_H&gt;0,_xlpm.Shore_H&gt;0),
Error!$B$16,
IF(AND(_xlpm.baseRow,$E214&lt;&gt;"",$D214=""),
Error!$B$3,
IF(AND(_xlpm.baseRow,OR($E214="Tier 3",$E214="Tier 4"),$C214&lt;&gt;"",$D214&gt;=24,COUNTIF(Tables2!$B$166:$B$674,$C214)&gt;0),
Error!$B$44,
IF(AND(_xlpm.baseRow,OR($E214="Tier 3",$E214="Tier 4"),$C214&lt;&gt;"",$D214&lt;&gt;"",COUNTIF(Tables2!$B$73:$B$152,$C214)&gt;0,
$D214&gt;=IFERROR(INDEX(Tables2!$C$73:$C$152,MATCH($C214,Tables2!$B$73:$B$152,0)),-1)),
Error!$B$44,
IF(AND(_xlpm.baseRow,OR($E214="Tier 2",$E214="Tier 2 Grove"),$C214&lt;&gt;"",$D214&gt;=12,COUNTIF(Tables2!$B$153:$B$162,$C214)&gt;0),
Error!$B$45,
IF(AND(_xlpm.baseRow,$E214="Tier 2 Grove",$D214&lt;12),
Error!$B$41,
IF(AND(_xlpm.baseRow,$E214="Tier 2",$D214&lt;5.88),
Error!$B$40,
IF(AND(_xlpm.baseRow,OR($E214="Tier 2",$E214="Tier 2 Grove"),$C214&lt;&gt;"",$D214&lt;12,$D214&gt;=6,COUNTIF(Tables2!$B$153:$B$162,$C214)&gt;0),
Error!$B$54,
IF(AND(_xlpm.baseRow,$E214="Tier 2",COUNTIF(Tables2!$B$166:$B$674,$C214)&gt;0,$D214&lt;24),
Error!$B$54,
IF(AND(_xlpm.baseRow,$E214="Tier 3",ISNA(MATCH($C214,Tables2!$B$153:$B$162,0)),OR($D214&lt;12,$D214&gt;=24)),
Error!$B$9,
IF(AND(_xlpm.baseRow,$E214="Tier 3",COUNTIF(Tables2!$B$153:$B$162,$C214)&gt;0,$D214&lt;12),
Error!$B$46,
IF(AND(_xlpm.baseRow,$E214="Tier 4",OR($D214&lt;6,$D214&gt;=12)),
Error!$B$10,
IF(AND(_xlpm.baseRow,$E214="&lt;6in DSH for Tree Points",OR($D214&gt;=6,$D214="")),
Error!$B$8,
IF(AND(_xlpm.baseRow,$E214="Street Tree for Green Factor",$F214&lt;&gt;"",$F214&lt;&gt;"Retain"),
Error!$B$14,
IF(AND($E214="&lt;6in DSH for Tree Points",$F214="Retain",$H214&lt;&gt;"",ISNA(MATCH($H214,Tables!$B$174:$B$174,0))),
Error!$B$15,
IF(AND($E214="Street Tree for Green Factor",$F214="Retain",$H214&lt;&gt;"",$H214&lt;&gt;"Zoning: Green Factor"),
Error!$B$15,
IF(AND($E214="ECA / Shoreline Tree",$F214="Remove",$H214&lt;&gt;"",ISNA(MATCH($H214,Tables!$B$189:$B$190,0))),
Error!$B$15,
IF(AND($E214="ECA / Shoreline Tree",$F214="Retain",$H214&lt;&gt;"",ISNA(MATCH($H214,Tables!$B$184:$B$186,0))),
Error!$B$15,
IF(AND($E214="Tier 4",$F214="Remove",$H214&lt;&gt;"",ISNA(MATCH($H214,Tables!$B$171,0))),
Error!$B$15,
IF(AND($E214="Tier 4",$F214="Retain",$H214&lt;&gt;"",ISNA(MATCH($H214,Tables!$B$166:$B$168,0))),
Error!$B$15,
IF(AND($E214="Tier 3",$F214="Retain",$H214&lt;&gt;"",ISNA(MATCH($H214,Tables!$B$158:$B$160,0))),
Error!$B$15,
IF(AND($E214="Tier 3",$F214="Remove",$H214&lt;&gt;"",ISNA(MATCH($H214,Tables!$B$163,0))),
Error!$B$15,
IF(AND(OR($E214="Tier 2",$E214="Tier 2 Grove"),$F214="Remove",$H214&lt;&gt;"",ISNA(MATCH($H214,Tables!$B$153:$B$155,0))),
Error!$B$15,
IF(AND(OR($E214="Tier 2",$E214="Tier 2 Grove"),$F214="Retain",$H214&lt;&gt;"",ISNA(MATCH($H214,Tables!$B$147:$B$150,0))),
Error!$B$15,
IF(AND($E214="Tier 1",$F214="Remove",$H214&lt;&gt;"",ISNA(MATCH($H214,Tables!$B$143:$B$144,0))),
Error!$B$15,
IF(AND($E214="Tier 1",$F214="Retain",$H214&lt;&gt;"",ISNA(MATCH($H214,Tables!$B$137:$B$140,0))),
Error!$B$15,
IF(AND($E214&lt;&gt;"Tier 2",$E214&lt;&gt;"Tier 2 Grove",$E214&lt;&gt;"Tier 3",$E214&lt;&gt;"Tier 4",$H214="Zoning: Green Factor",OR($D214="",$D214&lt;6)),
Error!$B$11,
IF(AND(_xlpm.baseRow,$D214&lt;6,$E214="&lt;6in DSH for Tree Points",_xlpm.TreePoints_H=0),
Error!$B$21,
IF(AND(_xlpm.baseRow,$E214&lt;&gt;"",$D214&lt;&gt;"",$F214=""),
Error!$B$4,
IF(AND(_xlpm.baseRow,$F214="Remove",OR($E214="Tier 1",$E214="Tier 2",$E214="Tier 2 Grove"),COUNTBLANK(_xlpm.HRange)&lt;3,_xlpm.uniqueH&gt;=2),
Error!$B$48,
IF(AND(_xlpm.baseRow,$F214="Retain",OR($E214="Tier 1",$E214="Tier 2",$E214="Tier 2 Grove"),COUNTIF(_xlpm.HRange,"Tree Code: Required to Retain Tier 1-2 Tree")=0),
Error!$B$47,
IF(AND(_xlpm.baseRow,$E214&lt;&gt;"",$D214&lt;&gt;"",$F214&lt;&gt;"",COUNTBLANK(_xlpm.HRange)=4),
Error!$B$5,
IF(AND($F214="Remove",$H214&lt;&gt;"",$I214=""),
Error!$B$18,
IF(AND($E214="Tier 4",$F214="Remove",$H214="Tree Protection Code: Tier 3 or Tier 4 Allowance",$H214&lt;&gt;"",ISNA(MATCH($I214,Tables!$B$200,0))),
Error!$B$17,
IF(AND($E214="Tier 3",$F214="Remove",$H214&lt;&gt;"",$H214="Tree Protection Code: Tier 3 or Tier 4 Allowance",OR($I214="",ISNA(MATCH($I214,Tables!$B$193:$B$197,0)))),
Error!$B$17,
IF(AND(OR($E214="Tier 2",$E214="Tier 2 Grove"),$F214="Remove",$H214="Tree Protection Code: Other removal allowance or exemption",$I214&lt;&gt;"",ISNA(MATCH($I214,Tables!$B$215:$B$218,0))),
Error!$B$17,
IF(AND(OR($E214="Tier 2",$E214="Tier 2 Grove"),$F214="Remove",$H214="Tree Protection Code: Development Capacity",$I214&lt;&gt;"",ISNA(MATCH($I214,Tables!$B$193:$B$197,0))),
Error!$B$17,
IF(AND(OR($E214="Tier 2",$E214="Tier 2 Grove"),$F214="Remove",$H214="Tree Protection Code: Necessary for Construction",$I214&lt;&gt;"",ISNA(MATCH($I214,Tables!$B$193:$B$197,0))),
Error!$B$17,
IF(AND($E214="Tier 1",$F214="Remove",$H214="Tree Protection Code: Special Exception",$I214&lt;&gt;"",ISNA(MATCH($I214,Tables!$B$215:$B$218,0))),
Error!$B$17,
IF(AND($E214="Tier 1",$F214="Remove",$H214="Tree Protection Code: Other removal allowance or exemption",$I214&lt;&gt;"",ISNA(MATCH($I214,Tables!$B$215:$B$218,0))),
Error!$B$17,
IF(AND($E214="ECA / Shoreline Tree",$F214="Remove",$H214&lt;&gt;"",OR($H214="Shoreline",$H214="Environmental Critical Area (ECA)"),ISNA(MATCH($I214,Tables!$B$209:$B$212,0))),
Error!$B$17,
IF(AND(_xlpm.baseRow,$F214="Retain",$E214="ECA / Shoreline Tree",_xlpm.ECA_Short=0),
Error!$B$61,
IF(AND($F214="Remove",ISNUMBER(MATCH($E214,{"Tier 1","Tier 2","Tier 3","Tier 4","Tier 2 Grove"},0)),ISNUMBER(MATCH($I214,{"On-site replacement","Off-site replacement"},0)),$J214="",$H214&lt;&gt;""),
Error!$B$19,
IF(AND(_xlpm.baseRow,$E214&lt;&gt;"",$D214&lt;&gt;"",$F214&lt;&gt;"",COUNTBLANK($B214:$C214)&gt;0,COUNTBLANK(_xlpm.HRange)&lt;&gt;4),
Error!$B$22,
IF(AND($H214="Zoning: Tree Points",$K214&lt;&gt;"",ISNA(MATCH($K214,Tables!$B$242:$B$253,0))),
Error!$B$58,
IF(AND($H214="Zoning: Tree Points",$K214="Small",$L214&lt;&gt;"",ISNA(MATCH($L214,Tables!$C$243:$C$244,0))),
Error!$B$59,
IF(AND($H214="Zoning: Tree Points",$K214="Small/Medium",$L214&lt;&gt;"",ISNA(MATCH($L214,Tables!$C$246:$C$247,0))),
Error!$B$59,
IF(AND($H214="Zoning: Tree Points",$K214="Medium/Large",$L214&lt;&gt;"",ISNA(MATCH($L214,Tables!$C$249:$C$250,0))),
Error!$B$59,
IF(AND($H214="Zoning: Tree Points",$K214="Large",$L214&lt;&gt;"",ISNA(MATCH($L214,Tables!$C$252:$C$253,0))),
Error!$B$59,
IF(AND($F214="Retain",$H214="Zoning: Tree Points",$C214&lt;&gt;"",$D214&lt;&gt;"",OR($K214="",$L214="",$M214="")),
Error!$B$20,
""
)))))))))))))))))))))))))))))))))))))))))))))))))))))))),
Error!$B$23))</f>
        <v/>
      </c>
      <c r="O214" s="343" t="str" cm="1">
        <f t="array" aca="1" ref="O214" ca="1">IFERROR(_xlfn.LET(
    _xlpm.txt, $C214,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15" spans="1:15" ht="15" thickBot="1" x14ac:dyDescent="0.35">
      <c r="A215" s="311">
        <v>52</v>
      </c>
      <c r="B215" s="312"/>
      <c r="C215" s="313"/>
      <c r="D215" s="478"/>
      <c r="E215" s="314"/>
      <c r="F215" s="314"/>
      <c r="G215" s="315" t="str">
        <f>IF(Tree_Table1[[#This Row],[Tree Status  &amp;]]="Retain", Tables!$B$237, IF(Tree_Table1[[#This Row],[Tree Status  &amp;]]="Remove", Tables!$B$238, ""))</f>
        <v/>
      </c>
      <c r="H215" s="316"/>
      <c r="I215" s="317"/>
      <c r="J215" s="452"/>
      <c r="K215" s="318" t="str">
        <f>IFERROR(
    IF(
        AND($H215="Zoning: Tree Points", NOT(ISNUMBER(SEARCH("sp.", $C215)))),
        VLOOKUP($C215, 'Tree List'!$C$3:$F$601, 4, FALSE),
        ""
    ),
"")</f>
        <v/>
      </c>
      <c r="L215" s="319" t="str" cm="1">
        <f t="array" ref="L215">IFERROR(
IF(
    AND($H215="Zoning: Tree Points", NOT(ISNUMBER(SEARCH("sp.", $C215)))),
    _xlfn.IFS(
        (COUNTIFS('Tree List'!$C$3:$C$601,$C215,'Tree List'!$D$3:$D$601,"Coniferous")
        + COUNTIFS('Tree List'!$C$3:$C$601,$C215,'Tree List'!$D$3:$D$601,"Deciduous Conifer")) &gt; 0,
            _xlfn.IFS($K215="Small",0.5,$K215="Small/Medium",1,$K215="Medium/Large",1.4,$K215="Large",1.8),
        (COUNTIFS('Tree List'!$C$3:$C$601,$C215,'Tree List'!$D$3:$D$601,"Deciduous")
        + COUNTIFS('Tree List'!$C$3:$C$601,$C215,'Tree List'!$D$3:$D$601,"Broadleaf Evergreen")) &gt; 0,
            _xlfn.IFS($K215="Small",0.4,$K215="Small/Medium",0.8,$K215="Medium/Large",1.2,$K215="Large",1.6)
    ),
    ""
),
"")</f>
        <v/>
      </c>
      <c r="M215" s="474" t="str">
        <f t="shared" si="168"/>
        <v/>
      </c>
      <c r="N215" s="620" t="str" cm="1">
        <f t="array" aca="1" ref="N21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IF(AND(_xlpm.baseRow,ISNA(MATCH($C215,'Tree List'!$C$3:$C$601,0)),SUMPRODUCT(--ISNUMBER(SEARCH(Tables2!$C$677:$C$772,$O215)))&gt;0),
Error!$B$57,
IF(AND(_xlpm.hasDM,$F215="Remove",$H215&lt;&gt;"",OR($I215="On-site replacement",$I215="Off-site replacement",$I215="Payment In Lieu")),
Error!$B$56,
IF(AND(_xlpm.hasDM,$F215="Remove",$H215&lt;&gt;"",$I215="Relocation"),
Error!$B$66,
IF(AND(OR(_xlpm.hasCN,_xlpm.hasPH,_xlpm.hasGR),$H215&lt;&gt;"",COUNTIF(Tables!$B$132:$B$134,$H215)&gt;0,$I215="N/A (No replacement required)"),
Error!$B$62,
IF(AND(_xlpm.baseRow,$E215&lt;&gt;"",ISNA(MATCH($E215,Tables!$B$225:$B$232,0))),
Error!$B$2,
IF(AND(_xlpm.baseRow,$F215&lt;&gt;"",ISNA(MATCH($F215,Tables!$B$234:$B$235,0))),
Error!$B$24,
IF(AND(_xlpm.baseRow,_xlpm.ECA_H&gt;0,_xlpm.Shore_H&gt;0),
Error!$B$16,
IF(AND(_xlpm.baseRow,$E215&lt;&gt;"",$D215=""),
Error!$B$3,
IF(AND(_xlpm.baseRow,OR($E215="Tier 3",$E215="Tier 4"),$C215&lt;&gt;"",$D215&gt;=24,COUNTIF(Tables2!$B$166:$B$674,$C215)&gt;0),
Error!$B$44,
IF(AND(_xlpm.baseRow,OR($E215="Tier 3",$E215="Tier 4"),$C215&lt;&gt;"",$D215&lt;&gt;"",COUNTIF(Tables2!$B$73:$B$152,$C215)&gt;0,
$D215&gt;=IFERROR(INDEX(Tables2!$C$73:$C$152,MATCH($C215,Tables2!$B$73:$B$152,0)),-1)),
Error!$B$44,
IF(AND(_xlpm.baseRow,OR($E215="Tier 2",$E215="Tier 2 Grove"),$C215&lt;&gt;"",$D215&gt;=12,COUNTIF(Tables2!$B$153:$B$162,$C215)&gt;0),
Error!$B$45,
IF(AND(_xlpm.baseRow,$E215="Tier 2 Grove",$D215&lt;12),
Error!$B$41,
IF(AND(_xlpm.baseRow,$E215="Tier 2",$D215&lt;5.88),
Error!$B$40,
IF(AND(_xlpm.baseRow,OR($E215="Tier 2",$E215="Tier 2 Grove"),$C215&lt;&gt;"",$D215&lt;12,$D215&gt;=6,COUNTIF(Tables2!$B$153:$B$162,$C215)&gt;0),
Error!$B$54,
IF(AND(_xlpm.baseRow,$E215="Tier 2",COUNTIF(Tables2!$B$166:$B$674,$C215)&gt;0,$D215&lt;24),
Error!$B$54,
IF(AND(_xlpm.baseRow,$E215="Tier 3",ISNA(MATCH($C215,Tables2!$B$153:$B$162,0)),OR($D215&lt;12,$D215&gt;=24)),
Error!$B$9,
IF(AND(_xlpm.baseRow,$E215="Tier 3",COUNTIF(Tables2!$B$153:$B$162,$C215)&gt;0,$D215&lt;12),
Error!$B$46,
IF(AND(_xlpm.baseRow,$E215="Tier 4",OR($D215&lt;6,$D215&gt;=12)),
Error!$B$10,
IF(AND(_xlpm.baseRow,$E215="&lt;6in DSH for Tree Points",OR($D215&gt;=6,$D215="")),
Error!$B$8,
IF(AND(_xlpm.baseRow,$E215="Street Tree for Green Factor",$F215&lt;&gt;"",$F215&lt;&gt;"Retain"),
Error!$B$14,
IF(AND($E215="&lt;6in DSH for Tree Points",$F215="Retain",$H215&lt;&gt;"",ISNA(MATCH($H215,Tables!$B$174:$B$174,0))),
Error!$B$15,
IF(AND($E215="Street Tree for Green Factor",$F215="Retain",$H215&lt;&gt;"",$H215&lt;&gt;"Zoning: Green Factor"),
Error!$B$15,
IF(AND($E215="ECA / Shoreline Tree",$F215="Remove",$H215&lt;&gt;"",ISNA(MATCH($H215,Tables!$B$189:$B$190,0))),
Error!$B$15,
IF(AND($E215="ECA / Shoreline Tree",$F215="Retain",$H215&lt;&gt;"",ISNA(MATCH($H215,Tables!$B$184:$B$186,0))),
Error!$B$15,
IF(AND($E215="Tier 4",$F215="Remove",$H215&lt;&gt;"",ISNA(MATCH($H215,Tables!$B$171,0))),
Error!$B$15,
IF(AND($E215="Tier 4",$F215="Retain",$H215&lt;&gt;"",ISNA(MATCH($H215,Tables!$B$166:$B$168,0))),
Error!$B$15,
IF(AND($E215="Tier 3",$F215="Retain",$H215&lt;&gt;"",ISNA(MATCH($H215,Tables!$B$158:$B$160,0))),
Error!$B$15,
IF(AND($E215="Tier 3",$F215="Remove",$H215&lt;&gt;"",ISNA(MATCH($H215,Tables!$B$163,0))),
Error!$B$15,
IF(AND(OR($E215="Tier 2",$E215="Tier 2 Grove"),$F215="Remove",$H215&lt;&gt;"",ISNA(MATCH($H215,Tables!$B$153:$B$155,0))),
Error!$B$15,
IF(AND(OR($E215="Tier 2",$E215="Tier 2 Grove"),$F215="Retain",$H215&lt;&gt;"",ISNA(MATCH($H215,Tables!$B$147:$B$150,0))),
Error!$B$15,
IF(AND($E215="Tier 1",$F215="Remove",$H215&lt;&gt;"",ISNA(MATCH($H215,Tables!$B$143:$B$144,0))),
Error!$B$15,
IF(AND($E215="Tier 1",$F215="Retain",$H215&lt;&gt;"",ISNA(MATCH($H215,Tables!$B$137:$B$140,0))),
Error!$B$15,
IF(AND($E215&lt;&gt;"Tier 2",$E215&lt;&gt;"Tier 2 Grove",$E215&lt;&gt;"Tier 3",$E215&lt;&gt;"Tier 4",$H215="Zoning: Green Factor",OR($D215="",$D215&lt;6)),
Error!$B$11,
IF(AND(_xlpm.baseRow,$D215&lt;6,$E215="&lt;6in DSH for Tree Points",_xlpm.TreePoints_H=0),
Error!$B$21,
IF(AND(_xlpm.baseRow,$E215&lt;&gt;"",$D215&lt;&gt;"",$F215=""),
Error!$B$4,
IF(AND(_xlpm.baseRow,$F215="Remove",OR($E215="Tier 1",$E215="Tier 2",$E215="Tier 2 Grove"),COUNTBLANK(_xlpm.HRange)&lt;3,_xlpm.uniqueH&gt;=2),
Error!$B$48,
IF(AND(_xlpm.baseRow,$F215="Retain",OR($E215="Tier 1",$E215="Tier 2",$E215="Tier 2 Grove"),COUNTIF(_xlpm.HRange,"Tree Code: Required to Retain Tier 1-2 Tree")=0),
Error!$B$47,
IF(AND(_xlpm.baseRow,$E215&lt;&gt;"",$D215&lt;&gt;"",$F215&lt;&gt;"",COUNTBLANK(_xlpm.HRange)=4),
Error!$B$5,
IF(AND($F215="Remove",$H215&lt;&gt;"",$I215=""),
Error!$B$18,
IF(AND($E215="Tier 4",$F215="Remove",$H215="Tree Protection Code: Tier 3 or Tier 4 Allowance",$H215&lt;&gt;"",ISNA(MATCH($I215,Tables!$B$200,0))),
Error!$B$17,
IF(AND($E215="Tier 3",$F215="Remove",$H215&lt;&gt;"",$H215="Tree Protection Code: Tier 3 or Tier 4 Allowance",OR($I215="",ISNA(MATCH($I215,Tables!$B$193:$B$197,0)))),
Error!$B$17,
IF(AND(OR($E215="Tier 2",$E215="Tier 2 Grove"),$F215="Remove",$H215="Tree Protection Code: Other removal allowance or exemption",$I215&lt;&gt;"",ISNA(MATCH($I215,Tables!$B$215:$B$218,0))),
Error!$B$17,
IF(AND(OR($E215="Tier 2",$E215="Tier 2 Grove"),$F215="Remove",$H215="Tree Protection Code: Development Capacity",$I215&lt;&gt;"",ISNA(MATCH($I215,Tables!$B$193:$B$197,0))),
Error!$B$17,
IF(AND(OR($E215="Tier 2",$E215="Tier 2 Grove"),$F215="Remove",$H215="Tree Protection Code: Necessary for Construction",$I215&lt;&gt;"",ISNA(MATCH($I215,Tables!$B$193:$B$197,0))),
Error!$B$17,
IF(AND($E215="Tier 1",$F215="Remove",$H215="Tree Protection Code: Special Exception",$I215&lt;&gt;"",ISNA(MATCH($I215,Tables!$B$215:$B$218,0))),
Error!$B$17,
IF(AND($E215="Tier 1",$F215="Remove",$H215="Tree Protection Code: Other removal allowance or exemption",$I215&lt;&gt;"",ISNA(MATCH($I215,Tables!$B$215:$B$218,0))),
Error!$B$17,
IF(AND($E215="ECA / Shoreline Tree",$F215="Remove",$H215&lt;&gt;"",OR($H215="Shoreline",$H215="Environmental Critical Area (ECA)"),ISNA(MATCH($I215,Tables!$B$209:$B$212,0))),
Error!$B$17,
IF(AND(_xlpm.baseRow,$F215="Retain",$E215="ECA / Shoreline Tree",_xlpm.ECA_Short=0),
Error!$B$61,
IF(AND($F215="Remove",ISNUMBER(MATCH($E215,{"Tier 1","Tier 2","Tier 3","Tier 4","Tier 2 Grove"},0)),ISNUMBER(MATCH($I215,{"On-site replacement","Off-site replacement"},0)),$J215="",$H215&lt;&gt;""),
Error!$B$19,
IF(AND(_xlpm.baseRow,$E215&lt;&gt;"",$D215&lt;&gt;"",$F215&lt;&gt;"",COUNTBLANK($B215:$C215)&gt;0,COUNTBLANK(_xlpm.HRange)&lt;&gt;4),
Error!$B$22,
IF(AND($H215="Zoning: Tree Points",$K215&lt;&gt;"",ISNA(MATCH($K215,Tables!$B$242:$B$253,0))),
Error!$B$58,
IF(AND($H215="Zoning: Tree Points",$K215="Small",$L215&lt;&gt;"",ISNA(MATCH($L215,Tables!$C$243:$C$244,0))),
Error!$B$59,
IF(AND($H215="Zoning: Tree Points",$K215="Small/Medium",$L215&lt;&gt;"",ISNA(MATCH($L215,Tables!$C$246:$C$247,0))),
Error!$B$59,
IF(AND($H215="Zoning: Tree Points",$K215="Medium/Large",$L215&lt;&gt;"",ISNA(MATCH($L215,Tables!$C$249:$C$250,0))),
Error!$B$59,
IF(AND($H215="Zoning: Tree Points",$K215="Large",$L215&lt;&gt;"",ISNA(MATCH($L215,Tables!$C$252:$C$253,0))),
Error!$B$59,
IF(AND($F215="Retain",$H215="Zoning: Tree Points",$C215&lt;&gt;"",$D215&lt;&gt;"",OR($K215="",$L215="",$M215="")),
Error!$B$20,
""
)))))))))))))))))))))))))))))))))))))))))))))))))))))))),
Error!$B$23))</f>
        <v/>
      </c>
      <c r="O215" s="343" t="str" cm="1">
        <f t="array" aca="1" ref="O215" ca="1">IFERROR(_xlfn.LET(
    _xlpm.txt, $C215,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16" spans="1:15" x14ac:dyDescent="0.3">
      <c r="A216" s="320"/>
      <c r="B216" s="616" t="str">
        <f t="shared" ref="B216:B218" si="214">IF($B215="", "", $B215)</f>
        <v/>
      </c>
      <c r="C216" s="617" t="str">
        <f t="shared" ref="C216:C218" si="215">IF($C215="", "", $C215)</f>
        <v/>
      </c>
      <c r="D216" s="618" t="str">
        <f t="shared" ref="D216:D218" si="216">IF($D215="", "", $D215)</f>
        <v/>
      </c>
      <c r="E216" s="616" t="str">
        <f t="shared" ref="E216:E218" si="217">IF($E215="", "", $E215)</f>
        <v/>
      </c>
      <c r="F216" s="616" t="str">
        <f t="shared" ref="F216:F218" si="218">IF($F215="", "", $F215)</f>
        <v/>
      </c>
      <c r="G216" s="619" t="str">
        <f>IF(Tree_Table1[[#This Row],[Tree Status  &amp;]]="Retain", Tables!$B$237, IF(Tree_Table1[[#This Row],[Tree Status  &amp;]]="Remove", Tables!$B$238, ""))</f>
        <v/>
      </c>
      <c r="H216" s="321"/>
      <c r="I216" s="322"/>
      <c r="J216" s="453"/>
      <c r="K216" s="323" t="str">
        <f>IFERROR(
    IF(
        AND($H216="Zoning: Tree Points", NOT(ISNUMBER(SEARCH("sp.", $C216)))),
        VLOOKUP($C216, 'Tree List'!$C$3:$F$601, 4, FALSE),
        ""
    ),
"")</f>
        <v/>
      </c>
      <c r="L216" s="324" t="str" cm="1">
        <f t="array" ref="L216">IFERROR(
IF(
    AND($H216="Zoning: Tree Points", NOT(ISNUMBER(SEARCH("sp.", $C216)))),
    _xlfn.IFS(
        (COUNTIFS('Tree List'!$C$3:$C$601,$C216,'Tree List'!$D$3:$D$601,"Coniferous")
        + COUNTIFS('Tree List'!$C$3:$C$601,$C216,'Tree List'!$D$3:$D$601,"Deciduous Conifer")) &gt; 0,
            _xlfn.IFS($K216="Small",0.5,$K216="Small/Medium",1,$K216="Medium/Large",1.4,$K216="Large",1.8),
        (COUNTIFS('Tree List'!$C$3:$C$601,$C216,'Tree List'!$D$3:$D$601,"Deciduous")
        + COUNTIFS('Tree List'!$C$3:$C$601,$C216,'Tree List'!$D$3:$D$601,"Broadleaf Evergreen")) &gt; 0,
            _xlfn.IFS($K216="Small",0.4,$K216="Small/Medium",0.8,$K216="Medium/Large",1.2,$K216="Large",1.6)
    ),
    ""
),
"")</f>
        <v/>
      </c>
      <c r="M216" s="475" t="str">
        <f t="shared" si="168"/>
        <v/>
      </c>
      <c r="N216" s="346" t="str" cm="1">
        <f t="array" aca="1" ref="N21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IF(AND(_xlpm.baseRow,ISNA(MATCH($C216,'Tree List'!$C$3:$C$601,0)),SUMPRODUCT(--ISNUMBER(SEARCH(Tables2!$C$677:$C$772,$O216)))&gt;0),
Error!$B$57,
IF(AND(_xlpm.hasDM,$F216="Remove",$H216&lt;&gt;"",OR($I216="On-site replacement",$I216="Off-site replacement",$I216="Payment In Lieu")),
Error!$B$56,
IF(AND(_xlpm.hasDM,$F216="Remove",$H216&lt;&gt;"",$I216="Relocation"),
Error!$B$66,
IF(AND(OR(_xlpm.hasCN,_xlpm.hasPH,_xlpm.hasGR),$H216&lt;&gt;"",COUNTIF(Tables!$B$132:$B$134,$H216)&gt;0,$I216="N/A (No replacement required)"),
Error!$B$62,
IF(AND(_xlpm.baseRow,$E216&lt;&gt;"",ISNA(MATCH($E216,Tables!$B$225:$B$232,0))),
Error!$B$2,
IF(AND(_xlpm.baseRow,$F216&lt;&gt;"",ISNA(MATCH($F216,Tables!$B$234:$B$235,0))),
Error!$B$24,
IF(AND(_xlpm.baseRow,_xlpm.ECA_H&gt;0,_xlpm.Shore_H&gt;0),
Error!$B$16,
IF(AND(_xlpm.baseRow,$E216&lt;&gt;"",$D216=""),
Error!$B$3,
IF(AND(_xlpm.baseRow,OR($E216="Tier 3",$E216="Tier 4"),$C216&lt;&gt;"",$D216&gt;=24,COUNTIF(Tables2!$B$166:$B$674,$C216)&gt;0),
Error!$B$44,
IF(AND(_xlpm.baseRow,OR($E216="Tier 3",$E216="Tier 4"),$C216&lt;&gt;"",$D216&lt;&gt;"",COUNTIF(Tables2!$B$73:$B$152,$C216)&gt;0,
$D216&gt;=IFERROR(INDEX(Tables2!$C$73:$C$152,MATCH($C216,Tables2!$B$73:$B$152,0)),-1)),
Error!$B$44,
IF(AND(_xlpm.baseRow,OR($E216="Tier 2",$E216="Tier 2 Grove"),$C216&lt;&gt;"",$D216&gt;=12,COUNTIF(Tables2!$B$153:$B$162,$C216)&gt;0),
Error!$B$45,
IF(AND(_xlpm.baseRow,$E216="Tier 2 Grove",$D216&lt;12),
Error!$B$41,
IF(AND(_xlpm.baseRow,$E216="Tier 2",$D216&lt;5.88),
Error!$B$40,
IF(AND(_xlpm.baseRow,OR($E216="Tier 2",$E216="Tier 2 Grove"),$C216&lt;&gt;"",$D216&lt;12,$D216&gt;=6,COUNTIF(Tables2!$B$153:$B$162,$C216)&gt;0),
Error!$B$54,
IF(AND(_xlpm.baseRow,$E216="Tier 2",COUNTIF(Tables2!$B$166:$B$674,$C216)&gt;0,$D216&lt;24),
Error!$B$54,
IF(AND(_xlpm.baseRow,$E216="Tier 3",ISNA(MATCH($C216,Tables2!$B$153:$B$162,0)),OR($D216&lt;12,$D216&gt;=24)),
Error!$B$9,
IF(AND(_xlpm.baseRow,$E216="Tier 3",COUNTIF(Tables2!$B$153:$B$162,$C216)&gt;0,$D216&lt;12),
Error!$B$46,
IF(AND(_xlpm.baseRow,$E216="Tier 4",OR($D216&lt;6,$D216&gt;=12)),
Error!$B$10,
IF(AND(_xlpm.baseRow,$E216="&lt;6in DSH for Tree Points",OR($D216&gt;=6,$D216="")),
Error!$B$8,
IF(AND(_xlpm.baseRow,$E216="Street Tree for Green Factor",$F216&lt;&gt;"",$F216&lt;&gt;"Retain"),
Error!$B$14,
IF(AND($E216="&lt;6in DSH for Tree Points",$F216="Retain",$H216&lt;&gt;"",ISNA(MATCH($H216,Tables!$B$174:$B$174,0))),
Error!$B$15,
IF(AND($E216="Street Tree for Green Factor",$F216="Retain",$H216&lt;&gt;"",$H216&lt;&gt;"Zoning: Green Factor"),
Error!$B$15,
IF(AND($E216="ECA / Shoreline Tree",$F216="Remove",$H216&lt;&gt;"",ISNA(MATCH($H216,Tables!$B$189:$B$190,0))),
Error!$B$15,
IF(AND($E216="ECA / Shoreline Tree",$F216="Retain",$H216&lt;&gt;"",ISNA(MATCH($H216,Tables!$B$184:$B$186,0))),
Error!$B$15,
IF(AND($E216="Tier 4",$F216="Remove",$H216&lt;&gt;"",ISNA(MATCH($H216,Tables!$B$171,0))),
Error!$B$15,
IF(AND($E216="Tier 4",$F216="Retain",$H216&lt;&gt;"",ISNA(MATCH($H216,Tables!$B$166:$B$168,0))),
Error!$B$15,
IF(AND($E216="Tier 3",$F216="Retain",$H216&lt;&gt;"",ISNA(MATCH($H216,Tables!$B$158:$B$160,0))),
Error!$B$15,
IF(AND($E216="Tier 3",$F216="Remove",$H216&lt;&gt;"",ISNA(MATCH($H216,Tables!$B$163,0))),
Error!$B$15,
IF(AND(OR($E216="Tier 2",$E216="Tier 2 Grove"),$F216="Remove",$H216&lt;&gt;"",ISNA(MATCH($H216,Tables!$B$153:$B$155,0))),
Error!$B$15,
IF(AND(OR($E216="Tier 2",$E216="Tier 2 Grove"),$F216="Retain",$H216&lt;&gt;"",ISNA(MATCH($H216,Tables!$B$147:$B$150,0))),
Error!$B$15,
IF(AND($E216="Tier 1",$F216="Remove",$H216&lt;&gt;"",ISNA(MATCH($H216,Tables!$B$143:$B$144,0))),
Error!$B$15,
IF(AND($E216="Tier 1",$F216="Retain",$H216&lt;&gt;"",ISNA(MATCH($H216,Tables!$B$137:$B$140,0))),
Error!$B$15,
IF(AND($E216&lt;&gt;"Tier 2",$E216&lt;&gt;"Tier 2 Grove",$E216&lt;&gt;"Tier 3",$E216&lt;&gt;"Tier 4",$H216="Zoning: Green Factor",OR($D216="",$D216&lt;6)),
Error!$B$11,
IF(AND(_xlpm.baseRow,$D216&lt;6,$E216="&lt;6in DSH for Tree Points",_xlpm.TreePoints_H=0),
Error!$B$21,
IF(AND(_xlpm.baseRow,$E216&lt;&gt;"",$D216&lt;&gt;"",$F216=""),
Error!$B$4,
IF(AND(_xlpm.baseRow,$F216="Remove",OR($E216="Tier 1",$E216="Tier 2",$E216="Tier 2 Grove"),COUNTBLANK(_xlpm.HRange)&lt;3,_xlpm.uniqueH&gt;=2),
Error!$B$48,
IF(AND(_xlpm.baseRow,$F216="Retain",OR($E216="Tier 1",$E216="Tier 2",$E216="Tier 2 Grove"),COUNTIF(_xlpm.HRange,"Tree Code: Required to Retain Tier 1-2 Tree")=0),
Error!$B$47,
IF(AND(_xlpm.baseRow,$E216&lt;&gt;"",$D216&lt;&gt;"",$F216&lt;&gt;"",COUNTBLANK(_xlpm.HRange)=4),
Error!$B$5,
IF(AND($F216="Remove",$H216&lt;&gt;"",$I216=""),
Error!$B$18,
IF(AND($E216="Tier 4",$F216="Remove",$H216="Tree Protection Code: Tier 3 or Tier 4 Allowance",$H216&lt;&gt;"",ISNA(MATCH($I216,Tables!$B$200,0))),
Error!$B$17,
IF(AND($E216="Tier 3",$F216="Remove",$H216&lt;&gt;"",$H216="Tree Protection Code: Tier 3 or Tier 4 Allowance",OR($I216="",ISNA(MATCH($I216,Tables!$B$193:$B$197,0)))),
Error!$B$17,
IF(AND(OR($E216="Tier 2",$E216="Tier 2 Grove"),$F216="Remove",$H216="Tree Protection Code: Other removal allowance or exemption",$I216&lt;&gt;"",ISNA(MATCH($I216,Tables!$B$215:$B$218,0))),
Error!$B$17,
IF(AND(OR($E216="Tier 2",$E216="Tier 2 Grove"),$F216="Remove",$H216="Tree Protection Code: Development Capacity",$I216&lt;&gt;"",ISNA(MATCH($I216,Tables!$B$193:$B$197,0))),
Error!$B$17,
IF(AND(OR($E216="Tier 2",$E216="Tier 2 Grove"),$F216="Remove",$H216="Tree Protection Code: Necessary for Construction",$I216&lt;&gt;"",ISNA(MATCH($I216,Tables!$B$193:$B$197,0))),
Error!$B$17,
IF(AND($E216="Tier 1",$F216="Remove",$H216="Tree Protection Code: Special Exception",$I216&lt;&gt;"",ISNA(MATCH($I216,Tables!$B$215:$B$218,0))),
Error!$B$17,
IF(AND($E216="Tier 1",$F216="Remove",$H216="Tree Protection Code: Other removal allowance or exemption",$I216&lt;&gt;"",ISNA(MATCH($I216,Tables!$B$215:$B$218,0))),
Error!$B$17,
IF(AND($E216="ECA / Shoreline Tree",$F216="Remove",$H216&lt;&gt;"",OR($H216="Shoreline",$H216="Environmental Critical Area (ECA)"),ISNA(MATCH($I216,Tables!$B$209:$B$212,0))),
Error!$B$17,
IF(AND(_xlpm.baseRow,$F216="Retain",$E216="ECA / Shoreline Tree",_xlpm.ECA_Short=0),
Error!$B$61,
IF(AND($F216="Remove",ISNUMBER(MATCH($E216,{"Tier 1","Tier 2","Tier 3","Tier 4","Tier 2 Grove"},0)),ISNUMBER(MATCH($I216,{"On-site replacement","Off-site replacement"},0)),$J216="",$H216&lt;&gt;""),
Error!$B$19,
IF(AND(_xlpm.baseRow,$E216&lt;&gt;"",$D216&lt;&gt;"",$F216&lt;&gt;"",COUNTBLANK($B216:$C216)&gt;0,COUNTBLANK(_xlpm.HRange)&lt;&gt;4),
Error!$B$22,
IF(AND($H216="Zoning: Tree Points",$K216&lt;&gt;"",ISNA(MATCH($K216,Tables!$B$242:$B$253,0))),
Error!$B$58,
IF(AND($H216="Zoning: Tree Points",$K216="Small",$L216&lt;&gt;"",ISNA(MATCH($L216,Tables!$C$243:$C$244,0))),
Error!$B$59,
IF(AND($H216="Zoning: Tree Points",$K216="Small/Medium",$L216&lt;&gt;"",ISNA(MATCH($L216,Tables!$C$246:$C$247,0))),
Error!$B$59,
IF(AND($H216="Zoning: Tree Points",$K216="Medium/Large",$L216&lt;&gt;"",ISNA(MATCH($L216,Tables!$C$249:$C$250,0))),
Error!$B$59,
IF(AND($H216="Zoning: Tree Points",$K216="Large",$L216&lt;&gt;"",ISNA(MATCH($L216,Tables!$C$252:$C$253,0))),
Error!$B$59,
IF(AND($F216="Retain",$H216="Zoning: Tree Points",$C216&lt;&gt;"",$D216&lt;&gt;"",OR($K216="",$L216="",$M216="")),
Error!$B$20,
""
)))))))))))))))))))))))))))))))))))))))))))))))))))))))),
Error!$B$23))</f>
        <v/>
      </c>
      <c r="O216" s="343" t="str" cm="1">
        <f t="array" aca="1" ref="O216" ca="1">IFERROR(_xlfn.LET(
    _xlpm.txt, $C216,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17" spans="1:15" x14ac:dyDescent="0.3">
      <c r="A217" s="320"/>
      <c r="B217" s="616" t="str">
        <f t="shared" si="214"/>
        <v/>
      </c>
      <c r="C217" s="617" t="str">
        <f t="shared" si="215"/>
        <v/>
      </c>
      <c r="D217" s="618" t="str">
        <f t="shared" si="216"/>
        <v/>
      </c>
      <c r="E217" s="616" t="str">
        <f t="shared" si="217"/>
        <v/>
      </c>
      <c r="F217" s="616" t="str">
        <f t="shared" si="218"/>
        <v/>
      </c>
      <c r="G217" s="619" t="str">
        <f>IF(Tree_Table1[[#This Row],[Tree Status  &amp;]]="Retain", Tables!$B$237, IF(Tree_Table1[[#This Row],[Tree Status  &amp;]]="Remove", Tables!$B$238, ""))</f>
        <v/>
      </c>
      <c r="H217" s="321"/>
      <c r="I217" s="322"/>
      <c r="J217" s="453"/>
      <c r="K217" s="323" t="str">
        <f>IFERROR(
    IF(
        AND($H217="Zoning: Tree Points", NOT(ISNUMBER(SEARCH("sp.", $C217)))),
        VLOOKUP($C217, 'Tree List'!$C$3:$F$601, 4, FALSE),
        ""
    ),
"")</f>
        <v/>
      </c>
      <c r="L217" s="324" t="str" cm="1">
        <f t="array" ref="L217">IFERROR(
IF(
    AND($H217="Zoning: Tree Points", NOT(ISNUMBER(SEARCH("sp.", $C217)))),
    _xlfn.IFS(
        (COUNTIFS('Tree List'!$C$3:$C$601,$C217,'Tree List'!$D$3:$D$601,"Coniferous")
        + COUNTIFS('Tree List'!$C$3:$C$601,$C217,'Tree List'!$D$3:$D$601,"Deciduous Conifer")) &gt; 0,
            _xlfn.IFS($K217="Small",0.5,$K217="Small/Medium",1,$K217="Medium/Large",1.4,$K217="Large",1.8),
        (COUNTIFS('Tree List'!$C$3:$C$601,$C217,'Tree List'!$D$3:$D$601,"Deciduous")
        + COUNTIFS('Tree List'!$C$3:$C$601,$C217,'Tree List'!$D$3:$D$601,"Broadleaf Evergreen")) &gt; 0,
            _xlfn.IFS($K217="Small",0.4,$K217="Small/Medium",0.8,$K217="Medium/Large",1.2,$K217="Large",1.6)
    ),
    ""
),
"")</f>
        <v/>
      </c>
      <c r="M217" s="475" t="str">
        <f t="shared" si="168"/>
        <v/>
      </c>
      <c r="N217" s="346" t="str" cm="1">
        <f t="array" aca="1" ref="N21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IF(AND(_xlpm.baseRow,ISNA(MATCH($C217,'Tree List'!$C$3:$C$601,0)),SUMPRODUCT(--ISNUMBER(SEARCH(Tables2!$C$677:$C$772,$O217)))&gt;0),
Error!$B$57,
IF(AND(_xlpm.hasDM,$F217="Remove",$H217&lt;&gt;"",OR($I217="On-site replacement",$I217="Off-site replacement",$I217="Payment In Lieu")),
Error!$B$56,
IF(AND(_xlpm.hasDM,$F217="Remove",$H217&lt;&gt;"",$I217="Relocation"),
Error!$B$66,
IF(AND(OR(_xlpm.hasCN,_xlpm.hasPH,_xlpm.hasGR),$H217&lt;&gt;"",COUNTIF(Tables!$B$132:$B$134,$H217)&gt;0,$I217="N/A (No replacement required)"),
Error!$B$62,
IF(AND(_xlpm.baseRow,$E217&lt;&gt;"",ISNA(MATCH($E217,Tables!$B$225:$B$232,0))),
Error!$B$2,
IF(AND(_xlpm.baseRow,$F217&lt;&gt;"",ISNA(MATCH($F217,Tables!$B$234:$B$235,0))),
Error!$B$24,
IF(AND(_xlpm.baseRow,_xlpm.ECA_H&gt;0,_xlpm.Shore_H&gt;0),
Error!$B$16,
IF(AND(_xlpm.baseRow,$E217&lt;&gt;"",$D217=""),
Error!$B$3,
IF(AND(_xlpm.baseRow,OR($E217="Tier 3",$E217="Tier 4"),$C217&lt;&gt;"",$D217&gt;=24,COUNTIF(Tables2!$B$166:$B$674,$C217)&gt;0),
Error!$B$44,
IF(AND(_xlpm.baseRow,OR($E217="Tier 3",$E217="Tier 4"),$C217&lt;&gt;"",$D217&lt;&gt;"",COUNTIF(Tables2!$B$73:$B$152,$C217)&gt;0,
$D217&gt;=IFERROR(INDEX(Tables2!$C$73:$C$152,MATCH($C217,Tables2!$B$73:$B$152,0)),-1)),
Error!$B$44,
IF(AND(_xlpm.baseRow,OR($E217="Tier 2",$E217="Tier 2 Grove"),$C217&lt;&gt;"",$D217&gt;=12,COUNTIF(Tables2!$B$153:$B$162,$C217)&gt;0),
Error!$B$45,
IF(AND(_xlpm.baseRow,$E217="Tier 2 Grove",$D217&lt;12),
Error!$B$41,
IF(AND(_xlpm.baseRow,$E217="Tier 2",$D217&lt;5.88),
Error!$B$40,
IF(AND(_xlpm.baseRow,OR($E217="Tier 2",$E217="Tier 2 Grove"),$C217&lt;&gt;"",$D217&lt;12,$D217&gt;=6,COUNTIF(Tables2!$B$153:$B$162,$C217)&gt;0),
Error!$B$54,
IF(AND(_xlpm.baseRow,$E217="Tier 2",COUNTIF(Tables2!$B$166:$B$674,$C217)&gt;0,$D217&lt;24),
Error!$B$54,
IF(AND(_xlpm.baseRow,$E217="Tier 3",ISNA(MATCH($C217,Tables2!$B$153:$B$162,0)),OR($D217&lt;12,$D217&gt;=24)),
Error!$B$9,
IF(AND(_xlpm.baseRow,$E217="Tier 3",COUNTIF(Tables2!$B$153:$B$162,$C217)&gt;0,$D217&lt;12),
Error!$B$46,
IF(AND(_xlpm.baseRow,$E217="Tier 4",OR($D217&lt;6,$D217&gt;=12)),
Error!$B$10,
IF(AND(_xlpm.baseRow,$E217="&lt;6in DSH for Tree Points",OR($D217&gt;=6,$D217="")),
Error!$B$8,
IF(AND(_xlpm.baseRow,$E217="Street Tree for Green Factor",$F217&lt;&gt;"",$F217&lt;&gt;"Retain"),
Error!$B$14,
IF(AND($E217="&lt;6in DSH for Tree Points",$F217="Retain",$H217&lt;&gt;"",ISNA(MATCH($H217,Tables!$B$174:$B$174,0))),
Error!$B$15,
IF(AND($E217="Street Tree for Green Factor",$F217="Retain",$H217&lt;&gt;"",$H217&lt;&gt;"Zoning: Green Factor"),
Error!$B$15,
IF(AND($E217="ECA / Shoreline Tree",$F217="Remove",$H217&lt;&gt;"",ISNA(MATCH($H217,Tables!$B$189:$B$190,0))),
Error!$B$15,
IF(AND($E217="ECA / Shoreline Tree",$F217="Retain",$H217&lt;&gt;"",ISNA(MATCH($H217,Tables!$B$184:$B$186,0))),
Error!$B$15,
IF(AND($E217="Tier 4",$F217="Remove",$H217&lt;&gt;"",ISNA(MATCH($H217,Tables!$B$171,0))),
Error!$B$15,
IF(AND($E217="Tier 4",$F217="Retain",$H217&lt;&gt;"",ISNA(MATCH($H217,Tables!$B$166:$B$168,0))),
Error!$B$15,
IF(AND($E217="Tier 3",$F217="Retain",$H217&lt;&gt;"",ISNA(MATCH($H217,Tables!$B$158:$B$160,0))),
Error!$B$15,
IF(AND($E217="Tier 3",$F217="Remove",$H217&lt;&gt;"",ISNA(MATCH($H217,Tables!$B$163,0))),
Error!$B$15,
IF(AND(OR($E217="Tier 2",$E217="Tier 2 Grove"),$F217="Remove",$H217&lt;&gt;"",ISNA(MATCH($H217,Tables!$B$153:$B$155,0))),
Error!$B$15,
IF(AND(OR($E217="Tier 2",$E217="Tier 2 Grove"),$F217="Retain",$H217&lt;&gt;"",ISNA(MATCH($H217,Tables!$B$147:$B$150,0))),
Error!$B$15,
IF(AND($E217="Tier 1",$F217="Remove",$H217&lt;&gt;"",ISNA(MATCH($H217,Tables!$B$143:$B$144,0))),
Error!$B$15,
IF(AND($E217="Tier 1",$F217="Retain",$H217&lt;&gt;"",ISNA(MATCH($H217,Tables!$B$137:$B$140,0))),
Error!$B$15,
IF(AND($E217&lt;&gt;"Tier 2",$E217&lt;&gt;"Tier 2 Grove",$E217&lt;&gt;"Tier 3",$E217&lt;&gt;"Tier 4",$H217="Zoning: Green Factor",OR($D217="",$D217&lt;6)),
Error!$B$11,
IF(AND(_xlpm.baseRow,$D217&lt;6,$E217="&lt;6in DSH for Tree Points",_xlpm.TreePoints_H=0),
Error!$B$21,
IF(AND(_xlpm.baseRow,$E217&lt;&gt;"",$D217&lt;&gt;"",$F217=""),
Error!$B$4,
IF(AND(_xlpm.baseRow,$F217="Remove",OR($E217="Tier 1",$E217="Tier 2",$E217="Tier 2 Grove"),COUNTBLANK(_xlpm.HRange)&lt;3,_xlpm.uniqueH&gt;=2),
Error!$B$48,
IF(AND(_xlpm.baseRow,$F217="Retain",OR($E217="Tier 1",$E217="Tier 2",$E217="Tier 2 Grove"),COUNTIF(_xlpm.HRange,"Tree Code: Required to Retain Tier 1-2 Tree")=0),
Error!$B$47,
IF(AND(_xlpm.baseRow,$E217&lt;&gt;"",$D217&lt;&gt;"",$F217&lt;&gt;"",COUNTBLANK(_xlpm.HRange)=4),
Error!$B$5,
IF(AND($F217="Remove",$H217&lt;&gt;"",$I217=""),
Error!$B$18,
IF(AND($E217="Tier 4",$F217="Remove",$H217="Tree Protection Code: Tier 3 or Tier 4 Allowance",$H217&lt;&gt;"",ISNA(MATCH($I217,Tables!$B$200,0))),
Error!$B$17,
IF(AND($E217="Tier 3",$F217="Remove",$H217&lt;&gt;"",$H217="Tree Protection Code: Tier 3 or Tier 4 Allowance",OR($I217="",ISNA(MATCH($I217,Tables!$B$193:$B$197,0)))),
Error!$B$17,
IF(AND(OR($E217="Tier 2",$E217="Tier 2 Grove"),$F217="Remove",$H217="Tree Protection Code: Other removal allowance or exemption",$I217&lt;&gt;"",ISNA(MATCH($I217,Tables!$B$215:$B$218,0))),
Error!$B$17,
IF(AND(OR($E217="Tier 2",$E217="Tier 2 Grove"),$F217="Remove",$H217="Tree Protection Code: Development Capacity",$I217&lt;&gt;"",ISNA(MATCH($I217,Tables!$B$193:$B$197,0))),
Error!$B$17,
IF(AND(OR($E217="Tier 2",$E217="Tier 2 Grove"),$F217="Remove",$H217="Tree Protection Code: Necessary for Construction",$I217&lt;&gt;"",ISNA(MATCH($I217,Tables!$B$193:$B$197,0))),
Error!$B$17,
IF(AND($E217="Tier 1",$F217="Remove",$H217="Tree Protection Code: Special Exception",$I217&lt;&gt;"",ISNA(MATCH($I217,Tables!$B$215:$B$218,0))),
Error!$B$17,
IF(AND($E217="Tier 1",$F217="Remove",$H217="Tree Protection Code: Other removal allowance or exemption",$I217&lt;&gt;"",ISNA(MATCH($I217,Tables!$B$215:$B$218,0))),
Error!$B$17,
IF(AND($E217="ECA / Shoreline Tree",$F217="Remove",$H217&lt;&gt;"",OR($H217="Shoreline",$H217="Environmental Critical Area (ECA)"),ISNA(MATCH($I217,Tables!$B$209:$B$212,0))),
Error!$B$17,
IF(AND(_xlpm.baseRow,$F217="Retain",$E217="ECA / Shoreline Tree",_xlpm.ECA_Short=0),
Error!$B$61,
IF(AND($F217="Remove",ISNUMBER(MATCH($E217,{"Tier 1","Tier 2","Tier 3","Tier 4","Tier 2 Grove"},0)),ISNUMBER(MATCH($I217,{"On-site replacement","Off-site replacement"},0)),$J217="",$H217&lt;&gt;""),
Error!$B$19,
IF(AND(_xlpm.baseRow,$E217&lt;&gt;"",$D217&lt;&gt;"",$F217&lt;&gt;"",COUNTBLANK($B217:$C217)&gt;0,COUNTBLANK(_xlpm.HRange)&lt;&gt;4),
Error!$B$22,
IF(AND($H217="Zoning: Tree Points",$K217&lt;&gt;"",ISNA(MATCH($K217,Tables!$B$242:$B$253,0))),
Error!$B$58,
IF(AND($H217="Zoning: Tree Points",$K217="Small",$L217&lt;&gt;"",ISNA(MATCH($L217,Tables!$C$243:$C$244,0))),
Error!$B$59,
IF(AND($H217="Zoning: Tree Points",$K217="Small/Medium",$L217&lt;&gt;"",ISNA(MATCH($L217,Tables!$C$246:$C$247,0))),
Error!$B$59,
IF(AND($H217="Zoning: Tree Points",$K217="Medium/Large",$L217&lt;&gt;"",ISNA(MATCH($L217,Tables!$C$249:$C$250,0))),
Error!$B$59,
IF(AND($H217="Zoning: Tree Points",$K217="Large",$L217&lt;&gt;"",ISNA(MATCH($L217,Tables!$C$252:$C$253,0))),
Error!$B$59,
IF(AND($F217="Retain",$H217="Zoning: Tree Points",$C217&lt;&gt;"",$D217&lt;&gt;"",OR($K217="",$L217="",$M217="")),
Error!$B$20,
""
)))))))))))))))))))))))))))))))))))))))))))))))))))))))),
Error!$B$23))</f>
        <v/>
      </c>
      <c r="O217" s="343" t="str" cm="1">
        <f t="array" aca="1" ref="O217" ca="1">IFERROR(_xlfn.LET(
    _xlpm.txt, $C217,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18" spans="1:15" ht="15" thickBot="1" x14ac:dyDescent="0.35">
      <c r="A218" s="331"/>
      <c r="B218" s="616" t="str">
        <f t="shared" si="214"/>
        <v/>
      </c>
      <c r="C218" s="617" t="str">
        <f t="shared" si="215"/>
        <v/>
      </c>
      <c r="D218" s="618" t="str">
        <f t="shared" si="216"/>
        <v/>
      </c>
      <c r="E218" s="616" t="str">
        <f t="shared" si="217"/>
        <v/>
      </c>
      <c r="F218" s="616" t="str">
        <f t="shared" si="218"/>
        <v/>
      </c>
      <c r="G218" s="619" t="str">
        <f>IF(Tree_Table1[[#This Row],[Tree Status  &amp;]]="Retain", Tables!$B$237, IF(Tree_Table1[[#This Row],[Tree Status  &amp;]]="Remove", Tables!$B$238, ""))</f>
        <v/>
      </c>
      <c r="H218" s="329"/>
      <c r="I218" s="330"/>
      <c r="J218" s="455"/>
      <c r="K218" s="327" t="str">
        <f>IFERROR(
    IF(
        AND($H218="Zoning: Tree Points", NOT(ISNUMBER(SEARCH("sp.", $C218)))),
        VLOOKUP($C218, 'Tree List'!$C$3:$F$601, 4, FALSE),
        ""
    ),
"")</f>
        <v/>
      </c>
      <c r="L218" s="328" t="str" cm="1">
        <f t="array" ref="L218">IFERROR(
IF(
    AND($H218="Zoning: Tree Points", NOT(ISNUMBER(SEARCH("sp.", $C218)))),
    _xlfn.IFS(
        (COUNTIFS('Tree List'!$C$3:$C$601,$C218,'Tree List'!$D$3:$D$601,"Coniferous")
        + COUNTIFS('Tree List'!$C$3:$C$601,$C218,'Tree List'!$D$3:$D$601,"Deciduous Conifer")) &gt; 0,
            _xlfn.IFS($K218="Small",0.5,$K218="Small/Medium",1,$K218="Medium/Large",1.4,$K218="Large",1.8),
        (COUNTIFS('Tree List'!$C$3:$C$601,$C218,'Tree List'!$D$3:$D$601,"Deciduous")
        + COUNTIFS('Tree List'!$C$3:$C$601,$C218,'Tree List'!$D$3:$D$601,"Broadleaf Evergreen")) &gt; 0,
            _xlfn.IFS($K218="Small",0.4,$K218="Small/Medium",0.8,$K218="Medium/Large",1.2,$K218="Large",1.6)
    ),
    ""
),
"")</f>
        <v/>
      </c>
      <c r="M218" s="476" t="str">
        <f t="shared" si="168"/>
        <v/>
      </c>
      <c r="N218" s="347" t="str" cm="1">
        <f t="array" aca="1" ref="N21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IF(AND(_xlpm.baseRow,ISNA(MATCH($C218,'Tree List'!$C$3:$C$601,0)),SUMPRODUCT(--ISNUMBER(SEARCH(Tables2!$C$677:$C$772,$O218)))&gt;0),
Error!$B$57,
IF(AND(_xlpm.hasDM,$F218="Remove",$H218&lt;&gt;"",OR($I218="On-site replacement",$I218="Off-site replacement",$I218="Payment In Lieu")),
Error!$B$56,
IF(AND(_xlpm.hasDM,$F218="Remove",$H218&lt;&gt;"",$I218="Relocation"),
Error!$B$66,
IF(AND(OR(_xlpm.hasCN,_xlpm.hasPH,_xlpm.hasGR),$H218&lt;&gt;"",COUNTIF(Tables!$B$132:$B$134,$H218)&gt;0,$I218="N/A (No replacement required)"),
Error!$B$62,
IF(AND(_xlpm.baseRow,$E218&lt;&gt;"",ISNA(MATCH($E218,Tables!$B$225:$B$232,0))),
Error!$B$2,
IF(AND(_xlpm.baseRow,$F218&lt;&gt;"",ISNA(MATCH($F218,Tables!$B$234:$B$235,0))),
Error!$B$24,
IF(AND(_xlpm.baseRow,_xlpm.ECA_H&gt;0,_xlpm.Shore_H&gt;0),
Error!$B$16,
IF(AND(_xlpm.baseRow,$E218&lt;&gt;"",$D218=""),
Error!$B$3,
IF(AND(_xlpm.baseRow,OR($E218="Tier 3",$E218="Tier 4"),$C218&lt;&gt;"",$D218&gt;=24,COUNTIF(Tables2!$B$166:$B$674,$C218)&gt;0),
Error!$B$44,
IF(AND(_xlpm.baseRow,OR($E218="Tier 3",$E218="Tier 4"),$C218&lt;&gt;"",$D218&lt;&gt;"",COUNTIF(Tables2!$B$73:$B$152,$C218)&gt;0,
$D218&gt;=IFERROR(INDEX(Tables2!$C$73:$C$152,MATCH($C218,Tables2!$B$73:$B$152,0)),-1)),
Error!$B$44,
IF(AND(_xlpm.baseRow,OR($E218="Tier 2",$E218="Tier 2 Grove"),$C218&lt;&gt;"",$D218&gt;=12,COUNTIF(Tables2!$B$153:$B$162,$C218)&gt;0),
Error!$B$45,
IF(AND(_xlpm.baseRow,$E218="Tier 2 Grove",$D218&lt;12),
Error!$B$41,
IF(AND(_xlpm.baseRow,$E218="Tier 2",$D218&lt;5.88),
Error!$B$40,
IF(AND(_xlpm.baseRow,OR($E218="Tier 2",$E218="Tier 2 Grove"),$C218&lt;&gt;"",$D218&lt;12,$D218&gt;=6,COUNTIF(Tables2!$B$153:$B$162,$C218)&gt;0),
Error!$B$54,
IF(AND(_xlpm.baseRow,$E218="Tier 2",COUNTIF(Tables2!$B$166:$B$674,$C218)&gt;0,$D218&lt;24),
Error!$B$54,
IF(AND(_xlpm.baseRow,$E218="Tier 3",ISNA(MATCH($C218,Tables2!$B$153:$B$162,0)),OR($D218&lt;12,$D218&gt;=24)),
Error!$B$9,
IF(AND(_xlpm.baseRow,$E218="Tier 3",COUNTIF(Tables2!$B$153:$B$162,$C218)&gt;0,$D218&lt;12),
Error!$B$46,
IF(AND(_xlpm.baseRow,$E218="Tier 4",OR($D218&lt;6,$D218&gt;=12)),
Error!$B$10,
IF(AND(_xlpm.baseRow,$E218="&lt;6in DSH for Tree Points",OR($D218&gt;=6,$D218="")),
Error!$B$8,
IF(AND(_xlpm.baseRow,$E218="Street Tree for Green Factor",$F218&lt;&gt;"",$F218&lt;&gt;"Retain"),
Error!$B$14,
IF(AND($E218="&lt;6in DSH for Tree Points",$F218="Retain",$H218&lt;&gt;"",ISNA(MATCH($H218,Tables!$B$174:$B$174,0))),
Error!$B$15,
IF(AND($E218="Street Tree for Green Factor",$F218="Retain",$H218&lt;&gt;"",$H218&lt;&gt;"Zoning: Green Factor"),
Error!$B$15,
IF(AND($E218="ECA / Shoreline Tree",$F218="Remove",$H218&lt;&gt;"",ISNA(MATCH($H218,Tables!$B$189:$B$190,0))),
Error!$B$15,
IF(AND($E218="ECA / Shoreline Tree",$F218="Retain",$H218&lt;&gt;"",ISNA(MATCH($H218,Tables!$B$184:$B$186,0))),
Error!$B$15,
IF(AND($E218="Tier 4",$F218="Remove",$H218&lt;&gt;"",ISNA(MATCH($H218,Tables!$B$171,0))),
Error!$B$15,
IF(AND($E218="Tier 4",$F218="Retain",$H218&lt;&gt;"",ISNA(MATCH($H218,Tables!$B$166:$B$168,0))),
Error!$B$15,
IF(AND($E218="Tier 3",$F218="Retain",$H218&lt;&gt;"",ISNA(MATCH($H218,Tables!$B$158:$B$160,0))),
Error!$B$15,
IF(AND($E218="Tier 3",$F218="Remove",$H218&lt;&gt;"",ISNA(MATCH($H218,Tables!$B$163,0))),
Error!$B$15,
IF(AND(OR($E218="Tier 2",$E218="Tier 2 Grove"),$F218="Remove",$H218&lt;&gt;"",ISNA(MATCH($H218,Tables!$B$153:$B$155,0))),
Error!$B$15,
IF(AND(OR($E218="Tier 2",$E218="Tier 2 Grove"),$F218="Retain",$H218&lt;&gt;"",ISNA(MATCH($H218,Tables!$B$147:$B$150,0))),
Error!$B$15,
IF(AND($E218="Tier 1",$F218="Remove",$H218&lt;&gt;"",ISNA(MATCH($H218,Tables!$B$143:$B$144,0))),
Error!$B$15,
IF(AND($E218="Tier 1",$F218="Retain",$H218&lt;&gt;"",ISNA(MATCH($H218,Tables!$B$137:$B$140,0))),
Error!$B$15,
IF(AND($E218&lt;&gt;"Tier 2",$E218&lt;&gt;"Tier 2 Grove",$E218&lt;&gt;"Tier 3",$E218&lt;&gt;"Tier 4",$H218="Zoning: Green Factor",OR($D218="",$D218&lt;6)),
Error!$B$11,
IF(AND(_xlpm.baseRow,$D218&lt;6,$E218="&lt;6in DSH for Tree Points",_xlpm.TreePoints_H=0),
Error!$B$21,
IF(AND(_xlpm.baseRow,$E218&lt;&gt;"",$D218&lt;&gt;"",$F218=""),
Error!$B$4,
IF(AND(_xlpm.baseRow,$F218="Remove",OR($E218="Tier 1",$E218="Tier 2",$E218="Tier 2 Grove"),COUNTBLANK(_xlpm.HRange)&lt;3,_xlpm.uniqueH&gt;=2),
Error!$B$48,
IF(AND(_xlpm.baseRow,$F218="Retain",OR($E218="Tier 1",$E218="Tier 2",$E218="Tier 2 Grove"),COUNTIF(_xlpm.HRange,"Tree Code: Required to Retain Tier 1-2 Tree")=0),
Error!$B$47,
IF(AND(_xlpm.baseRow,$E218&lt;&gt;"",$D218&lt;&gt;"",$F218&lt;&gt;"",COUNTBLANK(_xlpm.HRange)=4),
Error!$B$5,
IF(AND($F218="Remove",$H218&lt;&gt;"",$I218=""),
Error!$B$18,
IF(AND($E218="Tier 4",$F218="Remove",$H218="Tree Protection Code: Tier 3 or Tier 4 Allowance",$H218&lt;&gt;"",ISNA(MATCH($I218,Tables!$B$200,0))),
Error!$B$17,
IF(AND($E218="Tier 3",$F218="Remove",$H218&lt;&gt;"",$H218="Tree Protection Code: Tier 3 or Tier 4 Allowance",OR($I218="",ISNA(MATCH($I218,Tables!$B$193:$B$197,0)))),
Error!$B$17,
IF(AND(OR($E218="Tier 2",$E218="Tier 2 Grove"),$F218="Remove",$H218="Tree Protection Code: Other removal allowance or exemption",$I218&lt;&gt;"",ISNA(MATCH($I218,Tables!$B$215:$B$218,0))),
Error!$B$17,
IF(AND(OR($E218="Tier 2",$E218="Tier 2 Grove"),$F218="Remove",$H218="Tree Protection Code: Development Capacity",$I218&lt;&gt;"",ISNA(MATCH($I218,Tables!$B$193:$B$197,0))),
Error!$B$17,
IF(AND(OR($E218="Tier 2",$E218="Tier 2 Grove"),$F218="Remove",$H218="Tree Protection Code: Necessary for Construction",$I218&lt;&gt;"",ISNA(MATCH($I218,Tables!$B$193:$B$197,0))),
Error!$B$17,
IF(AND($E218="Tier 1",$F218="Remove",$H218="Tree Protection Code: Special Exception",$I218&lt;&gt;"",ISNA(MATCH($I218,Tables!$B$215:$B$218,0))),
Error!$B$17,
IF(AND($E218="Tier 1",$F218="Remove",$H218="Tree Protection Code: Other removal allowance or exemption",$I218&lt;&gt;"",ISNA(MATCH($I218,Tables!$B$215:$B$218,0))),
Error!$B$17,
IF(AND($E218="ECA / Shoreline Tree",$F218="Remove",$H218&lt;&gt;"",OR($H218="Shoreline",$H218="Environmental Critical Area (ECA)"),ISNA(MATCH($I218,Tables!$B$209:$B$212,0))),
Error!$B$17,
IF(AND(_xlpm.baseRow,$F218="Retain",$E218="ECA / Shoreline Tree",_xlpm.ECA_Short=0),
Error!$B$61,
IF(AND($F218="Remove",ISNUMBER(MATCH($E218,{"Tier 1","Tier 2","Tier 3","Tier 4","Tier 2 Grove"},0)),ISNUMBER(MATCH($I218,{"On-site replacement","Off-site replacement"},0)),$J218="",$H218&lt;&gt;""),
Error!$B$19,
IF(AND(_xlpm.baseRow,$E218&lt;&gt;"",$D218&lt;&gt;"",$F218&lt;&gt;"",COUNTBLANK($B218:$C218)&gt;0,COUNTBLANK(_xlpm.HRange)&lt;&gt;4),
Error!$B$22,
IF(AND($H218="Zoning: Tree Points",$K218&lt;&gt;"",ISNA(MATCH($K218,Tables!$B$242:$B$253,0))),
Error!$B$58,
IF(AND($H218="Zoning: Tree Points",$K218="Small",$L218&lt;&gt;"",ISNA(MATCH($L218,Tables!$C$243:$C$244,0))),
Error!$B$59,
IF(AND($H218="Zoning: Tree Points",$K218="Small/Medium",$L218&lt;&gt;"",ISNA(MATCH($L218,Tables!$C$246:$C$247,0))),
Error!$B$59,
IF(AND($H218="Zoning: Tree Points",$K218="Medium/Large",$L218&lt;&gt;"",ISNA(MATCH($L218,Tables!$C$249:$C$250,0))),
Error!$B$59,
IF(AND($H218="Zoning: Tree Points",$K218="Large",$L218&lt;&gt;"",ISNA(MATCH($L218,Tables!$C$252:$C$253,0))),
Error!$B$59,
IF(AND($F218="Retain",$H218="Zoning: Tree Points",$C218&lt;&gt;"",$D218&lt;&gt;"",OR($K218="",$L218="",$M218="")),
Error!$B$20,
""
)))))))))))))))))))))))))))))))))))))))))))))))))))))))),
Error!$B$23))</f>
        <v/>
      </c>
      <c r="O218" s="343" t="str" cm="1">
        <f t="array" aca="1" ref="O218" ca="1">IFERROR(_xlfn.LET(
    _xlpm.txt, $C218,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19" spans="1:15" ht="15" thickBot="1" x14ac:dyDescent="0.35">
      <c r="A219" s="311">
        <v>53</v>
      </c>
      <c r="B219" s="312"/>
      <c r="C219" s="313"/>
      <c r="D219" s="478"/>
      <c r="E219" s="314"/>
      <c r="F219" s="314"/>
      <c r="G219" s="315" t="str">
        <f>IF(Tree_Table1[[#This Row],[Tree Status  &amp;]]="Retain", Tables!$B$237, IF(Tree_Table1[[#This Row],[Tree Status  &amp;]]="Remove", Tables!$B$238, ""))</f>
        <v/>
      </c>
      <c r="H219" s="316"/>
      <c r="I219" s="317"/>
      <c r="J219" s="452"/>
      <c r="K219" s="318" t="str">
        <f>IFERROR(
    IF(
        AND($H219="Zoning: Tree Points", NOT(ISNUMBER(SEARCH("sp.", $C219)))),
        VLOOKUP($C219, 'Tree List'!$C$3:$F$601, 4, FALSE),
        ""
    ),
"")</f>
        <v/>
      </c>
      <c r="L219" s="319" t="str" cm="1">
        <f t="array" ref="L219">IFERROR(
IF(
    AND($H219="Zoning: Tree Points", NOT(ISNUMBER(SEARCH("sp.", $C219)))),
    _xlfn.IFS(
        (COUNTIFS('Tree List'!$C$3:$C$601,$C219,'Tree List'!$D$3:$D$601,"Coniferous")
        + COUNTIFS('Tree List'!$C$3:$C$601,$C219,'Tree List'!$D$3:$D$601,"Deciduous Conifer")) &gt; 0,
            _xlfn.IFS($K219="Small",0.5,$K219="Small/Medium",1,$K219="Medium/Large",1.4,$K219="Large",1.8),
        (COUNTIFS('Tree List'!$C$3:$C$601,$C219,'Tree List'!$D$3:$D$601,"Deciduous")
        + COUNTIFS('Tree List'!$C$3:$C$601,$C219,'Tree List'!$D$3:$D$601,"Broadleaf Evergreen")) &gt; 0,
            _xlfn.IFS($K219="Small",0.4,$K219="Small/Medium",0.8,$K219="Medium/Large",1.2,$K219="Large",1.6)
    ),
    ""
),
"")</f>
        <v/>
      </c>
      <c r="M219" s="474" t="str">
        <f t="shared" si="168"/>
        <v/>
      </c>
      <c r="N219" s="620" t="str" cm="1">
        <f t="array" aca="1" ref="N21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IF(AND(_xlpm.baseRow,ISNA(MATCH($C219,'Tree List'!$C$3:$C$601,0)),SUMPRODUCT(--ISNUMBER(SEARCH(Tables2!$C$677:$C$772,$O219)))&gt;0),
Error!$B$57,
IF(AND(_xlpm.hasDM,$F219="Remove",$H219&lt;&gt;"",OR($I219="On-site replacement",$I219="Off-site replacement",$I219="Payment In Lieu")),
Error!$B$56,
IF(AND(_xlpm.hasDM,$F219="Remove",$H219&lt;&gt;"",$I219="Relocation"),
Error!$B$66,
IF(AND(OR(_xlpm.hasCN,_xlpm.hasPH,_xlpm.hasGR),$H219&lt;&gt;"",COUNTIF(Tables!$B$132:$B$134,$H219)&gt;0,$I219="N/A (No replacement required)"),
Error!$B$62,
IF(AND(_xlpm.baseRow,$E219&lt;&gt;"",ISNA(MATCH($E219,Tables!$B$225:$B$232,0))),
Error!$B$2,
IF(AND(_xlpm.baseRow,$F219&lt;&gt;"",ISNA(MATCH($F219,Tables!$B$234:$B$235,0))),
Error!$B$24,
IF(AND(_xlpm.baseRow,_xlpm.ECA_H&gt;0,_xlpm.Shore_H&gt;0),
Error!$B$16,
IF(AND(_xlpm.baseRow,$E219&lt;&gt;"",$D219=""),
Error!$B$3,
IF(AND(_xlpm.baseRow,OR($E219="Tier 3",$E219="Tier 4"),$C219&lt;&gt;"",$D219&gt;=24,COUNTIF(Tables2!$B$166:$B$674,$C219)&gt;0),
Error!$B$44,
IF(AND(_xlpm.baseRow,OR($E219="Tier 3",$E219="Tier 4"),$C219&lt;&gt;"",$D219&lt;&gt;"",COUNTIF(Tables2!$B$73:$B$152,$C219)&gt;0,
$D219&gt;=IFERROR(INDEX(Tables2!$C$73:$C$152,MATCH($C219,Tables2!$B$73:$B$152,0)),-1)),
Error!$B$44,
IF(AND(_xlpm.baseRow,OR($E219="Tier 2",$E219="Tier 2 Grove"),$C219&lt;&gt;"",$D219&gt;=12,COUNTIF(Tables2!$B$153:$B$162,$C219)&gt;0),
Error!$B$45,
IF(AND(_xlpm.baseRow,$E219="Tier 2 Grove",$D219&lt;12),
Error!$B$41,
IF(AND(_xlpm.baseRow,$E219="Tier 2",$D219&lt;5.88),
Error!$B$40,
IF(AND(_xlpm.baseRow,OR($E219="Tier 2",$E219="Tier 2 Grove"),$C219&lt;&gt;"",$D219&lt;12,$D219&gt;=6,COUNTIF(Tables2!$B$153:$B$162,$C219)&gt;0),
Error!$B$54,
IF(AND(_xlpm.baseRow,$E219="Tier 2",COUNTIF(Tables2!$B$166:$B$674,$C219)&gt;0,$D219&lt;24),
Error!$B$54,
IF(AND(_xlpm.baseRow,$E219="Tier 3",ISNA(MATCH($C219,Tables2!$B$153:$B$162,0)),OR($D219&lt;12,$D219&gt;=24)),
Error!$B$9,
IF(AND(_xlpm.baseRow,$E219="Tier 3",COUNTIF(Tables2!$B$153:$B$162,$C219)&gt;0,$D219&lt;12),
Error!$B$46,
IF(AND(_xlpm.baseRow,$E219="Tier 4",OR($D219&lt;6,$D219&gt;=12)),
Error!$B$10,
IF(AND(_xlpm.baseRow,$E219="&lt;6in DSH for Tree Points",OR($D219&gt;=6,$D219="")),
Error!$B$8,
IF(AND(_xlpm.baseRow,$E219="Street Tree for Green Factor",$F219&lt;&gt;"",$F219&lt;&gt;"Retain"),
Error!$B$14,
IF(AND($E219="&lt;6in DSH for Tree Points",$F219="Retain",$H219&lt;&gt;"",ISNA(MATCH($H219,Tables!$B$174:$B$174,0))),
Error!$B$15,
IF(AND($E219="Street Tree for Green Factor",$F219="Retain",$H219&lt;&gt;"",$H219&lt;&gt;"Zoning: Green Factor"),
Error!$B$15,
IF(AND($E219="ECA / Shoreline Tree",$F219="Remove",$H219&lt;&gt;"",ISNA(MATCH($H219,Tables!$B$189:$B$190,0))),
Error!$B$15,
IF(AND($E219="ECA / Shoreline Tree",$F219="Retain",$H219&lt;&gt;"",ISNA(MATCH($H219,Tables!$B$184:$B$186,0))),
Error!$B$15,
IF(AND($E219="Tier 4",$F219="Remove",$H219&lt;&gt;"",ISNA(MATCH($H219,Tables!$B$171,0))),
Error!$B$15,
IF(AND($E219="Tier 4",$F219="Retain",$H219&lt;&gt;"",ISNA(MATCH($H219,Tables!$B$166:$B$168,0))),
Error!$B$15,
IF(AND($E219="Tier 3",$F219="Retain",$H219&lt;&gt;"",ISNA(MATCH($H219,Tables!$B$158:$B$160,0))),
Error!$B$15,
IF(AND($E219="Tier 3",$F219="Remove",$H219&lt;&gt;"",ISNA(MATCH($H219,Tables!$B$163,0))),
Error!$B$15,
IF(AND(OR($E219="Tier 2",$E219="Tier 2 Grove"),$F219="Remove",$H219&lt;&gt;"",ISNA(MATCH($H219,Tables!$B$153:$B$155,0))),
Error!$B$15,
IF(AND(OR($E219="Tier 2",$E219="Tier 2 Grove"),$F219="Retain",$H219&lt;&gt;"",ISNA(MATCH($H219,Tables!$B$147:$B$150,0))),
Error!$B$15,
IF(AND($E219="Tier 1",$F219="Remove",$H219&lt;&gt;"",ISNA(MATCH($H219,Tables!$B$143:$B$144,0))),
Error!$B$15,
IF(AND($E219="Tier 1",$F219="Retain",$H219&lt;&gt;"",ISNA(MATCH($H219,Tables!$B$137:$B$140,0))),
Error!$B$15,
IF(AND($E219&lt;&gt;"Tier 2",$E219&lt;&gt;"Tier 2 Grove",$E219&lt;&gt;"Tier 3",$E219&lt;&gt;"Tier 4",$H219="Zoning: Green Factor",OR($D219="",$D219&lt;6)),
Error!$B$11,
IF(AND(_xlpm.baseRow,$D219&lt;6,$E219="&lt;6in DSH for Tree Points",_xlpm.TreePoints_H=0),
Error!$B$21,
IF(AND(_xlpm.baseRow,$E219&lt;&gt;"",$D219&lt;&gt;"",$F219=""),
Error!$B$4,
IF(AND(_xlpm.baseRow,$F219="Remove",OR($E219="Tier 1",$E219="Tier 2",$E219="Tier 2 Grove"),COUNTBLANK(_xlpm.HRange)&lt;3,_xlpm.uniqueH&gt;=2),
Error!$B$48,
IF(AND(_xlpm.baseRow,$F219="Retain",OR($E219="Tier 1",$E219="Tier 2",$E219="Tier 2 Grove"),COUNTIF(_xlpm.HRange,"Tree Code: Required to Retain Tier 1-2 Tree")=0),
Error!$B$47,
IF(AND(_xlpm.baseRow,$E219&lt;&gt;"",$D219&lt;&gt;"",$F219&lt;&gt;"",COUNTBLANK(_xlpm.HRange)=4),
Error!$B$5,
IF(AND($F219="Remove",$H219&lt;&gt;"",$I219=""),
Error!$B$18,
IF(AND($E219="Tier 4",$F219="Remove",$H219="Tree Protection Code: Tier 3 or Tier 4 Allowance",$H219&lt;&gt;"",ISNA(MATCH($I219,Tables!$B$200,0))),
Error!$B$17,
IF(AND($E219="Tier 3",$F219="Remove",$H219&lt;&gt;"",$H219="Tree Protection Code: Tier 3 or Tier 4 Allowance",OR($I219="",ISNA(MATCH($I219,Tables!$B$193:$B$197,0)))),
Error!$B$17,
IF(AND(OR($E219="Tier 2",$E219="Tier 2 Grove"),$F219="Remove",$H219="Tree Protection Code: Other removal allowance or exemption",$I219&lt;&gt;"",ISNA(MATCH($I219,Tables!$B$215:$B$218,0))),
Error!$B$17,
IF(AND(OR($E219="Tier 2",$E219="Tier 2 Grove"),$F219="Remove",$H219="Tree Protection Code: Development Capacity",$I219&lt;&gt;"",ISNA(MATCH($I219,Tables!$B$193:$B$197,0))),
Error!$B$17,
IF(AND(OR($E219="Tier 2",$E219="Tier 2 Grove"),$F219="Remove",$H219="Tree Protection Code: Necessary for Construction",$I219&lt;&gt;"",ISNA(MATCH($I219,Tables!$B$193:$B$197,0))),
Error!$B$17,
IF(AND($E219="Tier 1",$F219="Remove",$H219="Tree Protection Code: Special Exception",$I219&lt;&gt;"",ISNA(MATCH($I219,Tables!$B$215:$B$218,0))),
Error!$B$17,
IF(AND($E219="Tier 1",$F219="Remove",$H219="Tree Protection Code: Other removal allowance or exemption",$I219&lt;&gt;"",ISNA(MATCH($I219,Tables!$B$215:$B$218,0))),
Error!$B$17,
IF(AND($E219="ECA / Shoreline Tree",$F219="Remove",$H219&lt;&gt;"",OR($H219="Shoreline",$H219="Environmental Critical Area (ECA)"),ISNA(MATCH($I219,Tables!$B$209:$B$212,0))),
Error!$B$17,
IF(AND(_xlpm.baseRow,$F219="Retain",$E219="ECA / Shoreline Tree",_xlpm.ECA_Short=0),
Error!$B$61,
IF(AND($F219="Remove",ISNUMBER(MATCH($E219,{"Tier 1","Tier 2","Tier 3","Tier 4","Tier 2 Grove"},0)),ISNUMBER(MATCH($I219,{"On-site replacement","Off-site replacement"},0)),$J219="",$H219&lt;&gt;""),
Error!$B$19,
IF(AND(_xlpm.baseRow,$E219&lt;&gt;"",$D219&lt;&gt;"",$F219&lt;&gt;"",COUNTBLANK($B219:$C219)&gt;0,COUNTBLANK(_xlpm.HRange)&lt;&gt;4),
Error!$B$22,
IF(AND($H219="Zoning: Tree Points",$K219&lt;&gt;"",ISNA(MATCH($K219,Tables!$B$242:$B$253,0))),
Error!$B$58,
IF(AND($H219="Zoning: Tree Points",$K219="Small",$L219&lt;&gt;"",ISNA(MATCH($L219,Tables!$C$243:$C$244,0))),
Error!$B$59,
IF(AND($H219="Zoning: Tree Points",$K219="Small/Medium",$L219&lt;&gt;"",ISNA(MATCH($L219,Tables!$C$246:$C$247,0))),
Error!$B$59,
IF(AND($H219="Zoning: Tree Points",$K219="Medium/Large",$L219&lt;&gt;"",ISNA(MATCH($L219,Tables!$C$249:$C$250,0))),
Error!$B$59,
IF(AND($H219="Zoning: Tree Points",$K219="Large",$L219&lt;&gt;"",ISNA(MATCH($L219,Tables!$C$252:$C$253,0))),
Error!$B$59,
IF(AND($F219="Retain",$H219="Zoning: Tree Points",$C219&lt;&gt;"",$D219&lt;&gt;"",OR($K219="",$L219="",$M219="")),
Error!$B$20,
""
)))))))))))))))))))))))))))))))))))))))))))))))))))))))),
Error!$B$23))</f>
        <v/>
      </c>
      <c r="O219" s="343" t="str" cm="1">
        <f t="array" aca="1" ref="O219" ca="1">IFERROR(_xlfn.LET(
    _xlpm.txt, $C219,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20" spans="1:15" x14ac:dyDescent="0.3">
      <c r="A220" s="320"/>
      <c r="B220" s="616" t="str">
        <f t="shared" ref="B220:B222" si="219">IF($B219="", "", $B219)</f>
        <v/>
      </c>
      <c r="C220" s="617" t="str">
        <f t="shared" ref="C220:C222" si="220">IF($C219="", "", $C219)</f>
        <v/>
      </c>
      <c r="D220" s="618" t="str">
        <f t="shared" ref="D220:D222" si="221">IF($D219="", "", $D219)</f>
        <v/>
      </c>
      <c r="E220" s="616" t="str">
        <f t="shared" ref="E220:E222" si="222">IF($E219="", "", $E219)</f>
        <v/>
      </c>
      <c r="F220" s="616" t="str">
        <f t="shared" ref="F220:F222" si="223">IF($F219="", "", $F219)</f>
        <v/>
      </c>
      <c r="G220" s="619" t="str">
        <f>IF(Tree_Table1[[#This Row],[Tree Status  &amp;]]="Retain", Tables!$B$237, IF(Tree_Table1[[#This Row],[Tree Status  &amp;]]="Remove", Tables!$B$238, ""))</f>
        <v/>
      </c>
      <c r="H220" s="321"/>
      <c r="I220" s="322"/>
      <c r="J220" s="453"/>
      <c r="K220" s="323" t="str">
        <f>IFERROR(
    IF(
        AND($H220="Zoning: Tree Points", NOT(ISNUMBER(SEARCH("sp.", $C220)))),
        VLOOKUP($C220, 'Tree List'!$C$3:$F$601, 4, FALSE),
        ""
    ),
"")</f>
        <v/>
      </c>
      <c r="L220" s="324" t="str" cm="1">
        <f t="array" ref="L220">IFERROR(
IF(
    AND($H220="Zoning: Tree Points", NOT(ISNUMBER(SEARCH("sp.", $C220)))),
    _xlfn.IFS(
        (COUNTIFS('Tree List'!$C$3:$C$601,$C220,'Tree List'!$D$3:$D$601,"Coniferous")
        + COUNTIFS('Tree List'!$C$3:$C$601,$C220,'Tree List'!$D$3:$D$601,"Deciduous Conifer")) &gt; 0,
            _xlfn.IFS($K220="Small",0.5,$K220="Small/Medium",1,$K220="Medium/Large",1.4,$K220="Large",1.8),
        (COUNTIFS('Tree List'!$C$3:$C$601,$C220,'Tree List'!$D$3:$D$601,"Deciduous")
        + COUNTIFS('Tree List'!$C$3:$C$601,$C220,'Tree List'!$D$3:$D$601,"Broadleaf Evergreen")) &gt; 0,
            _xlfn.IFS($K220="Small",0.4,$K220="Small/Medium",0.8,$K220="Medium/Large",1.2,$K220="Large",1.6)
    ),
    ""
),
"")</f>
        <v/>
      </c>
      <c r="M220" s="475" t="str">
        <f t="shared" si="168"/>
        <v/>
      </c>
      <c r="N220" s="346" t="str" cm="1">
        <f t="array" aca="1" ref="N22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IF(AND(_xlpm.baseRow,ISNA(MATCH($C220,'Tree List'!$C$3:$C$601,0)),SUMPRODUCT(--ISNUMBER(SEARCH(Tables2!$C$677:$C$772,$O220)))&gt;0),
Error!$B$57,
IF(AND(_xlpm.hasDM,$F220="Remove",$H220&lt;&gt;"",OR($I220="On-site replacement",$I220="Off-site replacement",$I220="Payment In Lieu")),
Error!$B$56,
IF(AND(_xlpm.hasDM,$F220="Remove",$H220&lt;&gt;"",$I220="Relocation"),
Error!$B$66,
IF(AND(OR(_xlpm.hasCN,_xlpm.hasPH,_xlpm.hasGR),$H220&lt;&gt;"",COUNTIF(Tables!$B$132:$B$134,$H220)&gt;0,$I220="N/A (No replacement required)"),
Error!$B$62,
IF(AND(_xlpm.baseRow,$E220&lt;&gt;"",ISNA(MATCH($E220,Tables!$B$225:$B$232,0))),
Error!$B$2,
IF(AND(_xlpm.baseRow,$F220&lt;&gt;"",ISNA(MATCH($F220,Tables!$B$234:$B$235,0))),
Error!$B$24,
IF(AND(_xlpm.baseRow,_xlpm.ECA_H&gt;0,_xlpm.Shore_H&gt;0),
Error!$B$16,
IF(AND(_xlpm.baseRow,$E220&lt;&gt;"",$D220=""),
Error!$B$3,
IF(AND(_xlpm.baseRow,OR($E220="Tier 3",$E220="Tier 4"),$C220&lt;&gt;"",$D220&gt;=24,COUNTIF(Tables2!$B$166:$B$674,$C220)&gt;0),
Error!$B$44,
IF(AND(_xlpm.baseRow,OR($E220="Tier 3",$E220="Tier 4"),$C220&lt;&gt;"",$D220&lt;&gt;"",COUNTIF(Tables2!$B$73:$B$152,$C220)&gt;0,
$D220&gt;=IFERROR(INDEX(Tables2!$C$73:$C$152,MATCH($C220,Tables2!$B$73:$B$152,0)),-1)),
Error!$B$44,
IF(AND(_xlpm.baseRow,OR($E220="Tier 2",$E220="Tier 2 Grove"),$C220&lt;&gt;"",$D220&gt;=12,COUNTIF(Tables2!$B$153:$B$162,$C220)&gt;0),
Error!$B$45,
IF(AND(_xlpm.baseRow,$E220="Tier 2 Grove",$D220&lt;12),
Error!$B$41,
IF(AND(_xlpm.baseRow,$E220="Tier 2",$D220&lt;5.88),
Error!$B$40,
IF(AND(_xlpm.baseRow,OR($E220="Tier 2",$E220="Tier 2 Grove"),$C220&lt;&gt;"",$D220&lt;12,$D220&gt;=6,COUNTIF(Tables2!$B$153:$B$162,$C220)&gt;0),
Error!$B$54,
IF(AND(_xlpm.baseRow,$E220="Tier 2",COUNTIF(Tables2!$B$166:$B$674,$C220)&gt;0,$D220&lt;24),
Error!$B$54,
IF(AND(_xlpm.baseRow,$E220="Tier 3",ISNA(MATCH($C220,Tables2!$B$153:$B$162,0)),OR($D220&lt;12,$D220&gt;=24)),
Error!$B$9,
IF(AND(_xlpm.baseRow,$E220="Tier 3",COUNTIF(Tables2!$B$153:$B$162,$C220)&gt;0,$D220&lt;12),
Error!$B$46,
IF(AND(_xlpm.baseRow,$E220="Tier 4",OR($D220&lt;6,$D220&gt;=12)),
Error!$B$10,
IF(AND(_xlpm.baseRow,$E220="&lt;6in DSH for Tree Points",OR($D220&gt;=6,$D220="")),
Error!$B$8,
IF(AND(_xlpm.baseRow,$E220="Street Tree for Green Factor",$F220&lt;&gt;"",$F220&lt;&gt;"Retain"),
Error!$B$14,
IF(AND($E220="&lt;6in DSH for Tree Points",$F220="Retain",$H220&lt;&gt;"",ISNA(MATCH($H220,Tables!$B$174:$B$174,0))),
Error!$B$15,
IF(AND($E220="Street Tree for Green Factor",$F220="Retain",$H220&lt;&gt;"",$H220&lt;&gt;"Zoning: Green Factor"),
Error!$B$15,
IF(AND($E220="ECA / Shoreline Tree",$F220="Remove",$H220&lt;&gt;"",ISNA(MATCH($H220,Tables!$B$189:$B$190,0))),
Error!$B$15,
IF(AND($E220="ECA / Shoreline Tree",$F220="Retain",$H220&lt;&gt;"",ISNA(MATCH($H220,Tables!$B$184:$B$186,0))),
Error!$B$15,
IF(AND($E220="Tier 4",$F220="Remove",$H220&lt;&gt;"",ISNA(MATCH($H220,Tables!$B$171,0))),
Error!$B$15,
IF(AND($E220="Tier 4",$F220="Retain",$H220&lt;&gt;"",ISNA(MATCH($H220,Tables!$B$166:$B$168,0))),
Error!$B$15,
IF(AND($E220="Tier 3",$F220="Retain",$H220&lt;&gt;"",ISNA(MATCH($H220,Tables!$B$158:$B$160,0))),
Error!$B$15,
IF(AND($E220="Tier 3",$F220="Remove",$H220&lt;&gt;"",ISNA(MATCH($H220,Tables!$B$163,0))),
Error!$B$15,
IF(AND(OR($E220="Tier 2",$E220="Tier 2 Grove"),$F220="Remove",$H220&lt;&gt;"",ISNA(MATCH($H220,Tables!$B$153:$B$155,0))),
Error!$B$15,
IF(AND(OR($E220="Tier 2",$E220="Tier 2 Grove"),$F220="Retain",$H220&lt;&gt;"",ISNA(MATCH($H220,Tables!$B$147:$B$150,0))),
Error!$B$15,
IF(AND($E220="Tier 1",$F220="Remove",$H220&lt;&gt;"",ISNA(MATCH($H220,Tables!$B$143:$B$144,0))),
Error!$B$15,
IF(AND($E220="Tier 1",$F220="Retain",$H220&lt;&gt;"",ISNA(MATCH($H220,Tables!$B$137:$B$140,0))),
Error!$B$15,
IF(AND($E220&lt;&gt;"Tier 2",$E220&lt;&gt;"Tier 2 Grove",$E220&lt;&gt;"Tier 3",$E220&lt;&gt;"Tier 4",$H220="Zoning: Green Factor",OR($D220="",$D220&lt;6)),
Error!$B$11,
IF(AND(_xlpm.baseRow,$D220&lt;6,$E220="&lt;6in DSH for Tree Points",_xlpm.TreePoints_H=0),
Error!$B$21,
IF(AND(_xlpm.baseRow,$E220&lt;&gt;"",$D220&lt;&gt;"",$F220=""),
Error!$B$4,
IF(AND(_xlpm.baseRow,$F220="Remove",OR($E220="Tier 1",$E220="Tier 2",$E220="Tier 2 Grove"),COUNTBLANK(_xlpm.HRange)&lt;3,_xlpm.uniqueH&gt;=2),
Error!$B$48,
IF(AND(_xlpm.baseRow,$F220="Retain",OR($E220="Tier 1",$E220="Tier 2",$E220="Tier 2 Grove"),COUNTIF(_xlpm.HRange,"Tree Code: Required to Retain Tier 1-2 Tree")=0),
Error!$B$47,
IF(AND(_xlpm.baseRow,$E220&lt;&gt;"",$D220&lt;&gt;"",$F220&lt;&gt;"",COUNTBLANK(_xlpm.HRange)=4),
Error!$B$5,
IF(AND($F220="Remove",$H220&lt;&gt;"",$I220=""),
Error!$B$18,
IF(AND($E220="Tier 4",$F220="Remove",$H220="Tree Protection Code: Tier 3 or Tier 4 Allowance",$H220&lt;&gt;"",ISNA(MATCH($I220,Tables!$B$200,0))),
Error!$B$17,
IF(AND($E220="Tier 3",$F220="Remove",$H220&lt;&gt;"",$H220="Tree Protection Code: Tier 3 or Tier 4 Allowance",OR($I220="",ISNA(MATCH($I220,Tables!$B$193:$B$197,0)))),
Error!$B$17,
IF(AND(OR($E220="Tier 2",$E220="Tier 2 Grove"),$F220="Remove",$H220="Tree Protection Code: Other removal allowance or exemption",$I220&lt;&gt;"",ISNA(MATCH($I220,Tables!$B$215:$B$218,0))),
Error!$B$17,
IF(AND(OR($E220="Tier 2",$E220="Tier 2 Grove"),$F220="Remove",$H220="Tree Protection Code: Development Capacity",$I220&lt;&gt;"",ISNA(MATCH($I220,Tables!$B$193:$B$197,0))),
Error!$B$17,
IF(AND(OR($E220="Tier 2",$E220="Tier 2 Grove"),$F220="Remove",$H220="Tree Protection Code: Necessary for Construction",$I220&lt;&gt;"",ISNA(MATCH($I220,Tables!$B$193:$B$197,0))),
Error!$B$17,
IF(AND($E220="Tier 1",$F220="Remove",$H220="Tree Protection Code: Special Exception",$I220&lt;&gt;"",ISNA(MATCH($I220,Tables!$B$215:$B$218,0))),
Error!$B$17,
IF(AND($E220="Tier 1",$F220="Remove",$H220="Tree Protection Code: Other removal allowance or exemption",$I220&lt;&gt;"",ISNA(MATCH($I220,Tables!$B$215:$B$218,0))),
Error!$B$17,
IF(AND($E220="ECA / Shoreline Tree",$F220="Remove",$H220&lt;&gt;"",OR($H220="Shoreline",$H220="Environmental Critical Area (ECA)"),ISNA(MATCH($I220,Tables!$B$209:$B$212,0))),
Error!$B$17,
IF(AND(_xlpm.baseRow,$F220="Retain",$E220="ECA / Shoreline Tree",_xlpm.ECA_Short=0),
Error!$B$61,
IF(AND($F220="Remove",ISNUMBER(MATCH($E220,{"Tier 1","Tier 2","Tier 3","Tier 4","Tier 2 Grove"},0)),ISNUMBER(MATCH($I220,{"On-site replacement","Off-site replacement"},0)),$J220="",$H220&lt;&gt;""),
Error!$B$19,
IF(AND(_xlpm.baseRow,$E220&lt;&gt;"",$D220&lt;&gt;"",$F220&lt;&gt;"",COUNTBLANK($B220:$C220)&gt;0,COUNTBLANK(_xlpm.HRange)&lt;&gt;4),
Error!$B$22,
IF(AND($H220="Zoning: Tree Points",$K220&lt;&gt;"",ISNA(MATCH($K220,Tables!$B$242:$B$253,0))),
Error!$B$58,
IF(AND($H220="Zoning: Tree Points",$K220="Small",$L220&lt;&gt;"",ISNA(MATCH($L220,Tables!$C$243:$C$244,0))),
Error!$B$59,
IF(AND($H220="Zoning: Tree Points",$K220="Small/Medium",$L220&lt;&gt;"",ISNA(MATCH($L220,Tables!$C$246:$C$247,0))),
Error!$B$59,
IF(AND($H220="Zoning: Tree Points",$K220="Medium/Large",$L220&lt;&gt;"",ISNA(MATCH($L220,Tables!$C$249:$C$250,0))),
Error!$B$59,
IF(AND($H220="Zoning: Tree Points",$K220="Large",$L220&lt;&gt;"",ISNA(MATCH($L220,Tables!$C$252:$C$253,0))),
Error!$B$59,
IF(AND($F220="Retain",$H220="Zoning: Tree Points",$C220&lt;&gt;"",$D220&lt;&gt;"",OR($K220="",$L220="",$M220="")),
Error!$B$20,
""
)))))))))))))))))))))))))))))))))))))))))))))))))))))))),
Error!$B$23))</f>
        <v/>
      </c>
      <c r="O220" s="343" t="str" cm="1">
        <f t="array" aca="1" ref="O220" ca="1">IFERROR(_xlfn.LET(
    _xlpm.txt, $C220,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21" spans="1:15" x14ac:dyDescent="0.3">
      <c r="A221" s="320"/>
      <c r="B221" s="616" t="str">
        <f t="shared" si="219"/>
        <v/>
      </c>
      <c r="C221" s="617" t="str">
        <f t="shared" si="220"/>
        <v/>
      </c>
      <c r="D221" s="618" t="str">
        <f t="shared" si="221"/>
        <v/>
      </c>
      <c r="E221" s="616" t="str">
        <f t="shared" si="222"/>
        <v/>
      </c>
      <c r="F221" s="616" t="str">
        <f t="shared" si="223"/>
        <v/>
      </c>
      <c r="G221" s="619" t="str">
        <f>IF(Tree_Table1[[#This Row],[Tree Status  &amp;]]="Retain", Tables!$B$237, IF(Tree_Table1[[#This Row],[Tree Status  &amp;]]="Remove", Tables!$B$238, ""))</f>
        <v/>
      </c>
      <c r="H221" s="321"/>
      <c r="I221" s="322"/>
      <c r="J221" s="453"/>
      <c r="K221" s="323" t="str">
        <f>IFERROR(
    IF(
        AND($H221="Zoning: Tree Points", NOT(ISNUMBER(SEARCH("sp.", $C221)))),
        VLOOKUP($C221, 'Tree List'!$C$3:$F$601, 4, FALSE),
        ""
    ),
"")</f>
        <v/>
      </c>
      <c r="L221" s="324" t="str" cm="1">
        <f t="array" ref="L221">IFERROR(
IF(
    AND($H221="Zoning: Tree Points", NOT(ISNUMBER(SEARCH("sp.", $C221)))),
    _xlfn.IFS(
        (COUNTIFS('Tree List'!$C$3:$C$601,$C221,'Tree List'!$D$3:$D$601,"Coniferous")
        + COUNTIFS('Tree List'!$C$3:$C$601,$C221,'Tree List'!$D$3:$D$601,"Deciduous Conifer")) &gt; 0,
            _xlfn.IFS($K221="Small",0.5,$K221="Small/Medium",1,$K221="Medium/Large",1.4,$K221="Large",1.8),
        (COUNTIFS('Tree List'!$C$3:$C$601,$C221,'Tree List'!$D$3:$D$601,"Deciduous")
        + COUNTIFS('Tree List'!$C$3:$C$601,$C221,'Tree List'!$D$3:$D$601,"Broadleaf Evergreen")) &gt; 0,
            _xlfn.IFS($K221="Small",0.4,$K221="Small/Medium",0.8,$K221="Medium/Large",1.2,$K221="Large",1.6)
    ),
    ""
),
"")</f>
        <v/>
      </c>
      <c r="M221" s="475" t="str">
        <f t="shared" si="168"/>
        <v/>
      </c>
      <c r="N221" s="346" t="str" cm="1">
        <f t="array" aca="1" ref="N22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IF(AND(_xlpm.baseRow,ISNA(MATCH($C221,'Tree List'!$C$3:$C$601,0)),SUMPRODUCT(--ISNUMBER(SEARCH(Tables2!$C$677:$C$772,$O221)))&gt;0),
Error!$B$57,
IF(AND(_xlpm.hasDM,$F221="Remove",$H221&lt;&gt;"",OR($I221="On-site replacement",$I221="Off-site replacement",$I221="Payment In Lieu")),
Error!$B$56,
IF(AND(_xlpm.hasDM,$F221="Remove",$H221&lt;&gt;"",$I221="Relocation"),
Error!$B$66,
IF(AND(OR(_xlpm.hasCN,_xlpm.hasPH,_xlpm.hasGR),$H221&lt;&gt;"",COUNTIF(Tables!$B$132:$B$134,$H221)&gt;0,$I221="N/A (No replacement required)"),
Error!$B$62,
IF(AND(_xlpm.baseRow,$E221&lt;&gt;"",ISNA(MATCH($E221,Tables!$B$225:$B$232,0))),
Error!$B$2,
IF(AND(_xlpm.baseRow,$F221&lt;&gt;"",ISNA(MATCH($F221,Tables!$B$234:$B$235,0))),
Error!$B$24,
IF(AND(_xlpm.baseRow,_xlpm.ECA_H&gt;0,_xlpm.Shore_H&gt;0),
Error!$B$16,
IF(AND(_xlpm.baseRow,$E221&lt;&gt;"",$D221=""),
Error!$B$3,
IF(AND(_xlpm.baseRow,OR($E221="Tier 3",$E221="Tier 4"),$C221&lt;&gt;"",$D221&gt;=24,COUNTIF(Tables2!$B$166:$B$674,$C221)&gt;0),
Error!$B$44,
IF(AND(_xlpm.baseRow,OR($E221="Tier 3",$E221="Tier 4"),$C221&lt;&gt;"",$D221&lt;&gt;"",COUNTIF(Tables2!$B$73:$B$152,$C221)&gt;0,
$D221&gt;=IFERROR(INDEX(Tables2!$C$73:$C$152,MATCH($C221,Tables2!$B$73:$B$152,0)),-1)),
Error!$B$44,
IF(AND(_xlpm.baseRow,OR($E221="Tier 2",$E221="Tier 2 Grove"),$C221&lt;&gt;"",$D221&gt;=12,COUNTIF(Tables2!$B$153:$B$162,$C221)&gt;0),
Error!$B$45,
IF(AND(_xlpm.baseRow,$E221="Tier 2 Grove",$D221&lt;12),
Error!$B$41,
IF(AND(_xlpm.baseRow,$E221="Tier 2",$D221&lt;5.88),
Error!$B$40,
IF(AND(_xlpm.baseRow,OR($E221="Tier 2",$E221="Tier 2 Grove"),$C221&lt;&gt;"",$D221&lt;12,$D221&gt;=6,COUNTIF(Tables2!$B$153:$B$162,$C221)&gt;0),
Error!$B$54,
IF(AND(_xlpm.baseRow,$E221="Tier 2",COUNTIF(Tables2!$B$166:$B$674,$C221)&gt;0,$D221&lt;24),
Error!$B$54,
IF(AND(_xlpm.baseRow,$E221="Tier 3",ISNA(MATCH($C221,Tables2!$B$153:$B$162,0)),OR($D221&lt;12,$D221&gt;=24)),
Error!$B$9,
IF(AND(_xlpm.baseRow,$E221="Tier 3",COUNTIF(Tables2!$B$153:$B$162,$C221)&gt;0,$D221&lt;12),
Error!$B$46,
IF(AND(_xlpm.baseRow,$E221="Tier 4",OR($D221&lt;6,$D221&gt;=12)),
Error!$B$10,
IF(AND(_xlpm.baseRow,$E221="&lt;6in DSH for Tree Points",OR($D221&gt;=6,$D221="")),
Error!$B$8,
IF(AND(_xlpm.baseRow,$E221="Street Tree for Green Factor",$F221&lt;&gt;"",$F221&lt;&gt;"Retain"),
Error!$B$14,
IF(AND($E221="&lt;6in DSH for Tree Points",$F221="Retain",$H221&lt;&gt;"",ISNA(MATCH($H221,Tables!$B$174:$B$174,0))),
Error!$B$15,
IF(AND($E221="Street Tree for Green Factor",$F221="Retain",$H221&lt;&gt;"",$H221&lt;&gt;"Zoning: Green Factor"),
Error!$B$15,
IF(AND($E221="ECA / Shoreline Tree",$F221="Remove",$H221&lt;&gt;"",ISNA(MATCH($H221,Tables!$B$189:$B$190,0))),
Error!$B$15,
IF(AND($E221="ECA / Shoreline Tree",$F221="Retain",$H221&lt;&gt;"",ISNA(MATCH($H221,Tables!$B$184:$B$186,0))),
Error!$B$15,
IF(AND($E221="Tier 4",$F221="Remove",$H221&lt;&gt;"",ISNA(MATCH($H221,Tables!$B$171,0))),
Error!$B$15,
IF(AND($E221="Tier 4",$F221="Retain",$H221&lt;&gt;"",ISNA(MATCH($H221,Tables!$B$166:$B$168,0))),
Error!$B$15,
IF(AND($E221="Tier 3",$F221="Retain",$H221&lt;&gt;"",ISNA(MATCH($H221,Tables!$B$158:$B$160,0))),
Error!$B$15,
IF(AND($E221="Tier 3",$F221="Remove",$H221&lt;&gt;"",ISNA(MATCH($H221,Tables!$B$163,0))),
Error!$B$15,
IF(AND(OR($E221="Tier 2",$E221="Tier 2 Grove"),$F221="Remove",$H221&lt;&gt;"",ISNA(MATCH($H221,Tables!$B$153:$B$155,0))),
Error!$B$15,
IF(AND(OR($E221="Tier 2",$E221="Tier 2 Grove"),$F221="Retain",$H221&lt;&gt;"",ISNA(MATCH($H221,Tables!$B$147:$B$150,0))),
Error!$B$15,
IF(AND($E221="Tier 1",$F221="Remove",$H221&lt;&gt;"",ISNA(MATCH($H221,Tables!$B$143:$B$144,0))),
Error!$B$15,
IF(AND($E221="Tier 1",$F221="Retain",$H221&lt;&gt;"",ISNA(MATCH($H221,Tables!$B$137:$B$140,0))),
Error!$B$15,
IF(AND($E221&lt;&gt;"Tier 2",$E221&lt;&gt;"Tier 2 Grove",$E221&lt;&gt;"Tier 3",$E221&lt;&gt;"Tier 4",$H221="Zoning: Green Factor",OR($D221="",$D221&lt;6)),
Error!$B$11,
IF(AND(_xlpm.baseRow,$D221&lt;6,$E221="&lt;6in DSH for Tree Points",_xlpm.TreePoints_H=0),
Error!$B$21,
IF(AND(_xlpm.baseRow,$E221&lt;&gt;"",$D221&lt;&gt;"",$F221=""),
Error!$B$4,
IF(AND(_xlpm.baseRow,$F221="Remove",OR($E221="Tier 1",$E221="Tier 2",$E221="Tier 2 Grove"),COUNTBLANK(_xlpm.HRange)&lt;3,_xlpm.uniqueH&gt;=2),
Error!$B$48,
IF(AND(_xlpm.baseRow,$F221="Retain",OR($E221="Tier 1",$E221="Tier 2",$E221="Tier 2 Grove"),COUNTIF(_xlpm.HRange,"Tree Code: Required to Retain Tier 1-2 Tree")=0),
Error!$B$47,
IF(AND(_xlpm.baseRow,$E221&lt;&gt;"",$D221&lt;&gt;"",$F221&lt;&gt;"",COUNTBLANK(_xlpm.HRange)=4),
Error!$B$5,
IF(AND($F221="Remove",$H221&lt;&gt;"",$I221=""),
Error!$B$18,
IF(AND($E221="Tier 4",$F221="Remove",$H221="Tree Protection Code: Tier 3 or Tier 4 Allowance",$H221&lt;&gt;"",ISNA(MATCH($I221,Tables!$B$200,0))),
Error!$B$17,
IF(AND($E221="Tier 3",$F221="Remove",$H221&lt;&gt;"",$H221="Tree Protection Code: Tier 3 or Tier 4 Allowance",OR($I221="",ISNA(MATCH($I221,Tables!$B$193:$B$197,0)))),
Error!$B$17,
IF(AND(OR($E221="Tier 2",$E221="Tier 2 Grove"),$F221="Remove",$H221="Tree Protection Code: Other removal allowance or exemption",$I221&lt;&gt;"",ISNA(MATCH($I221,Tables!$B$215:$B$218,0))),
Error!$B$17,
IF(AND(OR($E221="Tier 2",$E221="Tier 2 Grove"),$F221="Remove",$H221="Tree Protection Code: Development Capacity",$I221&lt;&gt;"",ISNA(MATCH($I221,Tables!$B$193:$B$197,0))),
Error!$B$17,
IF(AND(OR($E221="Tier 2",$E221="Tier 2 Grove"),$F221="Remove",$H221="Tree Protection Code: Necessary for Construction",$I221&lt;&gt;"",ISNA(MATCH($I221,Tables!$B$193:$B$197,0))),
Error!$B$17,
IF(AND($E221="Tier 1",$F221="Remove",$H221="Tree Protection Code: Special Exception",$I221&lt;&gt;"",ISNA(MATCH($I221,Tables!$B$215:$B$218,0))),
Error!$B$17,
IF(AND($E221="Tier 1",$F221="Remove",$H221="Tree Protection Code: Other removal allowance or exemption",$I221&lt;&gt;"",ISNA(MATCH($I221,Tables!$B$215:$B$218,0))),
Error!$B$17,
IF(AND($E221="ECA / Shoreline Tree",$F221="Remove",$H221&lt;&gt;"",OR($H221="Shoreline",$H221="Environmental Critical Area (ECA)"),ISNA(MATCH($I221,Tables!$B$209:$B$212,0))),
Error!$B$17,
IF(AND(_xlpm.baseRow,$F221="Retain",$E221="ECA / Shoreline Tree",_xlpm.ECA_Short=0),
Error!$B$61,
IF(AND($F221="Remove",ISNUMBER(MATCH($E221,{"Tier 1","Tier 2","Tier 3","Tier 4","Tier 2 Grove"},0)),ISNUMBER(MATCH($I221,{"On-site replacement","Off-site replacement"},0)),$J221="",$H221&lt;&gt;""),
Error!$B$19,
IF(AND(_xlpm.baseRow,$E221&lt;&gt;"",$D221&lt;&gt;"",$F221&lt;&gt;"",COUNTBLANK($B221:$C221)&gt;0,COUNTBLANK(_xlpm.HRange)&lt;&gt;4),
Error!$B$22,
IF(AND($H221="Zoning: Tree Points",$K221&lt;&gt;"",ISNA(MATCH($K221,Tables!$B$242:$B$253,0))),
Error!$B$58,
IF(AND($H221="Zoning: Tree Points",$K221="Small",$L221&lt;&gt;"",ISNA(MATCH($L221,Tables!$C$243:$C$244,0))),
Error!$B$59,
IF(AND($H221="Zoning: Tree Points",$K221="Small/Medium",$L221&lt;&gt;"",ISNA(MATCH($L221,Tables!$C$246:$C$247,0))),
Error!$B$59,
IF(AND($H221="Zoning: Tree Points",$K221="Medium/Large",$L221&lt;&gt;"",ISNA(MATCH($L221,Tables!$C$249:$C$250,0))),
Error!$B$59,
IF(AND($H221="Zoning: Tree Points",$K221="Large",$L221&lt;&gt;"",ISNA(MATCH($L221,Tables!$C$252:$C$253,0))),
Error!$B$59,
IF(AND($F221="Retain",$H221="Zoning: Tree Points",$C221&lt;&gt;"",$D221&lt;&gt;"",OR($K221="",$L221="",$M221="")),
Error!$B$20,
""
)))))))))))))))))))))))))))))))))))))))))))))))))))))))),
Error!$B$23))</f>
        <v/>
      </c>
      <c r="O221" s="343" t="str" cm="1">
        <f t="array" aca="1" ref="O221" ca="1">IFERROR(_xlfn.LET(
    _xlpm.txt, $C221,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22" spans="1:15" ht="15" thickBot="1" x14ac:dyDescent="0.35">
      <c r="A222" s="331"/>
      <c r="B222" s="616" t="str">
        <f t="shared" si="219"/>
        <v/>
      </c>
      <c r="C222" s="617" t="str">
        <f t="shared" si="220"/>
        <v/>
      </c>
      <c r="D222" s="618" t="str">
        <f t="shared" si="221"/>
        <v/>
      </c>
      <c r="E222" s="616" t="str">
        <f t="shared" si="222"/>
        <v/>
      </c>
      <c r="F222" s="616" t="str">
        <f t="shared" si="223"/>
        <v/>
      </c>
      <c r="G222" s="619" t="str">
        <f>IF(Tree_Table1[[#This Row],[Tree Status  &amp;]]="Retain", Tables!$B$237, IF(Tree_Table1[[#This Row],[Tree Status  &amp;]]="Remove", Tables!$B$238, ""))</f>
        <v/>
      </c>
      <c r="H222" s="329"/>
      <c r="I222" s="330"/>
      <c r="J222" s="455"/>
      <c r="K222" s="327" t="str">
        <f>IFERROR(
    IF(
        AND($H222="Zoning: Tree Points", NOT(ISNUMBER(SEARCH("sp.", $C222)))),
        VLOOKUP($C222, 'Tree List'!$C$3:$F$601, 4, FALSE),
        ""
    ),
"")</f>
        <v/>
      </c>
      <c r="L222" s="328" t="str" cm="1">
        <f t="array" ref="L222">IFERROR(
IF(
    AND($H222="Zoning: Tree Points", NOT(ISNUMBER(SEARCH("sp.", $C222)))),
    _xlfn.IFS(
        (COUNTIFS('Tree List'!$C$3:$C$601,$C222,'Tree List'!$D$3:$D$601,"Coniferous")
        + COUNTIFS('Tree List'!$C$3:$C$601,$C222,'Tree List'!$D$3:$D$601,"Deciduous Conifer")) &gt; 0,
            _xlfn.IFS($K222="Small",0.5,$K222="Small/Medium",1,$K222="Medium/Large",1.4,$K222="Large",1.8),
        (COUNTIFS('Tree List'!$C$3:$C$601,$C222,'Tree List'!$D$3:$D$601,"Deciduous")
        + COUNTIFS('Tree List'!$C$3:$C$601,$C222,'Tree List'!$D$3:$D$601,"Broadleaf Evergreen")) &gt; 0,
            _xlfn.IFS($K222="Small",0.4,$K222="Small/Medium",0.8,$K222="Medium/Large",1.2,$K222="Large",1.6)
    ),
    ""
),
"")</f>
        <v/>
      </c>
      <c r="M222" s="476" t="str">
        <f t="shared" si="168"/>
        <v/>
      </c>
      <c r="N222" s="347" t="str" cm="1">
        <f t="array" aca="1" ref="N22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IF(AND(_xlpm.baseRow,ISNA(MATCH($C222,'Tree List'!$C$3:$C$601,0)),SUMPRODUCT(--ISNUMBER(SEARCH(Tables2!$C$677:$C$772,$O222)))&gt;0),
Error!$B$57,
IF(AND(_xlpm.hasDM,$F222="Remove",$H222&lt;&gt;"",OR($I222="On-site replacement",$I222="Off-site replacement",$I222="Payment In Lieu")),
Error!$B$56,
IF(AND(_xlpm.hasDM,$F222="Remove",$H222&lt;&gt;"",$I222="Relocation"),
Error!$B$66,
IF(AND(OR(_xlpm.hasCN,_xlpm.hasPH,_xlpm.hasGR),$H222&lt;&gt;"",COUNTIF(Tables!$B$132:$B$134,$H222)&gt;0,$I222="N/A (No replacement required)"),
Error!$B$62,
IF(AND(_xlpm.baseRow,$E222&lt;&gt;"",ISNA(MATCH($E222,Tables!$B$225:$B$232,0))),
Error!$B$2,
IF(AND(_xlpm.baseRow,$F222&lt;&gt;"",ISNA(MATCH($F222,Tables!$B$234:$B$235,0))),
Error!$B$24,
IF(AND(_xlpm.baseRow,_xlpm.ECA_H&gt;0,_xlpm.Shore_H&gt;0),
Error!$B$16,
IF(AND(_xlpm.baseRow,$E222&lt;&gt;"",$D222=""),
Error!$B$3,
IF(AND(_xlpm.baseRow,OR($E222="Tier 3",$E222="Tier 4"),$C222&lt;&gt;"",$D222&gt;=24,COUNTIF(Tables2!$B$166:$B$674,$C222)&gt;0),
Error!$B$44,
IF(AND(_xlpm.baseRow,OR($E222="Tier 3",$E222="Tier 4"),$C222&lt;&gt;"",$D222&lt;&gt;"",COUNTIF(Tables2!$B$73:$B$152,$C222)&gt;0,
$D222&gt;=IFERROR(INDEX(Tables2!$C$73:$C$152,MATCH($C222,Tables2!$B$73:$B$152,0)),-1)),
Error!$B$44,
IF(AND(_xlpm.baseRow,OR($E222="Tier 2",$E222="Tier 2 Grove"),$C222&lt;&gt;"",$D222&gt;=12,COUNTIF(Tables2!$B$153:$B$162,$C222)&gt;0),
Error!$B$45,
IF(AND(_xlpm.baseRow,$E222="Tier 2 Grove",$D222&lt;12),
Error!$B$41,
IF(AND(_xlpm.baseRow,$E222="Tier 2",$D222&lt;5.88),
Error!$B$40,
IF(AND(_xlpm.baseRow,OR($E222="Tier 2",$E222="Tier 2 Grove"),$C222&lt;&gt;"",$D222&lt;12,$D222&gt;=6,COUNTIF(Tables2!$B$153:$B$162,$C222)&gt;0),
Error!$B$54,
IF(AND(_xlpm.baseRow,$E222="Tier 2",COUNTIF(Tables2!$B$166:$B$674,$C222)&gt;0,$D222&lt;24),
Error!$B$54,
IF(AND(_xlpm.baseRow,$E222="Tier 3",ISNA(MATCH($C222,Tables2!$B$153:$B$162,0)),OR($D222&lt;12,$D222&gt;=24)),
Error!$B$9,
IF(AND(_xlpm.baseRow,$E222="Tier 3",COUNTIF(Tables2!$B$153:$B$162,$C222)&gt;0,$D222&lt;12),
Error!$B$46,
IF(AND(_xlpm.baseRow,$E222="Tier 4",OR($D222&lt;6,$D222&gt;=12)),
Error!$B$10,
IF(AND(_xlpm.baseRow,$E222="&lt;6in DSH for Tree Points",OR($D222&gt;=6,$D222="")),
Error!$B$8,
IF(AND(_xlpm.baseRow,$E222="Street Tree for Green Factor",$F222&lt;&gt;"",$F222&lt;&gt;"Retain"),
Error!$B$14,
IF(AND($E222="&lt;6in DSH for Tree Points",$F222="Retain",$H222&lt;&gt;"",ISNA(MATCH($H222,Tables!$B$174:$B$174,0))),
Error!$B$15,
IF(AND($E222="Street Tree for Green Factor",$F222="Retain",$H222&lt;&gt;"",$H222&lt;&gt;"Zoning: Green Factor"),
Error!$B$15,
IF(AND($E222="ECA / Shoreline Tree",$F222="Remove",$H222&lt;&gt;"",ISNA(MATCH($H222,Tables!$B$189:$B$190,0))),
Error!$B$15,
IF(AND($E222="ECA / Shoreline Tree",$F222="Retain",$H222&lt;&gt;"",ISNA(MATCH($H222,Tables!$B$184:$B$186,0))),
Error!$B$15,
IF(AND($E222="Tier 4",$F222="Remove",$H222&lt;&gt;"",ISNA(MATCH($H222,Tables!$B$171,0))),
Error!$B$15,
IF(AND($E222="Tier 4",$F222="Retain",$H222&lt;&gt;"",ISNA(MATCH($H222,Tables!$B$166:$B$168,0))),
Error!$B$15,
IF(AND($E222="Tier 3",$F222="Retain",$H222&lt;&gt;"",ISNA(MATCH($H222,Tables!$B$158:$B$160,0))),
Error!$B$15,
IF(AND($E222="Tier 3",$F222="Remove",$H222&lt;&gt;"",ISNA(MATCH($H222,Tables!$B$163,0))),
Error!$B$15,
IF(AND(OR($E222="Tier 2",$E222="Tier 2 Grove"),$F222="Remove",$H222&lt;&gt;"",ISNA(MATCH($H222,Tables!$B$153:$B$155,0))),
Error!$B$15,
IF(AND(OR($E222="Tier 2",$E222="Tier 2 Grove"),$F222="Retain",$H222&lt;&gt;"",ISNA(MATCH($H222,Tables!$B$147:$B$150,0))),
Error!$B$15,
IF(AND($E222="Tier 1",$F222="Remove",$H222&lt;&gt;"",ISNA(MATCH($H222,Tables!$B$143:$B$144,0))),
Error!$B$15,
IF(AND($E222="Tier 1",$F222="Retain",$H222&lt;&gt;"",ISNA(MATCH($H222,Tables!$B$137:$B$140,0))),
Error!$B$15,
IF(AND($E222&lt;&gt;"Tier 2",$E222&lt;&gt;"Tier 2 Grove",$E222&lt;&gt;"Tier 3",$E222&lt;&gt;"Tier 4",$H222="Zoning: Green Factor",OR($D222="",$D222&lt;6)),
Error!$B$11,
IF(AND(_xlpm.baseRow,$D222&lt;6,$E222="&lt;6in DSH for Tree Points",_xlpm.TreePoints_H=0),
Error!$B$21,
IF(AND(_xlpm.baseRow,$E222&lt;&gt;"",$D222&lt;&gt;"",$F222=""),
Error!$B$4,
IF(AND(_xlpm.baseRow,$F222="Remove",OR($E222="Tier 1",$E222="Tier 2",$E222="Tier 2 Grove"),COUNTBLANK(_xlpm.HRange)&lt;3,_xlpm.uniqueH&gt;=2),
Error!$B$48,
IF(AND(_xlpm.baseRow,$F222="Retain",OR($E222="Tier 1",$E222="Tier 2",$E222="Tier 2 Grove"),COUNTIF(_xlpm.HRange,"Tree Code: Required to Retain Tier 1-2 Tree")=0),
Error!$B$47,
IF(AND(_xlpm.baseRow,$E222&lt;&gt;"",$D222&lt;&gt;"",$F222&lt;&gt;"",COUNTBLANK(_xlpm.HRange)=4),
Error!$B$5,
IF(AND($F222="Remove",$H222&lt;&gt;"",$I222=""),
Error!$B$18,
IF(AND($E222="Tier 4",$F222="Remove",$H222="Tree Protection Code: Tier 3 or Tier 4 Allowance",$H222&lt;&gt;"",ISNA(MATCH($I222,Tables!$B$200,0))),
Error!$B$17,
IF(AND($E222="Tier 3",$F222="Remove",$H222&lt;&gt;"",$H222="Tree Protection Code: Tier 3 or Tier 4 Allowance",OR($I222="",ISNA(MATCH($I222,Tables!$B$193:$B$197,0)))),
Error!$B$17,
IF(AND(OR($E222="Tier 2",$E222="Tier 2 Grove"),$F222="Remove",$H222="Tree Protection Code: Other removal allowance or exemption",$I222&lt;&gt;"",ISNA(MATCH($I222,Tables!$B$215:$B$218,0))),
Error!$B$17,
IF(AND(OR($E222="Tier 2",$E222="Tier 2 Grove"),$F222="Remove",$H222="Tree Protection Code: Development Capacity",$I222&lt;&gt;"",ISNA(MATCH($I222,Tables!$B$193:$B$197,0))),
Error!$B$17,
IF(AND(OR($E222="Tier 2",$E222="Tier 2 Grove"),$F222="Remove",$H222="Tree Protection Code: Necessary for Construction",$I222&lt;&gt;"",ISNA(MATCH($I222,Tables!$B$193:$B$197,0))),
Error!$B$17,
IF(AND($E222="Tier 1",$F222="Remove",$H222="Tree Protection Code: Special Exception",$I222&lt;&gt;"",ISNA(MATCH($I222,Tables!$B$215:$B$218,0))),
Error!$B$17,
IF(AND($E222="Tier 1",$F222="Remove",$H222="Tree Protection Code: Other removal allowance or exemption",$I222&lt;&gt;"",ISNA(MATCH($I222,Tables!$B$215:$B$218,0))),
Error!$B$17,
IF(AND($E222="ECA / Shoreline Tree",$F222="Remove",$H222&lt;&gt;"",OR($H222="Shoreline",$H222="Environmental Critical Area (ECA)"),ISNA(MATCH($I222,Tables!$B$209:$B$212,0))),
Error!$B$17,
IF(AND(_xlpm.baseRow,$F222="Retain",$E222="ECA / Shoreline Tree",_xlpm.ECA_Short=0),
Error!$B$61,
IF(AND($F222="Remove",ISNUMBER(MATCH($E222,{"Tier 1","Tier 2","Tier 3","Tier 4","Tier 2 Grove"},0)),ISNUMBER(MATCH($I222,{"On-site replacement","Off-site replacement"},0)),$J222="",$H222&lt;&gt;""),
Error!$B$19,
IF(AND(_xlpm.baseRow,$E222&lt;&gt;"",$D222&lt;&gt;"",$F222&lt;&gt;"",COUNTBLANK($B222:$C222)&gt;0,COUNTBLANK(_xlpm.HRange)&lt;&gt;4),
Error!$B$22,
IF(AND($H222="Zoning: Tree Points",$K222&lt;&gt;"",ISNA(MATCH($K222,Tables!$B$242:$B$253,0))),
Error!$B$58,
IF(AND($H222="Zoning: Tree Points",$K222="Small",$L222&lt;&gt;"",ISNA(MATCH($L222,Tables!$C$243:$C$244,0))),
Error!$B$59,
IF(AND($H222="Zoning: Tree Points",$K222="Small/Medium",$L222&lt;&gt;"",ISNA(MATCH($L222,Tables!$C$246:$C$247,0))),
Error!$B$59,
IF(AND($H222="Zoning: Tree Points",$K222="Medium/Large",$L222&lt;&gt;"",ISNA(MATCH($L222,Tables!$C$249:$C$250,0))),
Error!$B$59,
IF(AND($H222="Zoning: Tree Points",$K222="Large",$L222&lt;&gt;"",ISNA(MATCH($L222,Tables!$C$252:$C$253,0))),
Error!$B$59,
IF(AND($F222="Retain",$H222="Zoning: Tree Points",$C222&lt;&gt;"",$D222&lt;&gt;"",OR($K222="",$L222="",$M222="")),
Error!$B$20,
""
)))))))))))))))))))))))))))))))))))))))))))))))))))))))),
Error!$B$23))</f>
        <v/>
      </c>
      <c r="O222" s="343" t="str" cm="1">
        <f t="array" aca="1" ref="O222" ca="1">IFERROR(_xlfn.LET(
    _xlpm.txt, $C222,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23" spans="1:15" ht="15" thickBot="1" x14ac:dyDescent="0.35">
      <c r="A223" s="311">
        <v>54</v>
      </c>
      <c r="B223" s="312"/>
      <c r="C223" s="313"/>
      <c r="D223" s="478"/>
      <c r="E223" s="314"/>
      <c r="F223" s="314"/>
      <c r="G223" s="315" t="str">
        <f>IF(Tree_Table1[[#This Row],[Tree Status  &amp;]]="Retain", Tables!$B$237, IF(Tree_Table1[[#This Row],[Tree Status  &amp;]]="Remove", Tables!$B$238, ""))</f>
        <v/>
      </c>
      <c r="H223" s="316"/>
      <c r="I223" s="317"/>
      <c r="J223" s="452"/>
      <c r="K223" s="318" t="str">
        <f>IFERROR(
    IF(
        AND($H223="Zoning: Tree Points", NOT(ISNUMBER(SEARCH("sp.", $C223)))),
        VLOOKUP($C223, 'Tree List'!$C$3:$F$601, 4, FALSE),
        ""
    ),
"")</f>
        <v/>
      </c>
      <c r="L223" s="319" t="str" cm="1">
        <f t="array" ref="L223">IFERROR(
IF(
    AND($H223="Zoning: Tree Points", NOT(ISNUMBER(SEARCH("sp.", $C223)))),
    _xlfn.IFS(
        (COUNTIFS('Tree List'!$C$3:$C$601,$C223,'Tree List'!$D$3:$D$601,"Coniferous")
        + COUNTIFS('Tree List'!$C$3:$C$601,$C223,'Tree List'!$D$3:$D$601,"Deciduous Conifer")) &gt; 0,
            _xlfn.IFS($K223="Small",0.5,$K223="Small/Medium",1,$K223="Medium/Large",1.4,$K223="Large",1.8),
        (COUNTIFS('Tree List'!$C$3:$C$601,$C223,'Tree List'!$D$3:$D$601,"Deciduous")
        + COUNTIFS('Tree List'!$C$3:$C$601,$C223,'Tree List'!$D$3:$D$601,"Broadleaf Evergreen")) &gt; 0,
            _xlfn.IFS($K223="Small",0.4,$K223="Small/Medium",0.8,$K223="Medium/Large",1.2,$K223="Large",1.6)
    ),
    ""
),
"")</f>
        <v/>
      </c>
      <c r="M223" s="474" t="str">
        <f t="shared" si="168"/>
        <v/>
      </c>
      <c r="N223" s="620" t="str" cm="1">
        <f t="array" aca="1" ref="N22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IF(AND(_xlpm.baseRow,ISNA(MATCH($C223,'Tree List'!$C$3:$C$601,0)),SUMPRODUCT(--ISNUMBER(SEARCH(Tables2!$C$677:$C$772,$O223)))&gt;0),
Error!$B$57,
IF(AND(_xlpm.hasDM,$F223="Remove",$H223&lt;&gt;"",OR($I223="On-site replacement",$I223="Off-site replacement",$I223="Payment In Lieu")),
Error!$B$56,
IF(AND(_xlpm.hasDM,$F223="Remove",$H223&lt;&gt;"",$I223="Relocation"),
Error!$B$66,
IF(AND(OR(_xlpm.hasCN,_xlpm.hasPH,_xlpm.hasGR),$H223&lt;&gt;"",COUNTIF(Tables!$B$132:$B$134,$H223)&gt;0,$I223="N/A (No replacement required)"),
Error!$B$62,
IF(AND(_xlpm.baseRow,$E223&lt;&gt;"",ISNA(MATCH($E223,Tables!$B$225:$B$232,0))),
Error!$B$2,
IF(AND(_xlpm.baseRow,$F223&lt;&gt;"",ISNA(MATCH($F223,Tables!$B$234:$B$235,0))),
Error!$B$24,
IF(AND(_xlpm.baseRow,_xlpm.ECA_H&gt;0,_xlpm.Shore_H&gt;0),
Error!$B$16,
IF(AND(_xlpm.baseRow,$E223&lt;&gt;"",$D223=""),
Error!$B$3,
IF(AND(_xlpm.baseRow,OR($E223="Tier 3",$E223="Tier 4"),$C223&lt;&gt;"",$D223&gt;=24,COUNTIF(Tables2!$B$166:$B$674,$C223)&gt;0),
Error!$B$44,
IF(AND(_xlpm.baseRow,OR($E223="Tier 3",$E223="Tier 4"),$C223&lt;&gt;"",$D223&lt;&gt;"",COUNTIF(Tables2!$B$73:$B$152,$C223)&gt;0,
$D223&gt;=IFERROR(INDEX(Tables2!$C$73:$C$152,MATCH($C223,Tables2!$B$73:$B$152,0)),-1)),
Error!$B$44,
IF(AND(_xlpm.baseRow,OR($E223="Tier 2",$E223="Tier 2 Grove"),$C223&lt;&gt;"",$D223&gt;=12,COUNTIF(Tables2!$B$153:$B$162,$C223)&gt;0),
Error!$B$45,
IF(AND(_xlpm.baseRow,$E223="Tier 2 Grove",$D223&lt;12),
Error!$B$41,
IF(AND(_xlpm.baseRow,$E223="Tier 2",$D223&lt;5.88),
Error!$B$40,
IF(AND(_xlpm.baseRow,OR($E223="Tier 2",$E223="Tier 2 Grove"),$C223&lt;&gt;"",$D223&lt;12,$D223&gt;=6,COUNTIF(Tables2!$B$153:$B$162,$C223)&gt;0),
Error!$B$54,
IF(AND(_xlpm.baseRow,$E223="Tier 2",COUNTIF(Tables2!$B$166:$B$674,$C223)&gt;0,$D223&lt;24),
Error!$B$54,
IF(AND(_xlpm.baseRow,$E223="Tier 3",ISNA(MATCH($C223,Tables2!$B$153:$B$162,0)),OR($D223&lt;12,$D223&gt;=24)),
Error!$B$9,
IF(AND(_xlpm.baseRow,$E223="Tier 3",COUNTIF(Tables2!$B$153:$B$162,$C223)&gt;0,$D223&lt;12),
Error!$B$46,
IF(AND(_xlpm.baseRow,$E223="Tier 4",OR($D223&lt;6,$D223&gt;=12)),
Error!$B$10,
IF(AND(_xlpm.baseRow,$E223="&lt;6in DSH for Tree Points",OR($D223&gt;=6,$D223="")),
Error!$B$8,
IF(AND(_xlpm.baseRow,$E223="Street Tree for Green Factor",$F223&lt;&gt;"",$F223&lt;&gt;"Retain"),
Error!$B$14,
IF(AND($E223="&lt;6in DSH for Tree Points",$F223="Retain",$H223&lt;&gt;"",ISNA(MATCH($H223,Tables!$B$174:$B$174,0))),
Error!$B$15,
IF(AND($E223="Street Tree for Green Factor",$F223="Retain",$H223&lt;&gt;"",$H223&lt;&gt;"Zoning: Green Factor"),
Error!$B$15,
IF(AND($E223="ECA / Shoreline Tree",$F223="Remove",$H223&lt;&gt;"",ISNA(MATCH($H223,Tables!$B$189:$B$190,0))),
Error!$B$15,
IF(AND($E223="ECA / Shoreline Tree",$F223="Retain",$H223&lt;&gt;"",ISNA(MATCH($H223,Tables!$B$184:$B$186,0))),
Error!$B$15,
IF(AND($E223="Tier 4",$F223="Remove",$H223&lt;&gt;"",ISNA(MATCH($H223,Tables!$B$171,0))),
Error!$B$15,
IF(AND($E223="Tier 4",$F223="Retain",$H223&lt;&gt;"",ISNA(MATCH($H223,Tables!$B$166:$B$168,0))),
Error!$B$15,
IF(AND($E223="Tier 3",$F223="Retain",$H223&lt;&gt;"",ISNA(MATCH($H223,Tables!$B$158:$B$160,0))),
Error!$B$15,
IF(AND($E223="Tier 3",$F223="Remove",$H223&lt;&gt;"",ISNA(MATCH($H223,Tables!$B$163,0))),
Error!$B$15,
IF(AND(OR($E223="Tier 2",$E223="Tier 2 Grove"),$F223="Remove",$H223&lt;&gt;"",ISNA(MATCH($H223,Tables!$B$153:$B$155,0))),
Error!$B$15,
IF(AND(OR($E223="Tier 2",$E223="Tier 2 Grove"),$F223="Retain",$H223&lt;&gt;"",ISNA(MATCH($H223,Tables!$B$147:$B$150,0))),
Error!$B$15,
IF(AND($E223="Tier 1",$F223="Remove",$H223&lt;&gt;"",ISNA(MATCH($H223,Tables!$B$143:$B$144,0))),
Error!$B$15,
IF(AND($E223="Tier 1",$F223="Retain",$H223&lt;&gt;"",ISNA(MATCH($H223,Tables!$B$137:$B$140,0))),
Error!$B$15,
IF(AND($E223&lt;&gt;"Tier 2",$E223&lt;&gt;"Tier 2 Grove",$E223&lt;&gt;"Tier 3",$E223&lt;&gt;"Tier 4",$H223="Zoning: Green Factor",OR($D223="",$D223&lt;6)),
Error!$B$11,
IF(AND(_xlpm.baseRow,$D223&lt;6,$E223="&lt;6in DSH for Tree Points",_xlpm.TreePoints_H=0),
Error!$B$21,
IF(AND(_xlpm.baseRow,$E223&lt;&gt;"",$D223&lt;&gt;"",$F223=""),
Error!$B$4,
IF(AND(_xlpm.baseRow,$F223="Remove",OR($E223="Tier 1",$E223="Tier 2",$E223="Tier 2 Grove"),COUNTBLANK(_xlpm.HRange)&lt;3,_xlpm.uniqueH&gt;=2),
Error!$B$48,
IF(AND(_xlpm.baseRow,$F223="Retain",OR($E223="Tier 1",$E223="Tier 2",$E223="Tier 2 Grove"),COUNTIF(_xlpm.HRange,"Tree Code: Required to Retain Tier 1-2 Tree")=0),
Error!$B$47,
IF(AND(_xlpm.baseRow,$E223&lt;&gt;"",$D223&lt;&gt;"",$F223&lt;&gt;"",COUNTBLANK(_xlpm.HRange)=4),
Error!$B$5,
IF(AND($F223="Remove",$H223&lt;&gt;"",$I223=""),
Error!$B$18,
IF(AND($E223="Tier 4",$F223="Remove",$H223="Tree Protection Code: Tier 3 or Tier 4 Allowance",$H223&lt;&gt;"",ISNA(MATCH($I223,Tables!$B$200,0))),
Error!$B$17,
IF(AND($E223="Tier 3",$F223="Remove",$H223&lt;&gt;"",$H223="Tree Protection Code: Tier 3 or Tier 4 Allowance",OR($I223="",ISNA(MATCH($I223,Tables!$B$193:$B$197,0)))),
Error!$B$17,
IF(AND(OR($E223="Tier 2",$E223="Tier 2 Grove"),$F223="Remove",$H223="Tree Protection Code: Other removal allowance or exemption",$I223&lt;&gt;"",ISNA(MATCH($I223,Tables!$B$215:$B$218,0))),
Error!$B$17,
IF(AND(OR($E223="Tier 2",$E223="Tier 2 Grove"),$F223="Remove",$H223="Tree Protection Code: Development Capacity",$I223&lt;&gt;"",ISNA(MATCH($I223,Tables!$B$193:$B$197,0))),
Error!$B$17,
IF(AND(OR($E223="Tier 2",$E223="Tier 2 Grove"),$F223="Remove",$H223="Tree Protection Code: Necessary for Construction",$I223&lt;&gt;"",ISNA(MATCH($I223,Tables!$B$193:$B$197,0))),
Error!$B$17,
IF(AND($E223="Tier 1",$F223="Remove",$H223="Tree Protection Code: Special Exception",$I223&lt;&gt;"",ISNA(MATCH($I223,Tables!$B$215:$B$218,0))),
Error!$B$17,
IF(AND($E223="Tier 1",$F223="Remove",$H223="Tree Protection Code: Other removal allowance or exemption",$I223&lt;&gt;"",ISNA(MATCH($I223,Tables!$B$215:$B$218,0))),
Error!$B$17,
IF(AND($E223="ECA / Shoreline Tree",$F223="Remove",$H223&lt;&gt;"",OR($H223="Shoreline",$H223="Environmental Critical Area (ECA)"),ISNA(MATCH($I223,Tables!$B$209:$B$212,0))),
Error!$B$17,
IF(AND(_xlpm.baseRow,$F223="Retain",$E223="ECA / Shoreline Tree",_xlpm.ECA_Short=0),
Error!$B$61,
IF(AND($F223="Remove",ISNUMBER(MATCH($E223,{"Tier 1","Tier 2","Tier 3","Tier 4","Tier 2 Grove"},0)),ISNUMBER(MATCH($I223,{"On-site replacement","Off-site replacement"},0)),$J223="",$H223&lt;&gt;""),
Error!$B$19,
IF(AND(_xlpm.baseRow,$E223&lt;&gt;"",$D223&lt;&gt;"",$F223&lt;&gt;"",COUNTBLANK($B223:$C223)&gt;0,COUNTBLANK(_xlpm.HRange)&lt;&gt;4),
Error!$B$22,
IF(AND($H223="Zoning: Tree Points",$K223&lt;&gt;"",ISNA(MATCH($K223,Tables!$B$242:$B$253,0))),
Error!$B$58,
IF(AND($H223="Zoning: Tree Points",$K223="Small",$L223&lt;&gt;"",ISNA(MATCH($L223,Tables!$C$243:$C$244,0))),
Error!$B$59,
IF(AND($H223="Zoning: Tree Points",$K223="Small/Medium",$L223&lt;&gt;"",ISNA(MATCH($L223,Tables!$C$246:$C$247,0))),
Error!$B$59,
IF(AND($H223="Zoning: Tree Points",$K223="Medium/Large",$L223&lt;&gt;"",ISNA(MATCH($L223,Tables!$C$249:$C$250,0))),
Error!$B$59,
IF(AND($H223="Zoning: Tree Points",$K223="Large",$L223&lt;&gt;"",ISNA(MATCH($L223,Tables!$C$252:$C$253,0))),
Error!$B$59,
IF(AND($F223="Retain",$H223="Zoning: Tree Points",$C223&lt;&gt;"",$D223&lt;&gt;"",OR($K223="",$L223="",$M223="")),
Error!$B$20,
""
)))))))))))))))))))))))))))))))))))))))))))))))))))))))),
Error!$B$23))</f>
        <v/>
      </c>
      <c r="O223" s="343" t="str" cm="1">
        <f t="array" aca="1" ref="O223" ca="1">IFERROR(_xlfn.LET(
    _xlpm.txt, $C223,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24" spans="1:15" x14ac:dyDescent="0.3">
      <c r="A224" s="320"/>
      <c r="B224" s="616" t="str">
        <f t="shared" ref="B224:B226" si="224">IF($B223="", "", $B223)</f>
        <v/>
      </c>
      <c r="C224" s="617" t="str">
        <f t="shared" ref="C224:C226" si="225">IF($C223="", "", $C223)</f>
        <v/>
      </c>
      <c r="D224" s="618" t="str">
        <f t="shared" ref="D224:D226" si="226">IF($D223="", "", $D223)</f>
        <v/>
      </c>
      <c r="E224" s="616" t="str">
        <f t="shared" ref="E224:E226" si="227">IF($E223="", "", $E223)</f>
        <v/>
      </c>
      <c r="F224" s="616" t="str">
        <f t="shared" ref="F224:F226" si="228">IF($F223="", "", $F223)</f>
        <v/>
      </c>
      <c r="G224" s="619" t="str">
        <f>IF(Tree_Table1[[#This Row],[Tree Status  &amp;]]="Retain", Tables!$B$237, IF(Tree_Table1[[#This Row],[Tree Status  &amp;]]="Remove", Tables!$B$238, ""))</f>
        <v/>
      </c>
      <c r="H224" s="321"/>
      <c r="I224" s="322"/>
      <c r="J224" s="453"/>
      <c r="K224" s="323" t="str">
        <f>IFERROR(
    IF(
        AND($H224="Zoning: Tree Points", NOT(ISNUMBER(SEARCH("sp.", $C224)))),
        VLOOKUP($C224, 'Tree List'!$C$3:$F$601, 4, FALSE),
        ""
    ),
"")</f>
        <v/>
      </c>
      <c r="L224" s="324" t="str" cm="1">
        <f t="array" ref="L224">IFERROR(
IF(
    AND($H224="Zoning: Tree Points", NOT(ISNUMBER(SEARCH("sp.", $C224)))),
    _xlfn.IFS(
        (COUNTIFS('Tree List'!$C$3:$C$601,$C224,'Tree List'!$D$3:$D$601,"Coniferous")
        + COUNTIFS('Tree List'!$C$3:$C$601,$C224,'Tree List'!$D$3:$D$601,"Deciduous Conifer")) &gt; 0,
            _xlfn.IFS($K224="Small",0.5,$K224="Small/Medium",1,$K224="Medium/Large",1.4,$K224="Large",1.8),
        (COUNTIFS('Tree List'!$C$3:$C$601,$C224,'Tree List'!$D$3:$D$601,"Deciduous")
        + COUNTIFS('Tree List'!$C$3:$C$601,$C224,'Tree List'!$D$3:$D$601,"Broadleaf Evergreen")) &gt; 0,
            _xlfn.IFS($K224="Small",0.4,$K224="Small/Medium",0.8,$K224="Medium/Large",1.2,$K224="Large",1.6)
    ),
    ""
),
"")</f>
        <v/>
      </c>
      <c r="M224" s="475" t="str">
        <f t="shared" si="168"/>
        <v/>
      </c>
      <c r="N224" s="346" t="str" cm="1">
        <f t="array" aca="1" ref="N22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IF(AND(_xlpm.baseRow,ISNA(MATCH($C224,'Tree List'!$C$3:$C$601,0)),SUMPRODUCT(--ISNUMBER(SEARCH(Tables2!$C$677:$C$772,$O224)))&gt;0),
Error!$B$57,
IF(AND(_xlpm.hasDM,$F224="Remove",$H224&lt;&gt;"",OR($I224="On-site replacement",$I224="Off-site replacement",$I224="Payment In Lieu")),
Error!$B$56,
IF(AND(_xlpm.hasDM,$F224="Remove",$H224&lt;&gt;"",$I224="Relocation"),
Error!$B$66,
IF(AND(OR(_xlpm.hasCN,_xlpm.hasPH,_xlpm.hasGR),$H224&lt;&gt;"",COUNTIF(Tables!$B$132:$B$134,$H224)&gt;0,$I224="N/A (No replacement required)"),
Error!$B$62,
IF(AND(_xlpm.baseRow,$E224&lt;&gt;"",ISNA(MATCH($E224,Tables!$B$225:$B$232,0))),
Error!$B$2,
IF(AND(_xlpm.baseRow,$F224&lt;&gt;"",ISNA(MATCH($F224,Tables!$B$234:$B$235,0))),
Error!$B$24,
IF(AND(_xlpm.baseRow,_xlpm.ECA_H&gt;0,_xlpm.Shore_H&gt;0),
Error!$B$16,
IF(AND(_xlpm.baseRow,$E224&lt;&gt;"",$D224=""),
Error!$B$3,
IF(AND(_xlpm.baseRow,OR($E224="Tier 3",$E224="Tier 4"),$C224&lt;&gt;"",$D224&gt;=24,COUNTIF(Tables2!$B$166:$B$674,$C224)&gt;0),
Error!$B$44,
IF(AND(_xlpm.baseRow,OR($E224="Tier 3",$E224="Tier 4"),$C224&lt;&gt;"",$D224&lt;&gt;"",COUNTIF(Tables2!$B$73:$B$152,$C224)&gt;0,
$D224&gt;=IFERROR(INDEX(Tables2!$C$73:$C$152,MATCH($C224,Tables2!$B$73:$B$152,0)),-1)),
Error!$B$44,
IF(AND(_xlpm.baseRow,OR($E224="Tier 2",$E224="Tier 2 Grove"),$C224&lt;&gt;"",$D224&gt;=12,COUNTIF(Tables2!$B$153:$B$162,$C224)&gt;0),
Error!$B$45,
IF(AND(_xlpm.baseRow,$E224="Tier 2 Grove",$D224&lt;12),
Error!$B$41,
IF(AND(_xlpm.baseRow,$E224="Tier 2",$D224&lt;5.88),
Error!$B$40,
IF(AND(_xlpm.baseRow,OR($E224="Tier 2",$E224="Tier 2 Grove"),$C224&lt;&gt;"",$D224&lt;12,$D224&gt;=6,COUNTIF(Tables2!$B$153:$B$162,$C224)&gt;0),
Error!$B$54,
IF(AND(_xlpm.baseRow,$E224="Tier 2",COUNTIF(Tables2!$B$166:$B$674,$C224)&gt;0,$D224&lt;24),
Error!$B$54,
IF(AND(_xlpm.baseRow,$E224="Tier 3",ISNA(MATCH($C224,Tables2!$B$153:$B$162,0)),OR($D224&lt;12,$D224&gt;=24)),
Error!$B$9,
IF(AND(_xlpm.baseRow,$E224="Tier 3",COUNTIF(Tables2!$B$153:$B$162,$C224)&gt;0,$D224&lt;12),
Error!$B$46,
IF(AND(_xlpm.baseRow,$E224="Tier 4",OR($D224&lt;6,$D224&gt;=12)),
Error!$B$10,
IF(AND(_xlpm.baseRow,$E224="&lt;6in DSH for Tree Points",OR($D224&gt;=6,$D224="")),
Error!$B$8,
IF(AND(_xlpm.baseRow,$E224="Street Tree for Green Factor",$F224&lt;&gt;"",$F224&lt;&gt;"Retain"),
Error!$B$14,
IF(AND($E224="&lt;6in DSH for Tree Points",$F224="Retain",$H224&lt;&gt;"",ISNA(MATCH($H224,Tables!$B$174:$B$174,0))),
Error!$B$15,
IF(AND($E224="Street Tree for Green Factor",$F224="Retain",$H224&lt;&gt;"",$H224&lt;&gt;"Zoning: Green Factor"),
Error!$B$15,
IF(AND($E224="ECA / Shoreline Tree",$F224="Remove",$H224&lt;&gt;"",ISNA(MATCH($H224,Tables!$B$189:$B$190,0))),
Error!$B$15,
IF(AND($E224="ECA / Shoreline Tree",$F224="Retain",$H224&lt;&gt;"",ISNA(MATCH($H224,Tables!$B$184:$B$186,0))),
Error!$B$15,
IF(AND($E224="Tier 4",$F224="Remove",$H224&lt;&gt;"",ISNA(MATCH($H224,Tables!$B$171,0))),
Error!$B$15,
IF(AND($E224="Tier 4",$F224="Retain",$H224&lt;&gt;"",ISNA(MATCH($H224,Tables!$B$166:$B$168,0))),
Error!$B$15,
IF(AND($E224="Tier 3",$F224="Retain",$H224&lt;&gt;"",ISNA(MATCH($H224,Tables!$B$158:$B$160,0))),
Error!$B$15,
IF(AND($E224="Tier 3",$F224="Remove",$H224&lt;&gt;"",ISNA(MATCH($H224,Tables!$B$163,0))),
Error!$B$15,
IF(AND(OR($E224="Tier 2",$E224="Tier 2 Grove"),$F224="Remove",$H224&lt;&gt;"",ISNA(MATCH($H224,Tables!$B$153:$B$155,0))),
Error!$B$15,
IF(AND(OR($E224="Tier 2",$E224="Tier 2 Grove"),$F224="Retain",$H224&lt;&gt;"",ISNA(MATCH($H224,Tables!$B$147:$B$150,0))),
Error!$B$15,
IF(AND($E224="Tier 1",$F224="Remove",$H224&lt;&gt;"",ISNA(MATCH($H224,Tables!$B$143:$B$144,0))),
Error!$B$15,
IF(AND($E224="Tier 1",$F224="Retain",$H224&lt;&gt;"",ISNA(MATCH($H224,Tables!$B$137:$B$140,0))),
Error!$B$15,
IF(AND($E224&lt;&gt;"Tier 2",$E224&lt;&gt;"Tier 2 Grove",$E224&lt;&gt;"Tier 3",$E224&lt;&gt;"Tier 4",$H224="Zoning: Green Factor",OR($D224="",$D224&lt;6)),
Error!$B$11,
IF(AND(_xlpm.baseRow,$D224&lt;6,$E224="&lt;6in DSH for Tree Points",_xlpm.TreePoints_H=0),
Error!$B$21,
IF(AND(_xlpm.baseRow,$E224&lt;&gt;"",$D224&lt;&gt;"",$F224=""),
Error!$B$4,
IF(AND(_xlpm.baseRow,$F224="Remove",OR($E224="Tier 1",$E224="Tier 2",$E224="Tier 2 Grove"),COUNTBLANK(_xlpm.HRange)&lt;3,_xlpm.uniqueH&gt;=2),
Error!$B$48,
IF(AND(_xlpm.baseRow,$F224="Retain",OR($E224="Tier 1",$E224="Tier 2",$E224="Tier 2 Grove"),COUNTIF(_xlpm.HRange,"Tree Code: Required to Retain Tier 1-2 Tree")=0),
Error!$B$47,
IF(AND(_xlpm.baseRow,$E224&lt;&gt;"",$D224&lt;&gt;"",$F224&lt;&gt;"",COUNTBLANK(_xlpm.HRange)=4),
Error!$B$5,
IF(AND($F224="Remove",$H224&lt;&gt;"",$I224=""),
Error!$B$18,
IF(AND($E224="Tier 4",$F224="Remove",$H224="Tree Protection Code: Tier 3 or Tier 4 Allowance",$H224&lt;&gt;"",ISNA(MATCH($I224,Tables!$B$200,0))),
Error!$B$17,
IF(AND($E224="Tier 3",$F224="Remove",$H224&lt;&gt;"",$H224="Tree Protection Code: Tier 3 or Tier 4 Allowance",OR($I224="",ISNA(MATCH($I224,Tables!$B$193:$B$197,0)))),
Error!$B$17,
IF(AND(OR($E224="Tier 2",$E224="Tier 2 Grove"),$F224="Remove",$H224="Tree Protection Code: Other removal allowance or exemption",$I224&lt;&gt;"",ISNA(MATCH($I224,Tables!$B$215:$B$218,0))),
Error!$B$17,
IF(AND(OR($E224="Tier 2",$E224="Tier 2 Grove"),$F224="Remove",$H224="Tree Protection Code: Development Capacity",$I224&lt;&gt;"",ISNA(MATCH($I224,Tables!$B$193:$B$197,0))),
Error!$B$17,
IF(AND(OR($E224="Tier 2",$E224="Tier 2 Grove"),$F224="Remove",$H224="Tree Protection Code: Necessary for Construction",$I224&lt;&gt;"",ISNA(MATCH($I224,Tables!$B$193:$B$197,0))),
Error!$B$17,
IF(AND($E224="Tier 1",$F224="Remove",$H224="Tree Protection Code: Special Exception",$I224&lt;&gt;"",ISNA(MATCH($I224,Tables!$B$215:$B$218,0))),
Error!$B$17,
IF(AND($E224="Tier 1",$F224="Remove",$H224="Tree Protection Code: Other removal allowance or exemption",$I224&lt;&gt;"",ISNA(MATCH($I224,Tables!$B$215:$B$218,0))),
Error!$B$17,
IF(AND($E224="ECA / Shoreline Tree",$F224="Remove",$H224&lt;&gt;"",OR($H224="Shoreline",$H224="Environmental Critical Area (ECA)"),ISNA(MATCH($I224,Tables!$B$209:$B$212,0))),
Error!$B$17,
IF(AND(_xlpm.baseRow,$F224="Retain",$E224="ECA / Shoreline Tree",_xlpm.ECA_Short=0),
Error!$B$61,
IF(AND($F224="Remove",ISNUMBER(MATCH($E224,{"Tier 1","Tier 2","Tier 3","Tier 4","Tier 2 Grove"},0)),ISNUMBER(MATCH($I224,{"On-site replacement","Off-site replacement"},0)),$J224="",$H224&lt;&gt;""),
Error!$B$19,
IF(AND(_xlpm.baseRow,$E224&lt;&gt;"",$D224&lt;&gt;"",$F224&lt;&gt;"",COUNTBLANK($B224:$C224)&gt;0,COUNTBLANK(_xlpm.HRange)&lt;&gt;4),
Error!$B$22,
IF(AND($H224="Zoning: Tree Points",$K224&lt;&gt;"",ISNA(MATCH($K224,Tables!$B$242:$B$253,0))),
Error!$B$58,
IF(AND($H224="Zoning: Tree Points",$K224="Small",$L224&lt;&gt;"",ISNA(MATCH($L224,Tables!$C$243:$C$244,0))),
Error!$B$59,
IF(AND($H224="Zoning: Tree Points",$K224="Small/Medium",$L224&lt;&gt;"",ISNA(MATCH($L224,Tables!$C$246:$C$247,0))),
Error!$B$59,
IF(AND($H224="Zoning: Tree Points",$K224="Medium/Large",$L224&lt;&gt;"",ISNA(MATCH($L224,Tables!$C$249:$C$250,0))),
Error!$B$59,
IF(AND($H224="Zoning: Tree Points",$K224="Large",$L224&lt;&gt;"",ISNA(MATCH($L224,Tables!$C$252:$C$253,0))),
Error!$B$59,
IF(AND($F224="Retain",$H224="Zoning: Tree Points",$C224&lt;&gt;"",$D224&lt;&gt;"",OR($K224="",$L224="",$M224="")),
Error!$B$20,
""
)))))))))))))))))))))))))))))))))))))))))))))))))))))))),
Error!$B$23))</f>
        <v/>
      </c>
      <c r="O224" s="343" t="str" cm="1">
        <f t="array" aca="1" ref="O224" ca="1">IFERROR(_xlfn.LET(
    _xlpm.txt, $C224,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25" spans="1:15" x14ac:dyDescent="0.3">
      <c r="A225" s="320"/>
      <c r="B225" s="616" t="str">
        <f t="shared" si="224"/>
        <v/>
      </c>
      <c r="C225" s="617" t="str">
        <f t="shared" si="225"/>
        <v/>
      </c>
      <c r="D225" s="618" t="str">
        <f t="shared" si="226"/>
        <v/>
      </c>
      <c r="E225" s="616" t="str">
        <f t="shared" si="227"/>
        <v/>
      </c>
      <c r="F225" s="616" t="str">
        <f t="shared" si="228"/>
        <v/>
      </c>
      <c r="G225" s="619" t="str">
        <f>IF(Tree_Table1[[#This Row],[Tree Status  &amp;]]="Retain", Tables!$B$237, IF(Tree_Table1[[#This Row],[Tree Status  &amp;]]="Remove", Tables!$B$238, ""))</f>
        <v/>
      </c>
      <c r="H225" s="321"/>
      <c r="I225" s="322"/>
      <c r="J225" s="453"/>
      <c r="K225" s="323" t="str">
        <f>IFERROR(
    IF(
        AND($H225="Zoning: Tree Points", NOT(ISNUMBER(SEARCH("sp.", $C225)))),
        VLOOKUP($C225, 'Tree List'!$C$3:$F$601, 4, FALSE),
        ""
    ),
"")</f>
        <v/>
      </c>
      <c r="L225" s="324" t="str" cm="1">
        <f t="array" ref="L225">IFERROR(
IF(
    AND($H225="Zoning: Tree Points", NOT(ISNUMBER(SEARCH("sp.", $C225)))),
    _xlfn.IFS(
        (COUNTIFS('Tree List'!$C$3:$C$601,$C225,'Tree List'!$D$3:$D$601,"Coniferous")
        + COUNTIFS('Tree List'!$C$3:$C$601,$C225,'Tree List'!$D$3:$D$601,"Deciduous Conifer")) &gt; 0,
            _xlfn.IFS($K225="Small",0.5,$K225="Small/Medium",1,$K225="Medium/Large",1.4,$K225="Large",1.8),
        (COUNTIFS('Tree List'!$C$3:$C$601,$C225,'Tree List'!$D$3:$D$601,"Deciduous")
        + COUNTIFS('Tree List'!$C$3:$C$601,$C225,'Tree List'!$D$3:$D$601,"Broadleaf Evergreen")) &gt; 0,
            _xlfn.IFS($K225="Small",0.4,$K225="Small/Medium",0.8,$K225="Medium/Large",1.2,$K225="Large",1.6)
    ),
    ""
),
"")</f>
        <v/>
      </c>
      <c r="M225" s="475" t="str">
        <f t="shared" si="168"/>
        <v/>
      </c>
      <c r="N225" s="346" t="str" cm="1">
        <f t="array" aca="1" ref="N22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IF(AND(_xlpm.baseRow,ISNA(MATCH($C225,'Tree List'!$C$3:$C$601,0)),SUMPRODUCT(--ISNUMBER(SEARCH(Tables2!$C$677:$C$772,$O225)))&gt;0),
Error!$B$57,
IF(AND(_xlpm.hasDM,$F225="Remove",$H225&lt;&gt;"",OR($I225="On-site replacement",$I225="Off-site replacement",$I225="Payment In Lieu")),
Error!$B$56,
IF(AND(_xlpm.hasDM,$F225="Remove",$H225&lt;&gt;"",$I225="Relocation"),
Error!$B$66,
IF(AND(OR(_xlpm.hasCN,_xlpm.hasPH,_xlpm.hasGR),$H225&lt;&gt;"",COUNTIF(Tables!$B$132:$B$134,$H225)&gt;0,$I225="N/A (No replacement required)"),
Error!$B$62,
IF(AND(_xlpm.baseRow,$E225&lt;&gt;"",ISNA(MATCH($E225,Tables!$B$225:$B$232,0))),
Error!$B$2,
IF(AND(_xlpm.baseRow,$F225&lt;&gt;"",ISNA(MATCH($F225,Tables!$B$234:$B$235,0))),
Error!$B$24,
IF(AND(_xlpm.baseRow,_xlpm.ECA_H&gt;0,_xlpm.Shore_H&gt;0),
Error!$B$16,
IF(AND(_xlpm.baseRow,$E225&lt;&gt;"",$D225=""),
Error!$B$3,
IF(AND(_xlpm.baseRow,OR($E225="Tier 3",$E225="Tier 4"),$C225&lt;&gt;"",$D225&gt;=24,COUNTIF(Tables2!$B$166:$B$674,$C225)&gt;0),
Error!$B$44,
IF(AND(_xlpm.baseRow,OR($E225="Tier 3",$E225="Tier 4"),$C225&lt;&gt;"",$D225&lt;&gt;"",COUNTIF(Tables2!$B$73:$B$152,$C225)&gt;0,
$D225&gt;=IFERROR(INDEX(Tables2!$C$73:$C$152,MATCH($C225,Tables2!$B$73:$B$152,0)),-1)),
Error!$B$44,
IF(AND(_xlpm.baseRow,OR($E225="Tier 2",$E225="Tier 2 Grove"),$C225&lt;&gt;"",$D225&gt;=12,COUNTIF(Tables2!$B$153:$B$162,$C225)&gt;0),
Error!$B$45,
IF(AND(_xlpm.baseRow,$E225="Tier 2 Grove",$D225&lt;12),
Error!$B$41,
IF(AND(_xlpm.baseRow,$E225="Tier 2",$D225&lt;5.88),
Error!$B$40,
IF(AND(_xlpm.baseRow,OR($E225="Tier 2",$E225="Tier 2 Grove"),$C225&lt;&gt;"",$D225&lt;12,$D225&gt;=6,COUNTIF(Tables2!$B$153:$B$162,$C225)&gt;0),
Error!$B$54,
IF(AND(_xlpm.baseRow,$E225="Tier 2",COUNTIF(Tables2!$B$166:$B$674,$C225)&gt;0,$D225&lt;24),
Error!$B$54,
IF(AND(_xlpm.baseRow,$E225="Tier 3",ISNA(MATCH($C225,Tables2!$B$153:$B$162,0)),OR($D225&lt;12,$D225&gt;=24)),
Error!$B$9,
IF(AND(_xlpm.baseRow,$E225="Tier 3",COUNTIF(Tables2!$B$153:$B$162,$C225)&gt;0,$D225&lt;12),
Error!$B$46,
IF(AND(_xlpm.baseRow,$E225="Tier 4",OR($D225&lt;6,$D225&gt;=12)),
Error!$B$10,
IF(AND(_xlpm.baseRow,$E225="&lt;6in DSH for Tree Points",OR($D225&gt;=6,$D225="")),
Error!$B$8,
IF(AND(_xlpm.baseRow,$E225="Street Tree for Green Factor",$F225&lt;&gt;"",$F225&lt;&gt;"Retain"),
Error!$B$14,
IF(AND($E225="&lt;6in DSH for Tree Points",$F225="Retain",$H225&lt;&gt;"",ISNA(MATCH($H225,Tables!$B$174:$B$174,0))),
Error!$B$15,
IF(AND($E225="Street Tree for Green Factor",$F225="Retain",$H225&lt;&gt;"",$H225&lt;&gt;"Zoning: Green Factor"),
Error!$B$15,
IF(AND($E225="ECA / Shoreline Tree",$F225="Remove",$H225&lt;&gt;"",ISNA(MATCH($H225,Tables!$B$189:$B$190,0))),
Error!$B$15,
IF(AND($E225="ECA / Shoreline Tree",$F225="Retain",$H225&lt;&gt;"",ISNA(MATCH($H225,Tables!$B$184:$B$186,0))),
Error!$B$15,
IF(AND($E225="Tier 4",$F225="Remove",$H225&lt;&gt;"",ISNA(MATCH($H225,Tables!$B$171,0))),
Error!$B$15,
IF(AND($E225="Tier 4",$F225="Retain",$H225&lt;&gt;"",ISNA(MATCH($H225,Tables!$B$166:$B$168,0))),
Error!$B$15,
IF(AND($E225="Tier 3",$F225="Retain",$H225&lt;&gt;"",ISNA(MATCH($H225,Tables!$B$158:$B$160,0))),
Error!$B$15,
IF(AND($E225="Tier 3",$F225="Remove",$H225&lt;&gt;"",ISNA(MATCH($H225,Tables!$B$163,0))),
Error!$B$15,
IF(AND(OR($E225="Tier 2",$E225="Tier 2 Grove"),$F225="Remove",$H225&lt;&gt;"",ISNA(MATCH($H225,Tables!$B$153:$B$155,0))),
Error!$B$15,
IF(AND(OR($E225="Tier 2",$E225="Tier 2 Grove"),$F225="Retain",$H225&lt;&gt;"",ISNA(MATCH($H225,Tables!$B$147:$B$150,0))),
Error!$B$15,
IF(AND($E225="Tier 1",$F225="Remove",$H225&lt;&gt;"",ISNA(MATCH($H225,Tables!$B$143:$B$144,0))),
Error!$B$15,
IF(AND($E225="Tier 1",$F225="Retain",$H225&lt;&gt;"",ISNA(MATCH($H225,Tables!$B$137:$B$140,0))),
Error!$B$15,
IF(AND($E225&lt;&gt;"Tier 2",$E225&lt;&gt;"Tier 2 Grove",$E225&lt;&gt;"Tier 3",$E225&lt;&gt;"Tier 4",$H225="Zoning: Green Factor",OR($D225="",$D225&lt;6)),
Error!$B$11,
IF(AND(_xlpm.baseRow,$D225&lt;6,$E225="&lt;6in DSH for Tree Points",_xlpm.TreePoints_H=0),
Error!$B$21,
IF(AND(_xlpm.baseRow,$E225&lt;&gt;"",$D225&lt;&gt;"",$F225=""),
Error!$B$4,
IF(AND(_xlpm.baseRow,$F225="Remove",OR($E225="Tier 1",$E225="Tier 2",$E225="Tier 2 Grove"),COUNTBLANK(_xlpm.HRange)&lt;3,_xlpm.uniqueH&gt;=2),
Error!$B$48,
IF(AND(_xlpm.baseRow,$F225="Retain",OR($E225="Tier 1",$E225="Tier 2",$E225="Tier 2 Grove"),COUNTIF(_xlpm.HRange,"Tree Code: Required to Retain Tier 1-2 Tree")=0),
Error!$B$47,
IF(AND(_xlpm.baseRow,$E225&lt;&gt;"",$D225&lt;&gt;"",$F225&lt;&gt;"",COUNTBLANK(_xlpm.HRange)=4),
Error!$B$5,
IF(AND($F225="Remove",$H225&lt;&gt;"",$I225=""),
Error!$B$18,
IF(AND($E225="Tier 4",$F225="Remove",$H225="Tree Protection Code: Tier 3 or Tier 4 Allowance",$H225&lt;&gt;"",ISNA(MATCH($I225,Tables!$B$200,0))),
Error!$B$17,
IF(AND($E225="Tier 3",$F225="Remove",$H225&lt;&gt;"",$H225="Tree Protection Code: Tier 3 or Tier 4 Allowance",OR($I225="",ISNA(MATCH($I225,Tables!$B$193:$B$197,0)))),
Error!$B$17,
IF(AND(OR($E225="Tier 2",$E225="Tier 2 Grove"),$F225="Remove",$H225="Tree Protection Code: Other removal allowance or exemption",$I225&lt;&gt;"",ISNA(MATCH($I225,Tables!$B$215:$B$218,0))),
Error!$B$17,
IF(AND(OR($E225="Tier 2",$E225="Tier 2 Grove"),$F225="Remove",$H225="Tree Protection Code: Development Capacity",$I225&lt;&gt;"",ISNA(MATCH($I225,Tables!$B$193:$B$197,0))),
Error!$B$17,
IF(AND(OR($E225="Tier 2",$E225="Tier 2 Grove"),$F225="Remove",$H225="Tree Protection Code: Necessary for Construction",$I225&lt;&gt;"",ISNA(MATCH($I225,Tables!$B$193:$B$197,0))),
Error!$B$17,
IF(AND($E225="Tier 1",$F225="Remove",$H225="Tree Protection Code: Special Exception",$I225&lt;&gt;"",ISNA(MATCH($I225,Tables!$B$215:$B$218,0))),
Error!$B$17,
IF(AND($E225="Tier 1",$F225="Remove",$H225="Tree Protection Code: Other removal allowance or exemption",$I225&lt;&gt;"",ISNA(MATCH($I225,Tables!$B$215:$B$218,0))),
Error!$B$17,
IF(AND($E225="ECA / Shoreline Tree",$F225="Remove",$H225&lt;&gt;"",OR($H225="Shoreline",$H225="Environmental Critical Area (ECA)"),ISNA(MATCH($I225,Tables!$B$209:$B$212,0))),
Error!$B$17,
IF(AND(_xlpm.baseRow,$F225="Retain",$E225="ECA / Shoreline Tree",_xlpm.ECA_Short=0),
Error!$B$61,
IF(AND($F225="Remove",ISNUMBER(MATCH($E225,{"Tier 1","Tier 2","Tier 3","Tier 4","Tier 2 Grove"},0)),ISNUMBER(MATCH($I225,{"On-site replacement","Off-site replacement"},0)),$J225="",$H225&lt;&gt;""),
Error!$B$19,
IF(AND(_xlpm.baseRow,$E225&lt;&gt;"",$D225&lt;&gt;"",$F225&lt;&gt;"",COUNTBLANK($B225:$C225)&gt;0,COUNTBLANK(_xlpm.HRange)&lt;&gt;4),
Error!$B$22,
IF(AND($H225="Zoning: Tree Points",$K225&lt;&gt;"",ISNA(MATCH($K225,Tables!$B$242:$B$253,0))),
Error!$B$58,
IF(AND($H225="Zoning: Tree Points",$K225="Small",$L225&lt;&gt;"",ISNA(MATCH($L225,Tables!$C$243:$C$244,0))),
Error!$B$59,
IF(AND($H225="Zoning: Tree Points",$K225="Small/Medium",$L225&lt;&gt;"",ISNA(MATCH($L225,Tables!$C$246:$C$247,0))),
Error!$B$59,
IF(AND($H225="Zoning: Tree Points",$K225="Medium/Large",$L225&lt;&gt;"",ISNA(MATCH($L225,Tables!$C$249:$C$250,0))),
Error!$B$59,
IF(AND($H225="Zoning: Tree Points",$K225="Large",$L225&lt;&gt;"",ISNA(MATCH($L225,Tables!$C$252:$C$253,0))),
Error!$B$59,
IF(AND($F225="Retain",$H225="Zoning: Tree Points",$C225&lt;&gt;"",$D225&lt;&gt;"",OR($K225="",$L225="",$M225="")),
Error!$B$20,
""
)))))))))))))))))))))))))))))))))))))))))))))))))))))))),
Error!$B$23))</f>
        <v/>
      </c>
      <c r="O225" s="343" t="str" cm="1">
        <f t="array" aca="1" ref="O225" ca="1">IFERROR(_xlfn.LET(
    _xlpm.txt, $C225,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26" spans="1:15" ht="15" thickBot="1" x14ac:dyDescent="0.35">
      <c r="A226" s="331"/>
      <c r="B226" s="616" t="str">
        <f t="shared" si="224"/>
        <v/>
      </c>
      <c r="C226" s="617" t="str">
        <f t="shared" si="225"/>
        <v/>
      </c>
      <c r="D226" s="618" t="str">
        <f t="shared" si="226"/>
        <v/>
      </c>
      <c r="E226" s="616" t="str">
        <f t="shared" si="227"/>
        <v/>
      </c>
      <c r="F226" s="616" t="str">
        <f t="shared" si="228"/>
        <v/>
      </c>
      <c r="G226" s="619" t="str">
        <f>IF(Tree_Table1[[#This Row],[Tree Status  &amp;]]="Retain", Tables!$B$237, IF(Tree_Table1[[#This Row],[Tree Status  &amp;]]="Remove", Tables!$B$238, ""))</f>
        <v/>
      </c>
      <c r="H226" s="329"/>
      <c r="I226" s="330"/>
      <c r="J226" s="455"/>
      <c r="K226" s="327" t="str">
        <f>IFERROR(
    IF(
        AND($H226="Zoning: Tree Points", NOT(ISNUMBER(SEARCH("sp.", $C226)))),
        VLOOKUP($C226, 'Tree List'!$C$3:$F$601, 4, FALSE),
        ""
    ),
"")</f>
        <v/>
      </c>
      <c r="L226" s="328" t="str" cm="1">
        <f t="array" ref="L226">IFERROR(
IF(
    AND($H226="Zoning: Tree Points", NOT(ISNUMBER(SEARCH("sp.", $C226)))),
    _xlfn.IFS(
        (COUNTIFS('Tree List'!$C$3:$C$601,$C226,'Tree List'!$D$3:$D$601,"Coniferous")
        + COUNTIFS('Tree List'!$C$3:$C$601,$C226,'Tree List'!$D$3:$D$601,"Deciduous Conifer")) &gt; 0,
            _xlfn.IFS($K226="Small",0.5,$K226="Small/Medium",1,$K226="Medium/Large",1.4,$K226="Large",1.8),
        (COUNTIFS('Tree List'!$C$3:$C$601,$C226,'Tree List'!$D$3:$D$601,"Deciduous")
        + COUNTIFS('Tree List'!$C$3:$C$601,$C226,'Tree List'!$D$3:$D$601,"Broadleaf Evergreen")) &gt; 0,
            _xlfn.IFS($K226="Small",0.4,$K226="Small/Medium",0.8,$K226="Medium/Large",1.2,$K226="Large",1.6)
    ),
    ""
),
"")</f>
        <v/>
      </c>
      <c r="M226" s="476" t="str">
        <f t="shared" si="168"/>
        <v/>
      </c>
      <c r="N226" s="347" t="str" cm="1">
        <f t="array" aca="1" ref="N22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IF(AND(_xlpm.baseRow,ISNA(MATCH($C226,'Tree List'!$C$3:$C$601,0)),SUMPRODUCT(--ISNUMBER(SEARCH(Tables2!$C$677:$C$772,$O226)))&gt;0),
Error!$B$57,
IF(AND(_xlpm.hasDM,$F226="Remove",$H226&lt;&gt;"",OR($I226="On-site replacement",$I226="Off-site replacement",$I226="Payment In Lieu")),
Error!$B$56,
IF(AND(_xlpm.hasDM,$F226="Remove",$H226&lt;&gt;"",$I226="Relocation"),
Error!$B$66,
IF(AND(OR(_xlpm.hasCN,_xlpm.hasPH,_xlpm.hasGR),$H226&lt;&gt;"",COUNTIF(Tables!$B$132:$B$134,$H226)&gt;0,$I226="N/A (No replacement required)"),
Error!$B$62,
IF(AND(_xlpm.baseRow,$E226&lt;&gt;"",ISNA(MATCH($E226,Tables!$B$225:$B$232,0))),
Error!$B$2,
IF(AND(_xlpm.baseRow,$F226&lt;&gt;"",ISNA(MATCH($F226,Tables!$B$234:$B$235,0))),
Error!$B$24,
IF(AND(_xlpm.baseRow,_xlpm.ECA_H&gt;0,_xlpm.Shore_H&gt;0),
Error!$B$16,
IF(AND(_xlpm.baseRow,$E226&lt;&gt;"",$D226=""),
Error!$B$3,
IF(AND(_xlpm.baseRow,OR($E226="Tier 3",$E226="Tier 4"),$C226&lt;&gt;"",$D226&gt;=24,COUNTIF(Tables2!$B$166:$B$674,$C226)&gt;0),
Error!$B$44,
IF(AND(_xlpm.baseRow,OR($E226="Tier 3",$E226="Tier 4"),$C226&lt;&gt;"",$D226&lt;&gt;"",COUNTIF(Tables2!$B$73:$B$152,$C226)&gt;0,
$D226&gt;=IFERROR(INDEX(Tables2!$C$73:$C$152,MATCH($C226,Tables2!$B$73:$B$152,0)),-1)),
Error!$B$44,
IF(AND(_xlpm.baseRow,OR($E226="Tier 2",$E226="Tier 2 Grove"),$C226&lt;&gt;"",$D226&gt;=12,COUNTIF(Tables2!$B$153:$B$162,$C226)&gt;0),
Error!$B$45,
IF(AND(_xlpm.baseRow,$E226="Tier 2 Grove",$D226&lt;12),
Error!$B$41,
IF(AND(_xlpm.baseRow,$E226="Tier 2",$D226&lt;5.88),
Error!$B$40,
IF(AND(_xlpm.baseRow,OR($E226="Tier 2",$E226="Tier 2 Grove"),$C226&lt;&gt;"",$D226&lt;12,$D226&gt;=6,COUNTIF(Tables2!$B$153:$B$162,$C226)&gt;0),
Error!$B$54,
IF(AND(_xlpm.baseRow,$E226="Tier 2",COUNTIF(Tables2!$B$166:$B$674,$C226)&gt;0,$D226&lt;24),
Error!$B$54,
IF(AND(_xlpm.baseRow,$E226="Tier 3",ISNA(MATCH($C226,Tables2!$B$153:$B$162,0)),OR($D226&lt;12,$D226&gt;=24)),
Error!$B$9,
IF(AND(_xlpm.baseRow,$E226="Tier 3",COUNTIF(Tables2!$B$153:$B$162,$C226)&gt;0,$D226&lt;12),
Error!$B$46,
IF(AND(_xlpm.baseRow,$E226="Tier 4",OR($D226&lt;6,$D226&gt;=12)),
Error!$B$10,
IF(AND(_xlpm.baseRow,$E226="&lt;6in DSH for Tree Points",OR($D226&gt;=6,$D226="")),
Error!$B$8,
IF(AND(_xlpm.baseRow,$E226="Street Tree for Green Factor",$F226&lt;&gt;"",$F226&lt;&gt;"Retain"),
Error!$B$14,
IF(AND($E226="&lt;6in DSH for Tree Points",$F226="Retain",$H226&lt;&gt;"",ISNA(MATCH($H226,Tables!$B$174:$B$174,0))),
Error!$B$15,
IF(AND($E226="Street Tree for Green Factor",$F226="Retain",$H226&lt;&gt;"",$H226&lt;&gt;"Zoning: Green Factor"),
Error!$B$15,
IF(AND($E226="ECA / Shoreline Tree",$F226="Remove",$H226&lt;&gt;"",ISNA(MATCH($H226,Tables!$B$189:$B$190,0))),
Error!$B$15,
IF(AND($E226="ECA / Shoreline Tree",$F226="Retain",$H226&lt;&gt;"",ISNA(MATCH($H226,Tables!$B$184:$B$186,0))),
Error!$B$15,
IF(AND($E226="Tier 4",$F226="Remove",$H226&lt;&gt;"",ISNA(MATCH($H226,Tables!$B$171,0))),
Error!$B$15,
IF(AND($E226="Tier 4",$F226="Retain",$H226&lt;&gt;"",ISNA(MATCH($H226,Tables!$B$166:$B$168,0))),
Error!$B$15,
IF(AND($E226="Tier 3",$F226="Retain",$H226&lt;&gt;"",ISNA(MATCH($H226,Tables!$B$158:$B$160,0))),
Error!$B$15,
IF(AND($E226="Tier 3",$F226="Remove",$H226&lt;&gt;"",ISNA(MATCH($H226,Tables!$B$163,0))),
Error!$B$15,
IF(AND(OR($E226="Tier 2",$E226="Tier 2 Grove"),$F226="Remove",$H226&lt;&gt;"",ISNA(MATCH($H226,Tables!$B$153:$B$155,0))),
Error!$B$15,
IF(AND(OR($E226="Tier 2",$E226="Tier 2 Grove"),$F226="Retain",$H226&lt;&gt;"",ISNA(MATCH($H226,Tables!$B$147:$B$150,0))),
Error!$B$15,
IF(AND($E226="Tier 1",$F226="Remove",$H226&lt;&gt;"",ISNA(MATCH($H226,Tables!$B$143:$B$144,0))),
Error!$B$15,
IF(AND($E226="Tier 1",$F226="Retain",$H226&lt;&gt;"",ISNA(MATCH($H226,Tables!$B$137:$B$140,0))),
Error!$B$15,
IF(AND($E226&lt;&gt;"Tier 2",$E226&lt;&gt;"Tier 2 Grove",$E226&lt;&gt;"Tier 3",$E226&lt;&gt;"Tier 4",$H226="Zoning: Green Factor",OR($D226="",$D226&lt;6)),
Error!$B$11,
IF(AND(_xlpm.baseRow,$D226&lt;6,$E226="&lt;6in DSH for Tree Points",_xlpm.TreePoints_H=0),
Error!$B$21,
IF(AND(_xlpm.baseRow,$E226&lt;&gt;"",$D226&lt;&gt;"",$F226=""),
Error!$B$4,
IF(AND(_xlpm.baseRow,$F226="Remove",OR($E226="Tier 1",$E226="Tier 2",$E226="Tier 2 Grove"),COUNTBLANK(_xlpm.HRange)&lt;3,_xlpm.uniqueH&gt;=2),
Error!$B$48,
IF(AND(_xlpm.baseRow,$F226="Retain",OR($E226="Tier 1",$E226="Tier 2",$E226="Tier 2 Grove"),COUNTIF(_xlpm.HRange,"Tree Code: Required to Retain Tier 1-2 Tree")=0),
Error!$B$47,
IF(AND(_xlpm.baseRow,$E226&lt;&gt;"",$D226&lt;&gt;"",$F226&lt;&gt;"",COUNTBLANK(_xlpm.HRange)=4),
Error!$B$5,
IF(AND($F226="Remove",$H226&lt;&gt;"",$I226=""),
Error!$B$18,
IF(AND($E226="Tier 4",$F226="Remove",$H226="Tree Protection Code: Tier 3 or Tier 4 Allowance",$H226&lt;&gt;"",ISNA(MATCH($I226,Tables!$B$200,0))),
Error!$B$17,
IF(AND($E226="Tier 3",$F226="Remove",$H226&lt;&gt;"",$H226="Tree Protection Code: Tier 3 or Tier 4 Allowance",OR($I226="",ISNA(MATCH($I226,Tables!$B$193:$B$197,0)))),
Error!$B$17,
IF(AND(OR($E226="Tier 2",$E226="Tier 2 Grove"),$F226="Remove",$H226="Tree Protection Code: Other removal allowance or exemption",$I226&lt;&gt;"",ISNA(MATCH($I226,Tables!$B$215:$B$218,0))),
Error!$B$17,
IF(AND(OR($E226="Tier 2",$E226="Tier 2 Grove"),$F226="Remove",$H226="Tree Protection Code: Development Capacity",$I226&lt;&gt;"",ISNA(MATCH($I226,Tables!$B$193:$B$197,0))),
Error!$B$17,
IF(AND(OR($E226="Tier 2",$E226="Tier 2 Grove"),$F226="Remove",$H226="Tree Protection Code: Necessary for Construction",$I226&lt;&gt;"",ISNA(MATCH($I226,Tables!$B$193:$B$197,0))),
Error!$B$17,
IF(AND($E226="Tier 1",$F226="Remove",$H226="Tree Protection Code: Special Exception",$I226&lt;&gt;"",ISNA(MATCH($I226,Tables!$B$215:$B$218,0))),
Error!$B$17,
IF(AND($E226="Tier 1",$F226="Remove",$H226="Tree Protection Code: Other removal allowance or exemption",$I226&lt;&gt;"",ISNA(MATCH($I226,Tables!$B$215:$B$218,0))),
Error!$B$17,
IF(AND($E226="ECA / Shoreline Tree",$F226="Remove",$H226&lt;&gt;"",OR($H226="Shoreline",$H226="Environmental Critical Area (ECA)"),ISNA(MATCH($I226,Tables!$B$209:$B$212,0))),
Error!$B$17,
IF(AND(_xlpm.baseRow,$F226="Retain",$E226="ECA / Shoreline Tree",_xlpm.ECA_Short=0),
Error!$B$61,
IF(AND($F226="Remove",ISNUMBER(MATCH($E226,{"Tier 1","Tier 2","Tier 3","Tier 4","Tier 2 Grove"},0)),ISNUMBER(MATCH($I226,{"On-site replacement","Off-site replacement"},0)),$J226="",$H226&lt;&gt;""),
Error!$B$19,
IF(AND(_xlpm.baseRow,$E226&lt;&gt;"",$D226&lt;&gt;"",$F226&lt;&gt;"",COUNTBLANK($B226:$C226)&gt;0,COUNTBLANK(_xlpm.HRange)&lt;&gt;4),
Error!$B$22,
IF(AND($H226="Zoning: Tree Points",$K226&lt;&gt;"",ISNA(MATCH($K226,Tables!$B$242:$B$253,0))),
Error!$B$58,
IF(AND($H226="Zoning: Tree Points",$K226="Small",$L226&lt;&gt;"",ISNA(MATCH($L226,Tables!$C$243:$C$244,0))),
Error!$B$59,
IF(AND($H226="Zoning: Tree Points",$K226="Small/Medium",$L226&lt;&gt;"",ISNA(MATCH($L226,Tables!$C$246:$C$247,0))),
Error!$B$59,
IF(AND($H226="Zoning: Tree Points",$K226="Medium/Large",$L226&lt;&gt;"",ISNA(MATCH($L226,Tables!$C$249:$C$250,0))),
Error!$B$59,
IF(AND($H226="Zoning: Tree Points",$K226="Large",$L226&lt;&gt;"",ISNA(MATCH($L226,Tables!$C$252:$C$253,0))),
Error!$B$59,
IF(AND($F226="Retain",$H226="Zoning: Tree Points",$C226&lt;&gt;"",$D226&lt;&gt;"",OR($K226="",$L226="",$M226="")),
Error!$B$20,
""
)))))))))))))))))))))))))))))))))))))))))))))))))))))))),
Error!$B$23))</f>
        <v/>
      </c>
      <c r="O226" s="343" t="str" cm="1">
        <f t="array" aca="1" ref="O226" ca="1">IFERROR(_xlfn.LET(
    _xlpm.txt, $C226,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27" spans="1:15" ht="15" thickBot="1" x14ac:dyDescent="0.35">
      <c r="A227" s="311">
        <v>55</v>
      </c>
      <c r="B227" s="312"/>
      <c r="C227" s="313"/>
      <c r="D227" s="478"/>
      <c r="E227" s="314"/>
      <c r="F227" s="314"/>
      <c r="G227" s="315" t="str">
        <f>IF(Tree_Table1[[#This Row],[Tree Status  &amp;]]="Retain", Tables!$B$237, IF(Tree_Table1[[#This Row],[Tree Status  &amp;]]="Remove", Tables!$B$238, ""))</f>
        <v/>
      </c>
      <c r="H227" s="316"/>
      <c r="I227" s="317"/>
      <c r="J227" s="452"/>
      <c r="K227" s="318" t="str">
        <f>IFERROR(
    IF(
        AND($H227="Zoning: Tree Points", NOT(ISNUMBER(SEARCH("sp.", $C227)))),
        VLOOKUP($C227, 'Tree List'!$C$3:$F$601, 4, FALSE),
        ""
    ),
"")</f>
        <v/>
      </c>
      <c r="L227" s="319" t="str" cm="1">
        <f t="array" ref="L227">IFERROR(
IF(
    AND($H227="Zoning: Tree Points", NOT(ISNUMBER(SEARCH("sp.", $C227)))),
    _xlfn.IFS(
        (COUNTIFS('Tree List'!$C$3:$C$601,$C227,'Tree List'!$D$3:$D$601,"Coniferous")
        + COUNTIFS('Tree List'!$C$3:$C$601,$C227,'Tree List'!$D$3:$D$601,"Deciduous Conifer")) &gt; 0,
            _xlfn.IFS($K227="Small",0.5,$K227="Small/Medium",1,$K227="Medium/Large",1.4,$K227="Large",1.8),
        (COUNTIFS('Tree List'!$C$3:$C$601,$C227,'Tree List'!$D$3:$D$601,"Deciduous")
        + COUNTIFS('Tree List'!$C$3:$C$601,$C227,'Tree List'!$D$3:$D$601,"Broadleaf Evergreen")) &gt; 0,
            _xlfn.IFS($K227="Small",0.4,$K227="Small/Medium",0.8,$K227="Medium/Large",1.2,$K227="Large",1.6)
    ),
    ""
),
"")</f>
        <v/>
      </c>
      <c r="M227" s="474" t="str">
        <f t="shared" si="168"/>
        <v/>
      </c>
      <c r="N227" s="620" t="str" cm="1">
        <f t="array" aca="1" ref="N22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IF(AND(_xlpm.baseRow,ISNA(MATCH($C227,'Tree List'!$C$3:$C$601,0)),SUMPRODUCT(--ISNUMBER(SEARCH(Tables2!$C$677:$C$772,$O227)))&gt;0),
Error!$B$57,
IF(AND(_xlpm.hasDM,$F227="Remove",$H227&lt;&gt;"",OR($I227="On-site replacement",$I227="Off-site replacement",$I227="Payment In Lieu")),
Error!$B$56,
IF(AND(_xlpm.hasDM,$F227="Remove",$H227&lt;&gt;"",$I227="Relocation"),
Error!$B$66,
IF(AND(OR(_xlpm.hasCN,_xlpm.hasPH,_xlpm.hasGR),$H227&lt;&gt;"",COUNTIF(Tables!$B$132:$B$134,$H227)&gt;0,$I227="N/A (No replacement required)"),
Error!$B$62,
IF(AND(_xlpm.baseRow,$E227&lt;&gt;"",ISNA(MATCH($E227,Tables!$B$225:$B$232,0))),
Error!$B$2,
IF(AND(_xlpm.baseRow,$F227&lt;&gt;"",ISNA(MATCH($F227,Tables!$B$234:$B$235,0))),
Error!$B$24,
IF(AND(_xlpm.baseRow,_xlpm.ECA_H&gt;0,_xlpm.Shore_H&gt;0),
Error!$B$16,
IF(AND(_xlpm.baseRow,$E227&lt;&gt;"",$D227=""),
Error!$B$3,
IF(AND(_xlpm.baseRow,OR($E227="Tier 3",$E227="Tier 4"),$C227&lt;&gt;"",$D227&gt;=24,COUNTIF(Tables2!$B$166:$B$674,$C227)&gt;0),
Error!$B$44,
IF(AND(_xlpm.baseRow,OR($E227="Tier 3",$E227="Tier 4"),$C227&lt;&gt;"",$D227&lt;&gt;"",COUNTIF(Tables2!$B$73:$B$152,$C227)&gt;0,
$D227&gt;=IFERROR(INDEX(Tables2!$C$73:$C$152,MATCH($C227,Tables2!$B$73:$B$152,0)),-1)),
Error!$B$44,
IF(AND(_xlpm.baseRow,OR($E227="Tier 2",$E227="Tier 2 Grove"),$C227&lt;&gt;"",$D227&gt;=12,COUNTIF(Tables2!$B$153:$B$162,$C227)&gt;0),
Error!$B$45,
IF(AND(_xlpm.baseRow,$E227="Tier 2 Grove",$D227&lt;12),
Error!$B$41,
IF(AND(_xlpm.baseRow,$E227="Tier 2",$D227&lt;5.88),
Error!$B$40,
IF(AND(_xlpm.baseRow,OR($E227="Tier 2",$E227="Tier 2 Grove"),$C227&lt;&gt;"",$D227&lt;12,$D227&gt;=6,COUNTIF(Tables2!$B$153:$B$162,$C227)&gt;0),
Error!$B$54,
IF(AND(_xlpm.baseRow,$E227="Tier 2",COUNTIF(Tables2!$B$166:$B$674,$C227)&gt;0,$D227&lt;24),
Error!$B$54,
IF(AND(_xlpm.baseRow,$E227="Tier 3",ISNA(MATCH($C227,Tables2!$B$153:$B$162,0)),OR($D227&lt;12,$D227&gt;=24)),
Error!$B$9,
IF(AND(_xlpm.baseRow,$E227="Tier 3",COUNTIF(Tables2!$B$153:$B$162,$C227)&gt;0,$D227&lt;12),
Error!$B$46,
IF(AND(_xlpm.baseRow,$E227="Tier 4",OR($D227&lt;6,$D227&gt;=12)),
Error!$B$10,
IF(AND(_xlpm.baseRow,$E227="&lt;6in DSH for Tree Points",OR($D227&gt;=6,$D227="")),
Error!$B$8,
IF(AND(_xlpm.baseRow,$E227="Street Tree for Green Factor",$F227&lt;&gt;"",$F227&lt;&gt;"Retain"),
Error!$B$14,
IF(AND($E227="&lt;6in DSH for Tree Points",$F227="Retain",$H227&lt;&gt;"",ISNA(MATCH($H227,Tables!$B$174:$B$174,0))),
Error!$B$15,
IF(AND($E227="Street Tree for Green Factor",$F227="Retain",$H227&lt;&gt;"",$H227&lt;&gt;"Zoning: Green Factor"),
Error!$B$15,
IF(AND($E227="ECA / Shoreline Tree",$F227="Remove",$H227&lt;&gt;"",ISNA(MATCH($H227,Tables!$B$189:$B$190,0))),
Error!$B$15,
IF(AND($E227="ECA / Shoreline Tree",$F227="Retain",$H227&lt;&gt;"",ISNA(MATCH($H227,Tables!$B$184:$B$186,0))),
Error!$B$15,
IF(AND($E227="Tier 4",$F227="Remove",$H227&lt;&gt;"",ISNA(MATCH($H227,Tables!$B$171,0))),
Error!$B$15,
IF(AND($E227="Tier 4",$F227="Retain",$H227&lt;&gt;"",ISNA(MATCH($H227,Tables!$B$166:$B$168,0))),
Error!$B$15,
IF(AND($E227="Tier 3",$F227="Retain",$H227&lt;&gt;"",ISNA(MATCH($H227,Tables!$B$158:$B$160,0))),
Error!$B$15,
IF(AND($E227="Tier 3",$F227="Remove",$H227&lt;&gt;"",ISNA(MATCH($H227,Tables!$B$163,0))),
Error!$B$15,
IF(AND(OR($E227="Tier 2",$E227="Tier 2 Grove"),$F227="Remove",$H227&lt;&gt;"",ISNA(MATCH($H227,Tables!$B$153:$B$155,0))),
Error!$B$15,
IF(AND(OR($E227="Tier 2",$E227="Tier 2 Grove"),$F227="Retain",$H227&lt;&gt;"",ISNA(MATCH($H227,Tables!$B$147:$B$150,0))),
Error!$B$15,
IF(AND($E227="Tier 1",$F227="Remove",$H227&lt;&gt;"",ISNA(MATCH($H227,Tables!$B$143:$B$144,0))),
Error!$B$15,
IF(AND($E227="Tier 1",$F227="Retain",$H227&lt;&gt;"",ISNA(MATCH($H227,Tables!$B$137:$B$140,0))),
Error!$B$15,
IF(AND($E227&lt;&gt;"Tier 2",$E227&lt;&gt;"Tier 2 Grove",$E227&lt;&gt;"Tier 3",$E227&lt;&gt;"Tier 4",$H227="Zoning: Green Factor",OR($D227="",$D227&lt;6)),
Error!$B$11,
IF(AND(_xlpm.baseRow,$D227&lt;6,$E227="&lt;6in DSH for Tree Points",_xlpm.TreePoints_H=0),
Error!$B$21,
IF(AND(_xlpm.baseRow,$E227&lt;&gt;"",$D227&lt;&gt;"",$F227=""),
Error!$B$4,
IF(AND(_xlpm.baseRow,$F227="Remove",OR($E227="Tier 1",$E227="Tier 2",$E227="Tier 2 Grove"),COUNTBLANK(_xlpm.HRange)&lt;3,_xlpm.uniqueH&gt;=2),
Error!$B$48,
IF(AND(_xlpm.baseRow,$F227="Retain",OR($E227="Tier 1",$E227="Tier 2",$E227="Tier 2 Grove"),COUNTIF(_xlpm.HRange,"Tree Code: Required to Retain Tier 1-2 Tree")=0),
Error!$B$47,
IF(AND(_xlpm.baseRow,$E227&lt;&gt;"",$D227&lt;&gt;"",$F227&lt;&gt;"",COUNTBLANK(_xlpm.HRange)=4),
Error!$B$5,
IF(AND($F227="Remove",$H227&lt;&gt;"",$I227=""),
Error!$B$18,
IF(AND($E227="Tier 4",$F227="Remove",$H227="Tree Protection Code: Tier 3 or Tier 4 Allowance",$H227&lt;&gt;"",ISNA(MATCH($I227,Tables!$B$200,0))),
Error!$B$17,
IF(AND($E227="Tier 3",$F227="Remove",$H227&lt;&gt;"",$H227="Tree Protection Code: Tier 3 or Tier 4 Allowance",OR($I227="",ISNA(MATCH($I227,Tables!$B$193:$B$197,0)))),
Error!$B$17,
IF(AND(OR($E227="Tier 2",$E227="Tier 2 Grove"),$F227="Remove",$H227="Tree Protection Code: Other removal allowance or exemption",$I227&lt;&gt;"",ISNA(MATCH($I227,Tables!$B$215:$B$218,0))),
Error!$B$17,
IF(AND(OR($E227="Tier 2",$E227="Tier 2 Grove"),$F227="Remove",$H227="Tree Protection Code: Development Capacity",$I227&lt;&gt;"",ISNA(MATCH($I227,Tables!$B$193:$B$197,0))),
Error!$B$17,
IF(AND(OR($E227="Tier 2",$E227="Tier 2 Grove"),$F227="Remove",$H227="Tree Protection Code: Necessary for Construction",$I227&lt;&gt;"",ISNA(MATCH($I227,Tables!$B$193:$B$197,0))),
Error!$B$17,
IF(AND($E227="Tier 1",$F227="Remove",$H227="Tree Protection Code: Special Exception",$I227&lt;&gt;"",ISNA(MATCH($I227,Tables!$B$215:$B$218,0))),
Error!$B$17,
IF(AND($E227="Tier 1",$F227="Remove",$H227="Tree Protection Code: Other removal allowance or exemption",$I227&lt;&gt;"",ISNA(MATCH($I227,Tables!$B$215:$B$218,0))),
Error!$B$17,
IF(AND($E227="ECA / Shoreline Tree",$F227="Remove",$H227&lt;&gt;"",OR($H227="Shoreline",$H227="Environmental Critical Area (ECA)"),ISNA(MATCH($I227,Tables!$B$209:$B$212,0))),
Error!$B$17,
IF(AND(_xlpm.baseRow,$F227="Retain",$E227="ECA / Shoreline Tree",_xlpm.ECA_Short=0),
Error!$B$61,
IF(AND($F227="Remove",ISNUMBER(MATCH($E227,{"Tier 1","Tier 2","Tier 3","Tier 4","Tier 2 Grove"},0)),ISNUMBER(MATCH($I227,{"On-site replacement","Off-site replacement"},0)),$J227="",$H227&lt;&gt;""),
Error!$B$19,
IF(AND(_xlpm.baseRow,$E227&lt;&gt;"",$D227&lt;&gt;"",$F227&lt;&gt;"",COUNTBLANK($B227:$C227)&gt;0,COUNTBLANK(_xlpm.HRange)&lt;&gt;4),
Error!$B$22,
IF(AND($H227="Zoning: Tree Points",$K227&lt;&gt;"",ISNA(MATCH($K227,Tables!$B$242:$B$253,0))),
Error!$B$58,
IF(AND($H227="Zoning: Tree Points",$K227="Small",$L227&lt;&gt;"",ISNA(MATCH($L227,Tables!$C$243:$C$244,0))),
Error!$B$59,
IF(AND($H227="Zoning: Tree Points",$K227="Small/Medium",$L227&lt;&gt;"",ISNA(MATCH($L227,Tables!$C$246:$C$247,0))),
Error!$B$59,
IF(AND($H227="Zoning: Tree Points",$K227="Medium/Large",$L227&lt;&gt;"",ISNA(MATCH($L227,Tables!$C$249:$C$250,0))),
Error!$B$59,
IF(AND($H227="Zoning: Tree Points",$K227="Large",$L227&lt;&gt;"",ISNA(MATCH($L227,Tables!$C$252:$C$253,0))),
Error!$B$59,
IF(AND($F227="Retain",$H227="Zoning: Tree Points",$C227&lt;&gt;"",$D227&lt;&gt;"",OR($K227="",$L227="",$M227="")),
Error!$B$20,
""
)))))))))))))))))))))))))))))))))))))))))))))))))))))))),
Error!$B$23))</f>
        <v/>
      </c>
      <c r="O227" s="343" t="str" cm="1">
        <f t="array" aca="1" ref="O227" ca="1">IFERROR(_xlfn.LET(
    _xlpm.txt, $C227,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28" spans="1:15" x14ac:dyDescent="0.3">
      <c r="A228" s="320"/>
      <c r="B228" s="616" t="str">
        <f t="shared" ref="B228:B230" si="229">IF($B227="", "", $B227)</f>
        <v/>
      </c>
      <c r="C228" s="617" t="str">
        <f t="shared" ref="C228:C230" si="230">IF($C227="", "", $C227)</f>
        <v/>
      </c>
      <c r="D228" s="618" t="str">
        <f t="shared" ref="D228:D230" si="231">IF($D227="", "", $D227)</f>
        <v/>
      </c>
      <c r="E228" s="616" t="str">
        <f t="shared" ref="E228:E230" si="232">IF($E227="", "", $E227)</f>
        <v/>
      </c>
      <c r="F228" s="616" t="str">
        <f t="shared" ref="F228:F230" si="233">IF($F227="", "", $F227)</f>
        <v/>
      </c>
      <c r="G228" s="619" t="str">
        <f>IF(Tree_Table1[[#This Row],[Tree Status  &amp;]]="Retain", Tables!$B$237, IF(Tree_Table1[[#This Row],[Tree Status  &amp;]]="Remove", Tables!$B$238, ""))</f>
        <v/>
      </c>
      <c r="H228" s="321"/>
      <c r="I228" s="322"/>
      <c r="J228" s="453"/>
      <c r="K228" s="323" t="str">
        <f>IFERROR(
    IF(
        AND($H228="Zoning: Tree Points", NOT(ISNUMBER(SEARCH("sp.", $C228)))),
        VLOOKUP($C228, 'Tree List'!$C$3:$F$601, 4, FALSE),
        ""
    ),
"")</f>
        <v/>
      </c>
      <c r="L228" s="324" t="str" cm="1">
        <f t="array" ref="L228">IFERROR(
IF(
    AND($H228="Zoning: Tree Points", NOT(ISNUMBER(SEARCH("sp.", $C228)))),
    _xlfn.IFS(
        (COUNTIFS('Tree List'!$C$3:$C$601,$C228,'Tree List'!$D$3:$D$601,"Coniferous")
        + COUNTIFS('Tree List'!$C$3:$C$601,$C228,'Tree List'!$D$3:$D$601,"Deciduous Conifer")) &gt; 0,
            _xlfn.IFS($K228="Small",0.5,$K228="Small/Medium",1,$K228="Medium/Large",1.4,$K228="Large",1.8),
        (COUNTIFS('Tree List'!$C$3:$C$601,$C228,'Tree List'!$D$3:$D$601,"Deciduous")
        + COUNTIFS('Tree List'!$C$3:$C$601,$C228,'Tree List'!$D$3:$D$601,"Broadleaf Evergreen")) &gt; 0,
            _xlfn.IFS($K228="Small",0.4,$K228="Small/Medium",0.8,$K228="Medium/Large",1.2,$K228="Large",1.6)
    ),
    ""
),
"")</f>
        <v/>
      </c>
      <c r="M228" s="475" t="str">
        <f t="shared" si="168"/>
        <v/>
      </c>
      <c r="N228" s="346" t="str" cm="1">
        <f t="array" aca="1" ref="N22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IF(AND(_xlpm.baseRow,ISNA(MATCH($C228,'Tree List'!$C$3:$C$601,0)),SUMPRODUCT(--ISNUMBER(SEARCH(Tables2!$C$677:$C$772,$O228)))&gt;0),
Error!$B$57,
IF(AND(_xlpm.hasDM,$F228="Remove",$H228&lt;&gt;"",OR($I228="On-site replacement",$I228="Off-site replacement",$I228="Payment In Lieu")),
Error!$B$56,
IF(AND(_xlpm.hasDM,$F228="Remove",$H228&lt;&gt;"",$I228="Relocation"),
Error!$B$66,
IF(AND(OR(_xlpm.hasCN,_xlpm.hasPH,_xlpm.hasGR),$H228&lt;&gt;"",COUNTIF(Tables!$B$132:$B$134,$H228)&gt;0,$I228="N/A (No replacement required)"),
Error!$B$62,
IF(AND(_xlpm.baseRow,$E228&lt;&gt;"",ISNA(MATCH($E228,Tables!$B$225:$B$232,0))),
Error!$B$2,
IF(AND(_xlpm.baseRow,$F228&lt;&gt;"",ISNA(MATCH($F228,Tables!$B$234:$B$235,0))),
Error!$B$24,
IF(AND(_xlpm.baseRow,_xlpm.ECA_H&gt;0,_xlpm.Shore_H&gt;0),
Error!$B$16,
IF(AND(_xlpm.baseRow,$E228&lt;&gt;"",$D228=""),
Error!$B$3,
IF(AND(_xlpm.baseRow,OR($E228="Tier 3",$E228="Tier 4"),$C228&lt;&gt;"",$D228&gt;=24,COUNTIF(Tables2!$B$166:$B$674,$C228)&gt;0),
Error!$B$44,
IF(AND(_xlpm.baseRow,OR($E228="Tier 3",$E228="Tier 4"),$C228&lt;&gt;"",$D228&lt;&gt;"",COUNTIF(Tables2!$B$73:$B$152,$C228)&gt;0,
$D228&gt;=IFERROR(INDEX(Tables2!$C$73:$C$152,MATCH($C228,Tables2!$B$73:$B$152,0)),-1)),
Error!$B$44,
IF(AND(_xlpm.baseRow,OR($E228="Tier 2",$E228="Tier 2 Grove"),$C228&lt;&gt;"",$D228&gt;=12,COUNTIF(Tables2!$B$153:$B$162,$C228)&gt;0),
Error!$B$45,
IF(AND(_xlpm.baseRow,$E228="Tier 2 Grove",$D228&lt;12),
Error!$B$41,
IF(AND(_xlpm.baseRow,$E228="Tier 2",$D228&lt;5.88),
Error!$B$40,
IF(AND(_xlpm.baseRow,OR($E228="Tier 2",$E228="Tier 2 Grove"),$C228&lt;&gt;"",$D228&lt;12,$D228&gt;=6,COUNTIF(Tables2!$B$153:$B$162,$C228)&gt;0),
Error!$B$54,
IF(AND(_xlpm.baseRow,$E228="Tier 2",COUNTIF(Tables2!$B$166:$B$674,$C228)&gt;0,$D228&lt;24),
Error!$B$54,
IF(AND(_xlpm.baseRow,$E228="Tier 3",ISNA(MATCH($C228,Tables2!$B$153:$B$162,0)),OR($D228&lt;12,$D228&gt;=24)),
Error!$B$9,
IF(AND(_xlpm.baseRow,$E228="Tier 3",COUNTIF(Tables2!$B$153:$B$162,$C228)&gt;0,$D228&lt;12),
Error!$B$46,
IF(AND(_xlpm.baseRow,$E228="Tier 4",OR($D228&lt;6,$D228&gt;=12)),
Error!$B$10,
IF(AND(_xlpm.baseRow,$E228="&lt;6in DSH for Tree Points",OR($D228&gt;=6,$D228="")),
Error!$B$8,
IF(AND(_xlpm.baseRow,$E228="Street Tree for Green Factor",$F228&lt;&gt;"",$F228&lt;&gt;"Retain"),
Error!$B$14,
IF(AND($E228="&lt;6in DSH for Tree Points",$F228="Retain",$H228&lt;&gt;"",ISNA(MATCH($H228,Tables!$B$174:$B$174,0))),
Error!$B$15,
IF(AND($E228="Street Tree for Green Factor",$F228="Retain",$H228&lt;&gt;"",$H228&lt;&gt;"Zoning: Green Factor"),
Error!$B$15,
IF(AND($E228="ECA / Shoreline Tree",$F228="Remove",$H228&lt;&gt;"",ISNA(MATCH($H228,Tables!$B$189:$B$190,0))),
Error!$B$15,
IF(AND($E228="ECA / Shoreline Tree",$F228="Retain",$H228&lt;&gt;"",ISNA(MATCH($H228,Tables!$B$184:$B$186,0))),
Error!$B$15,
IF(AND($E228="Tier 4",$F228="Remove",$H228&lt;&gt;"",ISNA(MATCH($H228,Tables!$B$171,0))),
Error!$B$15,
IF(AND($E228="Tier 4",$F228="Retain",$H228&lt;&gt;"",ISNA(MATCH($H228,Tables!$B$166:$B$168,0))),
Error!$B$15,
IF(AND($E228="Tier 3",$F228="Retain",$H228&lt;&gt;"",ISNA(MATCH($H228,Tables!$B$158:$B$160,0))),
Error!$B$15,
IF(AND($E228="Tier 3",$F228="Remove",$H228&lt;&gt;"",ISNA(MATCH($H228,Tables!$B$163,0))),
Error!$B$15,
IF(AND(OR($E228="Tier 2",$E228="Tier 2 Grove"),$F228="Remove",$H228&lt;&gt;"",ISNA(MATCH($H228,Tables!$B$153:$B$155,0))),
Error!$B$15,
IF(AND(OR($E228="Tier 2",$E228="Tier 2 Grove"),$F228="Retain",$H228&lt;&gt;"",ISNA(MATCH($H228,Tables!$B$147:$B$150,0))),
Error!$B$15,
IF(AND($E228="Tier 1",$F228="Remove",$H228&lt;&gt;"",ISNA(MATCH($H228,Tables!$B$143:$B$144,0))),
Error!$B$15,
IF(AND($E228="Tier 1",$F228="Retain",$H228&lt;&gt;"",ISNA(MATCH($H228,Tables!$B$137:$B$140,0))),
Error!$B$15,
IF(AND($E228&lt;&gt;"Tier 2",$E228&lt;&gt;"Tier 2 Grove",$E228&lt;&gt;"Tier 3",$E228&lt;&gt;"Tier 4",$H228="Zoning: Green Factor",OR($D228="",$D228&lt;6)),
Error!$B$11,
IF(AND(_xlpm.baseRow,$D228&lt;6,$E228="&lt;6in DSH for Tree Points",_xlpm.TreePoints_H=0),
Error!$B$21,
IF(AND(_xlpm.baseRow,$E228&lt;&gt;"",$D228&lt;&gt;"",$F228=""),
Error!$B$4,
IF(AND(_xlpm.baseRow,$F228="Remove",OR($E228="Tier 1",$E228="Tier 2",$E228="Tier 2 Grove"),COUNTBLANK(_xlpm.HRange)&lt;3,_xlpm.uniqueH&gt;=2),
Error!$B$48,
IF(AND(_xlpm.baseRow,$F228="Retain",OR($E228="Tier 1",$E228="Tier 2",$E228="Tier 2 Grove"),COUNTIF(_xlpm.HRange,"Tree Code: Required to Retain Tier 1-2 Tree")=0),
Error!$B$47,
IF(AND(_xlpm.baseRow,$E228&lt;&gt;"",$D228&lt;&gt;"",$F228&lt;&gt;"",COUNTBLANK(_xlpm.HRange)=4),
Error!$B$5,
IF(AND($F228="Remove",$H228&lt;&gt;"",$I228=""),
Error!$B$18,
IF(AND($E228="Tier 4",$F228="Remove",$H228="Tree Protection Code: Tier 3 or Tier 4 Allowance",$H228&lt;&gt;"",ISNA(MATCH($I228,Tables!$B$200,0))),
Error!$B$17,
IF(AND($E228="Tier 3",$F228="Remove",$H228&lt;&gt;"",$H228="Tree Protection Code: Tier 3 or Tier 4 Allowance",OR($I228="",ISNA(MATCH($I228,Tables!$B$193:$B$197,0)))),
Error!$B$17,
IF(AND(OR($E228="Tier 2",$E228="Tier 2 Grove"),$F228="Remove",$H228="Tree Protection Code: Other removal allowance or exemption",$I228&lt;&gt;"",ISNA(MATCH($I228,Tables!$B$215:$B$218,0))),
Error!$B$17,
IF(AND(OR($E228="Tier 2",$E228="Tier 2 Grove"),$F228="Remove",$H228="Tree Protection Code: Development Capacity",$I228&lt;&gt;"",ISNA(MATCH($I228,Tables!$B$193:$B$197,0))),
Error!$B$17,
IF(AND(OR($E228="Tier 2",$E228="Tier 2 Grove"),$F228="Remove",$H228="Tree Protection Code: Necessary for Construction",$I228&lt;&gt;"",ISNA(MATCH($I228,Tables!$B$193:$B$197,0))),
Error!$B$17,
IF(AND($E228="Tier 1",$F228="Remove",$H228="Tree Protection Code: Special Exception",$I228&lt;&gt;"",ISNA(MATCH($I228,Tables!$B$215:$B$218,0))),
Error!$B$17,
IF(AND($E228="Tier 1",$F228="Remove",$H228="Tree Protection Code: Other removal allowance or exemption",$I228&lt;&gt;"",ISNA(MATCH($I228,Tables!$B$215:$B$218,0))),
Error!$B$17,
IF(AND($E228="ECA / Shoreline Tree",$F228="Remove",$H228&lt;&gt;"",OR($H228="Shoreline",$H228="Environmental Critical Area (ECA)"),ISNA(MATCH($I228,Tables!$B$209:$B$212,0))),
Error!$B$17,
IF(AND(_xlpm.baseRow,$F228="Retain",$E228="ECA / Shoreline Tree",_xlpm.ECA_Short=0),
Error!$B$61,
IF(AND($F228="Remove",ISNUMBER(MATCH($E228,{"Tier 1","Tier 2","Tier 3","Tier 4","Tier 2 Grove"},0)),ISNUMBER(MATCH($I228,{"On-site replacement","Off-site replacement"},0)),$J228="",$H228&lt;&gt;""),
Error!$B$19,
IF(AND(_xlpm.baseRow,$E228&lt;&gt;"",$D228&lt;&gt;"",$F228&lt;&gt;"",COUNTBLANK($B228:$C228)&gt;0,COUNTBLANK(_xlpm.HRange)&lt;&gt;4),
Error!$B$22,
IF(AND($H228="Zoning: Tree Points",$K228&lt;&gt;"",ISNA(MATCH($K228,Tables!$B$242:$B$253,0))),
Error!$B$58,
IF(AND($H228="Zoning: Tree Points",$K228="Small",$L228&lt;&gt;"",ISNA(MATCH($L228,Tables!$C$243:$C$244,0))),
Error!$B$59,
IF(AND($H228="Zoning: Tree Points",$K228="Small/Medium",$L228&lt;&gt;"",ISNA(MATCH($L228,Tables!$C$246:$C$247,0))),
Error!$B$59,
IF(AND($H228="Zoning: Tree Points",$K228="Medium/Large",$L228&lt;&gt;"",ISNA(MATCH($L228,Tables!$C$249:$C$250,0))),
Error!$B$59,
IF(AND($H228="Zoning: Tree Points",$K228="Large",$L228&lt;&gt;"",ISNA(MATCH($L228,Tables!$C$252:$C$253,0))),
Error!$B$59,
IF(AND($F228="Retain",$H228="Zoning: Tree Points",$C228&lt;&gt;"",$D228&lt;&gt;"",OR($K228="",$L228="",$M228="")),
Error!$B$20,
""
)))))))))))))))))))))))))))))))))))))))))))))))))))))))),
Error!$B$23))</f>
        <v/>
      </c>
      <c r="O228" s="343" t="str" cm="1">
        <f t="array" aca="1" ref="O228" ca="1">IFERROR(_xlfn.LET(
    _xlpm.txt, $C228,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29" spans="1:15" x14ac:dyDescent="0.3">
      <c r="A229" s="320"/>
      <c r="B229" s="616" t="str">
        <f t="shared" si="229"/>
        <v/>
      </c>
      <c r="C229" s="617" t="str">
        <f t="shared" si="230"/>
        <v/>
      </c>
      <c r="D229" s="618" t="str">
        <f t="shared" si="231"/>
        <v/>
      </c>
      <c r="E229" s="616" t="str">
        <f t="shared" si="232"/>
        <v/>
      </c>
      <c r="F229" s="616" t="str">
        <f t="shared" si="233"/>
        <v/>
      </c>
      <c r="G229" s="619" t="str">
        <f>IF(Tree_Table1[[#This Row],[Tree Status  &amp;]]="Retain", Tables!$B$237, IF(Tree_Table1[[#This Row],[Tree Status  &amp;]]="Remove", Tables!$B$238, ""))</f>
        <v/>
      </c>
      <c r="H229" s="321"/>
      <c r="I229" s="322"/>
      <c r="J229" s="453"/>
      <c r="K229" s="323" t="str">
        <f>IFERROR(
    IF(
        AND($H229="Zoning: Tree Points", NOT(ISNUMBER(SEARCH("sp.", $C229)))),
        VLOOKUP($C229, 'Tree List'!$C$3:$F$601, 4, FALSE),
        ""
    ),
"")</f>
        <v/>
      </c>
      <c r="L229" s="324" t="str" cm="1">
        <f t="array" ref="L229">IFERROR(
IF(
    AND($H229="Zoning: Tree Points", NOT(ISNUMBER(SEARCH("sp.", $C229)))),
    _xlfn.IFS(
        (COUNTIFS('Tree List'!$C$3:$C$601,$C229,'Tree List'!$D$3:$D$601,"Coniferous")
        + COUNTIFS('Tree List'!$C$3:$C$601,$C229,'Tree List'!$D$3:$D$601,"Deciduous Conifer")) &gt; 0,
            _xlfn.IFS($K229="Small",0.5,$K229="Small/Medium",1,$K229="Medium/Large",1.4,$K229="Large",1.8),
        (COUNTIFS('Tree List'!$C$3:$C$601,$C229,'Tree List'!$D$3:$D$601,"Deciduous")
        + COUNTIFS('Tree List'!$C$3:$C$601,$C229,'Tree List'!$D$3:$D$601,"Broadleaf Evergreen")) &gt; 0,
            _xlfn.IFS($K229="Small",0.4,$K229="Small/Medium",0.8,$K229="Medium/Large",1.2,$K229="Large",1.6)
    ),
    ""
),
"")</f>
        <v/>
      </c>
      <c r="M229" s="475" t="str">
        <f t="shared" si="168"/>
        <v/>
      </c>
      <c r="N229" s="346" t="str" cm="1">
        <f t="array" aca="1" ref="N22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IF(AND(_xlpm.baseRow,ISNA(MATCH($C229,'Tree List'!$C$3:$C$601,0)),SUMPRODUCT(--ISNUMBER(SEARCH(Tables2!$C$677:$C$772,$O229)))&gt;0),
Error!$B$57,
IF(AND(_xlpm.hasDM,$F229="Remove",$H229&lt;&gt;"",OR($I229="On-site replacement",$I229="Off-site replacement",$I229="Payment In Lieu")),
Error!$B$56,
IF(AND(_xlpm.hasDM,$F229="Remove",$H229&lt;&gt;"",$I229="Relocation"),
Error!$B$66,
IF(AND(OR(_xlpm.hasCN,_xlpm.hasPH,_xlpm.hasGR),$H229&lt;&gt;"",COUNTIF(Tables!$B$132:$B$134,$H229)&gt;0,$I229="N/A (No replacement required)"),
Error!$B$62,
IF(AND(_xlpm.baseRow,$E229&lt;&gt;"",ISNA(MATCH($E229,Tables!$B$225:$B$232,0))),
Error!$B$2,
IF(AND(_xlpm.baseRow,$F229&lt;&gt;"",ISNA(MATCH($F229,Tables!$B$234:$B$235,0))),
Error!$B$24,
IF(AND(_xlpm.baseRow,_xlpm.ECA_H&gt;0,_xlpm.Shore_H&gt;0),
Error!$B$16,
IF(AND(_xlpm.baseRow,$E229&lt;&gt;"",$D229=""),
Error!$B$3,
IF(AND(_xlpm.baseRow,OR($E229="Tier 3",$E229="Tier 4"),$C229&lt;&gt;"",$D229&gt;=24,COUNTIF(Tables2!$B$166:$B$674,$C229)&gt;0),
Error!$B$44,
IF(AND(_xlpm.baseRow,OR($E229="Tier 3",$E229="Tier 4"),$C229&lt;&gt;"",$D229&lt;&gt;"",COUNTIF(Tables2!$B$73:$B$152,$C229)&gt;0,
$D229&gt;=IFERROR(INDEX(Tables2!$C$73:$C$152,MATCH($C229,Tables2!$B$73:$B$152,0)),-1)),
Error!$B$44,
IF(AND(_xlpm.baseRow,OR($E229="Tier 2",$E229="Tier 2 Grove"),$C229&lt;&gt;"",$D229&gt;=12,COUNTIF(Tables2!$B$153:$B$162,$C229)&gt;0),
Error!$B$45,
IF(AND(_xlpm.baseRow,$E229="Tier 2 Grove",$D229&lt;12),
Error!$B$41,
IF(AND(_xlpm.baseRow,$E229="Tier 2",$D229&lt;5.88),
Error!$B$40,
IF(AND(_xlpm.baseRow,OR($E229="Tier 2",$E229="Tier 2 Grove"),$C229&lt;&gt;"",$D229&lt;12,$D229&gt;=6,COUNTIF(Tables2!$B$153:$B$162,$C229)&gt;0),
Error!$B$54,
IF(AND(_xlpm.baseRow,$E229="Tier 2",COUNTIF(Tables2!$B$166:$B$674,$C229)&gt;0,$D229&lt;24),
Error!$B$54,
IF(AND(_xlpm.baseRow,$E229="Tier 3",ISNA(MATCH($C229,Tables2!$B$153:$B$162,0)),OR($D229&lt;12,$D229&gt;=24)),
Error!$B$9,
IF(AND(_xlpm.baseRow,$E229="Tier 3",COUNTIF(Tables2!$B$153:$B$162,$C229)&gt;0,$D229&lt;12),
Error!$B$46,
IF(AND(_xlpm.baseRow,$E229="Tier 4",OR($D229&lt;6,$D229&gt;=12)),
Error!$B$10,
IF(AND(_xlpm.baseRow,$E229="&lt;6in DSH for Tree Points",OR($D229&gt;=6,$D229="")),
Error!$B$8,
IF(AND(_xlpm.baseRow,$E229="Street Tree for Green Factor",$F229&lt;&gt;"",$F229&lt;&gt;"Retain"),
Error!$B$14,
IF(AND($E229="&lt;6in DSH for Tree Points",$F229="Retain",$H229&lt;&gt;"",ISNA(MATCH($H229,Tables!$B$174:$B$174,0))),
Error!$B$15,
IF(AND($E229="Street Tree for Green Factor",$F229="Retain",$H229&lt;&gt;"",$H229&lt;&gt;"Zoning: Green Factor"),
Error!$B$15,
IF(AND($E229="ECA / Shoreline Tree",$F229="Remove",$H229&lt;&gt;"",ISNA(MATCH($H229,Tables!$B$189:$B$190,0))),
Error!$B$15,
IF(AND($E229="ECA / Shoreline Tree",$F229="Retain",$H229&lt;&gt;"",ISNA(MATCH($H229,Tables!$B$184:$B$186,0))),
Error!$B$15,
IF(AND($E229="Tier 4",$F229="Remove",$H229&lt;&gt;"",ISNA(MATCH($H229,Tables!$B$171,0))),
Error!$B$15,
IF(AND($E229="Tier 4",$F229="Retain",$H229&lt;&gt;"",ISNA(MATCH($H229,Tables!$B$166:$B$168,0))),
Error!$B$15,
IF(AND($E229="Tier 3",$F229="Retain",$H229&lt;&gt;"",ISNA(MATCH($H229,Tables!$B$158:$B$160,0))),
Error!$B$15,
IF(AND($E229="Tier 3",$F229="Remove",$H229&lt;&gt;"",ISNA(MATCH($H229,Tables!$B$163,0))),
Error!$B$15,
IF(AND(OR($E229="Tier 2",$E229="Tier 2 Grove"),$F229="Remove",$H229&lt;&gt;"",ISNA(MATCH($H229,Tables!$B$153:$B$155,0))),
Error!$B$15,
IF(AND(OR($E229="Tier 2",$E229="Tier 2 Grove"),$F229="Retain",$H229&lt;&gt;"",ISNA(MATCH($H229,Tables!$B$147:$B$150,0))),
Error!$B$15,
IF(AND($E229="Tier 1",$F229="Remove",$H229&lt;&gt;"",ISNA(MATCH($H229,Tables!$B$143:$B$144,0))),
Error!$B$15,
IF(AND($E229="Tier 1",$F229="Retain",$H229&lt;&gt;"",ISNA(MATCH($H229,Tables!$B$137:$B$140,0))),
Error!$B$15,
IF(AND($E229&lt;&gt;"Tier 2",$E229&lt;&gt;"Tier 2 Grove",$E229&lt;&gt;"Tier 3",$E229&lt;&gt;"Tier 4",$H229="Zoning: Green Factor",OR($D229="",$D229&lt;6)),
Error!$B$11,
IF(AND(_xlpm.baseRow,$D229&lt;6,$E229="&lt;6in DSH for Tree Points",_xlpm.TreePoints_H=0),
Error!$B$21,
IF(AND(_xlpm.baseRow,$E229&lt;&gt;"",$D229&lt;&gt;"",$F229=""),
Error!$B$4,
IF(AND(_xlpm.baseRow,$F229="Remove",OR($E229="Tier 1",$E229="Tier 2",$E229="Tier 2 Grove"),COUNTBLANK(_xlpm.HRange)&lt;3,_xlpm.uniqueH&gt;=2),
Error!$B$48,
IF(AND(_xlpm.baseRow,$F229="Retain",OR($E229="Tier 1",$E229="Tier 2",$E229="Tier 2 Grove"),COUNTIF(_xlpm.HRange,"Tree Code: Required to Retain Tier 1-2 Tree")=0),
Error!$B$47,
IF(AND(_xlpm.baseRow,$E229&lt;&gt;"",$D229&lt;&gt;"",$F229&lt;&gt;"",COUNTBLANK(_xlpm.HRange)=4),
Error!$B$5,
IF(AND($F229="Remove",$H229&lt;&gt;"",$I229=""),
Error!$B$18,
IF(AND($E229="Tier 4",$F229="Remove",$H229="Tree Protection Code: Tier 3 or Tier 4 Allowance",$H229&lt;&gt;"",ISNA(MATCH($I229,Tables!$B$200,0))),
Error!$B$17,
IF(AND($E229="Tier 3",$F229="Remove",$H229&lt;&gt;"",$H229="Tree Protection Code: Tier 3 or Tier 4 Allowance",OR($I229="",ISNA(MATCH($I229,Tables!$B$193:$B$197,0)))),
Error!$B$17,
IF(AND(OR($E229="Tier 2",$E229="Tier 2 Grove"),$F229="Remove",$H229="Tree Protection Code: Other removal allowance or exemption",$I229&lt;&gt;"",ISNA(MATCH($I229,Tables!$B$215:$B$218,0))),
Error!$B$17,
IF(AND(OR($E229="Tier 2",$E229="Tier 2 Grove"),$F229="Remove",$H229="Tree Protection Code: Development Capacity",$I229&lt;&gt;"",ISNA(MATCH($I229,Tables!$B$193:$B$197,0))),
Error!$B$17,
IF(AND(OR($E229="Tier 2",$E229="Tier 2 Grove"),$F229="Remove",$H229="Tree Protection Code: Necessary for Construction",$I229&lt;&gt;"",ISNA(MATCH($I229,Tables!$B$193:$B$197,0))),
Error!$B$17,
IF(AND($E229="Tier 1",$F229="Remove",$H229="Tree Protection Code: Special Exception",$I229&lt;&gt;"",ISNA(MATCH($I229,Tables!$B$215:$B$218,0))),
Error!$B$17,
IF(AND($E229="Tier 1",$F229="Remove",$H229="Tree Protection Code: Other removal allowance or exemption",$I229&lt;&gt;"",ISNA(MATCH($I229,Tables!$B$215:$B$218,0))),
Error!$B$17,
IF(AND($E229="ECA / Shoreline Tree",$F229="Remove",$H229&lt;&gt;"",OR($H229="Shoreline",$H229="Environmental Critical Area (ECA)"),ISNA(MATCH($I229,Tables!$B$209:$B$212,0))),
Error!$B$17,
IF(AND(_xlpm.baseRow,$F229="Retain",$E229="ECA / Shoreline Tree",_xlpm.ECA_Short=0),
Error!$B$61,
IF(AND($F229="Remove",ISNUMBER(MATCH($E229,{"Tier 1","Tier 2","Tier 3","Tier 4","Tier 2 Grove"},0)),ISNUMBER(MATCH($I229,{"On-site replacement","Off-site replacement"},0)),$J229="",$H229&lt;&gt;""),
Error!$B$19,
IF(AND(_xlpm.baseRow,$E229&lt;&gt;"",$D229&lt;&gt;"",$F229&lt;&gt;"",COUNTBLANK($B229:$C229)&gt;0,COUNTBLANK(_xlpm.HRange)&lt;&gt;4),
Error!$B$22,
IF(AND($H229="Zoning: Tree Points",$K229&lt;&gt;"",ISNA(MATCH($K229,Tables!$B$242:$B$253,0))),
Error!$B$58,
IF(AND($H229="Zoning: Tree Points",$K229="Small",$L229&lt;&gt;"",ISNA(MATCH($L229,Tables!$C$243:$C$244,0))),
Error!$B$59,
IF(AND($H229="Zoning: Tree Points",$K229="Small/Medium",$L229&lt;&gt;"",ISNA(MATCH($L229,Tables!$C$246:$C$247,0))),
Error!$B$59,
IF(AND($H229="Zoning: Tree Points",$K229="Medium/Large",$L229&lt;&gt;"",ISNA(MATCH($L229,Tables!$C$249:$C$250,0))),
Error!$B$59,
IF(AND($H229="Zoning: Tree Points",$K229="Large",$L229&lt;&gt;"",ISNA(MATCH($L229,Tables!$C$252:$C$253,0))),
Error!$B$59,
IF(AND($F229="Retain",$H229="Zoning: Tree Points",$C229&lt;&gt;"",$D229&lt;&gt;"",OR($K229="",$L229="",$M229="")),
Error!$B$20,
""
)))))))))))))))))))))))))))))))))))))))))))))))))))))))),
Error!$B$23))</f>
        <v/>
      </c>
      <c r="O229" s="343" t="str" cm="1">
        <f t="array" aca="1" ref="O229" ca="1">IFERROR(_xlfn.LET(
    _xlpm.txt, $C229,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30" spans="1:15" ht="15" thickBot="1" x14ac:dyDescent="0.35">
      <c r="A230" s="331"/>
      <c r="B230" s="616" t="str">
        <f t="shared" si="229"/>
        <v/>
      </c>
      <c r="C230" s="617" t="str">
        <f t="shared" si="230"/>
        <v/>
      </c>
      <c r="D230" s="618" t="str">
        <f t="shared" si="231"/>
        <v/>
      </c>
      <c r="E230" s="616" t="str">
        <f t="shared" si="232"/>
        <v/>
      </c>
      <c r="F230" s="616" t="str">
        <f t="shared" si="233"/>
        <v/>
      </c>
      <c r="G230" s="619" t="str">
        <f>IF(Tree_Table1[[#This Row],[Tree Status  &amp;]]="Retain", Tables!$B$237, IF(Tree_Table1[[#This Row],[Tree Status  &amp;]]="Remove", Tables!$B$238, ""))</f>
        <v/>
      </c>
      <c r="H230" s="329"/>
      <c r="I230" s="330"/>
      <c r="J230" s="455"/>
      <c r="K230" s="327" t="str">
        <f>IFERROR(
    IF(
        AND($H230="Zoning: Tree Points", NOT(ISNUMBER(SEARCH("sp.", $C230)))),
        VLOOKUP($C230, 'Tree List'!$C$3:$F$601, 4, FALSE),
        ""
    ),
"")</f>
        <v/>
      </c>
      <c r="L230" s="328" t="str" cm="1">
        <f t="array" ref="L230">IFERROR(
IF(
    AND($H230="Zoning: Tree Points", NOT(ISNUMBER(SEARCH("sp.", $C230)))),
    _xlfn.IFS(
        (COUNTIFS('Tree List'!$C$3:$C$601,$C230,'Tree List'!$D$3:$D$601,"Coniferous")
        + COUNTIFS('Tree List'!$C$3:$C$601,$C230,'Tree List'!$D$3:$D$601,"Deciduous Conifer")) &gt; 0,
            _xlfn.IFS($K230="Small",0.5,$K230="Small/Medium",1,$K230="Medium/Large",1.4,$K230="Large",1.8),
        (COUNTIFS('Tree List'!$C$3:$C$601,$C230,'Tree List'!$D$3:$D$601,"Deciduous")
        + COUNTIFS('Tree List'!$C$3:$C$601,$C230,'Tree List'!$D$3:$D$601,"Broadleaf Evergreen")) &gt; 0,
            _xlfn.IFS($K230="Small",0.4,$K230="Small/Medium",0.8,$K230="Medium/Large",1.2,$K230="Large",1.6)
    ),
    ""
),
"")</f>
        <v/>
      </c>
      <c r="M230" s="476" t="str">
        <f t="shared" si="168"/>
        <v/>
      </c>
      <c r="N230" s="347" t="str" cm="1">
        <f t="array" aca="1" ref="N23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IF(AND(_xlpm.baseRow,ISNA(MATCH($C230,'Tree List'!$C$3:$C$601,0)),SUMPRODUCT(--ISNUMBER(SEARCH(Tables2!$C$677:$C$772,$O230)))&gt;0),
Error!$B$57,
IF(AND(_xlpm.hasDM,$F230="Remove",$H230&lt;&gt;"",OR($I230="On-site replacement",$I230="Off-site replacement",$I230="Payment In Lieu")),
Error!$B$56,
IF(AND(_xlpm.hasDM,$F230="Remove",$H230&lt;&gt;"",$I230="Relocation"),
Error!$B$66,
IF(AND(OR(_xlpm.hasCN,_xlpm.hasPH,_xlpm.hasGR),$H230&lt;&gt;"",COUNTIF(Tables!$B$132:$B$134,$H230)&gt;0,$I230="N/A (No replacement required)"),
Error!$B$62,
IF(AND(_xlpm.baseRow,$E230&lt;&gt;"",ISNA(MATCH($E230,Tables!$B$225:$B$232,0))),
Error!$B$2,
IF(AND(_xlpm.baseRow,$F230&lt;&gt;"",ISNA(MATCH($F230,Tables!$B$234:$B$235,0))),
Error!$B$24,
IF(AND(_xlpm.baseRow,_xlpm.ECA_H&gt;0,_xlpm.Shore_H&gt;0),
Error!$B$16,
IF(AND(_xlpm.baseRow,$E230&lt;&gt;"",$D230=""),
Error!$B$3,
IF(AND(_xlpm.baseRow,OR($E230="Tier 3",$E230="Tier 4"),$C230&lt;&gt;"",$D230&gt;=24,COUNTIF(Tables2!$B$166:$B$674,$C230)&gt;0),
Error!$B$44,
IF(AND(_xlpm.baseRow,OR($E230="Tier 3",$E230="Tier 4"),$C230&lt;&gt;"",$D230&lt;&gt;"",COUNTIF(Tables2!$B$73:$B$152,$C230)&gt;0,
$D230&gt;=IFERROR(INDEX(Tables2!$C$73:$C$152,MATCH($C230,Tables2!$B$73:$B$152,0)),-1)),
Error!$B$44,
IF(AND(_xlpm.baseRow,OR($E230="Tier 2",$E230="Tier 2 Grove"),$C230&lt;&gt;"",$D230&gt;=12,COUNTIF(Tables2!$B$153:$B$162,$C230)&gt;0),
Error!$B$45,
IF(AND(_xlpm.baseRow,$E230="Tier 2 Grove",$D230&lt;12),
Error!$B$41,
IF(AND(_xlpm.baseRow,$E230="Tier 2",$D230&lt;5.88),
Error!$B$40,
IF(AND(_xlpm.baseRow,OR($E230="Tier 2",$E230="Tier 2 Grove"),$C230&lt;&gt;"",$D230&lt;12,$D230&gt;=6,COUNTIF(Tables2!$B$153:$B$162,$C230)&gt;0),
Error!$B$54,
IF(AND(_xlpm.baseRow,$E230="Tier 2",COUNTIF(Tables2!$B$166:$B$674,$C230)&gt;0,$D230&lt;24),
Error!$B$54,
IF(AND(_xlpm.baseRow,$E230="Tier 3",ISNA(MATCH($C230,Tables2!$B$153:$B$162,0)),OR($D230&lt;12,$D230&gt;=24)),
Error!$B$9,
IF(AND(_xlpm.baseRow,$E230="Tier 3",COUNTIF(Tables2!$B$153:$B$162,$C230)&gt;0,$D230&lt;12),
Error!$B$46,
IF(AND(_xlpm.baseRow,$E230="Tier 4",OR($D230&lt;6,$D230&gt;=12)),
Error!$B$10,
IF(AND(_xlpm.baseRow,$E230="&lt;6in DSH for Tree Points",OR($D230&gt;=6,$D230="")),
Error!$B$8,
IF(AND(_xlpm.baseRow,$E230="Street Tree for Green Factor",$F230&lt;&gt;"",$F230&lt;&gt;"Retain"),
Error!$B$14,
IF(AND($E230="&lt;6in DSH for Tree Points",$F230="Retain",$H230&lt;&gt;"",ISNA(MATCH($H230,Tables!$B$174:$B$174,0))),
Error!$B$15,
IF(AND($E230="Street Tree for Green Factor",$F230="Retain",$H230&lt;&gt;"",$H230&lt;&gt;"Zoning: Green Factor"),
Error!$B$15,
IF(AND($E230="ECA / Shoreline Tree",$F230="Remove",$H230&lt;&gt;"",ISNA(MATCH($H230,Tables!$B$189:$B$190,0))),
Error!$B$15,
IF(AND($E230="ECA / Shoreline Tree",$F230="Retain",$H230&lt;&gt;"",ISNA(MATCH($H230,Tables!$B$184:$B$186,0))),
Error!$B$15,
IF(AND($E230="Tier 4",$F230="Remove",$H230&lt;&gt;"",ISNA(MATCH($H230,Tables!$B$171,0))),
Error!$B$15,
IF(AND($E230="Tier 4",$F230="Retain",$H230&lt;&gt;"",ISNA(MATCH($H230,Tables!$B$166:$B$168,0))),
Error!$B$15,
IF(AND($E230="Tier 3",$F230="Retain",$H230&lt;&gt;"",ISNA(MATCH($H230,Tables!$B$158:$B$160,0))),
Error!$B$15,
IF(AND($E230="Tier 3",$F230="Remove",$H230&lt;&gt;"",ISNA(MATCH($H230,Tables!$B$163,0))),
Error!$B$15,
IF(AND(OR($E230="Tier 2",$E230="Tier 2 Grove"),$F230="Remove",$H230&lt;&gt;"",ISNA(MATCH($H230,Tables!$B$153:$B$155,0))),
Error!$B$15,
IF(AND(OR($E230="Tier 2",$E230="Tier 2 Grove"),$F230="Retain",$H230&lt;&gt;"",ISNA(MATCH($H230,Tables!$B$147:$B$150,0))),
Error!$B$15,
IF(AND($E230="Tier 1",$F230="Remove",$H230&lt;&gt;"",ISNA(MATCH($H230,Tables!$B$143:$B$144,0))),
Error!$B$15,
IF(AND($E230="Tier 1",$F230="Retain",$H230&lt;&gt;"",ISNA(MATCH($H230,Tables!$B$137:$B$140,0))),
Error!$B$15,
IF(AND($E230&lt;&gt;"Tier 2",$E230&lt;&gt;"Tier 2 Grove",$E230&lt;&gt;"Tier 3",$E230&lt;&gt;"Tier 4",$H230="Zoning: Green Factor",OR($D230="",$D230&lt;6)),
Error!$B$11,
IF(AND(_xlpm.baseRow,$D230&lt;6,$E230="&lt;6in DSH for Tree Points",_xlpm.TreePoints_H=0),
Error!$B$21,
IF(AND(_xlpm.baseRow,$E230&lt;&gt;"",$D230&lt;&gt;"",$F230=""),
Error!$B$4,
IF(AND(_xlpm.baseRow,$F230="Remove",OR($E230="Tier 1",$E230="Tier 2",$E230="Tier 2 Grove"),COUNTBLANK(_xlpm.HRange)&lt;3,_xlpm.uniqueH&gt;=2),
Error!$B$48,
IF(AND(_xlpm.baseRow,$F230="Retain",OR($E230="Tier 1",$E230="Tier 2",$E230="Tier 2 Grove"),COUNTIF(_xlpm.HRange,"Tree Code: Required to Retain Tier 1-2 Tree")=0),
Error!$B$47,
IF(AND(_xlpm.baseRow,$E230&lt;&gt;"",$D230&lt;&gt;"",$F230&lt;&gt;"",COUNTBLANK(_xlpm.HRange)=4),
Error!$B$5,
IF(AND($F230="Remove",$H230&lt;&gt;"",$I230=""),
Error!$B$18,
IF(AND($E230="Tier 4",$F230="Remove",$H230="Tree Protection Code: Tier 3 or Tier 4 Allowance",$H230&lt;&gt;"",ISNA(MATCH($I230,Tables!$B$200,0))),
Error!$B$17,
IF(AND($E230="Tier 3",$F230="Remove",$H230&lt;&gt;"",$H230="Tree Protection Code: Tier 3 or Tier 4 Allowance",OR($I230="",ISNA(MATCH($I230,Tables!$B$193:$B$197,0)))),
Error!$B$17,
IF(AND(OR($E230="Tier 2",$E230="Tier 2 Grove"),$F230="Remove",$H230="Tree Protection Code: Other removal allowance or exemption",$I230&lt;&gt;"",ISNA(MATCH($I230,Tables!$B$215:$B$218,0))),
Error!$B$17,
IF(AND(OR($E230="Tier 2",$E230="Tier 2 Grove"),$F230="Remove",$H230="Tree Protection Code: Development Capacity",$I230&lt;&gt;"",ISNA(MATCH($I230,Tables!$B$193:$B$197,0))),
Error!$B$17,
IF(AND(OR($E230="Tier 2",$E230="Tier 2 Grove"),$F230="Remove",$H230="Tree Protection Code: Necessary for Construction",$I230&lt;&gt;"",ISNA(MATCH($I230,Tables!$B$193:$B$197,0))),
Error!$B$17,
IF(AND($E230="Tier 1",$F230="Remove",$H230="Tree Protection Code: Special Exception",$I230&lt;&gt;"",ISNA(MATCH($I230,Tables!$B$215:$B$218,0))),
Error!$B$17,
IF(AND($E230="Tier 1",$F230="Remove",$H230="Tree Protection Code: Other removal allowance or exemption",$I230&lt;&gt;"",ISNA(MATCH($I230,Tables!$B$215:$B$218,0))),
Error!$B$17,
IF(AND($E230="ECA / Shoreline Tree",$F230="Remove",$H230&lt;&gt;"",OR($H230="Shoreline",$H230="Environmental Critical Area (ECA)"),ISNA(MATCH($I230,Tables!$B$209:$B$212,0))),
Error!$B$17,
IF(AND(_xlpm.baseRow,$F230="Retain",$E230="ECA / Shoreline Tree",_xlpm.ECA_Short=0),
Error!$B$61,
IF(AND($F230="Remove",ISNUMBER(MATCH($E230,{"Tier 1","Tier 2","Tier 3","Tier 4","Tier 2 Grove"},0)),ISNUMBER(MATCH($I230,{"On-site replacement","Off-site replacement"},0)),$J230="",$H230&lt;&gt;""),
Error!$B$19,
IF(AND(_xlpm.baseRow,$E230&lt;&gt;"",$D230&lt;&gt;"",$F230&lt;&gt;"",COUNTBLANK($B230:$C230)&gt;0,COUNTBLANK(_xlpm.HRange)&lt;&gt;4),
Error!$B$22,
IF(AND($H230="Zoning: Tree Points",$K230&lt;&gt;"",ISNA(MATCH($K230,Tables!$B$242:$B$253,0))),
Error!$B$58,
IF(AND($H230="Zoning: Tree Points",$K230="Small",$L230&lt;&gt;"",ISNA(MATCH($L230,Tables!$C$243:$C$244,0))),
Error!$B$59,
IF(AND($H230="Zoning: Tree Points",$K230="Small/Medium",$L230&lt;&gt;"",ISNA(MATCH($L230,Tables!$C$246:$C$247,0))),
Error!$B$59,
IF(AND($H230="Zoning: Tree Points",$K230="Medium/Large",$L230&lt;&gt;"",ISNA(MATCH($L230,Tables!$C$249:$C$250,0))),
Error!$B$59,
IF(AND($H230="Zoning: Tree Points",$K230="Large",$L230&lt;&gt;"",ISNA(MATCH($L230,Tables!$C$252:$C$253,0))),
Error!$B$59,
IF(AND($F230="Retain",$H230="Zoning: Tree Points",$C230&lt;&gt;"",$D230&lt;&gt;"",OR($K230="",$L230="",$M230="")),
Error!$B$20,
""
)))))))))))))))))))))))))))))))))))))))))))))))))))))))),
Error!$B$23))</f>
        <v/>
      </c>
      <c r="O230" s="343" t="str" cm="1">
        <f t="array" aca="1" ref="O230" ca="1">IFERROR(_xlfn.LET(
    _xlpm.txt, $C230,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31" spans="1:15" ht="15" thickBot="1" x14ac:dyDescent="0.35">
      <c r="A231" s="311">
        <v>56</v>
      </c>
      <c r="B231" s="312"/>
      <c r="C231" s="313"/>
      <c r="D231" s="478"/>
      <c r="E231" s="314"/>
      <c r="F231" s="314"/>
      <c r="G231" s="315" t="str">
        <f>IF(Tree_Table1[[#This Row],[Tree Status  &amp;]]="Retain", Tables!$B$237, IF(Tree_Table1[[#This Row],[Tree Status  &amp;]]="Remove", Tables!$B$238, ""))</f>
        <v/>
      </c>
      <c r="H231" s="316"/>
      <c r="I231" s="317"/>
      <c r="J231" s="452"/>
      <c r="K231" s="318" t="str">
        <f>IFERROR(
    IF(
        AND($H231="Zoning: Tree Points", NOT(ISNUMBER(SEARCH("sp.", $C231)))),
        VLOOKUP($C231, 'Tree List'!$C$3:$F$601, 4, FALSE),
        ""
    ),
"")</f>
        <v/>
      </c>
      <c r="L231" s="319" t="str" cm="1">
        <f t="array" ref="L231">IFERROR(
IF(
    AND($H231="Zoning: Tree Points", NOT(ISNUMBER(SEARCH("sp.", $C231)))),
    _xlfn.IFS(
        (COUNTIFS('Tree List'!$C$3:$C$601,$C231,'Tree List'!$D$3:$D$601,"Coniferous")
        + COUNTIFS('Tree List'!$C$3:$C$601,$C231,'Tree List'!$D$3:$D$601,"Deciduous Conifer")) &gt; 0,
            _xlfn.IFS($K231="Small",0.5,$K231="Small/Medium",1,$K231="Medium/Large",1.4,$K231="Large",1.8),
        (COUNTIFS('Tree List'!$C$3:$C$601,$C231,'Tree List'!$D$3:$D$601,"Deciduous")
        + COUNTIFS('Tree List'!$C$3:$C$601,$C231,'Tree List'!$D$3:$D$601,"Broadleaf Evergreen")) &gt; 0,
            _xlfn.IFS($K231="Small",0.4,$K231="Small/Medium",0.8,$K231="Medium/Large",1.2,$K231="Large",1.6)
    ),
    ""
),
"")</f>
        <v/>
      </c>
      <c r="M231" s="474" t="str">
        <f t="shared" si="168"/>
        <v/>
      </c>
      <c r="N231" s="620" t="str" cm="1">
        <f t="array" aca="1" ref="N23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IF(AND(_xlpm.baseRow,ISNA(MATCH($C231,'Tree List'!$C$3:$C$601,0)),SUMPRODUCT(--ISNUMBER(SEARCH(Tables2!$C$677:$C$772,$O231)))&gt;0),
Error!$B$57,
IF(AND(_xlpm.hasDM,$F231="Remove",$H231&lt;&gt;"",OR($I231="On-site replacement",$I231="Off-site replacement",$I231="Payment In Lieu")),
Error!$B$56,
IF(AND(_xlpm.hasDM,$F231="Remove",$H231&lt;&gt;"",$I231="Relocation"),
Error!$B$66,
IF(AND(OR(_xlpm.hasCN,_xlpm.hasPH,_xlpm.hasGR),$H231&lt;&gt;"",COUNTIF(Tables!$B$132:$B$134,$H231)&gt;0,$I231="N/A (No replacement required)"),
Error!$B$62,
IF(AND(_xlpm.baseRow,$E231&lt;&gt;"",ISNA(MATCH($E231,Tables!$B$225:$B$232,0))),
Error!$B$2,
IF(AND(_xlpm.baseRow,$F231&lt;&gt;"",ISNA(MATCH($F231,Tables!$B$234:$B$235,0))),
Error!$B$24,
IF(AND(_xlpm.baseRow,_xlpm.ECA_H&gt;0,_xlpm.Shore_H&gt;0),
Error!$B$16,
IF(AND(_xlpm.baseRow,$E231&lt;&gt;"",$D231=""),
Error!$B$3,
IF(AND(_xlpm.baseRow,OR($E231="Tier 3",$E231="Tier 4"),$C231&lt;&gt;"",$D231&gt;=24,COUNTIF(Tables2!$B$166:$B$674,$C231)&gt;0),
Error!$B$44,
IF(AND(_xlpm.baseRow,OR($E231="Tier 3",$E231="Tier 4"),$C231&lt;&gt;"",$D231&lt;&gt;"",COUNTIF(Tables2!$B$73:$B$152,$C231)&gt;0,
$D231&gt;=IFERROR(INDEX(Tables2!$C$73:$C$152,MATCH($C231,Tables2!$B$73:$B$152,0)),-1)),
Error!$B$44,
IF(AND(_xlpm.baseRow,OR($E231="Tier 2",$E231="Tier 2 Grove"),$C231&lt;&gt;"",$D231&gt;=12,COUNTIF(Tables2!$B$153:$B$162,$C231)&gt;0),
Error!$B$45,
IF(AND(_xlpm.baseRow,$E231="Tier 2 Grove",$D231&lt;12),
Error!$B$41,
IF(AND(_xlpm.baseRow,$E231="Tier 2",$D231&lt;5.88),
Error!$B$40,
IF(AND(_xlpm.baseRow,OR($E231="Tier 2",$E231="Tier 2 Grove"),$C231&lt;&gt;"",$D231&lt;12,$D231&gt;=6,COUNTIF(Tables2!$B$153:$B$162,$C231)&gt;0),
Error!$B$54,
IF(AND(_xlpm.baseRow,$E231="Tier 2",COUNTIF(Tables2!$B$166:$B$674,$C231)&gt;0,$D231&lt;24),
Error!$B$54,
IF(AND(_xlpm.baseRow,$E231="Tier 3",ISNA(MATCH($C231,Tables2!$B$153:$B$162,0)),OR($D231&lt;12,$D231&gt;=24)),
Error!$B$9,
IF(AND(_xlpm.baseRow,$E231="Tier 3",COUNTIF(Tables2!$B$153:$B$162,$C231)&gt;0,$D231&lt;12),
Error!$B$46,
IF(AND(_xlpm.baseRow,$E231="Tier 4",OR($D231&lt;6,$D231&gt;=12)),
Error!$B$10,
IF(AND(_xlpm.baseRow,$E231="&lt;6in DSH for Tree Points",OR($D231&gt;=6,$D231="")),
Error!$B$8,
IF(AND(_xlpm.baseRow,$E231="Street Tree for Green Factor",$F231&lt;&gt;"",$F231&lt;&gt;"Retain"),
Error!$B$14,
IF(AND($E231="&lt;6in DSH for Tree Points",$F231="Retain",$H231&lt;&gt;"",ISNA(MATCH($H231,Tables!$B$174:$B$174,0))),
Error!$B$15,
IF(AND($E231="Street Tree for Green Factor",$F231="Retain",$H231&lt;&gt;"",$H231&lt;&gt;"Zoning: Green Factor"),
Error!$B$15,
IF(AND($E231="ECA / Shoreline Tree",$F231="Remove",$H231&lt;&gt;"",ISNA(MATCH($H231,Tables!$B$189:$B$190,0))),
Error!$B$15,
IF(AND($E231="ECA / Shoreline Tree",$F231="Retain",$H231&lt;&gt;"",ISNA(MATCH($H231,Tables!$B$184:$B$186,0))),
Error!$B$15,
IF(AND($E231="Tier 4",$F231="Remove",$H231&lt;&gt;"",ISNA(MATCH($H231,Tables!$B$171,0))),
Error!$B$15,
IF(AND($E231="Tier 4",$F231="Retain",$H231&lt;&gt;"",ISNA(MATCH($H231,Tables!$B$166:$B$168,0))),
Error!$B$15,
IF(AND($E231="Tier 3",$F231="Retain",$H231&lt;&gt;"",ISNA(MATCH($H231,Tables!$B$158:$B$160,0))),
Error!$B$15,
IF(AND($E231="Tier 3",$F231="Remove",$H231&lt;&gt;"",ISNA(MATCH($H231,Tables!$B$163,0))),
Error!$B$15,
IF(AND(OR($E231="Tier 2",$E231="Tier 2 Grove"),$F231="Remove",$H231&lt;&gt;"",ISNA(MATCH($H231,Tables!$B$153:$B$155,0))),
Error!$B$15,
IF(AND(OR($E231="Tier 2",$E231="Tier 2 Grove"),$F231="Retain",$H231&lt;&gt;"",ISNA(MATCH($H231,Tables!$B$147:$B$150,0))),
Error!$B$15,
IF(AND($E231="Tier 1",$F231="Remove",$H231&lt;&gt;"",ISNA(MATCH($H231,Tables!$B$143:$B$144,0))),
Error!$B$15,
IF(AND($E231="Tier 1",$F231="Retain",$H231&lt;&gt;"",ISNA(MATCH($H231,Tables!$B$137:$B$140,0))),
Error!$B$15,
IF(AND($E231&lt;&gt;"Tier 2",$E231&lt;&gt;"Tier 2 Grove",$E231&lt;&gt;"Tier 3",$E231&lt;&gt;"Tier 4",$H231="Zoning: Green Factor",OR($D231="",$D231&lt;6)),
Error!$B$11,
IF(AND(_xlpm.baseRow,$D231&lt;6,$E231="&lt;6in DSH for Tree Points",_xlpm.TreePoints_H=0),
Error!$B$21,
IF(AND(_xlpm.baseRow,$E231&lt;&gt;"",$D231&lt;&gt;"",$F231=""),
Error!$B$4,
IF(AND(_xlpm.baseRow,$F231="Remove",OR($E231="Tier 1",$E231="Tier 2",$E231="Tier 2 Grove"),COUNTBLANK(_xlpm.HRange)&lt;3,_xlpm.uniqueH&gt;=2),
Error!$B$48,
IF(AND(_xlpm.baseRow,$F231="Retain",OR($E231="Tier 1",$E231="Tier 2",$E231="Tier 2 Grove"),COUNTIF(_xlpm.HRange,"Tree Code: Required to Retain Tier 1-2 Tree")=0),
Error!$B$47,
IF(AND(_xlpm.baseRow,$E231&lt;&gt;"",$D231&lt;&gt;"",$F231&lt;&gt;"",COUNTBLANK(_xlpm.HRange)=4),
Error!$B$5,
IF(AND($F231="Remove",$H231&lt;&gt;"",$I231=""),
Error!$B$18,
IF(AND($E231="Tier 4",$F231="Remove",$H231="Tree Protection Code: Tier 3 or Tier 4 Allowance",$H231&lt;&gt;"",ISNA(MATCH($I231,Tables!$B$200,0))),
Error!$B$17,
IF(AND($E231="Tier 3",$F231="Remove",$H231&lt;&gt;"",$H231="Tree Protection Code: Tier 3 or Tier 4 Allowance",OR($I231="",ISNA(MATCH($I231,Tables!$B$193:$B$197,0)))),
Error!$B$17,
IF(AND(OR($E231="Tier 2",$E231="Tier 2 Grove"),$F231="Remove",$H231="Tree Protection Code: Other removal allowance or exemption",$I231&lt;&gt;"",ISNA(MATCH($I231,Tables!$B$215:$B$218,0))),
Error!$B$17,
IF(AND(OR($E231="Tier 2",$E231="Tier 2 Grove"),$F231="Remove",$H231="Tree Protection Code: Development Capacity",$I231&lt;&gt;"",ISNA(MATCH($I231,Tables!$B$193:$B$197,0))),
Error!$B$17,
IF(AND(OR($E231="Tier 2",$E231="Tier 2 Grove"),$F231="Remove",$H231="Tree Protection Code: Necessary for Construction",$I231&lt;&gt;"",ISNA(MATCH($I231,Tables!$B$193:$B$197,0))),
Error!$B$17,
IF(AND($E231="Tier 1",$F231="Remove",$H231="Tree Protection Code: Special Exception",$I231&lt;&gt;"",ISNA(MATCH($I231,Tables!$B$215:$B$218,0))),
Error!$B$17,
IF(AND($E231="Tier 1",$F231="Remove",$H231="Tree Protection Code: Other removal allowance or exemption",$I231&lt;&gt;"",ISNA(MATCH($I231,Tables!$B$215:$B$218,0))),
Error!$B$17,
IF(AND($E231="ECA / Shoreline Tree",$F231="Remove",$H231&lt;&gt;"",OR($H231="Shoreline",$H231="Environmental Critical Area (ECA)"),ISNA(MATCH($I231,Tables!$B$209:$B$212,0))),
Error!$B$17,
IF(AND(_xlpm.baseRow,$F231="Retain",$E231="ECA / Shoreline Tree",_xlpm.ECA_Short=0),
Error!$B$61,
IF(AND($F231="Remove",ISNUMBER(MATCH($E231,{"Tier 1","Tier 2","Tier 3","Tier 4","Tier 2 Grove"},0)),ISNUMBER(MATCH($I231,{"On-site replacement","Off-site replacement"},0)),$J231="",$H231&lt;&gt;""),
Error!$B$19,
IF(AND(_xlpm.baseRow,$E231&lt;&gt;"",$D231&lt;&gt;"",$F231&lt;&gt;"",COUNTBLANK($B231:$C231)&gt;0,COUNTBLANK(_xlpm.HRange)&lt;&gt;4),
Error!$B$22,
IF(AND($H231="Zoning: Tree Points",$K231&lt;&gt;"",ISNA(MATCH($K231,Tables!$B$242:$B$253,0))),
Error!$B$58,
IF(AND($H231="Zoning: Tree Points",$K231="Small",$L231&lt;&gt;"",ISNA(MATCH($L231,Tables!$C$243:$C$244,0))),
Error!$B$59,
IF(AND($H231="Zoning: Tree Points",$K231="Small/Medium",$L231&lt;&gt;"",ISNA(MATCH($L231,Tables!$C$246:$C$247,0))),
Error!$B$59,
IF(AND($H231="Zoning: Tree Points",$K231="Medium/Large",$L231&lt;&gt;"",ISNA(MATCH($L231,Tables!$C$249:$C$250,0))),
Error!$B$59,
IF(AND($H231="Zoning: Tree Points",$K231="Large",$L231&lt;&gt;"",ISNA(MATCH($L231,Tables!$C$252:$C$253,0))),
Error!$B$59,
IF(AND($F231="Retain",$H231="Zoning: Tree Points",$C231&lt;&gt;"",$D231&lt;&gt;"",OR($K231="",$L231="",$M231="")),
Error!$B$20,
""
)))))))))))))))))))))))))))))))))))))))))))))))))))))))),
Error!$B$23))</f>
        <v/>
      </c>
      <c r="O231" s="343" t="str" cm="1">
        <f t="array" aca="1" ref="O231" ca="1">IFERROR(_xlfn.LET(
    _xlpm.txt, $C231,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32" spans="1:15" x14ac:dyDescent="0.3">
      <c r="A232" s="320"/>
      <c r="B232" s="616" t="str">
        <f t="shared" ref="B232:B234" si="234">IF($B231="", "", $B231)</f>
        <v/>
      </c>
      <c r="C232" s="617" t="str">
        <f t="shared" ref="C232:C234" si="235">IF($C231="", "", $C231)</f>
        <v/>
      </c>
      <c r="D232" s="618" t="str">
        <f t="shared" ref="D232:D234" si="236">IF($D231="", "", $D231)</f>
        <v/>
      </c>
      <c r="E232" s="616" t="str">
        <f t="shared" ref="E232:E234" si="237">IF($E231="", "", $E231)</f>
        <v/>
      </c>
      <c r="F232" s="616" t="str">
        <f t="shared" ref="F232:F234" si="238">IF($F231="", "", $F231)</f>
        <v/>
      </c>
      <c r="G232" s="619" t="str">
        <f>IF(Tree_Table1[[#This Row],[Tree Status  &amp;]]="Retain", Tables!$B$237, IF(Tree_Table1[[#This Row],[Tree Status  &amp;]]="Remove", Tables!$B$238, ""))</f>
        <v/>
      </c>
      <c r="H232" s="321"/>
      <c r="I232" s="322"/>
      <c r="J232" s="453"/>
      <c r="K232" s="323" t="str">
        <f>IFERROR(
    IF(
        AND($H232="Zoning: Tree Points", NOT(ISNUMBER(SEARCH("sp.", $C232)))),
        VLOOKUP($C232, 'Tree List'!$C$3:$F$601, 4, FALSE),
        ""
    ),
"")</f>
        <v/>
      </c>
      <c r="L232" s="324" t="str" cm="1">
        <f t="array" ref="L232">IFERROR(
IF(
    AND($H232="Zoning: Tree Points", NOT(ISNUMBER(SEARCH("sp.", $C232)))),
    _xlfn.IFS(
        (COUNTIFS('Tree List'!$C$3:$C$601,$C232,'Tree List'!$D$3:$D$601,"Coniferous")
        + COUNTIFS('Tree List'!$C$3:$C$601,$C232,'Tree List'!$D$3:$D$601,"Deciduous Conifer")) &gt; 0,
            _xlfn.IFS($K232="Small",0.5,$K232="Small/Medium",1,$K232="Medium/Large",1.4,$K232="Large",1.8),
        (COUNTIFS('Tree List'!$C$3:$C$601,$C232,'Tree List'!$D$3:$D$601,"Deciduous")
        + COUNTIFS('Tree List'!$C$3:$C$601,$C232,'Tree List'!$D$3:$D$601,"Broadleaf Evergreen")) &gt; 0,
            _xlfn.IFS($K232="Small",0.4,$K232="Small/Medium",0.8,$K232="Medium/Large",1.2,$K232="Large",1.6)
    ),
    ""
),
"")</f>
        <v/>
      </c>
      <c r="M232" s="475" t="str">
        <f t="shared" si="168"/>
        <v/>
      </c>
      <c r="N232" s="346" t="str" cm="1">
        <f t="array" aca="1" ref="N23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IF(AND(_xlpm.baseRow,ISNA(MATCH($C232,'Tree List'!$C$3:$C$601,0)),SUMPRODUCT(--ISNUMBER(SEARCH(Tables2!$C$677:$C$772,$O232)))&gt;0),
Error!$B$57,
IF(AND(_xlpm.hasDM,$F232="Remove",$H232&lt;&gt;"",OR($I232="On-site replacement",$I232="Off-site replacement",$I232="Payment In Lieu")),
Error!$B$56,
IF(AND(_xlpm.hasDM,$F232="Remove",$H232&lt;&gt;"",$I232="Relocation"),
Error!$B$66,
IF(AND(OR(_xlpm.hasCN,_xlpm.hasPH,_xlpm.hasGR),$H232&lt;&gt;"",COUNTIF(Tables!$B$132:$B$134,$H232)&gt;0,$I232="N/A (No replacement required)"),
Error!$B$62,
IF(AND(_xlpm.baseRow,$E232&lt;&gt;"",ISNA(MATCH($E232,Tables!$B$225:$B$232,0))),
Error!$B$2,
IF(AND(_xlpm.baseRow,$F232&lt;&gt;"",ISNA(MATCH($F232,Tables!$B$234:$B$235,0))),
Error!$B$24,
IF(AND(_xlpm.baseRow,_xlpm.ECA_H&gt;0,_xlpm.Shore_H&gt;0),
Error!$B$16,
IF(AND(_xlpm.baseRow,$E232&lt;&gt;"",$D232=""),
Error!$B$3,
IF(AND(_xlpm.baseRow,OR($E232="Tier 3",$E232="Tier 4"),$C232&lt;&gt;"",$D232&gt;=24,COUNTIF(Tables2!$B$166:$B$674,$C232)&gt;0),
Error!$B$44,
IF(AND(_xlpm.baseRow,OR($E232="Tier 3",$E232="Tier 4"),$C232&lt;&gt;"",$D232&lt;&gt;"",COUNTIF(Tables2!$B$73:$B$152,$C232)&gt;0,
$D232&gt;=IFERROR(INDEX(Tables2!$C$73:$C$152,MATCH($C232,Tables2!$B$73:$B$152,0)),-1)),
Error!$B$44,
IF(AND(_xlpm.baseRow,OR($E232="Tier 2",$E232="Tier 2 Grove"),$C232&lt;&gt;"",$D232&gt;=12,COUNTIF(Tables2!$B$153:$B$162,$C232)&gt;0),
Error!$B$45,
IF(AND(_xlpm.baseRow,$E232="Tier 2 Grove",$D232&lt;12),
Error!$B$41,
IF(AND(_xlpm.baseRow,$E232="Tier 2",$D232&lt;5.88),
Error!$B$40,
IF(AND(_xlpm.baseRow,OR($E232="Tier 2",$E232="Tier 2 Grove"),$C232&lt;&gt;"",$D232&lt;12,$D232&gt;=6,COUNTIF(Tables2!$B$153:$B$162,$C232)&gt;0),
Error!$B$54,
IF(AND(_xlpm.baseRow,$E232="Tier 2",COUNTIF(Tables2!$B$166:$B$674,$C232)&gt;0,$D232&lt;24),
Error!$B$54,
IF(AND(_xlpm.baseRow,$E232="Tier 3",ISNA(MATCH($C232,Tables2!$B$153:$B$162,0)),OR($D232&lt;12,$D232&gt;=24)),
Error!$B$9,
IF(AND(_xlpm.baseRow,$E232="Tier 3",COUNTIF(Tables2!$B$153:$B$162,$C232)&gt;0,$D232&lt;12),
Error!$B$46,
IF(AND(_xlpm.baseRow,$E232="Tier 4",OR($D232&lt;6,$D232&gt;=12)),
Error!$B$10,
IF(AND(_xlpm.baseRow,$E232="&lt;6in DSH for Tree Points",OR($D232&gt;=6,$D232="")),
Error!$B$8,
IF(AND(_xlpm.baseRow,$E232="Street Tree for Green Factor",$F232&lt;&gt;"",$F232&lt;&gt;"Retain"),
Error!$B$14,
IF(AND($E232="&lt;6in DSH for Tree Points",$F232="Retain",$H232&lt;&gt;"",ISNA(MATCH($H232,Tables!$B$174:$B$174,0))),
Error!$B$15,
IF(AND($E232="Street Tree for Green Factor",$F232="Retain",$H232&lt;&gt;"",$H232&lt;&gt;"Zoning: Green Factor"),
Error!$B$15,
IF(AND($E232="ECA / Shoreline Tree",$F232="Remove",$H232&lt;&gt;"",ISNA(MATCH($H232,Tables!$B$189:$B$190,0))),
Error!$B$15,
IF(AND($E232="ECA / Shoreline Tree",$F232="Retain",$H232&lt;&gt;"",ISNA(MATCH($H232,Tables!$B$184:$B$186,0))),
Error!$B$15,
IF(AND($E232="Tier 4",$F232="Remove",$H232&lt;&gt;"",ISNA(MATCH($H232,Tables!$B$171,0))),
Error!$B$15,
IF(AND($E232="Tier 4",$F232="Retain",$H232&lt;&gt;"",ISNA(MATCH($H232,Tables!$B$166:$B$168,0))),
Error!$B$15,
IF(AND($E232="Tier 3",$F232="Retain",$H232&lt;&gt;"",ISNA(MATCH($H232,Tables!$B$158:$B$160,0))),
Error!$B$15,
IF(AND($E232="Tier 3",$F232="Remove",$H232&lt;&gt;"",ISNA(MATCH($H232,Tables!$B$163,0))),
Error!$B$15,
IF(AND(OR($E232="Tier 2",$E232="Tier 2 Grove"),$F232="Remove",$H232&lt;&gt;"",ISNA(MATCH($H232,Tables!$B$153:$B$155,0))),
Error!$B$15,
IF(AND(OR($E232="Tier 2",$E232="Tier 2 Grove"),$F232="Retain",$H232&lt;&gt;"",ISNA(MATCH($H232,Tables!$B$147:$B$150,0))),
Error!$B$15,
IF(AND($E232="Tier 1",$F232="Remove",$H232&lt;&gt;"",ISNA(MATCH($H232,Tables!$B$143:$B$144,0))),
Error!$B$15,
IF(AND($E232="Tier 1",$F232="Retain",$H232&lt;&gt;"",ISNA(MATCH($H232,Tables!$B$137:$B$140,0))),
Error!$B$15,
IF(AND($E232&lt;&gt;"Tier 2",$E232&lt;&gt;"Tier 2 Grove",$E232&lt;&gt;"Tier 3",$E232&lt;&gt;"Tier 4",$H232="Zoning: Green Factor",OR($D232="",$D232&lt;6)),
Error!$B$11,
IF(AND(_xlpm.baseRow,$D232&lt;6,$E232="&lt;6in DSH for Tree Points",_xlpm.TreePoints_H=0),
Error!$B$21,
IF(AND(_xlpm.baseRow,$E232&lt;&gt;"",$D232&lt;&gt;"",$F232=""),
Error!$B$4,
IF(AND(_xlpm.baseRow,$F232="Remove",OR($E232="Tier 1",$E232="Tier 2",$E232="Tier 2 Grove"),COUNTBLANK(_xlpm.HRange)&lt;3,_xlpm.uniqueH&gt;=2),
Error!$B$48,
IF(AND(_xlpm.baseRow,$F232="Retain",OR($E232="Tier 1",$E232="Tier 2",$E232="Tier 2 Grove"),COUNTIF(_xlpm.HRange,"Tree Code: Required to Retain Tier 1-2 Tree")=0),
Error!$B$47,
IF(AND(_xlpm.baseRow,$E232&lt;&gt;"",$D232&lt;&gt;"",$F232&lt;&gt;"",COUNTBLANK(_xlpm.HRange)=4),
Error!$B$5,
IF(AND($F232="Remove",$H232&lt;&gt;"",$I232=""),
Error!$B$18,
IF(AND($E232="Tier 4",$F232="Remove",$H232="Tree Protection Code: Tier 3 or Tier 4 Allowance",$H232&lt;&gt;"",ISNA(MATCH($I232,Tables!$B$200,0))),
Error!$B$17,
IF(AND($E232="Tier 3",$F232="Remove",$H232&lt;&gt;"",$H232="Tree Protection Code: Tier 3 or Tier 4 Allowance",OR($I232="",ISNA(MATCH($I232,Tables!$B$193:$B$197,0)))),
Error!$B$17,
IF(AND(OR($E232="Tier 2",$E232="Tier 2 Grove"),$F232="Remove",$H232="Tree Protection Code: Other removal allowance or exemption",$I232&lt;&gt;"",ISNA(MATCH($I232,Tables!$B$215:$B$218,0))),
Error!$B$17,
IF(AND(OR($E232="Tier 2",$E232="Tier 2 Grove"),$F232="Remove",$H232="Tree Protection Code: Development Capacity",$I232&lt;&gt;"",ISNA(MATCH($I232,Tables!$B$193:$B$197,0))),
Error!$B$17,
IF(AND(OR($E232="Tier 2",$E232="Tier 2 Grove"),$F232="Remove",$H232="Tree Protection Code: Necessary for Construction",$I232&lt;&gt;"",ISNA(MATCH($I232,Tables!$B$193:$B$197,0))),
Error!$B$17,
IF(AND($E232="Tier 1",$F232="Remove",$H232="Tree Protection Code: Special Exception",$I232&lt;&gt;"",ISNA(MATCH($I232,Tables!$B$215:$B$218,0))),
Error!$B$17,
IF(AND($E232="Tier 1",$F232="Remove",$H232="Tree Protection Code: Other removal allowance or exemption",$I232&lt;&gt;"",ISNA(MATCH($I232,Tables!$B$215:$B$218,0))),
Error!$B$17,
IF(AND($E232="ECA / Shoreline Tree",$F232="Remove",$H232&lt;&gt;"",OR($H232="Shoreline",$H232="Environmental Critical Area (ECA)"),ISNA(MATCH($I232,Tables!$B$209:$B$212,0))),
Error!$B$17,
IF(AND(_xlpm.baseRow,$F232="Retain",$E232="ECA / Shoreline Tree",_xlpm.ECA_Short=0),
Error!$B$61,
IF(AND($F232="Remove",ISNUMBER(MATCH($E232,{"Tier 1","Tier 2","Tier 3","Tier 4","Tier 2 Grove"},0)),ISNUMBER(MATCH($I232,{"On-site replacement","Off-site replacement"},0)),$J232="",$H232&lt;&gt;""),
Error!$B$19,
IF(AND(_xlpm.baseRow,$E232&lt;&gt;"",$D232&lt;&gt;"",$F232&lt;&gt;"",COUNTBLANK($B232:$C232)&gt;0,COUNTBLANK(_xlpm.HRange)&lt;&gt;4),
Error!$B$22,
IF(AND($H232="Zoning: Tree Points",$K232&lt;&gt;"",ISNA(MATCH($K232,Tables!$B$242:$B$253,0))),
Error!$B$58,
IF(AND($H232="Zoning: Tree Points",$K232="Small",$L232&lt;&gt;"",ISNA(MATCH($L232,Tables!$C$243:$C$244,0))),
Error!$B$59,
IF(AND($H232="Zoning: Tree Points",$K232="Small/Medium",$L232&lt;&gt;"",ISNA(MATCH($L232,Tables!$C$246:$C$247,0))),
Error!$B$59,
IF(AND($H232="Zoning: Tree Points",$K232="Medium/Large",$L232&lt;&gt;"",ISNA(MATCH($L232,Tables!$C$249:$C$250,0))),
Error!$B$59,
IF(AND($H232="Zoning: Tree Points",$K232="Large",$L232&lt;&gt;"",ISNA(MATCH($L232,Tables!$C$252:$C$253,0))),
Error!$B$59,
IF(AND($F232="Retain",$H232="Zoning: Tree Points",$C232&lt;&gt;"",$D232&lt;&gt;"",OR($K232="",$L232="",$M232="")),
Error!$B$20,
""
)))))))))))))))))))))))))))))))))))))))))))))))))))))))),
Error!$B$23))</f>
        <v/>
      </c>
      <c r="O232" s="343" t="str" cm="1">
        <f t="array" aca="1" ref="O232" ca="1">IFERROR(_xlfn.LET(
    _xlpm.txt, $C232,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33" spans="1:15" x14ac:dyDescent="0.3">
      <c r="A233" s="320"/>
      <c r="B233" s="616" t="str">
        <f t="shared" si="234"/>
        <v/>
      </c>
      <c r="C233" s="617" t="str">
        <f t="shared" si="235"/>
        <v/>
      </c>
      <c r="D233" s="618" t="str">
        <f t="shared" si="236"/>
        <v/>
      </c>
      <c r="E233" s="616" t="str">
        <f t="shared" si="237"/>
        <v/>
      </c>
      <c r="F233" s="616" t="str">
        <f t="shared" si="238"/>
        <v/>
      </c>
      <c r="G233" s="619" t="str">
        <f>IF(Tree_Table1[[#This Row],[Tree Status  &amp;]]="Retain", Tables!$B$237, IF(Tree_Table1[[#This Row],[Tree Status  &amp;]]="Remove", Tables!$B$238, ""))</f>
        <v/>
      </c>
      <c r="H233" s="321"/>
      <c r="I233" s="322"/>
      <c r="J233" s="453"/>
      <c r="K233" s="323" t="str">
        <f>IFERROR(
    IF(
        AND($H233="Zoning: Tree Points", NOT(ISNUMBER(SEARCH("sp.", $C233)))),
        VLOOKUP($C233, 'Tree List'!$C$3:$F$601, 4, FALSE),
        ""
    ),
"")</f>
        <v/>
      </c>
      <c r="L233" s="324" t="str" cm="1">
        <f t="array" ref="L233">IFERROR(
IF(
    AND($H233="Zoning: Tree Points", NOT(ISNUMBER(SEARCH("sp.", $C233)))),
    _xlfn.IFS(
        (COUNTIFS('Tree List'!$C$3:$C$601,$C233,'Tree List'!$D$3:$D$601,"Coniferous")
        + COUNTIFS('Tree List'!$C$3:$C$601,$C233,'Tree List'!$D$3:$D$601,"Deciduous Conifer")) &gt; 0,
            _xlfn.IFS($K233="Small",0.5,$K233="Small/Medium",1,$K233="Medium/Large",1.4,$K233="Large",1.8),
        (COUNTIFS('Tree List'!$C$3:$C$601,$C233,'Tree List'!$D$3:$D$601,"Deciduous")
        + COUNTIFS('Tree List'!$C$3:$C$601,$C233,'Tree List'!$D$3:$D$601,"Broadleaf Evergreen")) &gt; 0,
            _xlfn.IFS($K233="Small",0.4,$K233="Small/Medium",0.8,$K233="Medium/Large",1.2,$K233="Large",1.6)
    ),
    ""
),
"")</f>
        <v/>
      </c>
      <c r="M233" s="475" t="str">
        <f t="shared" si="168"/>
        <v/>
      </c>
      <c r="N233" s="346" t="str" cm="1">
        <f t="array" aca="1" ref="N23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IF(AND(_xlpm.baseRow,ISNA(MATCH($C233,'Tree List'!$C$3:$C$601,0)),SUMPRODUCT(--ISNUMBER(SEARCH(Tables2!$C$677:$C$772,$O233)))&gt;0),
Error!$B$57,
IF(AND(_xlpm.hasDM,$F233="Remove",$H233&lt;&gt;"",OR($I233="On-site replacement",$I233="Off-site replacement",$I233="Payment In Lieu")),
Error!$B$56,
IF(AND(_xlpm.hasDM,$F233="Remove",$H233&lt;&gt;"",$I233="Relocation"),
Error!$B$66,
IF(AND(OR(_xlpm.hasCN,_xlpm.hasPH,_xlpm.hasGR),$H233&lt;&gt;"",COUNTIF(Tables!$B$132:$B$134,$H233)&gt;0,$I233="N/A (No replacement required)"),
Error!$B$62,
IF(AND(_xlpm.baseRow,$E233&lt;&gt;"",ISNA(MATCH($E233,Tables!$B$225:$B$232,0))),
Error!$B$2,
IF(AND(_xlpm.baseRow,$F233&lt;&gt;"",ISNA(MATCH($F233,Tables!$B$234:$B$235,0))),
Error!$B$24,
IF(AND(_xlpm.baseRow,_xlpm.ECA_H&gt;0,_xlpm.Shore_H&gt;0),
Error!$B$16,
IF(AND(_xlpm.baseRow,$E233&lt;&gt;"",$D233=""),
Error!$B$3,
IF(AND(_xlpm.baseRow,OR($E233="Tier 3",$E233="Tier 4"),$C233&lt;&gt;"",$D233&gt;=24,COUNTIF(Tables2!$B$166:$B$674,$C233)&gt;0),
Error!$B$44,
IF(AND(_xlpm.baseRow,OR($E233="Tier 3",$E233="Tier 4"),$C233&lt;&gt;"",$D233&lt;&gt;"",COUNTIF(Tables2!$B$73:$B$152,$C233)&gt;0,
$D233&gt;=IFERROR(INDEX(Tables2!$C$73:$C$152,MATCH($C233,Tables2!$B$73:$B$152,0)),-1)),
Error!$B$44,
IF(AND(_xlpm.baseRow,OR($E233="Tier 2",$E233="Tier 2 Grove"),$C233&lt;&gt;"",$D233&gt;=12,COUNTIF(Tables2!$B$153:$B$162,$C233)&gt;0),
Error!$B$45,
IF(AND(_xlpm.baseRow,$E233="Tier 2 Grove",$D233&lt;12),
Error!$B$41,
IF(AND(_xlpm.baseRow,$E233="Tier 2",$D233&lt;5.88),
Error!$B$40,
IF(AND(_xlpm.baseRow,OR($E233="Tier 2",$E233="Tier 2 Grove"),$C233&lt;&gt;"",$D233&lt;12,$D233&gt;=6,COUNTIF(Tables2!$B$153:$B$162,$C233)&gt;0),
Error!$B$54,
IF(AND(_xlpm.baseRow,$E233="Tier 2",COUNTIF(Tables2!$B$166:$B$674,$C233)&gt;0,$D233&lt;24),
Error!$B$54,
IF(AND(_xlpm.baseRow,$E233="Tier 3",ISNA(MATCH($C233,Tables2!$B$153:$B$162,0)),OR($D233&lt;12,$D233&gt;=24)),
Error!$B$9,
IF(AND(_xlpm.baseRow,$E233="Tier 3",COUNTIF(Tables2!$B$153:$B$162,$C233)&gt;0,$D233&lt;12),
Error!$B$46,
IF(AND(_xlpm.baseRow,$E233="Tier 4",OR($D233&lt;6,$D233&gt;=12)),
Error!$B$10,
IF(AND(_xlpm.baseRow,$E233="&lt;6in DSH for Tree Points",OR($D233&gt;=6,$D233="")),
Error!$B$8,
IF(AND(_xlpm.baseRow,$E233="Street Tree for Green Factor",$F233&lt;&gt;"",$F233&lt;&gt;"Retain"),
Error!$B$14,
IF(AND($E233="&lt;6in DSH for Tree Points",$F233="Retain",$H233&lt;&gt;"",ISNA(MATCH($H233,Tables!$B$174:$B$174,0))),
Error!$B$15,
IF(AND($E233="Street Tree for Green Factor",$F233="Retain",$H233&lt;&gt;"",$H233&lt;&gt;"Zoning: Green Factor"),
Error!$B$15,
IF(AND($E233="ECA / Shoreline Tree",$F233="Remove",$H233&lt;&gt;"",ISNA(MATCH($H233,Tables!$B$189:$B$190,0))),
Error!$B$15,
IF(AND($E233="ECA / Shoreline Tree",$F233="Retain",$H233&lt;&gt;"",ISNA(MATCH($H233,Tables!$B$184:$B$186,0))),
Error!$B$15,
IF(AND($E233="Tier 4",$F233="Remove",$H233&lt;&gt;"",ISNA(MATCH($H233,Tables!$B$171,0))),
Error!$B$15,
IF(AND($E233="Tier 4",$F233="Retain",$H233&lt;&gt;"",ISNA(MATCH($H233,Tables!$B$166:$B$168,0))),
Error!$B$15,
IF(AND($E233="Tier 3",$F233="Retain",$H233&lt;&gt;"",ISNA(MATCH($H233,Tables!$B$158:$B$160,0))),
Error!$B$15,
IF(AND($E233="Tier 3",$F233="Remove",$H233&lt;&gt;"",ISNA(MATCH($H233,Tables!$B$163,0))),
Error!$B$15,
IF(AND(OR($E233="Tier 2",$E233="Tier 2 Grove"),$F233="Remove",$H233&lt;&gt;"",ISNA(MATCH($H233,Tables!$B$153:$B$155,0))),
Error!$B$15,
IF(AND(OR($E233="Tier 2",$E233="Tier 2 Grove"),$F233="Retain",$H233&lt;&gt;"",ISNA(MATCH($H233,Tables!$B$147:$B$150,0))),
Error!$B$15,
IF(AND($E233="Tier 1",$F233="Remove",$H233&lt;&gt;"",ISNA(MATCH($H233,Tables!$B$143:$B$144,0))),
Error!$B$15,
IF(AND($E233="Tier 1",$F233="Retain",$H233&lt;&gt;"",ISNA(MATCH($H233,Tables!$B$137:$B$140,0))),
Error!$B$15,
IF(AND($E233&lt;&gt;"Tier 2",$E233&lt;&gt;"Tier 2 Grove",$E233&lt;&gt;"Tier 3",$E233&lt;&gt;"Tier 4",$H233="Zoning: Green Factor",OR($D233="",$D233&lt;6)),
Error!$B$11,
IF(AND(_xlpm.baseRow,$D233&lt;6,$E233="&lt;6in DSH for Tree Points",_xlpm.TreePoints_H=0),
Error!$B$21,
IF(AND(_xlpm.baseRow,$E233&lt;&gt;"",$D233&lt;&gt;"",$F233=""),
Error!$B$4,
IF(AND(_xlpm.baseRow,$F233="Remove",OR($E233="Tier 1",$E233="Tier 2",$E233="Tier 2 Grove"),COUNTBLANK(_xlpm.HRange)&lt;3,_xlpm.uniqueH&gt;=2),
Error!$B$48,
IF(AND(_xlpm.baseRow,$F233="Retain",OR($E233="Tier 1",$E233="Tier 2",$E233="Tier 2 Grove"),COUNTIF(_xlpm.HRange,"Tree Code: Required to Retain Tier 1-2 Tree")=0),
Error!$B$47,
IF(AND(_xlpm.baseRow,$E233&lt;&gt;"",$D233&lt;&gt;"",$F233&lt;&gt;"",COUNTBLANK(_xlpm.HRange)=4),
Error!$B$5,
IF(AND($F233="Remove",$H233&lt;&gt;"",$I233=""),
Error!$B$18,
IF(AND($E233="Tier 4",$F233="Remove",$H233="Tree Protection Code: Tier 3 or Tier 4 Allowance",$H233&lt;&gt;"",ISNA(MATCH($I233,Tables!$B$200,0))),
Error!$B$17,
IF(AND($E233="Tier 3",$F233="Remove",$H233&lt;&gt;"",$H233="Tree Protection Code: Tier 3 or Tier 4 Allowance",OR($I233="",ISNA(MATCH($I233,Tables!$B$193:$B$197,0)))),
Error!$B$17,
IF(AND(OR($E233="Tier 2",$E233="Tier 2 Grove"),$F233="Remove",$H233="Tree Protection Code: Other removal allowance or exemption",$I233&lt;&gt;"",ISNA(MATCH($I233,Tables!$B$215:$B$218,0))),
Error!$B$17,
IF(AND(OR($E233="Tier 2",$E233="Tier 2 Grove"),$F233="Remove",$H233="Tree Protection Code: Development Capacity",$I233&lt;&gt;"",ISNA(MATCH($I233,Tables!$B$193:$B$197,0))),
Error!$B$17,
IF(AND(OR($E233="Tier 2",$E233="Tier 2 Grove"),$F233="Remove",$H233="Tree Protection Code: Necessary for Construction",$I233&lt;&gt;"",ISNA(MATCH($I233,Tables!$B$193:$B$197,0))),
Error!$B$17,
IF(AND($E233="Tier 1",$F233="Remove",$H233="Tree Protection Code: Special Exception",$I233&lt;&gt;"",ISNA(MATCH($I233,Tables!$B$215:$B$218,0))),
Error!$B$17,
IF(AND($E233="Tier 1",$F233="Remove",$H233="Tree Protection Code: Other removal allowance or exemption",$I233&lt;&gt;"",ISNA(MATCH($I233,Tables!$B$215:$B$218,0))),
Error!$B$17,
IF(AND($E233="ECA / Shoreline Tree",$F233="Remove",$H233&lt;&gt;"",OR($H233="Shoreline",$H233="Environmental Critical Area (ECA)"),ISNA(MATCH($I233,Tables!$B$209:$B$212,0))),
Error!$B$17,
IF(AND(_xlpm.baseRow,$F233="Retain",$E233="ECA / Shoreline Tree",_xlpm.ECA_Short=0),
Error!$B$61,
IF(AND($F233="Remove",ISNUMBER(MATCH($E233,{"Tier 1","Tier 2","Tier 3","Tier 4","Tier 2 Grove"},0)),ISNUMBER(MATCH($I233,{"On-site replacement","Off-site replacement"},0)),$J233="",$H233&lt;&gt;""),
Error!$B$19,
IF(AND(_xlpm.baseRow,$E233&lt;&gt;"",$D233&lt;&gt;"",$F233&lt;&gt;"",COUNTBLANK($B233:$C233)&gt;0,COUNTBLANK(_xlpm.HRange)&lt;&gt;4),
Error!$B$22,
IF(AND($H233="Zoning: Tree Points",$K233&lt;&gt;"",ISNA(MATCH($K233,Tables!$B$242:$B$253,0))),
Error!$B$58,
IF(AND($H233="Zoning: Tree Points",$K233="Small",$L233&lt;&gt;"",ISNA(MATCH($L233,Tables!$C$243:$C$244,0))),
Error!$B$59,
IF(AND($H233="Zoning: Tree Points",$K233="Small/Medium",$L233&lt;&gt;"",ISNA(MATCH($L233,Tables!$C$246:$C$247,0))),
Error!$B$59,
IF(AND($H233="Zoning: Tree Points",$K233="Medium/Large",$L233&lt;&gt;"",ISNA(MATCH($L233,Tables!$C$249:$C$250,0))),
Error!$B$59,
IF(AND($H233="Zoning: Tree Points",$K233="Large",$L233&lt;&gt;"",ISNA(MATCH($L233,Tables!$C$252:$C$253,0))),
Error!$B$59,
IF(AND($F233="Retain",$H233="Zoning: Tree Points",$C233&lt;&gt;"",$D233&lt;&gt;"",OR($K233="",$L233="",$M233="")),
Error!$B$20,
""
)))))))))))))))))))))))))))))))))))))))))))))))))))))))),
Error!$B$23))</f>
        <v/>
      </c>
      <c r="O233" s="343" t="str" cm="1">
        <f t="array" aca="1" ref="O233" ca="1">IFERROR(_xlfn.LET(
    _xlpm.txt, $C233,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34" spans="1:15" ht="15" thickBot="1" x14ac:dyDescent="0.35">
      <c r="A234" s="331"/>
      <c r="B234" s="616" t="str">
        <f t="shared" si="234"/>
        <v/>
      </c>
      <c r="C234" s="617" t="str">
        <f t="shared" si="235"/>
        <v/>
      </c>
      <c r="D234" s="618" t="str">
        <f t="shared" si="236"/>
        <v/>
      </c>
      <c r="E234" s="616" t="str">
        <f t="shared" si="237"/>
        <v/>
      </c>
      <c r="F234" s="616" t="str">
        <f t="shared" si="238"/>
        <v/>
      </c>
      <c r="G234" s="619" t="str">
        <f>IF(Tree_Table1[[#This Row],[Tree Status  &amp;]]="Retain", Tables!$B$237, IF(Tree_Table1[[#This Row],[Tree Status  &amp;]]="Remove", Tables!$B$238, ""))</f>
        <v/>
      </c>
      <c r="H234" s="329"/>
      <c r="I234" s="330"/>
      <c r="J234" s="455"/>
      <c r="K234" s="327" t="str">
        <f>IFERROR(
    IF(
        AND($H234="Zoning: Tree Points", NOT(ISNUMBER(SEARCH("sp.", $C234)))),
        VLOOKUP($C234, 'Tree List'!$C$3:$F$601, 4, FALSE),
        ""
    ),
"")</f>
        <v/>
      </c>
      <c r="L234" s="328" t="str" cm="1">
        <f t="array" ref="L234">IFERROR(
IF(
    AND($H234="Zoning: Tree Points", NOT(ISNUMBER(SEARCH("sp.", $C234)))),
    _xlfn.IFS(
        (COUNTIFS('Tree List'!$C$3:$C$601,$C234,'Tree List'!$D$3:$D$601,"Coniferous")
        + COUNTIFS('Tree List'!$C$3:$C$601,$C234,'Tree List'!$D$3:$D$601,"Deciduous Conifer")) &gt; 0,
            _xlfn.IFS($K234="Small",0.5,$K234="Small/Medium",1,$K234="Medium/Large",1.4,$K234="Large",1.8),
        (COUNTIFS('Tree List'!$C$3:$C$601,$C234,'Tree List'!$D$3:$D$601,"Deciduous")
        + COUNTIFS('Tree List'!$C$3:$C$601,$C234,'Tree List'!$D$3:$D$601,"Broadleaf Evergreen")) &gt; 0,
            _xlfn.IFS($K234="Small",0.4,$K234="Small/Medium",0.8,$K234="Medium/Large",1.2,$K234="Large",1.6)
    ),
    ""
),
"")</f>
        <v/>
      </c>
      <c r="M234" s="476" t="str">
        <f t="shared" si="168"/>
        <v/>
      </c>
      <c r="N234" s="347" t="str" cm="1">
        <f t="array" aca="1" ref="N23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IF(AND(_xlpm.baseRow,ISNA(MATCH($C234,'Tree List'!$C$3:$C$601,0)),SUMPRODUCT(--ISNUMBER(SEARCH(Tables2!$C$677:$C$772,$O234)))&gt;0),
Error!$B$57,
IF(AND(_xlpm.hasDM,$F234="Remove",$H234&lt;&gt;"",OR($I234="On-site replacement",$I234="Off-site replacement",$I234="Payment In Lieu")),
Error!$B$56,
IF(AND(_xlpm.hasDM,$F234="Remove",$H234&lt;&gt;"",$I234="Relocation"),
Error!$B$66,
IF(AND(OR(_xlpm.hasCN,_xlpm.hasPH,_xlpm.hasGR),$H234&lt;&gt;"",COUNTIF(Tables!$B$132:$B$134,$H234)&gt;0,$I234="N/A (No replacement required)"),
Error!$B$62,
IF(AND(_xlpm.baseRow,$E234&lt;&gt;"",ISNA(MATCH($E234,Tables!$B$225:$B$232,0))),
Error!$B$2,
IF(AND(_xlpm.baseRow,$F234&lt;&gt;"",ISNA(MATCH($F234,Tables!$B$234:$B$235,0))),
Error!$B$24,
IF(AND(_xlpm.baseRow,_xlpm.ECA_H&gt;0,_xlpm.Shore_H&gt;0),
Error!$B$16,
IF(AND(_xlpm.baseRow,$E234&lt;&gt;"",$D234=""),
Error!$B$3,
IF(AND(_xlpm.baseRow,OR($E234="Tier 3",$E234="Tier 4"),$C234&lt;&gt;"",$D234&gt;=24,COUNTIF(Tables2!$B$166:$B$674,$C234)&gt;0),
Error!$B$44,
IF(AND(_xlpm.baseRow,OR($E234="Tier 3",$E234="Tier 4"),$C234&lt;&gt;"",$D234&lt;&gt;"",COUNTIF(Tables2!$B$73:$B$152,$C234)&gt;0,
$D234&gt;=IFERROR(INDEX(Tables2!$C$73:$C$152,MATCH($C234,Tables2!$B$73:$B$152,0)),-1)),
Error!$B$44,
IF(AND(_xlpm.baseRow,OR($E234="Tier 2",$E234="Tier 2 Grove"),$C234&lt;&gt;"",$D234&gt;=12,COUNTIF(Tables2!$B$153:$B$162,$C234)&gt;0),
Error!$B$45,
IF(AND(_xlpm.baseRow,$E234="Tier 2 Grove",$D234&lt;12),
Error!$B$41,
IF(AND(_xlpm.baseRow,$E234="Tier 2",$D234&lt;5.88),
Error!$B$40,
IF(AND(_xlpm.baseRow,OR($E234="Tier 2",$E234="Tier 2 Grove"),$C234&lt;&gt;"",$D234&lt;12,$D234&gt;=6,COUNTIF(Tables2!$B$153:$B$162,$C234)&gt;0),
Error!$B$54,
IF(AND(_xlpm.baseRow,$E234="Tier 2",COUNTIF(Tables2!$B$166:$B$674,$C234)&gt;0,$D234&lt;24),
Error!$B$54,
IF(AND(_xlpm.baseRow,$E234="Tier 3",ISNA(MATCH($C234,Tables2!$B$153:$B$162,0)),OR($D234&lt;12,$D234&gt;=24)),
Error!$B$9,
IF(AND(_xlpm.baseRow,$E234="Tier 3",COUNTIF(Tables2!$B$153:$B$162,$C234)&gt;0,$D234&lt;12),
Error!$B$46,
IF(AND(_xlpm.baseRow,$E234="Tier 4",OR($D234&lt;6,$D234&gt;=12)),
Error!$B$10,
IF(AND(_xlpm.baseRow,$E234="&lt;6in DSH for Tree Points",OR($D234&gt;=6,$D234="")),
Error!$B$8,
IF(AND(_xlpm.baseRow,$E234="Street Tree for Green Factor",$F234&lt;&gt;"",$F234&lt;&gt;"Retain"),
Error!$B$14,
IF(AND($E234="&lt;6in DSH for Tree Points",$F234="Retain",$H234&lt;&gt;"",ISNA(MATCH($H234,Tables!$B$174:$B$174,0))),
Error!$B$15,
IF(AND($E234="Street Tree for Green Factor",$F234="Retain",$H234&lt;&gt;"",$H234&lt;&gt;"Zoning: Green Factor"),
Error!$B$15,
IF(AND($E234="ECA / Shoreline Tree",$F234="Remove",$H234&lt;&gt;"",ISNA(MATCH($H234,Tables!$B$189:$B$190,0))),
Error!$B$15,
IF(AND($E234="ECA / Shoreline Tree",$F234="Retain",$H234&lt;&gt;"",ISNA(MATCH($H234,Tables!$B$184:$B$186,0))),
Error!$B$15,
IF(AND($E234="Tier 4",$F234="Remove",$H234&lt;&gt;"",ISNA(MATCH($H234,Tables!$B$171,0))),
Error!$B$15,
IF(AND($E234="Tier 4",$F234="Retain",$H234&lt;&gt;"",ISNA(MATCH($H234,Tables!$B$166:$B$168,0))),
Error!$B$15,
IF(AND($E234="Tier 3",$F234="Retain",$H234&lt;&gt;"",ISNA(MATCH($H234,Tables!$B$158:$B$160,0))),
Error!$B$15,
IF(AND($E234="Tier 3",$F234="Remove",$H234&lt;&gt;"",ISNA(MATCH($H234,Tables!$B$163,0))),
Error!$B$15,
IF(AND(OR($E234="Tier 2",$E234="Tier 2 Grove"),$F234="Remove",$H234&lt;&gt;"",ISNA(MATCH($H234,Tables!$B$153:$B$155,0))),
Error!$B$15,
IF(AND(OR($E234="Tier 2",$E234="Tier 2 Grove"),$F234="Retain",$H234&lt;&gt;"",ISNA(MATCH($H234,Tables!$B$147:$B$150,0))),
Error!$B$15,
IF(AND($E234="Tier 1",$F234="Remove",$H234&lt;&gt;"",ISNA(MATCH($H234,Tables!$B$143:$B$144,0))),
Error!$B$15,
IF(AND($E234="Tier 1",$F234="Retain",$H234&lt;&gt;"",ISNA(MATCH($H234,Tables!$B$137:$B$140,0))),
Error!$B$15,
IF(AND($E234&lt;&gt;"Tier 2",$E234&lt;&gt;"Tier 2 Grove",$E234&lt;&gt;"Tier 3",$E234&lt;&gt;"Tier 4",$H234="Zoning: Green Factor",OR($D234="",$D234&lt;6)),
Error!$B$11,
IF(AND(_xlpm.baseRow,$D234&lt;6,$E234="&lt;6in DSH for Tree Points",_xlpm.TreePoints_H=0),
Error!$B$21,
IF(AND(_xlpm.baseRow,$E234&lt;&gt;"",$D234&lt;&gt;"",$F234=""),
Error!$B$4,
IF(AND(_xlpm.baseRow,$F234="Remove",OR($E234="Tier 1",$E234="Tier 2",$E234="Tier 2 Grove"),COUNTBLANK(_xlpm.HRange)&lt;3,_xlpm.uniqueH&gt;=2),
Error!$B$48,
IF(AND(_xlpm.baseRow,$F234="Retain",OR($E234="Tier 1",$E234="Tier 2",$E234="Tier 2 Grove"),COUNTIF(_xlpm.HRange,"Tree Code: Required to Retain Tier 1-2 Tree")=0),
Error!$B$47,
IF(AND(_xlpm.baseRow,$E234&lt;&gt;"",$D234&lt;&gt;"",$F234&lt;&gt;"",COUNTBLANK(_xlpm.HRange)=4),
Error!$B$5,
IF(AND($F234="Remove",$H234&lt;&gt;"",$I234=""),
Error!$B$18,
IF(AND($E234="Tier 4",$F234="Remove",$H234="Tree Protection Code: Tier 3 or Tier 4 Allowance",$H234&lt;&gt;"",ISNA(MATCH($I234,Tables!$B$200,0))),
Error!$B$17,
IF(AND($E234="Tier 3",$F234="Remove",$H234&lt;&gt;"",$H234="Tree Protection Code: Tier 3 or Tier 4 Allowance",OR($I234="",ISNA(MATCH($I234,Tables!$B$193:$B$197,0)))),
Error!$B$17,
IF(AND(OR($E234="Tier 2",$E234="Tier 2 Grove"),$F234="Remove",$H234="Tree Protection Code: Other removal allowance or exemption",$I234&lt;&gt;"",ISNA(MATCH($I234,Tables!$B$215:$B$218,0))),
Error!$B$17,
IF(AND(OR($E234="Tier 2",$E234="Tier 2 Grove"),$F234="Remove",$H234="Tree Protection Code: Development Capacity",$I234&lt;&gt;"",ISNA(MATCH($I234,Tables!$B$193:$B$197,0))),
Error!$B$17,
IF(AND(OR($E234="Tier 2",$E234="Tier 2 Grove"),$F234="Remove",$H234="Tree Protection Code: Necessary for Construction",$I234&lt;&gt;"",ISNA(MATCH($I234,Tables!$B$193:$B$197,0))),
Error!$B$17,
IF(AND($E234="Tier 1",$F234="Remove",$H234="Tree Protection Code: Special Exception",$I234&lt;&gt;"",ISNA(MATCH($I234,Tables!$B$215:$B$218,0))),
Error!$B$17,
IF(AND($E234="Tier 1",$F234="Remove",$H234="Tree Protection Code: Other removal allowance or exemption",$I234&lt;&gt;"",ISNA(MATCH($I234,Tables!$B$215:$B$218,0))),
Error!$B$17,
IF(AND($E234="ECA / Shoreline Tree",$F234="Remove",$H234&lt;&gt;"",OR($H234="Shoreline",$H234="Environmental Critical Area (ECA)"),ISNA(MATCH($I234,Tables!$B$209:$B$212,0))),
Error!$B$17,
IF(AND(_xlpm.baseRow,$F234="Retain",$E234="ECA / Shoreline Tree",_xlpm.ECA_Short=0),
Error!$B$61,
IF(AND($F234="Remove",ISNUMBER(MATCH($E234,{"Tier 1","Tier 2","Tier 3","Tier 4","Tier 2 Grove"},0)),ISNUMBER(MATCH($I234,{"On-site replacement","Off-site replacement"},0)),$J234="",$H234&lt;&gt;""),
Error!$B$19,
IF(AND(_xlpm.baseRow,$E234&lt;&gt;"",$D234&lt;&gt;"",$F234&lt;&gt;"",COUNTBLANK($B234:$C234)&gt;0,COUNTBLANK(_xlpm.HRange)&lt;&gt;4),
Error!$B$22,
IF(AND($H234="Zoning: Tree Points",$K234&lt;&gt;"",ISNA(MATCH($K234,Tables!$B$242:$B$253,0))),
Error!$B$58,
IF(AND($H234="Zoning: Tree Points",$K234="Small",$L234&lt;&gt;"",ISNA(MATCH($L234,Tables!$C$243:$C$244,0))),
Error!$B$59,
IF(AND($H234="Zoning: Tree Points",$K234="Small/Medium",$L234&lt;&gt;"",ISNA(MATCH($L234,Tables!$C$246:$C$247,0))),
Error!$B$59,
IF(AND($H234="Zoning: Tree Points",$K234="Medium/Large",$L234&lt;&gt;"",ISNA(MATCH($L234,Tables!$C$249:$C$250,0))),
Error!$B$59,
IF(AND($H234="Zoning: Tree Points",$K234="Large",$L234&lt;&gt;"",ISNA(MATCH($L234,Tables!$C$252:$C$253,0))),
Error!$B$59,
IF(AND($F234="Retain",$H234="Zoning: Tree Points",$C234&lt;&gt;"",$D234&lt;&gt;"",OR($K234="",$L234="",$M234="")),
Error!$B$20,
""
)))))))))))))))))))))))))))))))))))))))))))))))))))))))),
Error!$B$23))</f>
        <v/>
      </c>
      <c r="O234" s="343" t="str" cm="1">
        <f t="array" aca="1" ref="O234" ca="1">IFERROR(_xlfn.LET(
    _xlpm.txt, $C234,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35" spans="1:15" ht="15" thickBot="1" x14ac:dyDescent="0.35">
      <c r="A235" s="311">
        <v>57</v>
      </c>
      <c r="B235" s="312"/>
      <c r="C235" s="313"/>
      <c r="D235" s="478"/>
      <c r="E235" s="314"/>
      <c r="F235" s="314"/>
      <c r="G235" s="315" t="str">
        <f>IF(Tree_Table1[[#This Row],[Tree Status  &amp;]]="Retain", Tables!$B$237, IF(Tree_Table1[[#This Row],[Tree Status  &amp;]]="Remove", Tables!$B$238, ""))</f>
        <v/>
      </c>
      <c r="H235" s="316"/>
      <c r="I235" s="317"/>
      <c r="J235" s="452"/>
      <c r="K235" s="318" t="str">
        <f>IFERROR(
    IF(
        AND($H235="Zoning: Tree Points", NOT(ISNUMBER(SEARCH("sp.", $C235)))),
        VLOOKUP($C235, 'Tree List'!$C$3:$F$601, 4, FALSE),
        ""
    ),
"")</f>
        <v/>
      </c>
      <c r="L235" s="319" t="str" cm="1">
        <f t="array" ref="L235">IFERROR(
IF(
    AND($H235="Zoning: Tree Points", NOT(ISNUMBER(SEARCH("sp.", $C235)))),
    _xlfn.IFS(
        (COUNTIFS('Tree List'!$C$3:$C$601,$C235,'Tree List'!$D$3:$D$601,"Coniferous")
        + COUNTIFS('Tree List'!$C$3:$C$601,$C235,'Tree List'!$D$3:$D$601,"Deciduous Conifer")) &gt; 0,
            _xlfn.IFS($K235="Small",0.5,$K235="Small/Medium",1,$K235="Medium/Large",1.4,$K235="Large",1.8),
        (COUNTIFS('Tree List'!$C$3:$C$601,$C235,'Tree List'!$D$3:$D$601,"Deciduous")
        + COUNTIFS('Tree List'!$C$3:$C$601,$C235,'Tree List'!$D$3:$D$601,"Broadleaf Evergreen")) &gt; 0,
            _xlfn.IFS($K235="Small",0.4,$K235="Small/Medium",0.8,$K235="Medium/Large",1.2,$K235="Large",1.6)
    ),
    ""
),
"")</f>
        <v/>
      </c>
      <c r="M235" s="474" t="str">
        <f t="shared" si="168"/>
        <v/>
      </c>
      <c r="N235" s="620" t="str" cm="1">
        <f t="array" aca="1" ref="N23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IF(AND(_xlpm.baseRow,ISNA(MATCH($C235,'Tree List'!$C$3:$C$601,0)),SUMPRODUCT(--ISNUMBER(SEARCH(Tables2!$C$677:$C$772,$O235)))&gt;0),
Error!$B$57,
IF(AND(_xlpm.hasDM,$F235="Remove",$H235&lt;&gt;"",OR($I235="On-site replacement",$I235="Off-site replacement",$I235="Payment In Lieu")),
Error!$B$56,
IF(AND(_xlpm.hasDM,$F235="Remove",$H235&lt;&gt;"",$I235="Relocation"),
Error!$B$66,
IF(AND(OR(_xlpm.hasCN,_xlpm.hasPH,_xlpm.hasGR),$H235&lt;&gt;"",COUNTIF(Tables!$B$132:$B$134,$H235)&gt;0,$I235="N/A (No replacement required)"),
Error!$B$62,
IF(AND(_xlpm.baseRow,$E235&lt;&gt;"",ISNA(MATCH($E235,Tables!$B$225:$B$232,0))),
Error!$B$2,
IF(AND(_xlpm.baseRow,$F235&lt;&gt;"",ISNA(MATCH($F235,Tables!$B$234:$B$235,0))),
Error!$B$24,
IF(AND(_xlpm.baseRow,_xlpm.ECA_H&gt;0,_xlpm.Shore_H&gt;0),
Error!$B$16,
IF(AND(_xlpm.baseRow,$E235&lt;&gt;"",$D235=""),
Error!$B$3,
IF(AND(_xlpm.baseRow,OR($E235="Tier 3",$E235="Tier 4"),$C235&lt;&gt;"",$D235&gt;=24,COUNTIF(Tables2!$B$166:$B$674,$C235)&gt;0),
Error!$B$44,
IF(AND(_xlpm.baseRow,OR($E235="Tier 3",$E235="Tier 4"),$C235&lt;&gt;"",$D235&lt;&gt;"",COUNTIF(Tables2!$B$73:$B$152,$C235)&gt;0,
$D235&gt;=IFERROR(INDEX(Tables2!$C$73:$C$152,MATCH($C235,Tables2!$B$73:$B$152,0)),-1)),
Error!$B$44,
IF(AND(_xlpm.baseRow,OR($E235="Tier 2",$E235="Tier 2 Grove"),$C235&lt;&gt;"",$D235&gt;=12,COUNTIF(Tables2!$B$153:$B$162,$C235)&gt;0),
Error!$B$45,
IF(AND(_xlpm.baseRow,$E235="Tier 2 Grove",$D235&lt;12),
Error!$B$41,
IF(AND(_xlpm.baseRow,$E235="Tier 2",$D235&lt;5.88),
Error!$B$40,
IF(AND(_xlpm.baseRow,OR($E235="Tier 2",$E235="Tier 2 Grove"),$C235&lt;&gt;"",$D235&lt;12,$D235&gt;=6,COUNTIF(Tables2!$B$153:$B$162,$C235)&gt;0),
Error!$B$54,
IF(AND(_xlpm.baseRow,$E235="Tier 2",COUNTIF(Tables2!$B$166:$B$674,$C235)&gt;0,$D235&lt;24),
Error!$B$54,
IF(AND(_xlpm.baseRow,$E235="Tier 3",ISNA(MATCH($C235,Tables2!$B$153:$B$162,0)),OR($D235&lt;12,$D235&gt;=24)),
Error!$B$9,
IF(AND(_xlpm.baseRow,$E235="Tier 3",COUNTIF(Tables2!$B$153:$B$162,$C235)&gt;0,$D235&lt;12),
Error!$B$46,
IF(AND(_xlpm.baseRow,$E235="Tier 4",OR($D235&lt;6,$D235&gt;=12)),
Error!$B$10,
IF(AND(_xlpm.baseRow,$E235="&lt;6in DSH for Tree Points",OR($D235&gt;=6,$D235="")),
Error!$B$8,
IF(AND(_xlpm.baseRow,$E235="Street Tree for Green Factor",$F235&lt;&gt;"",$F235&lt;&gt;"Retain"),
Error!$B$14,
IF(AND($E235="&lt;6in DSH for Tree Points",$F235="Retain",$H235&lt;&gt;"",ISNA(MATCH($H235,Tables!$B$174:$B$174,0))),
Error!$B$15,
IF(AND($E235="Street Tree for Green Factor",$F235="Retain",$H235&lt;&gt;"",$H235&lt;&gt;"Zoning: Green Factor"),
Error!$B$15,
IF(AND($E235="ECA / Shoreline Tree",$F235="Remove",$H235&lt;&gt;"",ISNA(MATCH($H235,Tables!$B$189:$B$190,0))),
Error!$B$15,
IF(AND($E235="ECA / Shoreline Tree",$F235="Retain",$H235&lt;&gt;"",ISNA(MATCH($H235,Tables!$B$184:$B$186,0))),
Error!$B$15,
IF(AND($E235="Tier 4",$F235="Remove",$H235&lt;&gt;"",ISNA(MATCH($H235,Tables!$B$171,0))),
Error!$B$15,
IF(AND($E235="Tier 4",$F235="Retain",$H235&lt;&gt;"",ISNA(MATCH($H235,Tables!$B$166:$B$168,0))),
Error!$B$15,
IF(AND($E235="Tier 3",$F235="Retain",$H235&lt;&gt;"",ISNA(MATCH($H235,Tables!$B$158:$B$160,0))),
Error!$B$15,
IF(AND($E235="Tier 3",$F235="Remove",$H235&lt;&gt;"",ISNA(MATCH($H235,Tables!$B$163,0))),
Error!$B$15,
IF(AND(OR($E235="Tier 2",$E235="Tier 2 Grove"),$F235="Remove",$H235&lt;&gt;"",ISNA(MATCH($H235,Tables!$B$153:$B$155,0))),
Error!$B$15,
IF(AND(OR($E235="Tier 2",$E235="Tier 2 Grove"),$F235="Retain",$H235&lt;&gt;"",ISNA(MATCH($H235,Tables!$B$147:$B$150,0))),
Error!$B$15,
IF(AND($E235="Tier 1",$F235="Remove",$H235&lt;&gt;"",ISNA(MATCH($H235,Tables!$B$143:$B$144,0))),
Error!$B$15,
IF(AND($E235="Tier 1",$F235="Retain",$H235&lt;&gt;"",ISNA(MATCH($H235,Tables!$B$137:$B$140,0))),
Error!$B$15,
IF(AND($E235&lt;&gt;"Tier 2",$E235&lt;&gt;"Tier 2 Grove",$E235&lt;&gt;"Tier 3",$E235&lt;&gt;"Tier 4",$H235="Zoning: Green Factor",OR($D235="",$D235&lt;6)),
Error!$B$11,
IF(AND(_xlpm.baseRow,$D235&lt;6,$E235="&lt;6in DSH for Tree Points",_xlpm.TreePoints_H=0),
Error!$B$21,
IF(AND(_xlpm.baseRow,$E235&lt;&gt;"",$D235&lt;&gt;"",$F235=""),
Error!$B$4,
IF(AND(_xlpm.baseRow,$F235="Remove",OR($E235="Tier 1",$E235="Tier 2",$E235="Tier 2 Grove"),COUNTBLANK(_xlpm.HRange)&lt;3,_xlpm.uniqueH&gt;=2),
Error!$B$48,
IF(AND(_xlpm.baseRow,$F235="Retain",OR($E235="Tier 1",$E235="Tier 2",$E235="Tier 2 Grove"),COUNTIF(_xlpm.HRange,"Tree Code: Required to Retain Tier 1-2 Tree")=0),
Error!$B$47,
IF(AND(_xlpm.baseRow,$E235&lt;&gt;"",$D235&lt;&gt;"",$F235&lt;&gt;"",COUNTBLANK(_xlpm.HRange)=4),
Error!$B$5,
IF(AND($F235="Remove",$H235&lt;&gt;"",$I235=""),
Error!$B$18,
IF(AND($E235="Tier 4",$F235="Remove",$H235="Tree Protection Code: Tier 3 or Tier 4 Allowance",$H235&lt;&gt;"",ISNA(MATCH($I235,Tables!$B$200,0))),
Error!$B$17,
IF(AND($E235="Tier 3",$F235="Remove",$H235&lt;&gt;"",$H235="Tree Protection Code: Tier 3 or Tier 4 Allowance",OR($I235="",ISNA(MATCH($I235,Tables!$B$193:$B$197,0)))),
Error!$B$17,
IF(AND(OR($E235="Tier 2",$E235="Tier 2 Grove"),$F235="Remove",$H235="Tree Protection Code: Other removal allowance or exemption",$I235&lt;&gt;"",ISNA(MATCH($I235,Tables!$B$215:$B$218,0))),
Error!$B$17,
IF(AND(OR($E235="Tier 2",$E235="Tier 2 Grove"),$F235="Remove",$H235="Tree Protection Code: Development Capacity",$I235&lt;&gt;"",ISNA(MATCH($I235,Tables!$B$193:$B$197,0))),
Error!$B$17,
IF(AND(OR($E235="Tier 2",$E235="Tier 2 Grove"),$F235="Remove",$H235="Tree Protection Code: Necessary for Construction",$I235&lt;&gt;"",ISNA(MATCH($I235,Tables!$B$193:$B$197,0))),
Error!$B$17,
IF(AND($E235="Tier 1",$F235="Remove",$H235="Tree Protection Code: Special Exception",$I235&lt;&gt;"",ISNA(MATCH($I235,Tables!$B$215:$B$218,0))),
Error!$B$17,
IF(AND($E235="Tier 1",$F235="Remove",$H235="Tree Protection Code: Other removal allowance or exemption",$I235&lt;&gt;"",ISNA(MATCH($I235,Tables!$B$215:$B$218,0))),
Error!$B$17,
IF(AND($E235="ECA / Shoreline Tree",$F235="Remove",$H235&lt;&gt;"",OR($H235="Shoreline",$H235="Environmental Critical Area (ECA)"),ISNA(MATCH($I235,Tables!$B$209:$B$212,0))),
Error!$B$17,
IF(AND(_xlpm.baseRow,$F235="Retain",$E235="ECA / Shoreline Tree",_xlpm.ECA_Short=0),
Error!$B$61,
IF(AND($F235="Remove",ISNUMBER(MATCH($E235,{"Tier 1","Tier 2","Tier 3","Tier 4","Tier 2 Grove"},0)),ISNUMBER(MATCH($I235,{"On-site replacement","Off-site replacement"},0)),$J235="",$H235&lt;&gt;""),
Error!$B$19,
IF(AND(_xlpm.baseRow,$E235&lt;&gt;"",$D235&lt;&gt;"",$F235&lt;&gt;"",COUNTBLANK($B235:$C235)&gt;0,COUNTBLANK(_xlpm.HRange)&lt;&gt;4),
Error!$B$22,
IF(AND($H235="Zoning: Tree Points",$K235&lt;&gt;"",ISNA(MATCH($K235,Tables!$B$242:$B$253,0))),
Error!$B$58,
IF(AND($H235="Zoning: Tree Points",$K235="Small",$L235&lt;&gt;"",ISNA(MATCH($L235,Tables!$C$243:$C$244,0))),
Error!$B$59,
IF(AND($H235="Zoning: Tree Points",$K235="Small/Medium",$L235&lt;&gt;"",ISNA(MATCH($L235,Tables!$C$246:$C$247,0))),
Error!$B$59,
IF(AND($H235="Zoning: Tree Points",$K235="Medium/Large",$L235&lt;&gt;"",ISNA(MATCH($L235,Tables!$C$249:$C$250,0))),
Error!$B$59,
IF(AND($H235="Zoning: Tree Points",$K235="Large",$L235&lt;&gt;"",ISNA(MATCH($L235,Tables!$C$252:$C$253,0))),
Error!$B$59,
IF(AND($F235="Retain",$H235="Zoning: Tree Points",$C235&lt;&gt;"",$D235&lt;&gt;"",OR($K235="",$L235="",$M235="")),
Error!$B$20,
""
)))))))))))))))))))))))))))))))))))))))))))))))))))))))),
Error!$B$23))</f>
        <v/>
      </c>
      <c r="O235" s="343" t="str" cm="1">
        <f t="array" aca="1" ref="O235" ca="1">IFERROR(_xlfn.LET(
    _xlpm.txt, $C235,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36" spans="1:15" x14ac:dyDescent="0.3">
      <c r="A236" s="320"/>
      <c r="B236" s="616" t="str">
        <f t="shared" ref="B236:B238" si="239">IF($B235="", "", $B235)</f>
        <v/>
      </c>
      <c r="C236" s="617" t="str">
        <f t="shared" ref="C236:C238" si="240">IF($C235="", "", $C235)</f>
        <v/>
      </c>
      <c r="D236" s="618" t="str">
        <f t="shared" ref="D236:D238" si="241">IF($D235="", "", $D235)</f>
        <v/>
      </c>
      <c r="E236" s="616" t="str">
        <f t="shared" ref="E236:E238" si="242">IF($E235="", "", $E235)</f>
        <v/>
      </c>
      <c r="F236" s="616" t="str">
        <f t="shared" ref="F236:F238" si="243">IF($F235="", "", $F235)</f>
        <v/>
      </c>
      <c r="G236" s="619" t="str">
        <f>IF(Tree_Table1[[#This Row],[Tree Status  &amp;]]="Retain", Tables!$B$237, IF(Tree_Table1[[#This Row],[Tree Status  &amp;]]="Remove", Tables!$B$238, ""))</f>
        <v/>
      </c>
      <c r="H236" s="321"/>
      <c r="I236" s="322"/>
      <c r="J236" s="453"/>
      <c r="K236" s="323" t="str">
        <f>IFERROR(
    IF(
        AND($H236="Zoning: Tree Points", NOT(ISNUMBER(SEARCH("sp.", $C236)))),
        VLOOKUP($C236, 'Tree List'!$C$3:$F$601, 4, FALSE),
        ""
    ),
"")</f>
        <v/>
      </c>
      <c r="L236" s="324" t="str" cm="1">
        <f t="array" ref="L236">IFERROR(
IF(
    AND($H236="Zoning: Tree Points", NOT(ISNUMBER(SEARCH("sp.", $C236)))),
    _xlfn.IFS(
        (COUNTIFS('Tree List'!$C$3:$C$601,$C236,'Tree List'!$D$3:$D$601,"Coniferous")
        + COUNTIFS('Tree List'!$C$3:$C$601,$C236,'Tree List'!$D$3:$D$601,"Deciduous Conifer")) &gt; 0,
            _xlfn.IFS($K236="Small",0.5,$K236="Small/Medium",1,$K236="Medium/Large",1.4,$K236="Large",1.8),
        (COUNTIFS('Tree List'!$C$3:$C$601,$C236,'Tree List'!$D$3:$D$601,"Deciduous")
        + COUNTIFS('Tree List'!$C$3:$C$601,$C236,'Tree List'!$D$3:$D$601,"Broadleaf Evergreen")) &gt; 0,
            _xlfn.IFS($K236="Small",0.4,$K236="Small/Medium",0.8,$K236="Medium/Large",1.2,$K236="Large",1.6)
    ),
    ""
),
"")</f>
        <v/>
      </c>
      <c r="M236" s="475" t="str">
        <f t="shared" si="168"/>
        <v/>
      </c>
      <c r="N236" s="346" t="str" cm="1">
        <f t="array" aca="1" ref="N23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IF(AND(_xlpm.baseRow,ISNA(MATCH($C236,'Tree List'!$C$3:$C$601,0)),SUMPRODUCT(--ISNUMBER(SEARCH(Tables2!$C$677:$C$772,$O236)))&gt;0),
Error!$B$57,
IF(AND(_xlpm.hasDM,$F236="Remove",$H236&lt;&gt;"",OR($I236="On-site replacement",$I236="Off-site replacement",$I236="Payment In Lieu")),
Error!$B$56,
IF(AND(_xlpm.hasDM,$F236="Remove",$H236&lt;&gt;"",$I236="Relocation"),
Error!$B$66,
IF(AND(OR(_xlpm.hasCN,_xlpm.hasPH,_xlpm.hasGR),$H236&lt;&gt;"",COUNTIF(Tables!$B$132:$B$134,$H236)&gt;0,$I236="N/A (No replacement required)"),
Error!$B$62,
IF(AND(_xlpm.baseRow,$E236&lt;&gt;"",ISNA(MATCH($E236,Tables!$B$225:$B$232,0))),
Error!$B$2,
IF(AND(_xlpm.baseRow,$F236&lt;&gt;"",ISNA(MATCH($F236,Tables!$B$234:$B$235,0))),
Error!$B$24,
IF(AND(_xlpm.baseRow,_xlpm.ECA_H&gt;0,_xlpm.Shore_H&gt;0),
Error!$B$16,
IF(AND(_xlpm.baseRow,$E236&lt;&gt;"",$D236=""),
Error!$B$3,
IF(AND(_xlpm.baseRow,OR($E236="Tier 3",$E236="Tier 4"),$C236&lt;&gt;"",$D236&gt;=24,COUNTIF(Tables2!$B$166:$B$674,$C236)&gt;0),
Error!$B$44,
IF(AND(_xlpm.baseRow,OR($E236="Tier 3",$E236="Tier 4"),$C236&lt;&gt;"",$D236&lt;&gt;"",COUNTIF(Tables2!$B$73:$B$152,$C236)&gt;0,
$D236&gt;=IFERROR(INDEX(Tables2!$C$73:$C$152,MATCH($C236,Tables2!$B$73:$B$152,0)),-1)),
Error!$B$44,
IF(AND(_xlpm.baseRow,OR($E236="Tier 2",$E236="Tier 2 Grove"),$C236&lt;&gt;"",$D236&gt;=12,COUNTIF(Tables2!$B$153:$B$162,$C236)&gt;0),
Error!$B$45,
IF(AND(_xlpm.baseRow,$E236="Tier 2 Grove",$D236&lt;12),
Error!$B$41,
IF(AND(_xlpm.baseRow,$E236="Tier 2",$D236&lt;5.88),
Error!$B$40,
IF(AND(_xlpm.baseRow,OR($E236="Tier 2",$E236="Tier 2 Grove"),$C236&lt;&gt;"",$D236&lt;12,$D236&gt;=6,COUNTIF(Tables2!$B$153:$B$162,$C236)&gt;0),
Error!$B$54,
IF(AND(_xlpm.baseRow,$E236="Tier 2",COUNTIF(Tables2!$B$166:$B$674,$C236)&gt;0,$D236&lt;24),
Error!$B$54,
IF(AND(_xlpm.baseRow,$E236="Tier 3",ISNA(MATCH($C236,Tables2!$B$153:$B$162,0)),OR($D236&lt;12,$D236&gt;=24)),
Error!$B$9,
IF(AND(_xlpm.baseRow,$E236="Tier 3",COUNTIF(Tables2!$B$153:$B$162,$C236)&gt;0,$D236&lt;12),
Error!$B$46,
IF(AND(_xlpm.baseRow,$E236="Tier 4",OR($D236&lt;6,$D236&gt;=12)),
Error!$B$10,
IF(AND(_xlpm.baseRow,$E236="&lt;6in DSH for Tree Points",OR($D236&gt;=6,$D236="")),
Error!$B$8,
IF(AND(_xlpm.baseRow,$E236="Street Tree for Green Factor",$F236&lt;&gt;"",$F236&lt;&gt;"Retain"),
Error!$B$14,
IF(AND($E236="&lt;6in DSH for Tree Points",$F236="Retain",$H236&lt;&gt;"",ISNA(MATCH($H236,Tables!$B$174:$B$174,0))),
Error!$B$15,
IF(AND($E236="Street Tree for Green Factor",$F236="Retain",$H236&lt;&gt;"",$H236&lt;&gt;"Zoning: Green Factor"),
Error!$B$15,
IF(AND($E236="ECA / Shoreline Tree",$F236="Remove",$H236&lt;&gt;"",ISNA(MATCH($H236,Tables!$B$189:$B$190,0))),
Error!$B$15,
IF(AND($E236="ECA / Shoreline Tree",$F236="Retain",$H236&lt;&gt;"",ISNA(MATCH($H236,Tables!$B$184:$B$186,0))),
Error!$B$15,
IF(AND($E236="Tier 4",$F236="Remove",$H236&lt;&gt;"",ISNA(MATCH($H236,Tables!$B$171,0))),
Error!$B$15,
IF(AND($E236="Tier 4",$F236="Retain",$H236&lt;&gt;"",ISNA(MATCH($H236,Tables!$B$166:$B$168,0))),
Error!$B$15,
IF(AND($E236="Tier 3",$F236="Retain",$H236&lt;&gt;"",ISNA(MATCH($H236,Tables!$B$158:$B$160,0))),
Error!$B$15,
IF(AND($E236="Tier 3",$F236="Remove",$H236&lt;&gt;"",ISNA(MATCH($H236,Tables!$B$163,0))),
Error!$B$15,
IF(AND(OR($E236="Tier 2",$E236="Tier 2 Grove"),$F236="Remove",$H236&lt;&gt;"",ISNA(MATCH($H236,Tables!$B$153:$B$155,0))),
Error!$B$15,
IF(AND(OR($E236="Tier 2",$E236="Tier 2 Grove"),$F236="Retain",$H236&lt;&gt;"",ISNA(MATCH($H236,Tables!$B$147:$B$150,0))),
Error!$B$15,
IF(AND($E236="Tier 1",$F236="Remove",$H236&lt;&gt;"",ISNA(MATCH($H236,Tables!$B$143:$B$144,0))),
Error!$B$15,
IF(AND($E236="Tier 1",$F236="Retain",$H236&lt;&gt;"",ISNA(MATCH($H236,Tables!$B$137:$B$140,0))),
Error!$B$15,
IF(AND($E236&lt;&gt;"Tier 2",$E236&lt;&gt;"Tier 2 Grove",$E236&lt;&gt;"Tier 3",$E236&lt;&gt;"Tier 4",$H236="Zoning: Green Factor",OR($D236="",$D236&lt;6)),
Error!$B$11,
IF(AND(_xlpm.baseRow,$D236&lt;6,$E236="&lt;6in DSH for Tree Points",_xlpm.TreePoints_H=0),
Error!$B$21,
IF(AND(_xlpm.baseRow,$E236&lt;&gt;"",$D236&lt;&gt;"",$F236=""),
Error!$B$4,
IF(AND(_xlpm.baseRow,$F236="Remove",OR($E236="Tier 1",$E236="Tier 2",$E236="Tier 2 Grove"),COUNTBLANK(_xlpm.HRange)&lt;3,_xlpm.uniqueH&gt;=2),
Error!$B$48,
IF(AND(_xlpm.baseRow,$F236="Retain",OR($E236="Tier 1",$E236="Tier 2",$E236="Tier 2 Grove"),COUNTIF(_xlpm.HRange,"Tree Code: Required to Retain Tier 1-2 Tree")=0),
Error!$B$47,
IF(AND(_xlpm.baseRow,$E236&lt;&gt;"",$D236&lt;&gt;"",$F236&lt;&gt;"",COUNTBLANK(_xlpm.HRange)=4),
Error!$B$5,
IF(AND($F236="Remove",$H236&lt;&gt;"",$I236=""),
Error!$B$18,
IF(AND($E236="Tier 4",$F236="Remove",$H236="Tree Protection Code: Tier 3 or Tier 4 Allowance",$H236&lt;&gt;"",ISNA(MATCH($I236,Tables!$B$200,0))),
Error!$B$17,
IF(AND($E236="Tier 3",$F236="Remove",$H236&lt;&gt;"",$H236="Tree Protection Code: Tier 3 or Tier 4 Allowance",OR($I236="",ISNA(MATCH($I236,Tables!$B$193:$B$197,0)))),
Error!$B$17,
IF(AND(OR($E236="Tier 2",$E236="Tier 2 Grove"),$F236="Remove",$H236="Tree Protection Code: Other removal allowance or exemption",$I236&lt;&gt;"",ISNA(MATCH($I236,Tables!$B$215:$B$218,0))),
Error!$B$17,
IF(AND(OR($E236="Tier 2",$E236="Tier 2 Grove"),$F236="Remove",$H236="Tree Protection Code: Development Capacity",$I236&lt;&gt;"",ISNA(MATCH($I236,Tables!$B$193:$B$197,0))),
Error!$B$17,
IF(AND(OR($E236="Tier 2",$E236="Tier 2 Grove"),$F236="Remove",$H236="Tree Protection Code: Necessary for Construction",$I236&lt;&gt;"",ISNA(MATCH($I236,Tables!$B$193:$B$197,0))),
Error!$B$17,
IF(AND($E236="Tier 1",$F236="Remove",$H236="Tree Protection Code: Special Exception",$I236&lt;&gt;"",ISNA(MATCH($I236,Tables!$B$215:$B$218,0))),
Error!$B$17,
IF(AND($E236="Tier 1",$F236="Remove",$H236="Tree Protection Code: Other removal allowance or exemption",$I236&lt;&gt;"",ISNA(MATCH($I236,Tables!$B$215:$B$218,0))),
Error!$B$17,
IF(AND($E236="ECA / Shoreline Tree",$F236="Remove",$H236&lt;&gt;"",OR($H236="Shoreline",$H236="Environmental Critical Area (ECA)"),ISNA(MATCH($I236,Tables!$B$209:$B$212,0))),
Error!$B$17,
IF(AND(_xlpm.baseRow,$F236="Retain",$E236="ECA / Shoreline Tree",_xlpm.ECA_Short=0),
Error!$B$61,
IF(AND($F236="Remove",ISNUMBER(MATCH($E236,{"Tier 1","Tier 2","Tier 3","Tier 4","Tier 2 Grove"},0)),ISNUMBER(MATCH($I236,{"On-site replacement","Off-site replacement"},0)),$J236="",$H236&lt;&gt;""),
Error!$B$19,
IF(AND(_xlpm.baseRow,$E236&lt;&gt;"",$D236&lt;&gt;"",$F236&lt;&gt;"",COUNTBLANK($B236:$C236)&gt;0,COUNTBLANK(_xlpm.HRange)&lt;&gt;4),
Error!$B$22,
IF(AND($H236="Zoning: Tree Points",$K236&lt;&gt;"",ISNA(MATCH($K236,Tables!$B$242:$B$253,0))),
Error!$B$58,
IF(AND($H236="Zoning: Tree Points",$K236="Small",$L236&lt;&gt;"",ISNA(MATCH($L236,Tables!$C$243:$C$244,0))),
Error!$B$59,
IF(AND($H236="Zoning: Tree Points",$K236="Small/Medium",$L236&lt;&gt;"",ISNA(MATCH($L236,Tables!$C$246:$C$247,0))),
Error!$B$59,
IF(AND($H236="Zoning: Tree Points",$K236="Medium/Large",$L236&lt;&gt;"",ISNA(MATCH($L236,Tables!$C$249:$C$250,0))),
Error!$B$59,
IF(AND($H236="Zoning: Tree Points",$K236="Large",$L236&lt;&gt;"",ISNA(MATCH($L236,Tables!$C$252:$C$253,0))),
Error!$B$59,
IF(AND($F236="Retain",$H236="Zoning: Tree Points",$C236&lt;&gt;"",$D236&lt;&gt;"",OR($K236="",$L236="",$M236="")),
Error!$B$20,
""
)))))))))))))))))))))))))))))))))))))))))))))))))))))))),
Error!$B$23))</f>
        <v/>
      </c>
      <c r="O236" s="343" t="str" cm="1">
        <f t="array" aca="1" ref="O236" ca="1">IFERROR(_xlfn.LET(
    _xlpm.txt, $C236,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37" spans="1:15" x14ac:dyDescent="0.3">
      <c r="A237" s="320"/>
      <c r="B237" s="616" t="str">
        <f t="shared" si="239"/>
        <v/>
      </c>
      <c r="C237" s="617" t="str">
        <f t="shared" si="240"/>
        <v/>
      </c>
      <c r="D237" s="618" t="str">
        <f t="shared" si="241"/>
        <v/>
      </c>
      <c r="E237" s="616" t="str">
        <f t="shared" si="242"/>
        <v/>
      </c>
      <c r="F237" s="616" t="str">
        <f t="shared" si="243"/>
        <v/>
      </c>
      <c r="G237" s="619" t="str">
        <f>IF(Tree_Table1[[#This Row],[Tree Status  &amp;]]="Retain", Tables!$B$237, IF(Tree_Table1[[#This Row],[Tree Status  &amp;]]="Remove", Tables!$B$238, ""))</f>
        <v/>
      </c>
      <c r="H237" s="321"/>
      <c r="I237" s="322"/>
      <c r="J237" s="453"/>
      <c r="K237" s="323" t="str">
        <f>IFERROR(
    IF(
        AND($H237="Zoning: Tree Points", NOT(ISNUMBER(SEARCH("sp.", $C237)))),
        VLOOKUP($C237, 'Tree List'!$C$3:$F$601, 4, FALSE),
        ""
    ),
"")</f>
        <v/>
      </c>
      <c r="L237" s="324" t="str" cm="1">
        <f t="array" ref="L237">IFERROR(
IF(
    AND($H237="Zoning: Tree Points", NOT(ISNUMBER(SEARCH("sp.", $C237)))),
    _xlfn.IFS(
        (COUNTIFS('Tree List'!$C$3:$C$601,$C237,'Tree List'!$D$3:$D$601,"Coniferous")
        + COUNTIFS('Tree List'!$C$3:$C$601,$C237,'Tree List'!$D$3:$D$601,"Deciduous Conifer")) &gt; 0,
            _xlfn.IFS($K237="Small",0.5,$K237="Small/Medium",1,$K237="Medium/Large",1.4,$K237="Large",1.8),
        (COUNTIFS('Tree List'!$C$3:$C$601,$C237,'Tree List'!$D$3:$D$601,"Deciduous")
        + COUNTIFS('Tree List'!$C$3:$C$601,$C237,'Tree List'!$D$3:$D$601,"Broadleaf Evergreen")) &gt; 0,
            _xlfn.IFS($K237="Small",0.4,$K237="Small/Medium",0.8,$K237="Medium/Large",1.2,$K237="Large",1.6)
    ),
    ""
),
"")</f>
        <v/>
      </c>
      <c r="M237" s="475" t="str">
        <f t="shared" si="168"/>
        <v/>
      </c>
      <c r="N237" s="346" t="str" cm="1">
        <f t="array" aca="1" ref="N23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IF(AND(_xlpm.baseRow,ISNA(MATCH($C237,'Tree List'!$C$3:$C$601,0)),SUMPRODUCT(--ISNUMBER(SEARCH(Tables2!$C$677:$C$772,$O237)))&gt;0),
Error!$B$57,
IF(AND(_xlpm.hasDM,$F237="Remove",$H237&lt;&gt;"",OR($I237="On-site replacement",$I237="Off-site replacement",$I237="Payment In Lieu")),
Error!$B$56,
IF(AND(_xlpm.hasDM,$F237="Remove",$H237&lt;&gt;"",$I237="Relocation"),
Error!$B$66,
IF(AND(OR(_xlpm.hasCN,_xlpm.hasPH,_xlpm.hasGR),$H237&lt;&gt;"",COUNTIF(Tables!$B$132:$B$134,$H237)&gt;0,$I237="N/A (No replacement required)"),
Error!$B$62,
IF(AND(_xlpm.baseRow,$E237&lt;&gt;"",ISNA(MATCH($E237,Tables!$B$225:$B$232,0))),
Error!$B$2,
IF(AND(_xlpm.baseRow,$F237&lt;&gt;"",ISNA(MATCH($F237,Tables!$B$234:$B$235,0))),
Error!$B$24,
IF(AND(_xlpm.baseRow,_xlpm.ECA_H&gt;0,_xlpm.Shore_H&gt;0),
Error!$B$16,
IF(AND(_xlpm.baseRow,$E237&lt;&gt;"",$D237=""),
Error!$B$3,
IF(AND(_xlpm.baseRow,OR($E237="Tier 3",$E237="Tier 4"),$C237&lt;&gt;"",$D237&gt;=24,COUNTIF(Tables2!$B$166:$B$674,$C237)&gt;0),
Error!$B$44,
IF(AND(_xlpm.baseRow,OR($E237="Tier 3",$E237="Tier 4"),$C237&lt;&gt;"",$D237&lt;&gt;"",COUNTIF(Tables2!$B$73:$B$152,$C237)&gt;0,
$D237&gt;=IFERROR(INDEX(Tables2!$C$73:$C$152,MATCH($C237,Tables2!$B$73:$B$152,0)),-1)),
Error!$B$44,
IF(AND(_xlpm.baseRow,OR($E237="Tier 2",$E237="Tier 2 Grove"),$C237&lt;&gt;"",$D237&gt;=12,COUNTIF(Tables2!$B$153:$B$162,$C237)&gt;0),
Error!$B$45,
IF(AND(_xlpm.baseRow,$E237="Tier 2 Grove",$D237&lt;12),
Error!$B$41,
IF(AND(_xlpm.baseRow,$E237="Tier 2",$D237&lt;5.88),
Error!$B$40,
IF(AND(_xlpm.baseRow,OR($E237="Tier 2",$E237="Tier 2 Grove"),$C237&lt;&gt;"",$D237&lt;12,$D237&gt;=6,COUNTIF(Tables2!$B$153:$B$162,$C237)&gt;0),
Error!$B$54,
IF(AND(_xlpm.baseRow,$E237="Tier 2",COUNTIF(Tables2!$B$166:$B$674,$C237)&gt;0,$D237&lt;24),
Error!$B$54,
IF(AND(_xlpm.baseRow,$E237="Tier 3",ISNA(MATCH($C237,Tables2!$B$153:$B$162,0)),OR($D237&lt;12,$D237&gt;=24)),
Error!$B$9,
IF(AND(_xlpm.baseRow,$E237="Tier 3",COUNTIF(Tables2!$B$153:$B$162,$C237)&gt;0,$D237&lt;12),
Error!$B$46,
IF(AND(_xlpm.baseRow,$E237="Tier 4",OR($D237&lt;6,$D237&gt;=12)),
Error!$B$10,
IF(AND(_xlpm.baseRow,$E237="&lt;6in DSH for Tree Points",OR($D237&gt;=6,$D237="")),
Error!$B$8,
IF(AND(_xlpm.baseRow,$E237="Street Tree for Green Factor",$F237&lt;&gt;"",$F237&lt;&gt;"Retain"),
Error!$B$14,
IF(AND($E237="&lt;6in DSH for Tree Points",$F237="Retain",$H237&lt;&gt;"",ISNA(MATCH($H237,Tables!$B$174:$B$174,0))),
Error!$B$15,
IF(AND($E237="Street Tree for Green Factor",$F237="Retain",$H237&lt;&gt;"",$H237&lt;&gt;"Zoning: Green Factor"),
Error!$B$15,
IF(AND($E237="ECA / Shoreline Tree",$F237="Remove",$H237&lt;&gt;"",ISNA(MATCH($H237,Tables!$B$189:$B$190,0))),
Error!$B$15,
IF(AND($E237="ECA / Shoreline Tree",$F237="Retain",$H237&lt;&gt;"",ISNA(MATCH($H237,Tables!$B$184:$B$186,0))),
Error!$B$15,
IF(AND($E237="Tier 4",$F237="Remove",$H237&lt;&gt;"",ISNA(MATCH($H237,Tables!$B$171,0))),
Error!$B$15,
IF(AND($E237="Tier 4",$F237="Retain",$H237&lt;&gt;"",ISNA(MATCH($H237,Tables!$B$166:$B$168,0))),
Error!$B$15,
IF(AND($E237="Tier 3",$F237="Retain",$H237&lt;&gt;"",ISNA(MATCH($H237,Tables!$B$158:$B$160,0))),
Error!$B$15,
IF(AND($E237="Tier 3",$F237="Remove",$H237&lt;&gt;"",ISNA(MATCH($H237,Tables!$B$163,0))),
Error!$B$15,
IF(AND(OR($E237="Tier 2",$E237="Tier 2 Grove"),$F237="Remove",$H237&lt;&gt;"",ISNA(MATCH($H237,Tables!$B$153:$B$155,0))),
Error!$B$15,
IF(AND(OR($E237="Tier 2",$E237="Tier 2 Grove"),$F237="Retain",$H237&lt;&gt;"",ISNA(MATCH($H237,Tables!$B$147:$B$150,0))),
Error!$B$15,
IF(AND($E237="Tier 1",$F237="Remove",$H237&lt;&gt;"",ISNA(MATCH($H237,Tables!$B$143:$B$144,0))),
Error!$B$15,
IF(AND($E237="Tier 1",$F237="Retain",$H237&lt;&gt;"",ISNA(MATCH($H237,Tables!$B$137:$B$140,0))),
Error!$B$15,
IF(AND($E237&lt;&gt;"Tier 2",$E237&lt;&gt;"Tier 2 Grove",$E237&lt;&gt;"Tier 3",$E237&lt;&gt;"Tier 4",$H237="Zoning: Green Factor",OR($D237="",$D237&lt;6)),
Error!$B$11,
IF(AND(_xlpm.baseRow,$D237&lt;6,$E237="&lt;6in DSH for Tree Points",_xlpm.TreePoints_H=0),
Error!$B$21,
IF(AND(_xlpm.baseRow,$E237&lt;&gt;"",$D237&lt;&gt;"",$F237=""),
Error!$B$4,
IF(AND(_xlpm.baseRow,$F237="Remove",OR($E237="Tier 1",$E237="Tier 2",$E237="Tier 2 Grove"),COUNTBLANK(_xlpm.HRange)&lt;3,_xlpm.uniqueH&gt;=2),
Error!$B$48,
IF(AND(_xlpm.baseRow,$F237="Retain",OR($E237="Tier 1",$E237="Tier 2",$E237="Tier 2 Grove"),COUNTIF(_xlpm.HRange,"Tree Code: Required to Retain Tier 1-2 Tree")=0),
Error!$B$47,
IF(AND(_xlpm.baseRow,$E237&lt;&gt;"",$D237&lt;&gt;"",$F237&lt;&gt;"",COUNTBLANK(_xlpm.HRange)=4),
Error!$B$5,
IF(AND($F237="Remove",$H237&lt;&gt;"",$I237=""),
Error!$B$18,
IF(AND($E237="Tier 4",$F237="Remove",$H237="Tree Protection Code: Tier 3 or Tier 4 Allowance",$H237&lt;&gt;"",ISNA(MATCH($I237,Tables!$B$200,0))),
Error!$B$17,
IF(AND($E237="Tier 3",$F237="Remove",$H237&lt;&gt;"",$H237="Tree Protection Code: Tier 3 or Tier 4 Allowance",OR($I237="",ISNA(MATCH($I237,Tables!$B$193:$B$197,0)))),
Error!$B$17,
IF(AND(OR($E237="Tier 2",$E237="Tier 2 Grove"),$F237="Remove",$H237="Tree Protection Code: Other removal allowance or exemption",$I237&lt;&gt;"",ISNA(MATCH($I237,Tables!$B$215:$B$218,0))),
Error!$B$17,
IF(AND(OR($E237="Tier 2",$E237="Tier 2 Grove"),$F237="Remove",$H237="Tree Protection Code: Development Capacity",$I237&lt;&gt;"",ISNA(MATCH($I237,Tables!$B$193:$B$197,0))),
Error!$B$17,
IF(AND(OR($E237="Tier 2",$E237="Tier 2 Grove"),$F237="Remove",$H237="Tree Protection Code: Necessary for Construction",$I237&lt;&gt;"",ISNA(MATCH($I237,Tables!$B$193:$B$197,0))),
Error!$B$17,
IF(AND($E237="Tier 1",$F237="Remove",$H237="Tree Protection Code: Special Exception",$I237&lt;&gt;"",ISNA(MATCH($I237,Tables!$B$215:$B$218,0))),
Error!$B$17,
IF(AND($E237="Tier 1",$F237="Remove",$H237="Tree Protection Code: Other removal allowance or exemption",$I237&lt;&gt;"",ISNA(MATCH($I237,Tables!$B$215:$B$218,0))),
Error!$B$17,
IF(AND($E237="ECA / Shoreline Tree",$F237="Remove",$H237&lt;&gt;"",OR($H237="Shoreline",$H237="Environmental Critical Area (ECA)"),ISNA(MATCH($I237,Tables!$B$209:$B$212,0))),
Error!$B$17,
IF(AND(_xlpm.baseRow,$F237="Retain",$E237="ECA / Shoreline Tree",_xlpm.ECA_Short=0),
Error!$B$61,
IF(AND($F237="Remove",ISNUMBER(MATCH($E237,{"Tier 1","Tier 2","Tier 3","Tier 4","Tier 2 Grove"},0)),ISNUMBER(MATCH($I237,{"On-site replacement","Off-site replacement"},0)),$J237="",$H237&lt;&gt;""),
Error!$B$19,
IF(AND(_xlpm.baseRow,$E237&lt;&gt;"",$D237&lt;&gt;"",$F237&lt;&gt;"",COUNTBLANK($B237:$C237)&gt;0,COUNTBLANK(_xlpm.HRange)&lt;&gt;4),
Error!$B$22,
IF(AND($H237="Zoning: Tree Points",$K237&lt;&gt;"",ISNA(MATCH($K237,Tables!$B$242:$B$253,0))),
Error!$B$58,
IF(AND($H237="Zoning: Tree Points",$K237="Small",$L237&lt;&gt;"",ISNA(MATCH($L237,Tables!$C$243:$C$244,0))),
Error!$B$59,
IF(AND($H237="Zoning: Tree Points",$K237="Small/Medium",$L237&lt;&gt;"",ISNA(MATCH($L237,Tables!$C$246:$C$247,0))),
Error!$B$59,
IF(AND($H237="Zoning: Tree Points",$K237="Medium/Large",$L237&lt;&gt;"",ISNA(MATCH($L237,Tables!$C$249:$C$250,0))),
Error!$B$59,
IF(AND($H237="Zoning: Tree Points",$K237="Large",$L237&lt;&gt;"",ISNA(MATCH($L237,Tables!$C$252:$C$253,0))),
Error!$B$59,
IF(AND($F237="Retain",$H237="Zoning: Tree Points",$C237&lt;&gt;"",$D237&lt;&gt;"",OR($K237="",$L237="",$M237="")),
Error!$B$20,
""
)))))))))))))))))))))))))))))))))))))))))))))))))))))))),
Error!$B$23))</f>
        <v/>
      </c>
      <c r="O237" s="343" t="str" cm="1">
        <f t="array" aca="1" ref="O237" ca="1">IFERROR(_xlfn.LET(
    _xlpm.txt, $C237,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38" spans="1:15" ht="15" thickBot="1" x14ac:dyDescent="0.35">
      <c r="A238" s="331"/>
      <c r="B238" s="616" t="str">
        <f t="shared" si="239"/>
        <v/>
      </c>
      <c r="C238" s="617" t="str">
        <f t="shared" si="240"/>
        <v/>
      </c>
      <c r="D238" s="618" t="str">
        <f t="shared" si="241"/>
        <v/>
      </c>
      <c r="E238" s="616" t="str">
        <f t="shared" si="242"/>
        <v/>
      </c>
      <c r="F238" s="616" t="str">
        <f t="shared" si="243"/>
        <v/>
      </c>
      <c r="G238" s="619" t="str">
        <f>IF(Tree_Table1[[#This Row],[Tree Status  &amp;]]="Retain", Tables!$B$237, IF(Tree_Table1[[#This Row],[Tree Status  &amp;]]="Remove", Tables!$B$238, ""))</f>
        <v/>
      </c>
      <c r="H238" s="329"/>
      <c r="I238" s="330"/>
      <c r="J238" s="455"/>
      <c r="K238" s="327" t="str">
        <f>IFERROR(
    IF(
        AND($H238="Zoning: Tree Points", NOT(ISNUMBER(SEARCH("sp.", $C238)))),
        VLOOKUP($C238, 'Tree List'!$C$3:$F$601, 4, FALSE),
        ""
    ),
"")</f>
        <v/>
      </c>
      <c r="L238" s="328" t="str" cm="1">
        <f t="array" ref="L238">IFERROR(
IF(
    AND($H238="Zoning: Tree Points", NOT(ISNUMBER(SEARCH("sp.", $C238)))),
    _xlfn.IFS(
        (COUNTIFS('Tree List'!$C$3:$C$601,$C238,'Tree List'!$D$3:$D$601,"Coniferous")
        + COUNTIFS('Tree List'!$C$3:$C$601,$C238,'Tree List'!$D$3:$D$601,"Deciduous Conifer")) &gt; 0,
            _xlfn.IFS($K238="Small",0.5,$K238="Small/Medium",1,$K238="Medium/Large",1.4,$K238="Large",1.8),
        (COUNTIFS('Tree List'!$C$3:$C$601,$C238,'Tree List'!$D$3:$D$601,"Deciduous")
        + COUNTIFS('Tree List'!$C$3:$C$601,$C238,'Tree List'!$D$3:$D$601,"Broadleaf Evergreen")) &gt; 0,
            _xlfn.IFS($K238="Small",0.4,$K238="Small/Medium",0.8,$K238="Medium/Large",1.2,$K238="Large",1.6)
    ),
    ""
),
"")</f>
        <v/>
      </c>
      <c r="M238" s="476" t="str">
        <f t="shared" si="168"/>
        <v/>
      </c>
      <c r="N238" s="347" t="str" cm="1">
        <f t="array" aca="1" ref="N23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IF(AND(_xlpm.baseRow,ISNA(MATCH($C238,'Tree List'!$C$3:$C$601,0)),SUMPRODUCT(--ISNUMBER(SEARCH(Tables2!$C$677:$C$772,$O238)))&gt;0),
Error!$B$57,
IF(AND(_xlpm.hasDM,$F238="Remove",$H238&lt;&gt;"",OR($I238="On-site replacement",$I238="Off-site replacement",$I238="Payment In Lieu")),
Error!$B$56,
IF(AND(_xlpm.hasDM,$F238="Remove",$H238&lt;&gt;"",$I238="Relocation"),
Error!$B$66,
IF(AND(OR(_xlpm.hasCN,_xlpm.hasPH,_xlpm.hasGR),$H238&lt;&gt;"",COUNTIF(Tables!$B$132:$B$134,$H238)&gt;0,$I238="N/A (No replacement required)"),
Error!$B$62,
IF(AND(_xlpm.baseRow,$E238&lt;&gt;"",ISNA(MATCH($E238,Tables!$B$225:$B$232,0))),
Error!$B$2,
IF(AND(_xlpm.baseRow,$F238&lt;&gt;"",ISNA(MATCH($F238,Tables!$B$234:$B$235,0))),
Error!$B$24,
IF(AND(_xlpm.baseRow,_xlpm.ECA_H&gt;0,_xlpm.Shore_H&gt;0),
Error!$B$16,
IF(AND(_xlpm.baseRow,$E238&lt;&gt;"",$D238=""),
Error!$B$3,
IF(AND(_xlpm.baseRow,OR($E238="Tier 3",$E238="Tier 4"),$C238&lt;&gt;"",$D238&gt;=24,COUNTIF(Tables2!$B$166:$B$674,$C238)&gt;0),
Error!$B$44,
IF(AND(_xlpm.baseRow,OR($E238="Tier 3",$E238="Tier 4"),$C238&lt;&gt;"",$D238&lt;&gt;"",COUNTIF(Tables2!$B$73:$B$152,$C238)&gt;0,
$D238&gt;=IFERROR(INDEX(Tables2!$C$73:$C$152,MATCH($C238,Tables2!$B$73:$B$152,0)),-1)),
Error!$B$44,
IF(AND(_xlpm.baseRow,OR($E238="Tier 2",$E238="Tier 2 Grove"),$C238&lt;&gt;"",$D238&gt;=12,COUNTIF(Tables2!$B$153:$B$162,$C238)&gt;0),
Error!$B$45,
IF(AND(_xlpm.baseRow,$E238="Tier 2 Grove",$D238&lt;12),
Error!$B$41,
IF(AND(_xlpm.baseRow,$E238="Tier 2",$D238&lt;5.88),
Error!$B$40,
IF(AND(_xlpm.baseRow,OR($E238="Tier 2",$E238="Tier 2 Grove"),$C238&lt;&gt;"",$D238&lt;12,$D238&gt;=6,COUNTIF(Tables2!$B$153:$B$162,$C238)&gt;0),
Error!$B$54,
IF(AND(_xlpm.baseRow,$E238="Tier 2",COUNTIF(Tables2!$B$166:$B$674,$C238)&gt;0,$D238&lt;24),
Error!$B$54,
IF(AND(_xlpm.baseRow,$E238="Tier 3",ISNA(MATCH($C238,Tables2!$B$153:$B$162,0)),OR($D238&lt;12,$D238&gt;=24)),
Error!$B$9,
IF(AND(_xlpm.baseRow,$E238="Tier 3",COUNTIF(Tables2!$B$153:$B$162,$C238)&gt;0,$D238&lt;12),
Error!$B$46,
IF(AND(_xlpm.baseRow,$E238="Tier 4",OR($D238&lt;6,$D238&gt;=12)),
Error!$B$10,
IF(AND(_xlpm.baseRow,$E238="&lt;6in DSH for Tree Points",OR($D238&gt;=6,$D238="")),
Error!$B$8,
IF(AND(_xlpm.baseRow,$E238="Street Tree for Green Factor",$F238&lt;&gt;"",$F238&lt;&gt;"Retain"),
Error!$B$14,
IF(AND($E238="&lt;6in DSH for Tree Points",$F238="Retain",$H238&lt;&gt;"",ISNA(MATCH($H238,Tables!$B$174:$B$174,0))),
Error!$B$15,
IF(AND($E238="Street Tree for Green Factor",$F238="Retain",$H238&lt;&gt;"",$H238&lt;&gt;"Zoning: Green Factor"),
Error!$B$15,
IF(AND($E238="ECA / Shoreline Tree",$F238="Remove",$H238&lt;&gt;"",ISNA(MATCH($H238,Tables!$B$189:$B$190,0))),
Error!$B$15,
IF(AND($E238="ECA / Shoreline Tree",$F238="Retain",$H238&lt;&gt;"",ISNA(MATCH($H238,Tables!$B$184:$B$186,0))),
Error!$B$15,
IF(AND($E238="Tier 4",$F238="Remove",$H238&lt;&gt;"",ISNA(MATCH($H238,Tables!$B$171,0))),
Error!$B$15,
IF(AND($E238="Tier 4",$F238="Retain",$H238&lt;&gt;"",ISNA(MATCH($H238,Tables!$B$166:$B$168,0))),
Error!$B$15,
IF(AND($E238="Tier 3",$F238="Retain",$H238&lt;&gt;"",ISNA(MATCH($H238,Tables!$B$158:$B$160,0))),
Error!$B$15,
IF(AND($E238="Tier 3",$F238="Remove",$H238&lt;&gt;"",ISNA(MATCH($H238,Tables!$B$163,0))),
Error!$B$15,
IF(AND(OR($E238="Tier 2",$E238="Tier 2 Grove"),$F238="Remove",$H238&lt;&gt;"",ISNA(MATCH($H238,Tables!$B$153:$B$155,0))),
Error!$B$15,
IF(AND(OR($E238="Tier 2",$E238="Tier 2 Grove"),$F238="Retain",$H238&lt;&gt;"",ISNA(MATCH($H238,Tables!$B$147:$B$150,0))),
Error!$B$15,
IF(AND($E238="Tier 1",$F238="Remove",$H238&lt;&gt;"",ISNA(MATCH($H238,Tables!$B$143:$B$144,0))),
Error!$B$15,
IF(AND($E238="Tier 1",$F238="Retain",$H238&lt;&gt;"",ISNA(MATCH($H238,Tables!$B$137:$B$140,0))),
Error!$B$15,
IF(AND($E238&lt;&gt;"Tier 2",$E238&lt;&gt;"Tier 2 Grove",$E238&lt;&gt;"Tier 3",$E238&lt;&gt;"Tier 4",$H238="Zoning: Green Factor",OR($D238="",$D238&lt;6)),
Error!$B$11,
IF(AND(_xlpm.baseRow,$D238&lt;6,$E238="&lt;6in DSH for Tree Points",_xlpm.TreePoints_H=0),
Error!$B$21,
IF(AND(_xlpm.baseRow,$E238&lt;&gt;"",$D238&lt;&gt;"",$F238=""),
Error!$B$4,
IF(AND(_xlpm.baseRow,$F238="Remove",OR($E238="Tier 1",$E238="Tier 2",$E238="Tier 2 Grove"),COUNTBLANK(_xlpm.HRange)&lt;3,_xlpm.uniqueH&gt;=2),
Error!$B$48,
IF(AND(_xlpm.baseRow,$F238="Retain",OR($E238="Tier 1",$E238="Tier 2",$E238="Tier 2 Grove"),COUNTIF(_xlpm.HRange,"Tree Code: Required to Retain Tier 1-2 Tree")=0),
Error!$B$47,
IF(AND(_xlpm.baseRow,$E238&lt;&gt;"",$D238&lt;&gt;"",$F238&lt;&gt;"",COUNTBLANK(_xlpm.HRange)=4),
Error!$B$5,
IF(AND($F238="Remove",$H238&lt;&gt;"",$I238=""),
Error!$B$18,
IF(AND($E238="Tier 4",$F238="Remove",$H238="Tree Protection Code: Tier 3 or Tier 4 Allowance",$H238&lt;&gt;"",ISNA(MATCH($I238,Tables!$B$200,0))),
Error!$B$17,
IF(AND($E238="Tier 3",$F238="Remove",$H238&lt;&gt;"",$H238="Tree Protection Code: Tier 3 or Tier 4 Allowance",OR($I238="",ISNA(MATCH($I238,Tables!$B$193:$B$197,0)))),
Error!$B$17,
IF(AND(OR($E238="Tier 2",$E238="Tier 2 Grove"),$F238="Remove",$H238="Tree Protection Code: Other removal allowance or exemption",$I238&lt;&gt;"",ISNA(MATCH($I238,Tables!$B$215:$B$218,0))),
Error!$B$17,
IF(AND(OR($E238="Tier 2",$E238="Tier 2 Grove"),$F238="Remove",$H238="Tree Protection Code: Development Capacity",$I238&lt;&gt;"",ISNA(MATCH($I238,Tables!$B$193:$B$197,0))),
Error!$B$17,
IF(AND(OR($E238="Tier 2",$E238="Tier 2 Grove"),$F238="Remove",$H238="Tree Protection Code: Necessary for Construction",$I238&lt;&gt;"",ISNA(MATCH($I238,Tables!$B$193:$B$197,0))),
Error!$B$17,
IF(AND($E238="Tier 1",$F238="Remove",$H238="Tree Protection Code: Special Exception",$I238&lt;&gt;"",ISNA(MATCH($I238,Tables!$B$215:$B$218,0))),
Error!$B$17,
IF(AND($E238="Tier 1",$F238="Remove",$H238="Tree Protection Code: Other removal allowance or exemption",$I238&lt;&gt;"",ISNA(MATCH($I238,Tables!$B$215:$B$218,0))),
Error!$B$17,
IF(AND($E238="ECA / Shoreline Tree",$F238="Remove",$H238&lt;&gt;"",OR($H238="Shoreline",$H238="Environmental Critical Area (ECA)"),ISNA(MATCH($I238,Tables!$B$209:$B$212,0))),
Error!$B$17,
IF(AND(_xlpm.baseRow,$F238="Retain",$E238="ECA / Shoreline Tree",_xlpm.ECA_Short=0),
Error!$B$61,
IF(AND($F238="Remove",ISNUMBER(MATCH($E238,{"Tier 1","Tier 2","Tier 3","Tier 4","Tier 2 Grove"},0)),ISNUMBER(MATCH($I238,{"On-site replacement","Off-site replacement"},0)),$J238="",$H238&lt;&gt;""),
Error!$B$19,
IF(AND(_xlpm.baseRow,$E238&lt;&gt;"",$D238&lt;&gt;"",$F238&lt;&gt;"",COUNTBLANK($B238:$C238)&gt;0,COUNTBLANK(_xlpm.HRange)&lt;&gt;4),
Error!$B$22,
IF(AND($H238="Zoning: Tree Points",$K238&lt;&gt;"",ISNA(MATCH($K238,Tables!$B$242:$B$253,0))),
Error!$B$58,
IF(AND($H238="Zoning: Tree Points",$K238="Small",$L238&lt;&gt;"",ISNA(MATCH($L238,Tables!$C$243:$C$244,0))),
Error!$B$59,
IF(AND($H238="Zoning: Tree Points",$K238="Small/Medium",$L238&lt;&gt;"",ISNA(MATCH($L238,Tables!$C$246:$C$247,0))),
Error!$B$59,
IF(AND($H238="Zoning: Tree Points",$K238="Medium/Large",$L238&lt;&gt;"",ISNA(MATCH($L238,Tables!$C$249:$C$250,0))),
Error!$B$59,
IF(AND($H238="Zoning: Tree Points",$K238="Large",$L238&lt;&gt;"",ISNA(MATCH($L238,Tables!$C$252:$C$253,0))),
Error!$B$59,
IF(AND($F238="Retain",$H238="Zoning: Tree Points",$C238&lt;&gt;"",$D238&lt;&gt;"",OR($K238="",$L238="",$M238="")),
Error!$B$20,
""
)))))))))))))))))))))))))))))))))))))))))))))))))))))))),
Error!$B$23))</f>
        <v/>
      </c>
      <c r="O238" s="343" t="str" cm="1">
        <f t="array" aca="1" ref="O238" ca="1">IFERROR(_xlfn.LET(
    _xlpm.txt, $C238,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39" spans="1:15" ht="15" thickBot="1" x14ac:dyDescent="0.35">
      <c r="A239" s="311">
        <v>58</v>
      </c>
      <c r="B239" s="312"/>
      <c r="C239" s="313"/>
      <c r="D239" s="478"/>
      <c r="E239" s="314"/>
      <c r="F239" s="314"/>
      <c r="G239" s="315" t="str">
        <f>IF(Tree_Table1[[#This Row],[Tree Status  &amp;]]="Retain", Tables!$B$237, IF(Tree_Table1[[#This Row],[Tree Status  &amp;]]="Remove", Tables!$B$238, ""))</f>
        <v/>
      </c>
      <c r="H239" s="316"/>
      <c r="I239" s="317"/>
      <c r="J239" s="452"/>
      <c r="K239" s="318" t="str">
        <f>IFERROR(
    IF(
        AND($H239="Zoning: Tree Points", NOT(ISNUMBER(SEARCH("sp.", $C239)))),
        VLOOKUP($C239, 'Tree List'!$C$3:$F$601, 4, FALSE),
        ""
    ),
"")</f>
        <v/>
      </c>
      <c r="L239" s="319" t="str" cm="1">
        <f t="array" ref="L239">IFERROR(
IF(
    AND($H239="Zoning: Tree Points", NOT(ISNUMBER(SEARCH("sp.", $C239)))),
    _xlfn.IFS(
        (COUNTIFS('Tree List'!$C$3:$C$601,$C239,'Tree List'!$D$3:$D$601,"Coniferous")
        + COUNTIFS('Tree List'!$C$3:$C$601,$C239,'Tree List'!$D$3:$D$601,"Deciduous Conifer")) &gt; 0,
            _xlfn.IFS($K239="Small",0.5,$K239="Small/Medium",1,$K239="Medium/Large",1.4,$K239="Large",1.8),
        (COUNTIFS('Tree List'!$C$3:$C$601,$C239,'Tree List'!$D$3:$D$601,"Deciduous")
        + COUNTIFS('Tree List'!$C$3:$C$601,$C239,'Tree List'!$D$3:$D$601,"Broadleaf Evergreen")) &gt; 0,
            _xlfn.IFS($K239="Small",0.4,$K239="Small/Medium",0.8,$K239="Medium/Large",1.2,$K239="Large",1.6)
    ),
    ""
),
"")</f>
        <v/>
      </c>
      <c r="M239" s="474" t="str">
        <f t="shared" si="168"/>
        <v/>
      </c>
      <c r="N239" s="620" t="str" cm="1">
        <f t="array" aca="1" ref="N23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IF(AND(_xlpm.baseRow,ISNA(MATCH($C239,'Tree List'!$C$3:$C$601,0)),SUMPRODUCT(--ISNUMBER(SEARCH(Tables2!$C$677:$C$772,$O239)))&gt;0),
Error!$B$57,
IF(AND(_xlpm.hasDM,$F239="Remove",$H239&lt;&gt;"",OR($I239="On-site replacement",$I239="Off-site replacement",$I239="Payment In Lieu")),
Error!$B$56,
IF(AND(_xlpm.hasDM,$F239="Remove",$H239&lt;&gt;"",$I239="Relocation"),
Error!$B$66,
IF(AND(OR(_xlpm.hasCN,_xlpm.hasPH,_xlpm.hasGR),$H239&lt;&gt;"",COUNTIF(Tables!$B$132:$B$134,$H239)&gt;0,$I239="N/A (No replacement required)"),
Error!$B$62,
IF(AND(_xlpm.baseRow,$E239&lt;&gt;"",ISNA(MATCH($E239,Tables!$B$225:$B$232,0))),
Error!$B$2,
IF(AND(_xlpm.baseRow,$F239&lt;&gt;"",ISNA(MATCH($F239,Tables!$B$234:$B$235,0))),
Error!$B$24,
IF(AND(_xlpm.baseRow,_xlpm.ECA_H&gt;0,_xlpm.Shore_H&gt;0),
Error!$B$16,
IF(AND(_xlpm.baseRow,$E239&lt;&gt;"",$D239=""),
Error!$B$3,
IF(AND(_xlpm.baseRow,OR($E239="Tier 3",$E239="Tier 4"),$C239&lt;&gt;"",$D239&gt;=24,COUNTIF(Tables2!$B$166:$B$674,$C239)&gt;0),
Error!$B$44,
IF(AND(_xlpm.baseRow,OR($E239="Tier 3",$E239="Tier 4"),$C239&lt;&gt;"",$D239&lt;&gt;"",COUNTIF(Tables2!$B$73:$B$152,$C239)&gt;0,
$D239&gt;=IFERROR(INDEX(Tables2!$C$73:$C$152,MATCH($C239,Tables2!$B$73:$B$152,0)),-1)),
Error!$B$44,
IF(AND(_xlpm.baseRow,OR($E239="Tier 2",$E239="Tier 2 Grove"),$C239&lt;&gt;"",$D239&gt;=12,COUNTIF(Tables2!$B$153:$B$162,$C239)&gt;0),
Error!$B$45,
IF(AND(_xlpm.baseRow,$E239="Tier 2 Grove",$D239&lt;12),
Error!$B$41,
IF(AND(_xlpm.baseRow,$E239="Tier 2",$D239&lt;5.88),
Error!$B$40,
IF(AND(_xlpm.baseRow,OR($E239="Tier 2",$E239="Tier 2 Grove"),$C239&lt;&gt;"",$D239&lt;12,$D239&gt;=6,COUNTIF(Tables2!$B$153:$B$162,$C239)&gt;0),
Error!$B$54,
IF(AND(_xlpm.baseRow,$E239="Tier 2",COUNTIF(Tables2!$B$166:$B$674,$C239)&gt;0,$D239&lt;24),
Error!$B$54,
IF(AND(_xlpm.baseRow,$E239="Tier 3",ISNA(MATCH($C239,Tables2!$B$153:$B$162,0)),OR($D239&lt;12,$D239&gt;=24)),
Error!$B$9,
IF(AND(_xlpm.baseRow,$E239="Tier 3",COUNTIF(Tables2!$B$153:$B$162,$C239)&gt;0,$D239&lt;12),
Error!$B$46,
IF(AND(_xlpm.baseRow,$E239="Tier 4",OR($D239&lt;6,$D239&gt;=12)),
Error!$B$10,
IF(AND(_xlpm.baseRow,$E239="&lt;6in DSH for Tree Points",OR($D239&gt;=6,$D239="")),
Error!$B$8,
IF(AND(_xlpm.baseRow,$E239="Street Tree for Green Factor",$F239&lt;&gt;"",$F239&lt;&gt;"Retain"),
Error!$B$14,
IF(AND($E239="&lt;6in DSH for Tree Points",$F239="Retain",$H239&lt;&gt;"",ISNA(MATCH($H239,Tables!$B$174:$B$174,0))),
Error!$B$15,
IF(AND($E239="Street Tree for Green Factor",$F239="Retain",$H239&lt;&gt;"",$H239&lt;&gt;"Zoning: Green Factor"),
Error!$B$15,
IF(AND($E239="ECA / Shoreline Tree",$F239="Remove",$H239&lt;&gt;"",ISNA(MATCH($H239,Tables!$B$189:$B$190,0))),
Error!$B$15,
IF(AND($E239="ECA / Shoreline Tree",$F239="Retain",$H239&lt;&gt;"",ISNA(MATCH($H239,Tables!$B$184:$B$186,0))),
Error!$B$15,
IF(AND($E239="Tier 4",$F239="Remove",$H239&lt;&gt;"",ISNA(MATCH($H239,Tables!$B$171,0))),
Error!$B$15,
IF(AND($E239="Tier 4",$F239="Retain",$H239&lt;&gt;"",ISNA(MATCH($H239,Tables!$B$166:$B$168,0))),
Error!$B$15,
IF(AND($E239="Tier 3",$F239="Retain",$H239&lt;&gt;"",ISNA(MATCH($H239,Tables!$B$158:$B$160,0))),
Error!$B$15,
IF(AND($E239="Tier 3",$F239="Remove",$H239&lt;&gt;"",ISNA(MATCH($H239,Tables!$B$163,0))),
Error!$B$15,
IF(AND(OR($E239="Tier 2",$E239="Tier 2 Grove"),$F239="Remove",$H239&lt;&gt;"",ISNA(MATCH($H239,Tables!$B$153:$B$155,0))),
Error!$B$15,
IF(AND(OR($E239="Tier 2",$E239="Tier 2 Grove"),$F239="Retain",$H239&lt;&gt;"",ISNA(MATCH($H239,Tables!$B$147:$B$150,0))),
Error!$B$15,
IF(AND($E239="Tier 1",$F239="Remove",$H239&lt;&gt;"",ISNA(MATCH($H239,Tables!$B$143:$B$144,0))),
Error!$B$15,
IF(AND($E239="Tier 1",$F239="Retain",$H239&lt;&gt;"",ISNA(MATCH($H239,Tables!$B$137:$B$140,0))),
Error!$B$15,
IF(AND($E239&lt;&gt;"Tier 2",$E239&lt;&gt;"Tier 2 Grove",$E239&lt;&gt;"Tier 3",$E239&lt;&gt;"Tier 4",$H239="Zoning: Green Factor",OR($D239="",$D239&lt;6)),
Error!$B$11,
IF(AND(_xlpm.baseRow,$D239&lt;6,$E239="&lt;6in DSH for Tree Points",_xlpm.TreePoints_H=0),
Error!$B$21,
IF(AND(_xlpm.baseRow,$E239&lt;&gt;"",$D239&lt;&gt;"",$F239=""),
Error!$B$4,
IF(AND(_xlpm.baseRow,$F239="Remove",OR($E239="Tier 1",$E239="Tier 2",$E239="Tier 2 Grove"),COUNTBLANK(_xlpm.HRange)&lt;3,_xlpm.uniqueH&gt;=2),
Error!$B$48,
IF(AND(_xlpm.baseRow,$F239="Retain",OR($E239="Tier 1",$E239="Tier 2",$E239="Tier 2 Grove"),COUNTIF(_xlpm.HRange,"Tree Code: Required to Retain Tier 1-2 Tree")=0),
Error!$B$47,
IF(AND(_xlpm.baseRow,$E239&lt;&gt;"",$D239&lt;&gt;"",$F239&lt;&gt;"",COUNTBLANK(_xlpm.HRange)=4),
Error!$B$5,
IF(AND($F239="Remove",$H239&lt;&gt;"",$I239=""),
Error!$B$18,
IF(AND($E239="Tier 4",$F239="Remove",$H239="Tree Protection Code: Tier 3 or Tier 4 Allowance",$H239&lt;&gt;"",ISNA(MATCH($I239,Tables!$B$200,0))),
Error!$B$17,
IF(AND($E239="Tier 3",$F239="Remove",$H239&lt;&gt;"",$H239="Tree Protection Code: Tier 3 or Tier 4 Allowance",OR($I239="",ISNA(MATCH($I239,Tables!$B$193:$B$197,0)))),
Error!$B$17,
IF(AND(OR($E239="Tier 2",$E239="Tier 2 Grove"),$F239="Remove",$H239="Tree Protection Code: Other removal allowance or exemption",$I239&lt;&gt;"",ISNA(MATCH($I239,Tables!$B$215:$B$218,0))),
Error!$B$17,
IF(AND(OR($E239="Tier 2",$E239="Tier 2 Grove"),$F239="Remove",$H239="Tree Protection Code: Development Capacity",$I239&lt;&gt;"",ISNA(MATCH($I239,Tables!$B$193:$B$197,0))),
Error!$B$17,
IF(AND(OR($E239="Tier 2",$E239="Tier 2 Grove"),$F239="Remove",$H239="Tree Protection Code: Necessary for Construction",$I239&lt;&gt;"",ISNA(MATCH($I239,Tables!$B$193:$B$197,0))),
Error!$B$17,
IF(AND($E239="Tier 1",$F239="Remove",$H239="Tree Protection Code: Special Exception",$I239&lt;&gt;"",ISNA(MATCH($I239,Tables!$B$215:$B$218,0))),
Error!$B$17,
IF(AND($E239="Tier 1",$F239="Remove",$H239="Tree Protection Code: Other removal allowance or exemption",$I239&lt;&gt;"",ISNA(MATCH($I239,Tables!$B$215:$B$218,0))),
Error!$B$17,
IF(AND($E239="ECA / Shoreline Tree",$F239="Remove",$H239&lt;&gt;"",OR($H239="Shoreline",$H239="Environmental Critical Area (ECA)"),ISNA(MATCH($I239,Tables!$B$209:$B$212,0))),
Error!$B$17,
IF(AND(_xlpm.baseRow,$F239="Retain",$E239="ECA / Shoreline Tree",_xlpm.ECA_Short=0),
Error!$B$61,
IF(AND($F239="Remove",ISNUMBER(MATCH($E239,{"Tier 1","Tier 2","Tier 3","Tier 4","Tier 2 Grove"},0)),ISNUMBER(MATCH($I239,{"On-site replacement","Off-site replacement"},0)),$J239="",$H239&lt;&gt;""),
Error!$B$19,
IF(AND(_xlpm.baseRow,$E239&lt;&gt;"",$D239&lt;&gt;"",$F239&lt;&gt;"",COUNTBLANK($B239:$C239)&gt;0,COUNTBLANK(_xlpm.HRange)&lt;&gt;4),
Error!$B$22,
IF(AND($H239="Zoning: Tree Points",$K239&lt;&gt;"",ISNA(MATCH($K239,Tables!$B$242:$B$253,0))),
Error!$B$58,
IF(AND($H239="Zoning: Tree Points",$K239="Small",$L239&lt;&gt;"",ISNA(MATCH($L239,Tables!$C$243:$C$244,0))),
Error!$B$59,
IF(AND($H239="Zoning: Tree Points",$K239="Small/Medium",$L239&lt;&gt;"",ISNA(MATCH($L239,Tables!$C$246:$C$247,0))),
Error!$B$59,
IF(AND($H239="Zoning: Tree Points",$K239="Medium/Large",$L239&lt;&gt;"",ISNA(MATCH($L239,Tables!$C$249:$C$250,0))),
Error!$B$59,
IF(AND($H239="Zoning: Tree Points",$K239="Large",$L239&lt;&gt;"",ISNA(MATCH($L239,Tables!$C$252:$C$253,0))),
Error!$B$59,
IF(AND($F239="Retain",$H239="Zoning: Tree Points",$C239&lt;&gt;"",$D239&lt;&gt;"",OR($K239="",$L239="",$M239="")),
Error!$B$20,
""
)))))))))))))))))))))))))))))))))))))))))))))))))))))))),
Error!$B$23))</f>
        <v/>
      </c>
      <c r="O239" s="343" t="str" cm="1">
        <f t="array" aca="1" ref="O239" ca="1">IFERROR(_xlfn.LET(
    _xlpm.txt, $C239,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40" spans="1:15" x14ac:dyDescent="0.3">
      <c r="A240" s="320"/>
      <c r="B240" s="616" t="str">
        <f t="shared" ref="B240:B242" si="244">IF($B239="", "", $B239)</f>
        <v/>
      </c>
      <c r="C240" s="617" t="str">
        <f t="shared" ref="C240:C242" si="245">IF($C239="", "", $C239)</f>
        <v/>
      </c>
      <c r="D240" s="618" t="str">
        <f t="shared" ref="D240:D242" si="246">IF($D239="", "", $D239)</f>
        <v/>
      </c>
      <c r="E240" s="616" t="str">
        <f t="shared" ref="E240:E242" si="247">IF($E239="", "", $E239)</f>
        <v/>
      </c>
      <c r="F240" s="616" t="str">
        <f t="shared" ref="F240:F242" si="248">IF($F239="", "", $F239)</f>
        <v/>
      </c>
      <c r="G240" s="619" t="str">
        <f>IF(Tree_Table1[[#This Row],[Tree Status  &amp;]]="Retain", Tables!$B$237, IF(Tree_Table1[[#This Row],[Tree Status  &amp;]]="Remove", Tables!$B$238, ""))</f>
        <v/>
      </c>
      <c r="H240" s="321"/>
      <c r="I240" s="322"/>
      <c r="J240" s="453"/>
      <c r="K240" s="323" t="str">
        <f>IFERROR(
    IF(
        AND($H240="Zoning: Tree Points", NOT(ISNUMBER(SEARCH("sp.", $C240)))),
        VLOOKUP($C240, 'Tree List'!$C$3:$F$601, 4, FALSE),
        ""
    ),
"")</f>
        <v/>
      </c>
      <c r="L240" s="324" t="str" cm="1">
        <f t="array" ref="L240">IFERROR(
IF(
    AND($H240="Zoning: Tree Points", NOT(ISNUMBER(SEARCH("sp.", $C240)))),
    _xlfn.IFS(
        (COUNTIFS('Tree List'!$C$3:$C$601,$C240,'Tree List'!$D$3:$D$601,"Coniferous")
        + COUNTIFS('Tree List'!$C$3:$C$601,$C240,'Tree List'!$D$3:$D$601,"Deciduous Conifer")) &gt; 0,
            _xlfn.IFS($K240="Small",0.5,$K240="Small/Medium",1,$K240="Medium/Large",1.4,$K240="Large",1.8),
        (COUNTIFS('Tree List'!$C$3:$C$601,$C240,'Tree List'!$D$3:$D$601,"Deciduous")
        + COUNTIFS('Tree List'!$C$3:$C$601,$C240,'Tree List'!$D$3:$D$601,"Broadleaf Evergreen")) &gt; 0,
            _xlfn.IFS($K240="Small",0.4,$K240="Small/Medium",0.8,$K240="Medium/Large",1.2,$K240="Large",1.6)
    ),
    ""
),
"")</f>
        <v/>
      </c>
      <c r="M240" s="475" t="str">
        <f t="shared" si="168"/>
        <v/>
      </c>
      <c r="N240" s="346" t="str" cm="1">
        <f t="array" aca="1" ref="N24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IF(AND(_xlpm.baseRow,ISNA(MATCH($C240,'Tree List'!$C$3:$C$601,0)),SUMPRODUCT(--ISNUMBER(SEARCH(Tables2!$C$677:$C$772,$O240)))&gt;0),
Error!$B$57,
IF(AND(_xlpm.hasDM,$F240="Remove",$H240&lt;&gt;"",OR($I240="On-site replacement",$I240="Off-site replacement",$I240="Payment In Lieu")),
Error!$B$56,
IF(AND(_xlpm.hasDM,$F240="Remove",$H240&lt;&gt;"",$I240="Relocation"),
Error!$B$66,
IF(AND(OR(_xlpm.hasCN,_xlpm.hasPH,_xlpm.hasGR),$H240&lt;&gt;"",COUNTIF(Tables!$B$132:$B$134,$H240)&gt;0,$I240="N/A (No replacement required)"),
Error!$B$62,
IF(AND(_xlpm.baseRow,$E240&lt;&gt;"",ISNA(MATCH($E240,Tables!$B$225:$B$232,0))),
Error!$B$2,
IF(AND(_xlpm.baseRow,$F240&lt;&gt;"",ISNA(MATCH($F240,Tables!$B$234:$B$235,0))),
Error!$B$24,
IF(AND(_xlpm.baseRow,_xlpm.ECA_H&gt;0,_xlpm.Shore_H&gt;0),
Error!$B$16,
IF(AND(_xlpm.baseRow,$E240&lt;&gt;"",$D240=""),
Error!$B$3,
IF(AND(_xlpm.baseRow,OR($E240="Tier 3",$E240="Tier 4"),$C240&lt;&gt;"",$D240&gt;=24,COUNTIF(Tables2!$B$166:$B$674,$C240)&gt;0),
Error!$B$44,
IF(AND(_xlpm.baseRow,OR($E240="Tier 3",$E240="Tier 4"),$C240&lt;&gt;"",$D240&lt;&gt;"",COUNTIF(Tables2!$B$73:$B$152,$C240)&gt;0,
$D240&gt;=IFERROR(INDEX(Tables2!$C$73:$C$152,MATCH($C240,Tables2!$B$73:$B$152,0)),-1)),
Error!$B$44,
IF(AND(_xlpm.baseRow,OR($E240="Tier 2",$E240="Tier 2 Grove"),$C240&lt;&gt;"",$D240&gt;=12,COUNTIF(Tables2!$B$153:$B$162,$C240)&gt;0),
Error!$B$45,
IF(AND(_xlpm.baseRow,$E240="Tier 2 Grove",$D240&lt;12),
Error!$B$41,
IF(AND(_xlpm.baseRow,$E240="Tier 2",$D240&lt;5.88),
Error!$B$40,
IF(AND(_xlpm.baseRow,OR($E240="Tier 2",$E240="Tier 2 Grove"),$C240&lt;&gt;"",$D240&lt;12,$D240&gt;=6,COUNTIF(Tables2!$B$153:$B$162,$C240)&gt;0),
Error!$B$54,
IF(AND(_xlpm.baseRow,$E240="Tier 2",COUNTIF(Tables2!$B$166:$B$674,$C240)&gt;0,$D240&lt;24),
Error!$B$54,
IF(AND(_xlpm.baseRow,$E240="Tier 3",ISNA(MATCH($C240,Tables2!$B$153:$B$162,0)),OR($D240&lt;12,$D240&gt;=24)),
Error!$B$9,
IF(AND(_xlpm.baseRow,$E240="Tier 3",COUNTIF(Tables2!$B$153:$B$162,$C240)&gt;0,$D240&lt;12),
Error!$B$46,
IF(AND(_xlpm.baseRow,$E240="Tier 4",OR($D240&lt;6,$D240&gt;=12)),
Error!$B$10,
IF(AND(_xlpm.baseRow,$E240="&lt;6in DSH for Tree Points",OR($D240&gt;=6,$D240="")),
Error!$B$8,
IF(AND(_xlpm.baseRow,$E240="Street Tree for Green Factor",$F240&lt;&gt;"",$F240&lt;&gt;"Retain"),
Error!$B$14,
IF(AND($E240="&lt;6in DSH for Tree Points",$F240="Retain",$H240&lt;&gt;"",ISNA(MATCH($H240,Tables!$B$174:$B$174,0))),
Error!$B$15,
IF(AND($E240="Street Tree for Green Factor",$F240="Retain",$H240&lt;&gt;"",$H240&lt;&gt;"Zoning: Green Factor"),
Error!$B$15,
IF(AND($E240="ECA / Shoreline Tree",$F240="Remove",$H240&lt;&gt;"",ISNA(MATCH($H240,Tables!$B$189:$B$190,0))),
Error!$B$15,
IF(AND($E240="ECA / Shoreline Tree",$F240="Retain",$H240&lt;&gt;"",ISNA(MATCH($H240,Tables!$B$184:$B$186,0))),
Error!$B$15,
IF(AND($E240="Tier 4",$F240="Remove",$H240&lt;&gt;"",ISNA(MATCH($H240,Tables!$B$171,0))),
Error!$B$15,
IF(AND($E240="Tier 4",$F240="Retain",$H240&lt;&gt;"",ISNA(MATCH($H240,Tables!$B$166:$B$168,0))),
Error!$B$15,
IF(AND($E240="Tier 3",$F240="Retain",$H240&lt;&gt;"",ISNA(MATCH($H240,Tables!$B$158:$B$160,0))),
Error!$B$15,
IF(AND($E240="Tier 3",$F240="Remove",$H240&lt;&gt;"",ISNA(MATCH($H240,Tables!$B$163,0))),
Error!$B$15,
IF(AND(OR($E240="Tier 2",$E240="Tier 2 Grove"),$F240="Remove",$H240&lt;&gt;"",ISNA(MATCH($H240,Tables!$B$153:$B$155,0))),
Error!$B$15,
IF(AND(OR($E240="Tier 2",$E240="Tier 2 Grove"),$F240="Retain",$H240&lt;&gt;"",ISNA(MATCH($H240,Tables!$B$147:$B$150,0))),
Error!$B$15,
IF(AND($E240="Tier 1",$F240="Remove",$H240&lt;&gt;"",ISNA(MATCH($H240,Tables!$B$143:$B$144,0))),
Error!$B$15,
IF(AND($E240="Tier 1",$F240="Retain",$H240&lt;&gt;"",ISNA(MATCH($H240,Tables!$B$137:$B$140,0))),
Error!$B$15,
IF(AND($E240&lt;&gt;"Tier 2",$E240&lt;&gt;"Tier 2 Grove",$E240&lt;&gt;"Tier 3",$E240&lt;&gt;"Tier 4",$H240="Zoning: Green Factor",OR($D240="",$D240&lt;6)),
Error!$B$11,
IF(AND(_xlpm.baseRow,$D240&lt;6,$E240="&lt;6in DSH for Tree Points",_xlpm.TreePoints_H=0),
Error!$B$21,
IF(AND(_xlpm.baseRow,$E240&lt;&gt;"",$D240&lt;&gt;"",$F240=""),
Error!$B$4,
IF(AND(_xlpm.baseRow,$F240="Remove",OR($E240="Tier 1",$E240="Tier 2",$E240="Tier 2 Grove"),COUNTBLANK(_xlpm.HRange)&lt;3,_xlpm.uniqueH&gt;=2),
Error!$B$48,
IF(AND(_xlpm.baseRow,$F240="Retain",OR($E240="Tier 1",$E240="Tier 2",$E240="Tier 2 Grove"),COUNTIF(_xlpm.HRange,"Tree Code: Required to Retain Tier 1-2 Tree")=0),
Error!$B$47,
IF(AND(_xlpm.baseRow,$E240&lt;&gt;"",$D240&lt;&gt;"",$F240&lt;&gt;"",COUNTBLANK(_xlpm.HRange)=4),
Error!$B$5,
IF(AND($F240="Remove",$H240&lt;&gt;"",$I240=""),
Error!$B$18,
IF(AND($E240="Tier 4",$F240="Remove",$H240="Tree Protection Code: Tier 3 or Tier 4 Allowance",$H240&lt;&gt;"",ISNA(MATCH($I240,Tables!$B$200,0))),
Error!$B$17,
IF(AND($E240="Tier 3",$F240="Remove",$H240&lt;&gt;"",$H240="Tree Protection Code: Tier 3 or Tier 4 Allowance",OR($I240="",ISNA(MATCH($I240,Tables!$B$193:$B$197,0)))),
Error!$B$17,
IF(AND(OR($E240="Tier 2",$E240="Tier 2 Grove"),$F240="Remove",$H240="Tree Protection Code: Other removal allowance or exemption",$I240&lt;&gt;"",ISNA(MATCH($I240,Tables!$B$215:$B$218,0))),
Error!$B$17,
IF(AND(OR($E240="Tier 2",$E240="Tier 2 Grove"),$F240="Remove",$H240="Tree Protection Code: Development Capacity",$I240&lt;&gt;"",ISNA(MATCH($I240,Tables!$B$193:$B$197,0))),
Error!$B$17,
IF(AND(OR($E240="Tier 2",$E240="Tier 2 Grove"),$F240="Remove",$H240="Tree Protection Code: Necessary for Construction",$I240&lt;&gt;"",ISNA(MATCH($I240,Tables!$B$193:$B$197,0))),
Error!$B$17,
IF(AND($E240="Tier 1",$F240="Remove",$H240="Tree Protection Code: Special Exception",$I240&lt;&gt;"",ISNA(MATCH($I240,Tables!$B$215:$B$218,0))),
Error!$B$17,
IF(AND($E240="Tier 1",$F240="Remove",$H240="Tree Protection Code: Other removal allowance or exemption",$I240&lt;&gt;"",ISNA(MATCH($I240,Tables!$B$215:$B$218,0))),
Error!$B$17,
IF(AND($E240="ECA / Shoreline Tree",$F240="Remove",$H240&lt;&gt;"",OR($H240="Shoreline",$H240="Environmental Critical Area (ECA)"),ISNA(MATCH($I240,Tables!$B$209:$B$212,0))),
Error!$B$17,
IF(AND(_xlpm.baseRow,$F240="Retain",$E240="ECA / Shoreline Tree",_xlpm.ECA_Short=0),
Error!$B$61,
IF(AND($F240="Remove",ISNUMBER(MATCH($E240,{"Tier 1","Tier 2","Tier 3","Tier 4","Tier 2 Grove"},0)),ISNUMBER(MATCH($I240,{"On-site replacement","Off-site replacement"},0)),$J240="",$H240&lt;&gt;""),
Error!$B$19,
IF(AND(_xlpm.baseRow,$E240&lt;&gt;"",$D240&lt;&gt;"",$F240&lt;&gt;"",COUNTBLANK($B240:$C240)&gt;0,COUNTBLANK(_xlpm.HRange)&lt;&gt;4),
Error!$B$22,
IF(AND($H240="Zoning: Tree Points",$K240&lt;&gt;"",ISNA(MATCH($K240,Tables!$B$242:$B$253,0))),
Error!$B$58,
IF(AND($H240="Zoning: Tree Points",$K240="Small",$L240&lt;&gt;"",ISNA(MATCH($L240,Tables!$C$243:$C$244,0))),
Error!$B$59,
IF(AND($H240="Zoning: Tree Points",$K240="Small/Medium",$L240&lt;&gt;"",ISNA(MATCH($L240,Tables!$C$246:$C$247,0))),
Error!$B$59,
IF(AND($H240="Zoning: Tree Points",$K240="Medium/Large",$L240&lt;&gt;"",ISNA(MATCH($L240,Tables!$C$249:$C$250,0))),
Error!$B$59,
IF(AND($H240="Zoning: Tree Points",$K240="Large",$L240&lt;&gt;"",ISNA(MATCH($L240,Tables!$C$252:$C$253,0))),
Error!$B$59,
IF(AND($F240="Retain",$H240="Zoning: Tree Points",$C240&lt;&gt;"",$D240&lt;&gt;"",OR($K240="",$L240="",$M240="")),
Error!$B$20,
""
)))))))))))))))))))))))))))))))))))))))))))))))))))))))),
Error!$B$23))</f>
        <v/>
      </c>
      <c r="O240" s="343" t="str" cm="1">
        <f t="array" aca="1" ref="O240" ca="1">IFERROR(_xlfn.LET(
    _xlpm.txt, $C240,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41" spans="1:15" x14ac:dyDescent="0.3">
      <c r="A241" s="320"/>
      <c r="B241" s="616" t="str">
        <f t="shared" si="244"/>
        <v/>
      </c>
      <c r="C241" s="617" t="str">
        <f t="shared" si="245"/>
        <v/>
      </c>
      <c r="D241" s="618" t="str">
        <f t="shared" si="246"/>
        <v/>
      </c>
      <c r="E241" s="616" t="str">
        <f t="shared" si="247"/>
        <v/>
      </c>
      <c r="F241" s="616" t="str">
        <f t="shared" si="248"/>
        <v/>
      </c>
      <c r="G241" s="619" t="str">
        <f>IF(Tree_Table1[[#This Row],[Tree Status  &amp;]]="Retain", Tables!$B$237, IF(Tree_Table1[[#This Row],[Tree Status  &amp;]]="Remove", Tables!$B$238, ""))</f>
        <v/>
      </c>
      <c r="H241" s="321"/>
      <c r="I241" s="322"/>
      <c r="J241" s="453"/>
      <c r="K241" s="323" t="str">
        <f>IFERROR(
    IF(
        AND($H241="Zoning: Tree Points", NOT(ISNUMBER(SEARCH("sp.", $C241)))),
        VLOOKUP($C241, 'Tree List'!$C$3:$F$601, 4, FALSE),
        ""
    ),
"")</f>
        <v/>
      </c>
      <c r="L241" s="324" t="str" cm="1">
        <f t="array" ref="L241">IFERROR(
IF(
    AND($H241="Zoning: Tree Points", NOT(ISNUMBER(SEARCH("sp.", $C241)))),
    _xlfn.IFS(
        (COUNTIFS('Tree List'!$C$3:$C$601,$C241,'Tree List'!$D$3:$D$601,"Coniferous")
        + COUNTIFS('Tree List'!$C$3:$C$601,$C241,'Tree List'!$D$3:$D$601,"Deciduous Conifer")) &gt; 0,
            _xlfn.IFS($K241="Small",0.5,$K241="Small/Medium",1,$K241="Medium/Large",1.4,$K241="Large",1.8),
        (COUNTIFS('Tree List'!$C$3:$C$601,$C241,'Tree List'!$D$3:$D$601,"Deciduous")
        + COUNTIFS('Tree List'!$C$3:$C$601,$C241,'Tree List'!$D$3:$D$601,"Broadleaf Evergreen")) &gt; 0,
            _xlfn.IFS($K241="Small",0.4,$K241="Small/Medium",0.8,$K241="Medium/Large",1.2,$K241="Large",1.6)
    ),
    ""
),
"")</f>
        <v/>
      </c>
      <c r="M241" s="475" t="str">
        <f t="shared" si="168"/>
        <v/>
      </c>
      <c r="N241" s="346" t="str" cm="1">
        <f t="array" aca="1" ref="N24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IF(AND(_xlpm.baseRow,ISNA(MATCH($C241,'Tree List'!$C$3:$C$601,0)),SUMPRODUCT(--ISNUMBER(SEARCH(Tables2!$C$677:$C$772,$O241)))&gt;0),
Error!$B$57,
IF(AND(_xlpm.hasDM,$F241="Remove",$H241&lt;&gt;"",OR($I241="On-site replacement",$I241="Off-site replacement",$I241="Payment In Lieu")),
Error!$B$56,
IF(AND(_xlpm.hasDM,$F241="Remove",$H241&lt;&gt;"",$I241="Relocation"),
Error!$B$66,
IF(AND(OR(_xlpm.hasCN,_xlpm.hasPH,_xlpm.hasGR),$H241&lt;&gt;"",COUNTIF(Tables!$B$132:$B$134,$H241)&gt;0,$I241="N/A (No replacement required)"),
Error!$B$62,
IF(AND(_xlpm.baseRow,$E241&lt;&gt;"",ISNA(MATCH($E241,Tables!$B$225:$B$232,0))),
Error!$B$2,
IF(AND(_xlpm.baseRow,$F241&lt;&gt;"",ISNA(MATCH($F241,Tables!$B$234:$B$235,0))),
Error!$B$24,
IF(AND(_xlpm.baseRow,_xlpm.ECA_H&gt;0,_xlpm.Shore_H&gt;0),
Error!$B$16,
IF(AND(_xlpm.baseRow,$E241&lt;&gt;"",$D241=""),
Error!$B$3,
IF(AND(_xlpm.baseRow,OR($E241="Tier 3",$E241="Tier 4"),$C241&lt;&gt;"",$D241&gt;=24,COUNTIF(Tables2!$B$166:$B$674,$C241)&gt;0),
Error!$B$44,
IF(AND(_xlpm.baseRow,OR($E241="Tier 3",$E241="Tier 4"),$C241&lt;&gt;"",$D241&lt;&gt;"",COUNTIF(Tables2!$B$73:$B$152,$C241)&gt;0,
$D241&gt;=IFERROR(INDEX(Tables2!$C$73:$C$152,MATCH($C241,Tables2!$B$73:$B$152,0)),-1)),
Error!$B$44,
IF(AND(_xlpm.baseRow,OR($E241="Tier 2",$E241="Tier 2 Grove"),$C241&lt;&gt;"",$D241&gt;=12,COUNTIF(Tables2!$B$153:$B$162,$C241)&gt;0),
Error!$B$45,
IF(AND(_xlpm.baseRow,$E241="Tier 2 Grove",$D241&lt;12),
Error!$B$41,
IF(AND(_xlpm.baseRow,$E241="Tier 2",$D241&lt;5.88),
Error!$B$40,
IF(AND(_xlpm.baseRow,OR($E241="Tier 2",$E241="Tier 2 Grove"),$C241&lt;&gt;"",$D241&lt;12,$D241&gt;=6,COUNTIF(Tables2!$B$153:$B$162,$C241)&gt;0),
Error!$B$54,
IF(AND(_xlpm.baseRow,$E241="Tier 2",COUNTIF(Tables2!$B$166:$B$674,$C241)&gt;0,$D241&lt;24),
Error!$B$54,
IF(AND(_xlpm.baseRow,$E241="Tier 3",ISNA(MATCH($C241,Tables2!$B$153:$B$162,0)),OR($D241&lt;12,$D241&gt;=24)),
Error!$B$9,
IF(AND(_xlpm.baseRow,$E241="Tier 3",COUNTIF(Tables2!$B$153:$B$162,$C241)&gt;0,$D241&lt;12),
Error!$B$46,
IF(AND(_xlpm.baseRow,$E241="Tier 4",OR($D241&lt;6,$D241&gt;=12)),
Error!$B$10,
IF(AND(_xlpm.baseRow,$E241="&lt;6in DSH for Tree Points",OR($D241&gt;=6,$D241="")),
Error!$B$8,
IF(AND(_xlpm.baseRow,$E241="Street Tree for Green Factor",$F241&lt;&gt;"",$F241&lt;&gt;"Retain"),
Error!$B$14,
IF(AND($E241="&lt;6in DSH for Tree Points",$F241="Retain",$H241&lt;&gt;"",ISNA(MATCH($H241,Tables!$B$174:$B$174,0))),
Error!$B$15,
IF(AND($E241="Street Tree for Green Factor",$F241="Retain",$H241&lt;&gt;"",$H241&lt;&gt;"Zoning: Green Factor"),
Error!$B$15,
IF(AND($E241="ECA / Shoreline Tree",$F241="Remove",$H241&lt;&gt;"",ISNA(MATCH($H241,Tables!$B$189:$B$190,0))),
Error!$B$15,
IF(AND($E241="ECA / Shoreline Tree",$F241="Retain",$H241&lt;&gt;"",ISNA(MATCH($H241,Tables!$B$184:$B$186,0))),
Error!$B$15,
IF(AND($E241="Tier 4",$F241="Remove",$H241&lt;&gt;"",ISNA(MATCH($H241,Tables!$B$171,0))),
Error!$B$15,
IF(AND($E241="Tier 4",$F241="Retain",$H241&lt;&gt;"",ISNA(MATCH($H241,Tables!$B$166:$B$168,0))),
Error!$B$15,
IF(AND($E241="Tier 3",$F241="Retain",$H241&lt;&gt;"",ISNA(MATCH($H241,Tables!$B$158:$B$160,0))),
Error!$B$15,
IF(AND($E241="Tier 3",$F241="Remove",$H241&lt;&gt;"",ISNA(MATCH($H241,Tables!$B$163,0))),
Error!$B$15,
IF(AND(OR($E241="Tier 2",$E241="Tier 2 Grove"),$F241="Remove",$H241&lt;&gt;"",ISNA(MATCH($H241,Tables!$B$153:$B$155,0))),
Error!$B$15,
IF(AND(OR($E241="Tier 2",$E241="Tier 2 Grove"),$F241="Retain",$H241&lt;&gt;"",ISNA(MATCH($H241,Tables!$B$147:$B$150,0))),
Error!$B$15,
IF(AND($E241="Tier 1",$F241="Remove",$H241&lt;&gt;"",ISNA(MATCH($H241,Tables!$B$143:$B$144,0))),
Error!$B$15,
IF(AND($E241="Tier 1",$F241="Retain",$H241&lt;&gt;"",ISNA(MATCH($H241,Tables!$B$137:$B$140,0))),
Error!$B$15,
IF(AND($E241&lt;&gt;"Tier 2",$E241&lt;&gt;"Tier 2 Grove",$E241&lt;&gt;"Tier 3",$E241&lt;&gt;"Tier 4",$H241="Zoning: Green Factor",OR($D241="",$D241&lt;6)),
Error!$B$11,
IF(AND(_xlpm.baseRow,$D241&lt;6,$E241="&lt;6in DSH for Tree Points",_xlpm.TreePoints_H=0),
Error!$B$21,
IF(AND(_xlpm.baseRow,$E241&lt;&gt;"",$D241&lt;&gt;"",$F241=""),
Error!$B$4,
IF(AND(_xlpm.baseRow,$F241="Remove",OR($E241="Tier 1",$E241="Tier 2",$E241="Tier 2 Grove"),COUNTBLANK(_xlpm.HRange)&lt;3,_xlpm.uniqueH&gt;=2),
Error!$B$48,
IF(AND(_xlpm.baseRow,$F241="Retain",OR($E241="Tier 1",$E241="Tier 2",$E241="Tier 2 Grove"),COUNTIF(_xlpm.HRange,"Tree Code: Required to Retain Tier 1-2 Tree")=0),
Error!$B$47,
IF(AND(_xlpm.baseRow,$E241&lt;&gt;"",$D241&lt;&gt;"",$F241&lt;&gt;"",COUNTBLANK(_xlpm.HRange)=4),
Error!$B$5,
IF(AND($F241="Remove",$H241&lt;&gt;"",$I241=""),
Error!$B$18,
IF(AND($E241="Tier 4",$F241="Remove",$H241="Tree Protection Code: Tier 3 or Tier 4 Allowance",$H241&lt;&gt;"",ISNA(MATCH($I241,Tables!$B$200,0))),
Error!$B$17,
IF(AND($E241="Tier 3",$F241="Remove",$H241&lt;&gt;"",$H241="Tree Protection Code: Tier 3 or Tier 4 Allowance",OR($I241="",ISNA(MATCH($I241,Tables!$B$193:$B$197,0)))),
Error!$B$17,
IF(AND(OR($E241="Tier 2",$E241="Tier 2 Grove"),$F241="Remove",$H241="Tree Protection Code: Other removal allowance or exemption",$I241&lt;&gt;"",ISNA(MATCH($I241,Tables!$B$215:$B$218,0))),
Error!$B$17,
IF(AND(OR($E241="Tier 2",$E241="Tier 2 Grove"),$F241="Remove",$H241="Tree Protection Code: Development Capacity",$I241&lt;&gt;"",ISNA(MATCH($I241,Tables!$B$193:$B$197,0))),
Error!$B$17,
IF(AND(OR($E241="Tier 2",$E241="Tier 2 Grove"),$F241="Remove",$H241="Tree Protection Code: Necessary for Construction",$I241&lt;&gt;"",ISNA(MATCH($I241,Tables!$B$193:$B$197,0))),
Error!$B$17,
IF(AND($E241="Tier 1",$F241="Remove",$H241="Tree Protection Code: Special Exception",$I241&lt;&gt;"",ISNA(MATCH($I241,Tables!$B$215:$B$218,0))),
Error!$B$17,
IF(AND($E241="Tier 1",$F241="Remove",$H241="Tree Protection Code: Other removal allowance or exemption",$I241&lt;&gt;"",ISNA(MATCH($I241,Tables!$B$215:$B$218,0))),
Error!$B$17,
IF(AND($E241="ECA / Shoreline Tree",$F241="Remove",$H241&lt;&gt;"",OR($H241="Shoreline",$H241="Environmental Critical Area (ECA)"),ISNA(MATCH($I241,Tables!$B$209:$B$212,0))),
Error!$B$17,
IF(AND(_xlpm.baseRow,$F241="Retain",$E241="ECA / Shoreline Tree",_xlpm.ECA_Short=0),
Error!$B$61,
IF(AND($F241="Remove",ISNUMBER(MATCH($E241,{"Tier 1","Tier 2","Tier 3","Tier 4","Tier 2 Grove"},0)),ISNUMBER(MATCH($I241,{"On-site replacement","Off-site replacement"},0)),$J241="",$H241&lt;&gt;""),
Error!$B$19,
IF(AND(_xlpm.baseRow,$E241&lt;&gt;"",$D241&lt;&gt;"",$F241&lt;&gt;"",COUNTBLANK($B241:$C241)&gt;0,COUNTBLANK(_xlpm.HRange)&lt;&gt;4),
Error!$B$22,
IF(AND($H241="Zoning: Tree Points",$K241&lt;&gt;"",ISNA(MATCH($K241,Tables!$B$242:$B$253,0))),
Error!$B$58,
IF(AND($H241="Zoning: Tree Points",$K241="Small",$L241&lt;&gt;"",ISNA(MATCH($L241,Tables!$C$243:$C$244,0))),
Error!$B$59,
IF(AND($H241="Zoning: Tree Points",$K241="Small/Medium",$L241&lt;&gt;"",ISNA(MATCH($L241,Tables!$C$246:$C$247,0))),
Error!$B$59,
IF(AND($H241="Zoning: Tree Points",$K241="Medium/Large",$L241&lt;&gt;"",ISNA(MATCH($L241,Tables!$C$249:$C$250,0))),
Error!$B$59,
IF(AND($H241="Zoning: Tree Points",$K241="Large",$L241&lt;&gt;"",ISNA(MATCH($L241,Tables!$C$252:$C$253,0))),
Error!$B$59,
IF(AND($F241="Retain",$H241="Zoning: Tree Points",$C241&lt;&gt;"",$D241&lt;&gt;"",OR($K241="",$L241="",$M241="")),
Error!$B$20,
""
)))))))))))))))))))))))))))))))))))))))))))))))))))))))),
Error!$B$23))</f>
        <v/>
      </c>
      <c r="O241" s="343" t="str" cm="1">
        <f t="array" aca="1" ref="O241" ca="1">IFERROR(_xlfn.LET(
    _xlpm.txt, $C241,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42" spans="1:15" ht="15" thickBot="1" x14ac:dyDescent="0.35">
      <c r="A242" s="331"/>
      <c r="B242" s="616" t="str">
        <f t="shared" si="244"/>
        <v/>
      </c>
      <c r="C242" s="617" t="str">
        <f t="shared" si="245"/>
        <v/>
      </c>
      <c r="D242" s="618" t="str">
        <f t="shared" si="246"/>
        <v/>
      </c>
      <c r="E242" s="616" t="str">
        <f t="shared" si="247"/>
        <v/>
      </c>
      <c r="F242" s="616" t="str">
        <f t="shared" si="248"/>
        <v/>
      </c>
      <c r="G242" s="619" t="str">
        <f>IF(Tree_Table1[[#This Row],[Tree Status  &amp;]]="Retain", Tables!$B$237, IF(Tree_Table1[[#This Row],[Tree Status  &amp;]]="Remove", Tables!$B$238, ""))</f>
        <v/>
      </c>
      <c r="H242" s="329"/>
      <c r="I242" s="330"/>
      <c r="J242" s="455"/>
      <c r="K242" s="327" t="str">
        <f>IFERROR(
    IF(
        AND($H242="Zoning: Tree Points", NOT(ISNUMBER(SEARCH("sp.", $C242)))),
        VLOOKUP($C242, 'Tree List'!$C$3:$F$601, 4, FALSE),
        ""
    ),
"")</f>
        <v/>
      </c>
      <c r="L242" s="328" t="str" cm="1">
        <f t="array" ref="L242">IFERROR(
IF(
    AND($H242="Zoning: Tree Points", NOT(ISNUMBER(SEARCH("sp.", $C242)))),
    _xlfn.IFS(
        (COUNTIFS('Tree List'!$C$3:$C$601,$C242,'Tree List'!$D$3:$D$601,"Coniferous")
        + COUNTIFS('Tree List'!$C$3:$C$601,$C242,'Tree List'!$D$3:$D$601,"Deciduous Conifer")) &gt; 0,
            _xlfn.IFS($K242="Small",0.5,$K242="Small/Medium",1,$K242="Medium/Large",1.4,$K242="Large",1.8),
        (COUNTIFS('Tree List'!$C$3:$C$601,$C242,'Tree List'!$D$3:$D$601,"Deciduous")
        + COUNTIFS('Tree List'!$C$3:$C$601,$C242,'Tree List'!$D$3:$D$601,"Broadleaf Evergreen")) &gt; 0,
            _xlfn.IFS($K242="Small",0.4,$K242="Small/Medium",0.8,$K242="Medium/Large",1.2,$K242="Large",1.6)
    ),
    ""
),
"")</f>
        <v/>
      </c>
      <c r="M242" s="476" t="str">
        <f t="shared" si="168"/>
        <v/>
      </c>
      <c r="N242" s="347" t="str" cm="1">
        <f t="array" aca="1" ref="N24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IF(AND(_xlpm.baseRow,ISNA(MATCH($C242,'Tree List'!$C$3:$C$601,0)),SUMPRODUCT(--ISNUMBER(SEARCH(Tables2!$C$677:$C$772,$O242)))&gt;0),
Error!$B$57,
IF(AND(_xlpm.hasDM,$F242="Remove",$H242&lt;&gt;"",OR($I242="On-site replacement",$I242="Off-site replacement",$I242="Payment In Lieu")),
Error!$B$56,
IF(AND(_xlpm.hasDM,$F242="Remove",$H242&lt;&gt;"",$I242="Relocation"),
Error!$B$66,
IF(AND(OR(_xlpm.hasCN,_xlpm.hasPH,_xlpm.hasGR),$H242&lt;&gt;"",COUNTIF(Tables!$B$132:$B$134,$H242)&gt;0,$I242="N/A (No replacement required)"),
Error!$B$62,
IF(AND(_xlpm.baseRow,$E242&lt;&gt;"",ISNA(MATCH($E242,Tables!$B$225:$B$232,0))),
Error!$B$2,
IF(AND(_xlpm.baseRow,$F242&lt;&gt;"",ISNA(MATCH($F242,Tables!$B$234:$B$235,0))),
Error!$B$24,
IF(AND(_xlpm.baseRow,_xlpm.ECA_H&gt;0,_xlpm.Shore_H&gt;0),
Error!$B$16,
IF(AND(_xlpm.baseRow,$E242&lt;&gt;"",$D242=""),
Error!$B$3,
IF(AND(_xlpm.baseRow,OR($E242="Tier 3",$E242="Tier 4"),$C242&lt;&gt;"",$D242&gt;=24,COUNTIF(Tables2!$B$166:$B$674,$C242)&gt;0),
Error!$B$44,
IF(AND(_xlpm.baseRow,OR($E242="Tier 3",$E242="Tier 4"),$C242&lt;&gt;"",$D242&lt;&gt;"",COUNTIF(Tables2!$B$73:$B$152,$C242)&gt;0,
$D242&gt;=IFERROR(INDEX(Tables2!$C$73:$C$152,MATCH($C242,Tables2!$B$73:$B$152,0)),-1)),
Error!$B$44,
IF(AND(_xlpm.baseRow,OR($E242="Tier 2",$E242="Tier 2 Grove"),$C242&lt;&gt;"",$D242&gt;=12,COUNTIF(Tables2!$B$153:$B$162,$C242)&gt;0),
Error!$B$45,
IF(AND(_xlpm.baseRow,$E242="Tier 2 Grove",$D242&lt;12),
Error!$B$41,
IF(AND(_xlpm.baseRow,$E242="Tier 2",$D242&lt;5.88),
Error!$B$40,
IF(AND(_xlpm.baseRow,OR($E242="Tier 2",$E242="Tier 2 Grove"),$C242&lt;&gt;"",$D242&lt;12,$D242&gt;=6,COUNTIF(Tables2!$B$153:$B$162,$C242)&gt;0),
Error!$B$54,
IF(AND(_xlpm.baseRow,$E242="Tier 2",COUNTIF(Tables2!$B$166:$B$674,$C242)&gt;0,$D242&lt;24),
Error!$B$54,
IF(AND(_xlpm.baseRow,$E242="Tier 3",ISNA(MATCH($C242,Tables2!$B$153:$B$162,0)),OR($D242&lt;12,$D242&gt;=24)),
Error!$B$9,
IF(AND(_xlpm.baseRow,$E242="Tier 3",COUNTIF(Tables2!$B$153:$B$162,$C242)&gt;0,$D242&lt;12),
Error!$B$46,
IF(AND(_xlpm.baseRow,$E242="Tier 4",OR($D242&lt;6,$D242&gt;=12)),
Error!$B$10,
IF(AND(_xlpm.baseRow,$E242="&lt;6in DSH for Tree Points",OR($D242&gt;=6,$D242="")),
Error!$B$8,
IF(AND(_xlpm.baseRow,$E242="Street Tree for Green Factor",$F242&lt;&gt;"",$F242&lt;&gt;"Retain"),
Error!$B$14,
IF(AND($E242="&lt;6in DSH for Tree Points",$F242="Retain",$H242&lt;&gt;"",ISNA(MATCH($H242,Tables!$B$174:$B$174,0))),
Error!$B$15,
IF(AND($E242="Street Tree for Green Factor",$F242="Retain",$H242&lt;&gt;"",$H242&lt;&gt;"Zoning: Green Factor"),
Error!$B$15,
IF(AND($E242="ECA / Shoreline Tree",$F242="Remove",$H242&lt;&gt;"",ISNA(MATCH($H242,Tables!$B$189:$B$190,0))),
Error!$B$15,
IF(AND($E242="ECA / Shoreline Tree",$F242="Retain",$H242&lt;&gt;"",ISNA(MATCH($H242,Tables!$B$184:$B$186,0))),
Error!$B$15,
IF(AND($E242="Tier 4",$F242="Remove",$H242&lt;&gt;"",ISNA(MATCH($H242,Tables!$B$171,0))),
Error!$B$15,
IF(AND($E242="Tier 4",$F242="Retain",$H242&lt;&gt;"",ISNA(MATCH($H242,Tables!$B$166:$B$168,0))),
Error!$B$15,
IF(AND($E242="Tier 3",$F242="Retain",$H242&lt;&gt;"",ISNA(MATCH($H242,Tables!$B$158:$B$160,0))),
Error!$B$15,
IF(AND($E242="Tier 3",$F242="Remove",$H242&lt;&gt;"",ISNA(MATCH($H242,Tables!$B$163,0))),
Error!$B$15,
IF(AND(OR($E242="Tier 2",$E242="Tier 2 Grove"),$F242="Remove",$H242&lt;&gt;"",ISNA(MATCH($H242,Tables!$B$153:$B$155,0))),
Error!$B$15,
IF(AND(OR($E242="Tier 2",$E242="Tier 2 Grove"),$F242="Retain",$H242&lt;&gt;"",ISNA(MATCH($H242,Tables!$B$147:$B$150,0))),
Error!$B$15,
IF(AND($E242="Tier 1",$F242="Remove",$H242&lt;&gt;"",ISNA(MATCH($H242,Tables!$B$143:$B$144,0))),
Error!$B$15,
IF(AND($E242="Tier 1",$F242="Retain",$H242&lt;&gt;"",ISNA(MATCH($H242,Tables!$B$137:$B$140,0))),
Error!$B$15,
IF(AND($E242&lt;&gt;"Tier 2",$E242&lt;&gt;"Tier 2 Grove",$E242&lt;&gt;"Tier 3",$E242&lt;&gt;"Tier 4",$H242="Zoning: Green Factor",OR($D242="",$D242&lt;6)),
Error!$B$11,
IF(AND(_xlpm.baseRow,$D242&lt;6,$E242="&lt;6in DSH for Tree Points",_xlpm.TreePoints_H=0),
Error!$B$21,
IF(AND(_xlpm.baseRow,$E242&lt;&gt;"",$D242&lt;&gt;"",$F242=""),
Error!$B$4,
IF(AND(_xlpm.baseRow,$F242="Remove",OR($E242="Tier 1",$E242="Tier 2",$E242="Tier 2 Grove"),COUNTBLANK(_xlpm.HRange)&lt;3,_xlpm.uniqueH&gt;=2),
Error!$B$48,
IF(AND(_xlpm.baseRow,$F242="Retain",OR($E242="Tier 1",$E242="Tier 2",$E242="Tier 2 Grove"),COUNTIF(_xlpm.HRange,"Tree Code: Required to Retain Tier 1-2 Tree")=0),
Error!$B$47,
IF(AND(_xlpm.baseRow,$E242&lt;&gt;"",$D242&lt;&gt;"",$F242&lt;&gt;"",COUNTBLANK(_xlpm.HRange)=4),
Error!$B$5,
IF(AND($F242="Remove",$H242&lt;&gt;"",$I242=""),
Error!$B$18,
IF(AND($E242="Tier 4",$F242="Remove",$H242="Tree Protection Code: Tier 3 or Tier 4 Allowance",$H242&lt;&gt;"",ISNA(MATCH($I242,Tables!$B$200,0))),
Error!$B$17,
IF(AND($E242="Tier 3",$F242="Remove",$H242&lt;&gt;"",$H242="Tree Protection Code: Tier 3 or Tier 4 Allowance",OR($I242="",ISNA(MATCH($I242,Tables!$B$193:$B$197,0)))),
Error!$B$17,
IF(AND(OR($E242="Tier 2",$E242="Tier 2 Grove"),$F242="Remove",$H242="Tree Protection Code: Other removal allowance or exemption",$I242&lt;&gt;"",ISNA(MATCH($I242,Tables!$B$215:$B$218,0))),
Error!$B$17,
IF(AND(OR($E242="Tier 2",$E242="Tier 2 Grove"),$F242="Remove",$H242="Tree Protection Code: Development Capacity",$I242&lt;&gt;"",ISNA(MATCH($I242,Tables!$B$193:$B$197,0))),
Error!$B$17,
IF(AND(OR($E242="Tier 2",$E242="Tier 2 Grove"),$F242="Remove",$H242="Tree Protection Code: Necessary for Construction",$I242&lt;&gt;"",ISNA(MATCH($I242,Tables!$B$193:$B$197,0))),
Error!$B$17,
IF(AND($E242="Tier 1",$F242="Remove",$H242="Tree Protection Code: Special Exception",$I242&lt;&gt;"",ISNA(MATCH($I242,Tables!$B$215:$B$218,0))),
Error!$B$17,
IF(AND($E242="Tier 1",$F242="Remove",$H242="Tree Protection Code: Other removal allowance or exemption",$I242&lt;&gt;"",ISNA(MATCH($I242,Tables!$B$215:$B$218,0))),
Error!$B$17,
IF(AND($E242="ECA / Shoreline Tree",$F242="Remove",$H242&lt;&gt;"",OR($H242="Shoreline",$H242="Environmental Critical Area (ECA)"),ISNA(MATCH($I242,Tables!$B$209:$B$212,0))),
Error!$B$17,
IF(AND(_xlpm.baseRow,$F242="Retain",$E242="ECA / Shoreline Tree",_xlpm.ECA_Short=0),
Error!$B$61,
IF(AND($F242="Remove",ISNUMBER(MATCH($E242,{"Tier 1","Tier 2","Tier 3","Tier 4","Tier 2 Grove"},0)),ISNUMBER(MATCH($I242,{"On-site replacement","Off-site replacement"},0)),$J242="",$H242&lt;&gt;""),
Error!$B$19,
IF(AND(_xlpm.baseRow,$E242&lt;&gt;"",$D242&lt;&gt;"",$F242&lt;&gt;"",COUNTBLANK($B242:$C242)&gt;0,COUNTBLANK(_xlpm.HRange)&lt;&gt;4),
Error!$B$22,
IF(AND($H242="Zoning: Tree Points",$K242&lt;&gt;"",ISNA(MATCH($K242,Tables!$B$242:$B$253,0))),
Error!$B$58,
IF(AND($H242="Zoning: Tree Points",$K242="Small",$L242&lt;&gt;"",ISNA(MATCH($L242,Tables!$C$243:$C$244,0))),
Error!$B$59,
IF(AND($H242="Zoning: Tree Points",$K242="Small/Medium",$L242&lt;&gt;"",ISNA(MATCH($L242,Tables!$C$246:$C$247,0))),
Error!$B$59,
IF(AND($H242="Zoning: Tree Points",$K242="Medium/Large",$L242&lt;&gt;"",ISNA(MATCH($L242,Tables!$C$249:$C$250,0))),
Error!$B$59,
IF(AND($H242="Zoning: Tree Points",$K242="Large",$L242&lt;&gt;"",ISNA(MATCH($L242,Tables!$C$252:$C$253,0))),
Error!$B$59,
IF(AND($F242="Retain",$H242="Zoning: Tree Points",$C242&lt;&gt;"",$D242&lt;&gt;"",OR($K242="",$L242="",$M242="")),
Error!$B$20,
""
)))))))))))))))))))))))))))))))))))))))))))))))))))))))),
Error!$B$23))</f>
        <v/>
      </c>
      <c r="O242" s="343" t="str" cm="1">
        <f t="array" aca="1" ref="O242" ca="1">IFERROR(_xlfn.LET(
    _xlpm.txt, $C242,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43" spans="1:15" ht="15" thickBot="1" x14ac:dyDescent="0.35">
      <c r="A243" s="311">
        <v>59</v>
      </c>
      <c r="B243" s="312"/>
      <c r="C243" s="313"/>
      <c r="D243" s="478"/>
      <c r="E243" s="314"/>
      <c r="F243" s="314"/>
      <c r="G243" s="315" t="str">
        <f>IF(Tree_Table1[[#This Row],[Tree Status  &amp;]]="Retain", Tables!$B$237, IF(Tree_Table1[[#This Row],[Tree Status  &amp;]]="Remove", Tables!$B$238, ""))</f>
        <v/>
      </c>
      <c r="H243" s="316"/>
      <c r="I243" s="317"/>
      <c r="J243" s="452"/>
      <c r="K243" s="318" t="str">
        <f>IFERROR(
    IF(
        AND($H243="Zoning: Tree Points", NOT(ISNUMBER(SEARCH("sp.", $C243)))),
        VLOOKUP($C243, 'Tree List'!$C$3:$F$601, 4, FALSE),
        ""
    ),
"")</f>
        <v/>
      </c>
      <c r="L243" s="319" t="str" cm="1">
        <f t="array" ref="L243">IFERROR(
IF(
    AND($H243="Zoning: Tree Points", NOT(ISNUMBER(SEARCH("sp.", $C243)))),
    _xlfn.IFS(
        (COUNTIFS('Tree List'!$C$3:$C$601,$C243,'Tree List'!$D$3:$D$601,"Coniferous")
        + COUNTIFS('Tree List'!$C$3:$C$601,$C243,'Tree List'!$D$3:$D$601,"Deciduous Conifer")) &gt; 0,
            _xlfn.IFS($K243="Small",0.5,$K243="Small/Medium",1,$K243="Medium/Large",1.4,$K243="Large",1.8),
        (COUNTIFS('Tree List'!$C$3:$C$601,$C243,'Tree List'!$D$3:$D$601,"Deciduous")
        + COUNTIFS('Tree List'!$C$3:$C$601,$C243,'Tree List'!$D$3:$D$601,"Broadleaf Evergreen")) &gt; 0,
            _xlfn.IFS($K243="Small",0.4,$K243="Small/Medium",0.8,$K243="Medium/Large",1.2,$K243="Large",1.6)
    ),
    ""
),
"")</f>
        <v/>
      </c>
      <c r="M243" s="474" t="str">
        <f t="shared" ref="M243:M306" si="249">IFERROR($D243*$L243,"")</f>
        <v/>
      </c>
      <c r="N243" s="620" t="str" cm="1">
        <f t="array" aca="1" ref="N24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IF(AND(_xlpm.baseRow,ISNA(MATCH($C243,'Tree List'!$C$3:$C$601,0)),SUMPRODUCT(--ISNUMBER(SEARCH(Tables2!$C$677:$C$772,$O243)))&gt;0),
Error!$B$57,
IF(AND(_xlpm.hasDM,$F243="Remove",$H243&lt;&gt;"",OR($I243="On-site replacement",$I243="Off-site replacement",$I243="Payment In Lieu")),
Error!$B$56,
IF(AND(_xlpm.hasDM,$F243="Remove",$H243&lt;&gt;"",$I243="Relocation"),
Error!$B$66,
IF(AND(OR(_xlpm.hasCN,_xlpm.hasPH,_xlpm.hasGR),$H243&lt;&gt;"",COUNTIF(Tables!$B$132:$B$134,$H243)&gt;0,$I243="N/A (No replacement required)"),
Error!$B$62,
IF(AND(_xlpm.baseRow,$E243&lt;&gt;"",ISNA(MATCH($E243,Tables!$B$225:$B$232,0))),
Error!$B$2,
IF(AND(_xlpm.baseRow,$F243&lt;&gt;"",ISNA(MATCH($F243,Tables!$B$234:$B$235,0))),
Error!$B$24,
IF(AND(_xlpm.baseRow,_xlpm.ECA_H&gt;0,_xlpm.Shore_H&gt;0),
Error!$B$16,
IF(AND(_xlpm.baseRow,$E243&lt;&gt;"",$D243=""),
Error!$B$3,
IF(AND(_xlpm.baseRow,OR($E243="Tier 3",$E243="Tier 4"),$C243&lt;&gt;"",$D243&gt;=24,COUNTIF(Tables2!$B$166:$B$674,$C243)&gt;0),
Error!$B$44,
IF(AND(_xlpm.baseRow,OR($E243="Tier 3",$E243="Tier 4"),$C243&lt;&gt;"",$D243&lt;&gt;"",COUNTIF(Tables2!$B$73:$B$152,$C243)&gt;0,
$D243&gt;=IFERROR(INDEX(Tables2!$C$73:$C$152,MATCH($C243,Tables2!$B$73:$B$152,0)),-1)),
Error!$B$44,
IF(AND(_xlpm.baseRow,OR($E243="Tier 2",$E243="Tier 2 Grove"),$C243&lt;&gt;"",$D243&gt;=12,COUNTIF(Tables2!$B$153:$B$162,$C243)&gt;0),
Error!$B$45,
IF(AND(_xlpm.baseRow,$E243="Tier 2 Grove",$D243&lt;12),
Error!$B$41,
IF(AND(_xlpm.baseRow,$E243="Tier 2",$D243&lt;5.88),
Error!$B$40,
IF(AND(_xlpm.baseRow,OR($E243="Tier 2",$E243="Tier 2 Grove"),$C243&lt;&gt;"",$D243&lt;12,$D243&gt;=6,COUNTIF(Tables2!$B$153:$B$162,$C243)&gt;0),
Error!$B$54,
IF(AND(_xlpm.baseRow,$E243="Tier 2",COUNTIF(Tables2!$B$166:$B$674,$C243)&gt;0,$D243&lt;24),
Error!$B$54,
IF(AND(_xlpm.baseRow,$E243="Tier 3",ISNA(MATCH($C243,Tables2!$B$153:$B$162,0)),OR($D243&lt;12,$D243&gt;=24)),
Error!$B$9,
IF(AND(_xlpm.baseRow,$E243="Tier 3",COUNTIF(Tables2!$B$153:$B$162,$C243)&gt;0,$D243&lt;12),
Error!$B$46,
IF(AND(_xlpm.baseRow,$E243="Tier 4",OR($D243&lt;6,$D243&gt;=12)),
Error!$B$10,
IF(AND(_xlpm.baseRow,$E243="&lt;6in DSH for Tree Points",OR($D243&gt;=6,$D243="")),
Error!$B$8,
IF(AND(_xlpm.baseRow,$E243="Street Tree for Green Factor",$F243&lt;&gt;"",$F243&lt;&gt;"Retain"),
Error!$B$14,
IF(AND($E243="&lt;6in DSH for Tree Points",$F243="Retain",$H243&lt;&gt;"",ISNA(MATCH($H243,Tables!$B$174:$B$174,0))),
Error!$B$15,
IF(AND($E243="Street Tree for Green Factor",$F243="Retain",$H243&lt;&gt;"",$H243&lt;&gt;"Zoning: Green Factor"),
Error!$B$15,
IF(AND($E243="ECA / Shoreline Tree",$F243="Remove",$H243&lt;&gt;"",ISNA(MATCH($H243,Tables!$B$189:$B$190,0))),
Error!$B$15,
IF(AND($E243="ECA / Shoreline Tree",$F243="Retain",$H243&lt;&gt;"",ISNA(MATCH($H243,Tables!$B$184:$B$186,0))),
Error!$B$15,
IF(AND($E243="Tier 4",$F243="Remove",$H243&lt;&gt;"",ISNA(MATCH($H243,Tables!$B$171,0))),
Error!$B$15,
IF(AND($E243="Tier 4",$F243="Retain",$H243&lt;&gt;"",ISNA(MATCH($H243,Tables!$B$166:$B$168,0))),
Error!$B$15,
IF(AND($E243="Tier 3",$F243="Retain",$H243&lt;&gt;"",ISNA(MATCH($H243,Tables!$B$158:$B$160,0))),
Error!$B$15,
IF(AND($E243="Tier 3",$F243="Remove",$H243&lt;&gt;"",ISNA(MATCH($H243,Tables!$B$163,0))),
Error!$B$15,
IF(AND(OR($E243="Tier 2",$E243="Tier 2 Grove"),$F243="Remove",$H243&lt;&gt;"",ISNA(MATCH($H243,Tables!$B$153:$B$155,0))),
Error!$B$15,
IF(AND(OR($E243="Tier 2",$E243="Tier 2 Grove"),$F243="Retain",$H243&lt;&gt;"",ISNA(MATCH($H243,Tables!$B$147:$B$150,0))),
Error!$B$15,
IF(AND($E243="Tier 1",$F243="Remove",$H243&lt;&gt;"",ISNA(MATCH($H243,Tables!$B$143:$B$144,0))),
Error!$B$15,
IF(AND($E243="Tier 1",$F243="Retain",$H243&lt;&gt;"",ISNA(MATCH($H243,Tables!$B$137:$B$140,0))),
Error!$B$15,
IF(AND($E243&lt;&gt;"Tier 2",$E243&lt;&gt;"Tier 2 Grove",$E243&lt;&gt;"Tier 3",$E243&lt;&gt;"Tier 4",$H243="Zoning: Green Factor",OR($D243="",$D243&lt;6)),
Error!$B$11,
IF(AND(_xlpm.baseRow,$D243&lt;6,$E243="&lt;6in DSH for Tree Points",_xlpm.TreePoints_H=0),
Error!$B$21,
IF(AND(_xlpm.baseRow,$E243&lt;&gt;"",$D243&lt;&gt;"",$F243=""),
Error!$B$4,
IF(AND(_xlpm.baseRow,$F243="Remove",OR($E243="Tier 1",$E243="Tier 2",$E243="Tier 2 Grove"),COUNTBLANK(_xlpm.HRange)&lt;3,_xlpm.uniqueH&gt;=2),
Error!$B$48,
IF(AND(_xlpm.baseRow,$F243="Retain",OR($E243="Tier 1",$E243="Tier 2",$E243="Tier 2 Grove"),COUNTIF(_xlpm.HRange,"Tree Code: Required to Retain Tier 1-2 Tree")=0),
Error!$B$47,
IF(AND(_xlpm.baseRow,$E243&lt;&gt;"",$D243&lt;&gt;"",$F243&lt;&gt;"",COUNTBLANK(_xlpm.HRange)=4),
Error!$B$5,
IF(AND($F243="Remove",$H243&lt;&gt;"",$I243=""),
Error!$B$18,
IF(AND($E243="Tier 4",$F243="Remove",$H243="Tree Protection Code: Tier 3 or Tier 4 Allowance",$H243&lt;&gt;"",ISNA(MATCH($I243,Tables!$B$200,0))),
Error!$B$17,
IF(AND($E243="Tier 3",$F243="Remove",$H243&lt;&gt;"",$H243="Tree Protection Code: Tier 3 or Tier 4 Allowance",OR($I243="",ISNA(MATCH($I243,Tables!$B$193:$B$197,0)))),
Error!$B$17,
IF(AND(OR($E243="Tier 2",$E243="Tier 2 Grove"),$F243="Remove",$H243="Tree Protection Code: Other removal allowance or exemption",$I243&lt;&gt;"",ISNA(MATCH($I243,Tables!$B$215:$B$218,0))),
Error!$B$17,
IF(AND(OR($E243="Tier 2",$E243="Tier 2 Grove"),$F243="Remove",$H243="Tree Protection Code: Development Capacity",$I243&lt;&gt;"",ISNA(MATCH($I243,Tables!$B$193:$B$197,0))),
Error!$B$17,
IF(AND(OR($E243="Tier 2",$E243="Tier 2 Grove"),$F243="Remove",$H243="Tree Protection Code: Necessary for Construction",$I243&lt;&gt;"",ISNA(MATCH($I243,Tables!$B$193:$B$197,0))),
Error!$B$17,
IF(AND($E243="Tier 1",$F243="Remove",$H243="Tree Protection Code: Special Exception",$I243&lt;&gt;"",ISNA(MATCH($I243,Tables!$B$215:$B$218,0))),
Error!$B$17,
IF(AND($E243="Tier 1",$F243="Remove",$H243="Tree Protection Code: Other removal allowance or exemption",$I243&lt;&gt;"",ISNA(MATCH($I243,Tables!$B$215:$B$218,0))),
Error!$B$17,
IF(AND($E243="ECA / Shoreline Tree",$F243="Remove",$H243&lt;&gt;"",OR($H243="Shoreline",$H243="Environmental Critical Area (ECA)"),ISNA(MATCH($I243,Tables!$B$209:$B$212,0))),
Error!$B$17,
IF(AND(_xlpm.baseRow,$F243="Retain",$E243="ECA / Shoreline Tree",_xlpm.ECA_Short=0),
Error!$B$61,
IF(AND($F243="Remove",ISNUMBER(MATCH($E243,{"Tier 1","Tier 2","Tier 3","Tier 4","Tier 2 Grove"},0)),ISNUMBER(MATCH($I243,{"On-site replacement","Off-site replacement"},0)),$J243="",$H243&lt;&gt;""),
Error!$B$19,
IF(AND(_xlpm.baseRow,$E243&lt;&gt;"",$D243&lt;&gt;"",$F243&lt;&gt;"",COUNTBLANK($B243:$C243)&gt;0,COUNTBLANK(_xlpm.HRange)&lt;&gt;4),
Error!$B$22,
IF(AND($H243="Zoning: Tree Points",$K243&lt;&gt;"",ISNA(MATCH($K243,Tables!$B$242:$B$253,0))),
Error!$B$58,
IF(AND($H243="Zoning: Tree Points",$K243="Small",$L243&lt;&gt;"",ISNA(MATCH($L243,Tables!$C$243:$C$244,0))),
Error!$B$59,
IF(AND($H243="Zoning: Tree Points",$K243="Small/Medium",$L243&lt;&gt;"",ISNA(MATCH($L243,Tables!$C$246:$C$247,0))),
Error!$B$59,
IF(AND($H243="Zoning: Tree Points",$K243="Medium/Large",$L243&lt;&gt;"",ISNA(MATCH($L243,Tables!$C$249:$C$250,0))),
Error!$B$59,
IF(AND($H243="Zoning: Tree Points",$K243="Large",$L243&lt;&gt;"",ISNA(MATCH($L243,Tables!$C$252:$C$253,0))),
Error!$B$59,
IF(AND($F243="Retain",$H243="Zoning: Tree Points",$C243&lt;&gt;"",$D243&lt;&gt;"",OR($K243="",$L243="",$M243="")),
Error!$B$20,
""
)))))))))))))))))))))))))))))))))))))))))))))))))))))))),
Error!$B$23))</f>
        <v/>
      </c>
      <c r="O243" s="343" t="str" cm="1">
        <f t="array" aca="1" ref="O243" ca="1">IFERROR(_xlfn.LET(
    _xlpm.txt, $C243,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44" spans="1:15" x14ac:dyDescent="0.3">
      <c r="A244" s="320"/>
      <c r="B244" s="616" t="str">
        <f t="shared" ref="B244:B246" si="250">IF($B243="", "", $B243)</f>
        <v/>
      </c>
      <c r="C244" s="617" t="str">
        <f t="shared" ref="C244:C246" si="251">IF($C243="", "", $C243)</f>
        <v/>
      </c>
      <c r="D244" s="618" t="str">
        <f t="shared" ref="D244:D246" si="252">IF($D243="", "", $D243)</f>
        <v/>
      </c>
      <c r="E244" s="616" t="str">
        <f t="shared" ref="E244:E246" si="253">IF($E243="", "", $E243)</f>
        <v/>
      </c>
      <c r="F244" s="616" t="str">
        <f t="shared" ref="F244:F246" si="254">IF($F243="", "", $F243)</f>
        <v/>
      </c>
      <c r="G244" s="619" t="str">
        <f>IF(Tree_Table1[[#This Row],[Tree Status  &amp;]]="Retain", Tables!$B$237, IF(Tree_Table1[[#This Row],[Tree Status  &amp;]]="Remove", Tables!$B$238, ""))</f>
        <v/>
      </c>
      <c r="H244" s="321"/>
      <c r="I244" s="322"/>
      <c r="J244" s="453"/>
      <c r="K244" s="323" t="str">
        <f>IFERROR(
    IF(
        AND($H244="Zoning: Tree Points", NOT(ISNUMBER(SEARCH("sp.", $C244)))),
        VLOOKUP($C244, 'Tree List'!$C$3:$F$601, 4, FALSE),
        ""
    ),
"")</f>
        <v/>
      </c>
      <c r="L244" s="324" t="str" cm="1">
        <f t="array" ref="L244">IFERROR(
IF(
    AND($H244="Zoning: Tree Points", NOT(ISNUMBER(SEARCH("sp.", $C244)))),
    _xlfn.IFS(
        (COUNTIFS('Tree List'!$C$3:$C$601,$C244,'Tree List'!$D$3:$D$601,"Coniferous")
        + COUNTIFS('Tree List'!$C$3:$C$601,$C244,'Tree List'!$D$3:$D$601,"Deciduous Conifer")) &gt; 0,
            _xlfn.IFS($K244="Small",0.5,$K244="Small/Medium",1,$K244="Medium/Large",1.4,$K244="Large",1.8),
        (COUNTIFS('Tree List'!$C$3:$C$601,$C244,'Tree List'!$D$3:$D$601,"Deciduous")
        + COUNTIFS('Tree List'!$C$3:$C$601,$C244,'Tree List'!$D$3:$D$601,"Broadleaf Evergreen")) &gt; 0,
            _xlfn.IFS($K244="Small",0.4,$K244="Small/Medium",0.8,$K244="Medium/Large",1.2,$K244="Large",1.6)
    ),
    ""
),
"")</f>
        <v/>
      </c>
      <c r="M244" s="475" t="str">
        <f t="shared" si="249"/>
        <v/>
      </c>
      <c r="N244" s="346" t="str" cm="1">
        <f t="array" aca="1" ref="N24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IF(AND(_xlpm.baseRow,ISNA(MATCH($C244,'Tree List'!$C$3:$C$601,0)),SUMPRODUCT(--ISNUMBER(SEARCH(Tables2!$C$677:$C$772,$O244)))&gt;0),
Error!$B$57,
IF(AND(_xlpm.hasDM,$F244="Remove",$H244&lt;&gt;"",OR($I244="On-site replacement",$I244="Off-site replacement",$I244="Payment In Lieu")),
Error!$B$56,
IF(AND(_xlpm.hasDM,$F244="Remove",$H244&lt;&gt;"",$I244="Relocation"),
Error!$B$66,
IF(AND(OR(_xlpm.hasCN,_xlpm.hasPH,_xlpm.hasGR),$H244&lt;&gt;"",COUNTIF(Tables!$B$132:$B$134,$H244)&gt;0,$I244="N/A (No replacement required)"),
Error!$B$62,
IF(AND(_xlpm.baseRow,$E244&lt;&gt;"",ISNA(MATCH($E244,Tables!$B$225:$B$232,0))),
Error!$B$2,
IF(AND(_xlpm.baseRow,$F244&lt;&gt;"",ISNA(MATCH($F244,Tables!$B$234:$B$235,0))),
Error!$B$24,
IF(AND(_xlpm.baseRow,_xlpm.ECA_H&gt;0,_xlpm.Shore_H&gt;0),
Error!$B$16,
IF(AND(_xlpm.baseRow,$E244&lt;&gt;"",$D244=""),
Error!$B$3,
IF(AND(_xlpm.baseRow,OR($E244="Tier 3",$E244="Tier 4"),$C244&lt;&gt;"",$D244&gt;=24,COUNTIF(Tables2!$B$166:$B$674,$C244)&gt;0),
Error!$B$44,
IF(AND(_xlpm.baseRow,OR($E244="Tier 3",$E244="Tier 4"),$C244&lt;&gt;"",$D244&lt;&gt;"",COUNTIF(Tables2!$B$73:$B$152,$C244)&gt;0,
$D244&gt;=IFERROR(INDEX(Tables2!$C$73:$C$152,MATCH($C244,Tables2!$B$73:$B$152,0)),-1)),
Error!$B$44,
IF(AND(_xlpm.baseRow,OR($E244="Tier 2",$E244="Tier 2 Grove"),$C244&lt;&gt;"",$D244&gt;=12,COUNTIF(Tables2!$B$153:$B$162,$C244)&gt;0),
Error!$B$45,
IF(AND(_xlpm.baseRow,$E244="Tier 2 Grove",$D244&lt;12),
Error!$B$41,
IF(AND(_xlpm.baseRow,$E244="Tier 2",$D244&lt;5.88),
Error!$B$40,
IF(AND(_xlpm.baseRow,OR($E244="Tier 2",$E244="Tier 2 Grove"),$C244&lt;&gt;"",$D244&lt;12,$D244&gt;=6,COUNTIF(Tables2!$B$153:$B$162,$C244)&gt;0),
Error!$B$54,
IF(AND(_xlpm.baseRow,$E244="Tier 2",COUNTIF(Tables2!$B$166:$B$674,$C244)&gt;0,$D244&lt;24),
Error!$B$54,
IF(AND(_xlpm.baseRow,$E244="Tier 3",ISNA(MATCH($C244,Tables2!$B$153:$B$162,0)),OR($D244&lt;12,$D244&gt;=24)),
Error!$B$9,
IF(AND(_xlpm.baseRow,$E244="Tier 3",COUNTIF(Tables2!$B$153:$B$162,$C244)&gt;0,$D244&lt;12),
Error!$B$46,
IF(AND(_xlpm.baseRow,$E244="Tier 4",OR($D244&lt;6,$D244&gt;=12)),
Error!$B$10,
IF(AND(_xlpm.baseRow,$E244="&lt;6in DSH for Tree Points",OR($D244&gt;=6,$D244="")),
Error!$B$8,
IF(AND(_xlpm.baseRow,$E244="Street Tree for Green Factor",$F244&lt;&gt;"",$F244&lt;&gt;"Retain"),
Error!$B$14,
IF(AND($E244="&lt;6in DSH for Tree Points",$F244="Retain",$H244&lt;&gt;"",ISNA(MATCH($H244,Tables!$B$174:$B$174,0))),
Error!$B$15,
IF(AND($E244="Street Tree for Green Factor",$F244="Retain",$H244&lt;&gt;"",$H244&lt;&gt;"Zoning: Green Factor"),
Error!$B$15,
IF(AND($E244="ECA / Shoreline Tree",$F244="Remove",$H244&lt;&gt;"",ISNA(MATCH($H244,Tables!$B$189:$B$190,0))),
Error!$B$15,
IF(AND($E244="ECA / Shoreline Tree",$F244="Retain",$H244&lt;&gt;"",ISNA(MATCH($H244,Tables!$B$184:$B$186,0))),
Error!$B$15,
IF(AND($E244="Tier 4",$F244="Remove",$H244&lt;&gt;"",ISNA(MATCH($H244,Tables!$B$171,0))),
Error!$B$15,
IF(AND($E244="Tier 4",$F244="Retain",$H244&lt;&gt;"",ISNA(MATCH($H244,Tables!$B$166:$B$168,0))),
Error!$B$15,
IF(AND($E244="Tier 3",$F244="Retain",$H244&lt;&gt;"",ISNA(MATCH($H244,Tables!$B$158:$B$160,0))),
Error!$B$15,
IF(AND($E244="Tier 3",$F244="Remove",$H244&lt;&gt;"",ISNA(MATCH($H244,Tables!$B$163,0))),
Error!$B$15,
IF(AND(OR($E244="Tier 2",$E244="Tier 2 Grove"),$F244="Remove",$H244&lt;&gt;"",ISNA(MATCH($H244,Tables!$B$153:$B$155,0))),
Error!$B$15,
IF(AND(OR($E244="Tier 2",$E244="Tier 2 Grove"),$F244="Retain",$H244&lt;&gt;"",ISNA(MATCH($H244,Tables!$B$147:$B$150,0))),
Error!$B$15,
IF(AND($E244="Tier 1",$F244="Remove",$H244&lt;&gt;"",ISNA(MATCH($H244,Tables!$B$143:$B$144,0))),
Error!$B$15,
IF(AND($E244="Tier 1",$F244="Retain",$H244&lt;&gt;"",ISNA(MATCH($H244,Tables!$B$137:$B$140,0))),
Error!$B$15,
IF(AND($E244&lt;&gt;"Tier 2",$E244&lt;&gt;"Tier 2 Grove",$E244&lt;&gt;"Tier 3",$E244&lt;&gt;"Tier 4",$H244="Zoning: Green Factor",OR($D244="",$D244&lt;6)),
Error!$B$11,
IF(AND(_xlpm.baseRow,$D244&lt;6,$E244="&lt;6in DSH for Tree Points",_xlpm.TreePoints_H=0),
Error!$B$21,
IF(AND(_xlpm.baseRow,$E244&lt;&gt;"",$D244&lt;&gt;"",$F244=""),
Error!$B$4,
IF(AND(_xlpm.baseRow,$F244="Remove",OR($E244="Tier 1",$E244="Tier 2",$E244="Tier 2 Grove"),COUNTBLANK(_xlpm.HRange)&lt;3,_xlpm.uniqueH&gt;=2),
Error!$B$48,
IF(AND(_xlpm.baseRow,$F244="Retain",OR($E244="Tier 1",$E244="Tier 2",$E244="Tier 2 Grove"),COUNTIF(_xlpm.HRange,"Tree Code: Required to Retain Tier 1-2 Tree")=0),
Error!$B$47,
IF(AND(_xlpm.baseRow,$E244&lt;&gt;"",$D244&lt;&gt;"",$F244&lt;&gt;"",COUNTBLANK(_xlpm.HRange)=4),
Error!$B$5,
IF(AND($F244="Remove",$H244&lt;&gt;"",$I244=""),
Error!$B$18,
IF(AND($E244="Tier 4",$F244="Remove",$H244="Tree Protection Code: Tier 3 or Tier 4 Allowance",$H244&lt;&gt;"",ISNA(MATCH($I244,Tables!$B$200,0))),
Error!$B$17,
IF(AND($E244="Tier 3",$F244="Remove",$H244&lt;&gt;"",$H244="Tree Protection Code: Tier 3 or Tier 4 Allowance",OR($I244="",ISNA(MATCH($I244,Tables!$B$193:$B$197,0)))),
Error!$B$17,
IF(AND(OR($E244="Tier 2",$E244="Tier 2 Grove"),$F244="Remove",$H244="Tree Protection Code: Other removal allowance or exemption",$I244&lt;&gt;"",ISNA(MATCH($I244,Tables!$B$215:$B$218,0))),
Error!$B$17,
IF(AND(OR($E244="Tier 2",$E244="Tier 2 Grove"),$F244="Remove",$H244="Tree Protection Code: Development Capacity",$I244&lt;&gt;"",ISNA(MATCH($I244,Tables!$B$193:$B$197,0))),
Error!$B$17,
IF(AND(OR($E244="Tier 2",$E244="Tier 2 Grove"),$F244="Remove",$H244="Tree Protection Code: Necessary for Construction",$I244&lt;&gt;"",ISNA(MATCH($I244,Tables!$B$193:$B$197,0))),
Error!$B$17,
IF(AND($E244="Tier 1",$F244="Remove",$H244="Tree Protection Code: Special Exception",$I244&lt;&gt;"",ISNA(MATCH($I244,Tables!$B$215:$B$218,0))),
Error!$B$17,
IF(AND($E244="Tier 1",$F244="Remove",$H244="Tree Protection Code: Other removal allowance or exemption",$I244&lt;&gt;"",ISNA(MATCH($I244,Tables!$B$215:$B$218,0))),
Error!$B$17,
IF(AND($E244="ECA / Shoreline Tree",$F244="Remove",$H244&lt;&gt;"",OR($H244="Shoreline",$H244="Environmental Critical Area (ECA)"),ISNA(MATCH($I244,Tables!$B$209:$B$212,0))),
Error!$B$17,
IF(AND(_xlpm.baseRow,$F244="Retain",$E244="ECA / Shoreline Tree",_xlpm.ECA_Short=0),
Error!$B$61,
IF(AND($F244="Remove",ISNUMBER(MATCH($E244,{"Tier 1","Tier 2","Tier 3","Tier 4","Tier 2 Grove"},0)),ISNUMBER(MATCH($I244,{"On-site replacement","Off-site replacement"},0)),$J244="",$H244&lt;&gt;""),
Error!$B$19,
IF(AND(_xlpm.baseRow,$E244&lt;&gt;"",$D244&lt;&gt;"",$F244&lt;&gt;"",COUNTBLANK($B244:$C244)&gt;0,COUNTBLANK(_xlpm.HRange)&lt;&gt;4),
Error!$B$22,
IF(AND($H244="Zoning: Tree Points",$K244&lt;&gt;"",ISNA(MATCH($K244,Tables!$B$242:$B$253,0))),
Error!$B$58,
IF(AND($H244="Zoning: Tree Points",$K244="Small",$L244&lt;&gt;"",ISNA(MATCH($L244,Tables!$C$243:$C$244,0))),
Error!$B$59,
IF(AND($H244="Zoning: Tree Points",$K244="Small/Medium",$L244&lt;&gt;"",ISNA(MATCH($L244,Tables!$C$246:$C$247,0))),
Error!$B$59,
IF(AND($H244="Zoning: Tree Points",$K244="Medium/Large",$L244&lt;&gt;"",ISNA(MATCH($L244,Tables!$C$249:$C$250,0))),
Error!$B$59,
IF(AND($H244="Zoning: Tree Points",$K244="Large",$L244&lt;&gt;"",ISNA(MATCH($L244,Tables!$C$252:$C$253,0))),
Error!$B$59,
IF(AND($F244="Retain",$H244="Zoning: Tree Points",$C244&lt;&gt;"",$D244&lt;&gt;"",OR($K244="",$L244="",$M244="")),
Error!$B$20,
""
)))))))))))))))))))))))))))))))))))))))))))))))))))))))),
Error!$B$23))</f>
        <v/>
      </c>
      <c r="O244" s="343" t="str" cm="1">
        <f t="array" aca="1" ref="O244" ca="1">IFERROR(_xlfn.LET(
    _xlpm.txt, $C244,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45" spans="1:15" x14ac:dyDescent="0.3">
      <c r="A245" s="320"/>
      <c r="B245" s="616" t="str">
        <f t="shared" si="250"/>
        <v/>
      </c>
      <c r="C245" s="617" t="str">
        <f t="shared" si="251"/>
        <v/>
      </c>
      <c r="D245" s="618" t="str">
        <f t="shared" si="252"/>
        <v/>
      </c>
      <c r="E245" s="616" t="str">
        <f t="shared" si="253"/>
        <v/>
      </c>
      <c r="F245" s="616" t="str">
        <f t="shared" si="254"/>
        <v/>
      </c>
      <c r="G245" s="619" t="str">
        <f>IF(Tree_Table1[[#This Row],[Tree Status  &amp;]]="Retain", Tables!$B$237, IF(Tree_Table1[[#This Row],[Tree Status  &amp;]]="Remove", Tables!$B$238, ""))</f>
        <v/>
      </c>
      <c r="H245" s="321"/>
      <c r="I245" s="322"/>
      <c r="J245" s="453"/>
      <c r="K245" s="323" t="str">
        <f>IFERROR(
    IF(
        AND($H245="Zoning: Tree Points", NOT(ISNUMBER(SEARCH("sp.", $C245)))),
        VLOOKUP($C245, 'Tree List'!$C$3:$F$601, 4, FALSE),
        ""
    ),
"")</f>
        <v/>
      </c>
      <c r="L245" s="324" t="str" cm="1">
        <f t="array" ref="L245">IFERROR(
IF(
    AND($H245="Zoning: Tree Points", NOT(ISNUMBER(SEARCH("sp.", $C245)))),
    _xlfn.IFS(
        (COUNTIFS('Tree List'!$C$3:$C$601,$C245,'Tree List'!$D$3:$D$601,"Coniferous")
        + COUNTIFS('Tree List'!$C$3:$C$601,$C245,'Tree List'!$D$3:$D$601,"Deciduous Conifer")) &gt; 0,
            _xlfn.IFS($K245="Small",0.5,$K245="Small/Medium",1,$K245="Medium/Large",1.4,$K245="Large",1.8),
        (COUNTIFS('Tree List'!$C$3:$C$601,$C245,'Tree List'!$D$3:$D$601,"Deciduous")
        + COUNTIFS('Tree List'!$C$3:$C$601,$C245,'Tree List'!$D$3:$D$601,"Broadleaf Evergreen")) &gt; 0,
            _xlfn.IFS($K245="Small",0.4,$K245="Small/Medium",0.8,$K245="Medium/Large",1.2,$K245="Large",1.6)
    ),
    ""
),
"")</f>
        <v/>
      </c>
      <c r="M245" s="475" t="str">
        <f t="shared" si="249"/>
        <v/>
      </c>
      <c r="N245" s="346" t="str" cm="1">
        <f t="array" aca="1" ref="N24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IF(AND(_xlpm.baseRow,ISNA(MATCH($C245,'Tree List'!$C$3:$C$601,0)),SUMPRODUCT(--ISNUMBER(SEARCH(Tables2!$C$677:$C$772,$O245)))&gt;0),
Error!$B$57,
IF(AND(_xlpm.hasDM,$F245="Remove",$H245&lt;&gt;"",OR($I245="On-site replacement",$I245="Off-site replacement",$I245="Payment In Lieu")),
Error!$B$56,
IF(AND(_xlpm.hasDM,$F245="Remove",$H245&lt;&gt;"",$I245="Relocation"),
Error!$B$66,
IF(AND(OR(_xlpm.hasCN,_xlpm.hasPH,_xlpm.hasGR),$H245&lt;&gt;"",COUNTIF(Tables!$B$132:$B$134,$H245)&gt;0,$I245="N/A (No replacement required)"),
Error!$B$62,
IF(AND(_xlpm.baseRow,$E245&lt;&gt;"",ISNA(MATCH($E245,Tables!$B$225:$B$232,0))),
Error!$B$2,
IF(AND(_xlpm.baseRow,$F245&lt;&gt;"",ISNA(MATCH($F245,Tables!$B$234:$B$235,0))),
Error!$B$24,
IF(AND(_xlpm.baseRow,_xlpm.ECA_H&gt;0,_xlpm.Shore_H&gt;0),
Error!$B$16,
IF(AND(_xlpm.baseRow,$E245&lt;&gt;"",$D245=""),
Error!$B$3,
IF(AND(_xlpm.baseRow,OR($E245="Tier 3",$E245="Tier 4"),$C245&lt;&gt;"",$D245&gt;=24,COUNTIF(Tables2!$B$166:$B$674,$C245)&gt;0),
Error!$B$44,
IF(AND(_xlpm.baseRow,OR($E245="Tier 3",$E245="Tier 4"),$C245&lt;&gt;"",$D245&lt;&gt;"",COUNTIF(Tables2!$B$73:$B$152,$C245)&gt;0,
$D245&gt;=IFERROR(INDEX(Tables2!$C$73:$C$152,MATCH($C245,Tables2!$B$73:$B$152,0)),-1)),
Error!$B$44,
IF(AND(_xlpm.baseRow,OR($E245="Tier 2",$E245="Tier 2 Grove"),$C245&lt;&gt;"",$D245&gt;=12,COUNTIF(Tables2!$B$153:$B$162,$C245)&gt;0),
Error!$B$45,
IF(AND(_xlpm.baseRow,$E245="Tier 2 Grove",$D245&lt;12),
Error!$B$41,
IF(AND(_xlpm.baseRow,$E245="Tier 2",$D245&lt;5.88),
Error!$B$40,
IF(AND(_xlpm.baseRow,OR($E245="Tier 2",$E245="Tier 2 Grove"),$C245&lt;&gt;"",$D245&lt;12,$D245&gt;=6,COUNTIF(Tables2!$B$153:$B$162,$C245)&gt;0),
Error!$B$54,
IF(AND(_xlpm.baseRow,$E245="Tier 2",COUNTIF(Tables2!$B$166:$B$674,$C245)&gt;0,$D245&lt;24),
Error!$B$54,
IF(AND(_xlpm.baseRow,$E245="Tier 3",ISNA(MATCH($C245,Tables2!$B$153:$B$162,0)),OR($D245&lt;12,$D245&gt;=24)),
Error!$B$9,
IF(AND(_xlpm.baseRow,$E245="Tier 3",COUNTIF(Tables2!$B$153:$B$162,$C245)&gt;0,$D245&lt;12),
Error!$B$46,
IF(AND(_xlpm.baseRow,$E245="Tier 4",OR($D245&lt;6,$D245&gt;=12)),
Error!$B$10,
IF(AND(_xlpm.baseRow,$E245="&lt;6in DSH for Tree Points",OR($D245&gt;=6,$D245="")),
Error!$B$8,
IF(AND(_xlpm.baseRow,$E245="Street Tree for Green Factor",$F245&lt;&gt;"",$F245&lt;&gt;"Retain"),
Error!$B$14,
IF(AND($E245="&lt;6in DSH for Tree Points",$F245="Retain",$H245&lt;&gt;"",ISNA(MATCH($H245,Tables!$B$174:$B$174,0))),
Error!$B$15,
IF(AND($E245="Street Tree for Green Factor",$F245="Retain",$H245&lt;&gt;"",$H245&lt;&gt;"Zoning: Green Factor"),
Error!$B$15,
IF(AND($E245="ECA / Shoreline Tree",$F245="Remove",$H245&lt;&gt;"",ISNA(MATCH($H245,Tables!$B$189:$B$190,0))),
Error!$B$15,
IF(AND($E245="ECA / Shoreline Tree",$F245="Retain",$H245&lt;&gt;"",ISNA(MATCH($H245,Tables!$B$184:$B$186,0))),
Error!$B$15,
IF(AND($E245="Tier 4",$F245="Remove",$H245&lt;&gt;"",ISNA(MATCH($H245,Tables!$B$171,0))),
Error!$B$15,
IF(AND($E245="Tier 4",$F245="Retain",$H245&lt;&gt;"",ISNA(MATCH($H245,Tables!$B$166:$B$168,0))),
Error!$B$15,
IF(AND($E245="Tier 3",$F245="Retain",$H245&lt;&gt;"",ISNA(MATCH($H245,Tables!$B$158:$B$160,0))),
Error!$B$15,
IF(AND($E245="Tier 3",$F245="Remove",$H245&lt;&gt;"",ISNA(MATCH($H245,Tables!$B$163,0))),
Error!$B$15,
IF(AND(OR($E245="Tier 2",$E245="Tier 2 Grove"),$F245="Remove",$H245&lt;&gt;"",ISNA(MATCH($H245,Tables!$B$153:$B$155,0))),
Error!$B$15,
IF(AND(OR($E245="Tier 2",$E245="Tier 2 Grove"),$F245="Retain",$H245&lt;&gt;"",ISNA(MATCH($H245,Tables!$B$147:$B$150,0))),
Error!$B$15,
IF(AND($E245="Tier 1",$F245="Remove",$H245&lt;&gt;"",ISNA(MATCH($H245,Tables!$B$143:$B$144,0))),
Error!$B$15,
IF(AND($E245="Tier 1",$F245="Retain",$H245&lt;&gt;"",ISNA(MATCH($H245,Tables!$B$137:$B$140,0))),
Error!$B$15,
IF(AND($E245&lt;&gt;"Tier 2",$E245&lt;&gt;"Tier 2 Grove",$E245&lt;&gt;"Tier 3",$E245&lt;&gt;"Tier 4",$H245="Zoning: Green Factor",OR($D245="",$D245&lt;6)),
Error!$B$11,
IF(AND(_xlpm.baseRow,$D245&lt;6,$E245="&lt;6in DSH for Tree Points",_xlpm.TreePoints_H=0),
Error!$B$21,
IF(AND(_xlpm.baseRow,$E245&lt;&gt;"",$D245&lt;&gt;"",$F245=""),
Error!$B$4,
IF(AND(_xlpm.baseRow,$F245="Remove",OR($E245="Tier 1",$E245="Tier 2",$E245="Tier 2 Grove"),COUNTBLANK(_xlpm.HRange)&lt;3,_xlpm.uniqueH&gt;=2),
Error!$B$48,
IF(AND(_xlpm.baseRow,$F245="Retain",OR($E245="Tier 1",$E245="Tier 2",$E245="Tier 2 Grove"),COUNTIF(_xlpm.HRange,"Tree Code: Required to Retain Tier 1-2 Tree")=0),
Error!$B$47,
IF(AND(_xlpm.baseRow,$E245&lt;&gt;"",$D245&lt;&gt;"",$F245&lt;&gt;"",COUNTBLANK(_xlpm.HRange)=4),
Error!$B$5,
IF(AND($F245="Remove",$H245&lt;&gt;"",$I245=""),
Error!$B$18,
IF(AND($E245="Tier 4",$F245="Remove",$H245="Tree Protection Code: Tier 3 or Tier 4 Allowance",$H245&lt;&gt;"",ISNA(MATCH($I245,Tables!$B$200,0))),
Error!$B$17,
IF(AND($E245="Tier 3",$F245="Remove",$H245&lt;&gt;"",$H245="Tree Protection Code: Tier 3 or Tier 4 Allowance",OR($I245="",ISNA(MATCH($I245,Tables!$B$193:$B$197,0)))),
Error!$B$17,
IF(AND(OR($E245="Tier 2",$E245="Tier 2 Grove"),$F245="Remove",$H245="Tree Protection Code: Other removal allowance or exemption",$I245&lt;&gt;"",ISNA(MATCH($I245,Tables!$B$215:$B$218,0))),
Error!$B$17,
IF(AND(OR($E245="Tier 2",$E245="Tier 2 Grove"),$F245="Remove",$H245="Tree Protection Code: Development Capacity",$I245&lt;&gt;"",ISNA(MATCH($I245,Tables!$B$193:$B$197,0))),
Error!$B$17,
IF(AND(OR($E245="Tier 2",$E245="Tier 2 Grove"),$F245="Remove",$H245="Tree Protection Code: Necessary for Construction",$I245&lt;&gt;"",ISNA(MATCH($I245,Tables!$B$193:$B$197,0))),
Error!$B$17,
IF(AND($E245="Tier 1",$F245="Remove",$H245="Tree Protection Code: Special Exception",$I245&lt;&gt;"",ISNA(MATCH($I245,Tables!$B$215:$B$218,0))),
Error!$B$17,
IF(AND($E245="Tier 1",$F245="Remove",$H245="Tree Protection Code: Other removal allowance or exemption",$I245&lt;&gt;"",ISNA(MATCH($I245,Tables!$B$215:$B$218,0))),
Error!$B$17,
IF(AND($E245="ECA / Shoreline Tree",$F245="Remove",$H245&lt;&gt;"",OR($H245="Shoreline",$H245="Environmental Critical Area (ECA)"),ISNA(MATCH($I245,Tables!$B$209:$B$212,0))),
Error!$B$17,
IF(AND(_xlpm.baseRow,$F245="Retain",$E245="ECA / Shoreline Tree",_xlpm.ECA_Short=0),
Error!$B$61,
IF(AND($F245="Remove",ISNUMBER(MATCH($E245,{"Tier 1","Tier 2","Tier 3","Tier 4","Tier 2 Grove"},0)),ISNUMBER(MATCH($I245,{"On-site replacement","Off-site replacement"},0)),$J245="",$H245&lt;&gt;""),
Error!$B$19,
IF(AND(_xlpm.baseRow,$E245&lt;&gt;"",$D245&lt;&gt;"",$F245&lt;&gt;"",COUNTBLANK($B245:$C245)&gt;0,COUNTBLANK(_xlpm.HRange)&lt;&gt;4),
Error!$B$22,
IF(AND($H245="Zoning: Tree Points",$K245&lt;&gt;"",ISNA(MATCH($K245,Tables!$B$242:$B$253,0))),
Error!$B$58,
IF(AND($H245="Zoning: Tree Points",$K245="Small",$L245&lt;&gt;"",ISNA(MATCH($L245,Tables!$C$243:$C$244,0))),
Error!$B$59,
IF(AND($H245="Zoning: Tree Points",$K245="Small/Medium",$L245&lt;&gt;"",ISNA(MATCH($L245,Tables!$C$246:$C$247,0))),
Error!$B$59,
IF(AND($H245="Zoning: Tree Points",$K245="Medium/Large",$L245&lt;&gt;"",ISNA(MATCH($L245,Tables!$C$249:$C$250,0))),
Error!$B$59,
IF(AND($H245="Zoning: Tree Points",$K245="Large",$L245&lt;&gt;"",ISNA(MATCH($L245,Tables!$C$252:$C$253,0))),
Error!$B$59,
IF(AND($F245="Retain",$H245="Zoning: Tree Points",$C245&lt;&gt;"",$D245&lt;&gt;"",OR($K245="",$L245="",$M245="")),
Error!$B$20,
""
)))))))))))))))))))))))))))))))))))))))))))))))))))))))),
Error!$B$23))</f>
        <v/>
      </c>
      <c r="O245" s="343" t="str" cm="1">
        <f t="array" aca="1" ref="O245" ca="1">IFERROR(_xlfn.LET(
    _xlpm.txt, $C245,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46" spans="1:15" ht="15" thickBot="1" x14ac:dyDescent="0.35">
      <c r="A246" s="331"/>
      <c r="B246" s="616" t="str">
        <f t="shared" si="250"/>
        <v/>
      </c>
      <c r="C246" s="617" t="str">
        <f t="shared" si="251"/>
        <v/>
      </c>
      <c r="D246" s="618" t="str">
        <f t="shared" si="252"/>
        <v/>
      </c>
      <c r="E246" s="616" t="str">
        <f t="shared" si="253"/>
        <v/>
      </c>
      <c r="F246" s="616" t="str">
        <f t="shared" si="254"/>
        <v/>
      </c>
      <c r="G246" s="619" t="str">
        <f>IF(Tree_Table1[[#This Row],[Tree Status  &amp;]]="Retain", Tables!$B$237, IF(Tree_Table1[[#This Row],[Tree Status  &amp;]]="Remove", Tables!$B$238, ""))</f>
        <v/>
      </c>
      <c r="H246" s="329"/>
      <c r="I246" s="330"/>
      <c r="J246" s="455"/>
      <c r="K246" s="327" t="str">
        <f>IFERROR(
    IF(
        AND($H246="Zoning: Tree Points", NOT(ISNUMBER(SEARCH("sp.", $C246)))),
        VLOOKUP($C246, 'Tree List'!$C$3:$F$601, 4, FALSE),
        ""
    ),
"")</f>
        <v/>
      </c>
      <c r="L246" s="328" t="str" cm="1">
        <f t="array" ref="L246">IFERROR(
IF(
    AND($H246="Zoning: Tree Points", NOT(ISNUMBER(SEARCH("sp.", $C246)))),
    _xlfn.IFS(
        (COUNTIFS('Tree List'!$C$3:$C$601,$C246,'Tree List'!$D$3:$D$601,"Coniferous")
        + COUNTIFS('Tree List'!$C$3:$C$601,$C246,'Tree List'!$D$3:$D$601,"Deciduous Conifer")) &gt; 0,
            _xlfn.IFS($K246="Small",0.5,$K246="Small/Medium",1,$K246="Medium/Large",1.4,$K246="Large",1.8),
        (COUNTIFS('Tree List'!$C$3:$C$601,$C246,'Tree List'!$D$3:$D$601,"Deciduous")
        + COUNTIFS('Tree List'!$C$3:$C$601,$C246,'Tree List'!$D$3:$D$601,"Broadleaf Evergreen")) &gt; 0,
            _xlfn.IFS($K246="Small",0.4,$K246="Small/Medium",0.8,$K246="Medium/Large",1.2,$K246="Large",1.6)
    ),
    ""
),
"")</f>
        <v/>
      </c>
      <c r="M246" s="476" t="str">
        <f t="shared" si="249"/>
        <v/>
      </c>
      <c r="N246" s="347" t="str" cm="1">
        <f t="array" aca="1" ref="N24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IF(AND(_xlpm.baseRow,ISNA(MATCH($C246,'Tree List'!$C$3:$C$601,0)),SUMPRODUCT(--ISNUMBER(SEARCH(Tables2!$C$677:$C$772,$O246)))&gt;0),
Error!$B$57,
IF(AND(_xlpm.hasDM,$F246="Remove",$H246&lt;&gt;"",OR($I246="On-site replacement",$I246="Off-site replacement",$I246="Payment In Lieu")),
Error!$B$56,
IF(AND(_xlpm.hasDM,$F246="Remove",$H246&lt;&gt;"",$I246="Relocation"),
Error!$B$66,
IF(AND(OR(_xlpm.hasCN,_xlpm.hasPH,_xlpm.hasGR),$H246&lt;&gt;"",COUNTIF(Tables!$B$132:$B$134,$H246)&gt;0,$I246="N/A (No replacement required)"),
Error!$B$62,
IF(AND(_xlpm.baseRow,$E246&lt;&gt;"",ISNA(MATCH($E246,Tables!$B$225:$B$232,0))),
Error!$B$2,
IF(AND(_xlpm.baseRow,$F246&lt;&gt;"",ISNA(MATCH($F246,Tables!$B$234:$B$235,0))),
Error!$B$24,
IF(AND(_xlpm.baseRow,_xlpm.ECA_H&gt;0,_xlpm.Shore_H&gt;0),
Error!$B$16,
IF(AND(_xlpm.baseRow,$E246&lt;&gt;"",$D246=""),
Error!$B$3,
IF(AND(_xlpm.baseRow,OR($E246="Tier 3",$E246="Tier 4"),$C246&lt;&gt;"",$D246&gt;=24,COUNTIF(Tables2!$B$166:$B$674,$C246)&gt;0),
Error!$B$44,
IF(AND(_xlpm.baseRow,OR($E246="Tier 3",$E246="Tier 4"),$C246&lt;&gt;"",$D246&lt;&gt;"",COUNTIF(Tables2!$B$73:$B$152,$C246)&gt;0,
$D246&gt;=IFERROR(INDEX(Tables2!$C$73:$C$152,MATCH($C246,Tables2!$B$73:$B$152,0)),-1)),
Error!$B$44,
IF(AND(_xlpm.baseRow,OR($E246="Tier 2",$E246="Tier 2 Grove"),$C246&lt;&gt;"",$D246&gt;=12,COUNTIF(Tables2!$B$153:$B$162,$C246)&gt;0),
Error!$B$45,
IF(AND(_xlpm.baseRow,$E246="Tier 2 Grove",$D246&lt;12),
Error!$B$41,
IF(AND(_xlpm.baseRow,$E246="Tier 2",$D246&lt;5.88),
Error!$B$40,
IF(AND(_xlpm.baseRow,OR($E246="Tier 2",$E246="Tier 2 Grove"),$C246&lt;&gt;"",$D246&lt;12,$D246&gt;=6,COUNTIF(Tables2!$B$153:$B$162,$C246)&gt;0),
Error!$B$54,
IF(AND(_xlpm.baseRow,$E246="Tier 2",COUNTIF(Tables2!$B$166:$B$674,$C246)&gt;0,$D246&lt;24),
Error!$B$54,
IF(AND(_xlpm.baseRow,$E246="Tier 3",ISNA(MATCH($C246,Tables2!$B$153:$B$162,0)),OR($D246&lt;12,$D246&gt;=24)),
Error!$B$9,
IF(AND(_xlpm.baseRow,$E246="Tier 3",COUNTIF(Tables2!$B$153:$B$162,$C246)&gt;0,$D246&lt;12),
Error!$B$46,
IF(AND(_xlpm.baseRow,$E246="Tier 4",OR($D246&lt;6,$D246&gt;=12)),
Error!$B$10,
IF(AND(_xlpm.baseRow,$E246="&lt;6in DSH for Tree Points",OR($D246&gt;=6,$D246="")),
Error!$B$8,
IF(AND(_xlpm.baseRow,$E246="Street Tree for Green Factor",$F246&lt;&gt;"",$F246&lt;&gt;"Retain"),
Error!$B$14,
IF(AND($E246="&lt;6in DSH for Tree Points",$F246="Retain",$H246&lt;&gt;"",ISNA(MATCH($H246,Tables!$B$174:$B$174,0))),
Error!$B$15,
IF(AND($E246="Street Tree for Green Factor",$F246="Retain",$H246&lt;&gt;"",$H246&lt;&gt;"Zoning: Green Factor"),
Error!$B$15,
IF(AND($E246="ECA / Shoreline Tree",$F246="Remove",$H246&lt;&gt;"",ISNA(MATCH($H246,Tables!$B$189:$B$190,0))),
Error!$B$15,
IF(AND($E246="ECA / Shoreline Tree",$F246="Retain",$H246&lt;&gt;"",ISNA(MATCH($H246,Tables!$B$184:$B$186,0))),
Error!$B$15,
IF(AND($E246="Tier 4",$F246="Remove",$H246&lt;&gt;"",ISNA(MATCH($H246,Tables!$B$171,0))),
Error!$B$15,
IF(AND($E246="Tier 4",$F246="Retain",$H246&lt;&gt;"",ISNA(MATCH($H246,Tables!$B$166:$B$168,0))),
Error!$B$15,
IF(AND($E246="Tier 3",$F246="Retain",$H246&lt;&gt;"",ISNA(MATCH($H246,Tables!$B$158:$B$160,0))),
Error!$B$15,
IF(AND($E246="Tier 3",$F246="Remove",$H246&lt;&gt;"",ISNA(MATCH($H246,Tables!$B$163,0))),
Error!$B$15,
IF(AND(OR($E246="Tier 2",$E246="Tier 2 Grove"),$F246="Remove",$H246&lt;&gt;"",ISNA(MATCH($H246,Tables!$B$153:$B$155,0))),
Error!$B$15,
IF(AND(OR($E246="Tier 2",$E246="Tier 2 Grove"),$F246="Retain",$H246&lt;&gt;"",ISNA(MATCH($H246,Tables!$B$147:$B$150,0))),
Error!$B$15,
IF(AND($E246="Tier 1",$F246="Remove",$H246&lt;&gt;"",ISNA(MATCH($H246,Tables!$B$143:$B$144,0))),
Error!$B$15,
IF(AND($E246="Tier 1",$F246="Retain",$H246&lt;&gt;"",ISNA(MATCH($H246,Tables!$B$137:$B$140,0))),
Error!$B$15,
IF(AND($E246&lt;&gt;"Tier 2",$E246&lt;&gt;"Tier 2 Grove",$E246&lt;&gt;"Tier 3",$E246&lt;&gt;"Tier 4",$H246="Zoning: Green Factor",OR($D246="",$D246&lt;6)),
Error!$B$11,
IF(AND(_xlpm.baseRow,$D246&lt;6,$E246="&lt;6in DSH for Tree Points",_xlpm.TreePoints_H=0),
Error!$B$21,
IF(AND(_xlpm.baseRow,$E246&lt;&gt;"",$D246&lt;&gt;"",$F246=""),
Error!$B$4,
IF(AND(_xlpm.baseRow,$F246="Remove",OR($E246="Tier 1",$E246="Tier 2",$E246="Tier 2 Grove"),COUNTBLANK(_xlpm.HRange)&lt;3,_xlpm.uniqueH&gt;=2),
Error!$B$48,
IF(AND(_xlpm.baseRow,$F246="Retain",OR($E246="Tier 1",$E246="Tier 2",$E246="Tier 2 Grove"),COUNTIF(_xlpm.HRange,"Tree Code: Required to Retain Tier 1-2 Tree")=0),
Error!$B$47,
IF(AND(_xlpm.baseRow,$E246&lt;&gt;"",$D246&lt;&gt;"",$F246&lt;&gt;"",COUNTBLANK(_xlpm.HRange)=4),
Error!$B$5,
IF(AND($F246="Remove",$H246&lt;&gt;"",$I246=""),
Error!$B$18,
IF(AND($E246="Tier 4",$F246="Remove",$H246="Tree Protection Code: Tier 3 or Tier 4 Allowance",$H246&lt;&gt;"",ISNA(MATCH($I246,Tables!$B$200,0))),
Error!$B$17,
IF(AND($E246="Tier 3",$F246="Remove",$H246&lt;&gt;"",$H246="Tree Protection Code: Tier 3 or Tier 4 Allowance",OR($I246="",ISNA(MATCH($I246,Tables!$B$193:$B$197,0)))),
Error!$B$17,
IF(AND(OR($E246="Tier 2",$E246="Tier 2 Grove"),$F246="Remove",$H246="Tree Protection Code: Other removal allowance or exemption",$I246&lt;&gt;"",ISNA(MATCH($I246,Tables!$B$215:$B$218,0))),
Error!$B$17,
IF(AND(OR($E246="Tier 2",$E246="Tier 2 Grove"),$F246="Remove",$H246="Tree Protection Code: Development Capacity",$I246&lt;&gt;"",ISNA(MATCH($I246,Tables!$B$193:$B$197,0))),
Error!$B$17,
IF(AND(OR($E246="Tier 2",$E246="Tier 2 Grove"),$F246="Remove",$H246="Tree Protection Code: Necessary for Construction",$I246&lt;&gt;"",ISNA(MATCH($I246,Tables!$B$193:$B$197,0))),
Error!$B$17,
IF(AND($E246="Tier 1",$F246="Remove",$H246="Tree Protection Code: Special Exception",$I246&lt;&gt;"",ISNA(MATCH($I246,Tables!$B$215:$B$218,0))),
Error!$B$17,
IF(AND($E246="Tier 1",$F246="Remove",$H246="Tree Protection Code: Other removal allowance or exemption",$I246&lt;&gt;"",ISNA(MATCH($I246,Tables!$B$215:$B$218,0))),
Error!$B$17,
IF(AND($E246="ECA / Shoreline Tree",$F246="Remove",$H246&lt;&gt;"",OR($H246="Shoreline",$H246="Environmental Critical Area (ECA)"),ISNA(MATCH($I246,Tables!$B$209:$B$212,0))),
Error!$B$17,
IF(AND(_xlpm.baseRow,$F246="Retain",$E246="ECA / Shoreline Tree",_xlpm.ECA_Short=0),
Error!$B$61,
IF(AND($F246="Remove",ISNUMBER(MATCH($E246,{"Tier 1","Tier 2","Tier 3","Tier 4","Tier 2 Grove"},0)),ISNUMBER(MATCH($I246,{"On-site replacement","Off-site replacement"},0)),$J246="",$H246&lt;&gt;""),
Error!$B$19,
IF(AND(_xlpm.baseRow,$E246&lt;&gt;"",$D246&lt;&gt;"",$F246&lt;&gt;"",COUNTBLANK($B246:$C246)&gt;0,COUNTBLANK(_xlpm.HRange)&lt;&gt;4),
Error!$B$22,
IF(AND($H246="Zoning: Tree Points",$K246&lt;&gt;"",ISNA(MATCH($K246,Tables!$B$242:$B$253,0))),
Error!$B$58,
IF(AND($H246="Zoning: Tree Points",$K246="Small",$L246&lt;&gt;"",ISNA(MATCH($L246,Tables!$C$243:$C$244,0))),
Error!$B$59,
IF(AND($H246="Zoning: Tree Points",$K246="Small/Medium",$L246&lt;&gt;"",ISNA(MATCH($L246,Tables!$C$246:$C$247,0))),
Error!$B$59,
IF(AND($H246="Zoning: Tree Points",$K246="Medium/Large",$L246&lt;&gt;"",ISNA(MATCH($L246,Tables!$C$249:$C$250,0))),
Error!$B$59,
IF(AND($H246="Zoning: Tree Points",$K246="Large",$L246&lt;&gt;"",ISNA(MATCH($L246,Tables!$C$252:$C$253,0))),
Error!$B$59,
IF(AND($F246="Retain",$H246="Zoning: Tree Points",$C246&lt;&gt;"",$D246&lt;&gt;"",OR($K246="",$L246="",$M246="")),
Error!$B$20,
""
)))))))))))))))))))))))))))))))))))))))))))))))))))))))),
Error!$B$23))</f>
        <v/>
      </c>
      <c r="O246" s="343" t="str" cm="1">
        <f t="array" aca="1" ref="O246" ca="1">IFERROR(_xlfn.LET(
    _xlpm.txt, $C246,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47" spans="1:15" ht="15" thickBot="1" x14ac:dyDescent="0.35">
      <c r="A247" s="311">
        <v>60</v>
      </c>
      <c r="B247" s="312"/>
      <c r="C247" s="313"/>
      <c r="D247" s="478"/>
      <c r="E247" s="314"/>
      <c r="F247" s="314"/>
      <c r="G247" s="315" t="str">
        <f>IF(Tree_Table1[[#This Row],[Tree Status  &amp;]]="Retain", Tables!$B$237, IF(Tree_Table1[[#This Row],[Tree Status  &amp;]]="Remove", Tables!$B$238, ""))</f>
        <v/>
      </c>
      <c r="H247" s="316"/>
      <c r="I247" s="317"/>
      <c r="J247" s="452"/>
      <c r="K247" s="318" t="str">
        <f>IFERROR(
    IF(
        AND($H247="Zoning: Tree Points", NOT(ISNUMBER(SEARCH("sp.", $C247)))),
        VLOOKUP($C247, 'Tree List'!$C$3:$F$601, 4, FALSE),
        ""
    ),
"")</f>
        <v/>
      </c>
      <c r="L247" s="319" t="str" cm="1">
        <f t="array" ref="L247">IFERROR(
IF(
    AND($H247="Zoning: Tree Points", NOT(ISNUMBER(SEARCH("sp.", $C247)))),
    _xlfn.IFS(
        (COUNTIFS('Tree List'!$C$3:$C$601,$C247,'Tree List'!$D$3:$D$601,"Coniferous")
        + COUNTIFS('Tree List'!$C$3:$C$601,$C247,'Tree List'!$D$3:$D$601,"Deciduous Conifer")) &gt; 0,
            _xlfn.IFS($K247="Small",0.5,$K247="Small/Medium",1,$K247="Medium/Large",1.4,$K247="Large",1.8),
        (COUNTIFS('Tree List'!$C$3:$C$601,$C247,'Tree List'!$D$3:$D$601,"Deciduous")
        + COUNTIFS('Tree List'!$C$3:$C$601,$C247,'Tree List'!$D$3:$D$601,"Broadleaf Evergreen")) &gt; 0,
            _xlfn.IFS($K247="Small",0.4,$K247="Small/Medium",0.8,$K247="Medium/Large",1.2,$K247="Large",1.6)
    ),
    ""
),
"")</f>
        <v/>
      </c>
      <c r="M247" s="474" t="str">
        <f t="shared" si="249"/>
        <v/>
      </c>
      <c r="N247" s="620" t="str" cm="1">
        <f t="array" aca="1" ref="N24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IF(AND(_xlpm.baseRow,ISNA(MATCH($C247,'Tree List'!$C$3:$C$601,0)),SUMPRODUCT(--ISNUMBER(SEARCH(Tables2!$C$677:$C$772,$O247)))&gt;0),
Error!$B$57,
IF(AND(_xlpm.hasDM,$F247="Remove",$H247&lt;&gt;"",OR($I247="On-site replacement",$I247="Off-site replacement",$I247="Payment In Lieu")),
Error!$B$56,
IF(AND(_xlpm.hasDM,$F247="Remove",$H247&lt;&gt;"",$I247="Relocation"),
Error!$B$66,
IF(AND(OR(_xlpm.hasCN,_xlpm.hasPH,_xlpm.hasGR),$H247&lt;&gt;"",COUNTIF(Tables!$B$132:$B$134,$H247)&gt;0,$I247="N/A (No replacement required)"),
Error!$B$62,
IF(AND(_xlpm.baseRow,$E247&lt;&gt;"",ISNA(MATCH($E247,Tables!$B$225:$B$232,0))),
Error!$B$2,
IF(AND(_xlpm.baseRow,$F247&lt;&gt;"",ISNA(MATCH($F247,Tables!$B$234:$B$235,0))),
Error!$B$24,
IF(AND(_xlpm.baseRow,_xlpm.ECA_H&gt;0,_xlpm.Shore_H&gt;0),
Error!$B$16,
IF(AND(_xlpm.baseRow,$E247&lt;&gt;"",$D247=""),
Error!$B$3,
IF(AND(_xlpm.baseRow,OR($E247="Tier 3",$E247="Tier 4"),$C247&lt;&gt;"",$D247&gt;=24,COUNTIF(Tables2!$B$166:$B$674,$C247)&gt;0),
Error!$B$44,
IF(AND(_xlpm.baseRow,OR($E247="Tier 3",$E247="Tier 4"),$C247&lt;&gt;"",$D247&lt;&gt;"",COUNTIF(Tables2!$B$73:$B$152,$C247)&gt;0,
$D247&gt;=IFERROR(INDEX(Tables2!$C$73:$C$152,MATCH($C247,Tables2!$B$73:$B$152,0)),-1)),
Error!$B$44,
IF(AND(_xlpm.baseRow,OR($E247="Tier 2",$E247="Tier 2 Grove"),$C247&lt;&gt;"",$D247&gt;=12,COUNTIF(Tables2!$B$153:$B$162,$C247)&gt;0),
Error!$B$45,
IF(AND(_xlpm.baseRow,$E247="Tier 2 Grove",$D247&lt;12),
Error!$B$41,
IF(AND(_xlpm.baseRow,$E247="Tier 2",$D247&lt;5.88),
Error!$B$40,
IF(AND(_xlpm.baseRow,OR($E247="Tier 2",$E247="Tier 2 Grove"),$C247&lt;&gt;"",$D247&lt;12,$D247&gt;=6,COUNTIF(Tables2!$B$153:$B$162,$C247)&gt;0),
Error!$B$54,
IF(AND(_xlpm.baseRow,$E247="Tier 2",COUNTIF(Tables2!$B$166:$B$674,$C247)&gt;0,$D247&lt;24),
Error!$B$54,
IF(AND(_xlpm.baseRow,$E247="Tier 3",ISNA(MATCH($C247,Tables2!$B$153:$B$162,0)),OR($D247&lt;12,$D247&gt;=24)),
Error!$B$9,
IF(AND(_xlpm.baseRow,$E247="Tier 3",COUNTIF(Tables2!$B$153:$B$162,$C247)&gt;0,$D247&lt;12),
Error!$B$46,
IF(AND(_xlpm.baseRow,$E247="Tier 4",OR($D247&lt;6,$D247&gt;=12)),
Error!$B$10,
IF(AND(_xlpm.baseRow,$E247="&lt;6in DSH for Tree Points",OR($D247&gt;=6,$D247="")),
Error!$B$8,
IF(AND(_xlpm.baseRow,$E247="Street Tree for Green Factor",$F247&lt;&gt;"",$F247&lt;&gt;"Retain"),
Error!$B$14,
IF(AND($E247="&lt;6in DSH for Tree Points",$F247="Retain",$H247&lt;&gt;"",ISNA(MATCH($H247,Tables!$B$174:$B$174,0))),
Error!$B$15,
IF(AND($E247="Street Tree for Green Factor",$F247="Retain",$H247&lt;&gt;"",$H247&lt;&gt;"Zoning: Green Factor"),
Error!$B$15,
IF(AND($E247="ECA / Shoreline Tree",$F247="Remove",$H247&lt;&gt;"",ISNA(MATCH($H247,Tables!$B$189:$B$190,0))),
Error!$B$15,
IF(AND($E247="ECA / Shoreline Tree",$F247="Retain",$H247&lt;&gt;"",ISNA(MATCH($H247,Tables!$B$184:$B$186,0))),
Error!$B$15,
IF(AND($E247="Tier 4",$F247="Remove",$H247&lt;&gt;"",ISNA(MATCH($H247,Tables!$B$171,0))),
Error!$B$15,
IF(AND($E247="Tier 4",$F247="Retain",$H247&lt;&gt;"",ISNA(MATCH($H247,Tables!$B$166:$B$168,0))),
Error!$B$15,
IF(AND($E247="Tier 3",$F247="Retain",$H247&lt;&gt;"",ISNA(MATCH($H247,Tables!$B$158:$B$160,0))),
Error!$B$15,
IF(AND($E247="Tier 3",$F247="Remove",$H247&lt;&gt;"",ISNA(MATCH($H247,Tables!$B$163,0))),
Error!$B$15,
IF(AND(OR($E247="Tier 2",$E247="Tier 2 Grove"),$F247="Remove",$H247&lt;&gt;"",ISNA(MATCH($H247,Tables!$B$153:$B$155,0))),
Error!$B$15,
IF(AND(OR($E247="Tier 2",$E247="Tier 2 Grove"),$F247="Retain",$H247&lt;&gt;"",ISNA(MATCH($H247,Tables!$B$147:$B$150,0))),
Error!$B$15,
IF(AND($E247="Tier 1",$F247="Remove",$H247&lt;&gt;"",ISNA(MATCH($H247,Tables!$B$143:$B$144,0))),
Error!$B$15,
IF(AND($E247="Tier 1",$F247="Retain",$H247&lt;&gt;"",ISNA(MATCH($H247,Tables!$B$137:$B$140,0))),
Error!$B$15,
IF(AND($E247&lt;&gt;"Tier 2",$E247&lt;&gt;"Tier 2 Grove",$E247&lt;&gt;"Tier 3",$E247&lt;&gt;"Tier 4",$H247="Zoning: Green Factor",OR($D247="",$D247&lt;6)),
Error!$B$11,
IF(AND(_xlpm.baseRow,$D247&lt;6,$E247="&lt;6in DSH for Tree Points",_xlpm.TreePoints_H=0),
Error!$B$21,
IF(AND(_xlpm.baseRow,$E247&lt;&gt;"",$D247&lt;&gt;"",$F247=""),
Error!$B$4,
IF(AND(_xlpm.baseRow,$F247="Remove",OR($E247="Tier 1",$E247="Tier 2",$E247="Tier 2 Grove"),COUNTBLANK(_xlpm.HRange)&lt;3,_xlpm.uniqueH&gt;=2),
Error!$B$48,
IF(AND(_xlpm.baseRow,$F247="Retain",OR($E247="Tier 1",$E247="Tier 2",$E247="Tier 2 Grove"),COUNTIF(_xlpm.HRange,"Tree Code: Required to Retain Tier 1-2 Tree")=0),
Error!$B$47,
IF(AND(_xlpm.baseRow,$E247&lt;&gt;"",$D247&lt;&gt;"",$F247&lt;&gt;"",COUNTBLANK(_xlpm.HRange)=4),
Error!$B$5,
IF(AND($F247="Remove",$H247&lt;&gt;"",$I247=""),
Error!$B$18,
IF(AND($E247="Tier 4",$F247="Remove",$H247="Tree Protection Code: Tier 3 or Tier 4 Allowance",$H247&lt;&gt;"",ISNA(MATCH($I247,Tables!$B$200,0))),
Error!$B$17,
IF(AND($E247="Tier 3",$F247="Remove",$H247&lt;&gt;"",$H247="Tree Protection Code: Tier 3 or Tier 4 Allowance",OR($I247="",ISNA(MATCH($I247,Tables!$B$193:$B$197,0)))),
Error!$B$17,
IF(AND(OR($E247="Tier 2",$E247="Tier 2 Grove"),$F247="Remove",$H247="Tree Protection Code: Other removal allowance or exemption",$I247&lt;&gt;"",ISNA(MATCH($I247,Tables!$B$215:$B$218,0))),
Error!$B$17,
IF(AND(OR($E247="Tier 2",$E247="Tier 2 Grove"),$F247="Remove",$H247="Tree Protection Code: Development Capacity",$I247&lt;&gt;"",ISNA(MATCH($I247,Tables!$B$193:$B$197,0))),
Error!$B$17,
IF(AND(OR($E247="Tier 2",$E247="Tier 2 Grove"),$F247="Remove",$H247="Tree Protection Code: Necessary for Construction",$I247&lt;&gt;"",ISNA(MATCH($I247,Tables!$B$193:$B$197,0))),
Error!$B$17,
IF(AND($E247="Tier 1",$F247="Remove",$H247="Tree Protection Code: Special Exception",$I247&lt;&gt;"",ISNA(MATCH($I247,Tables!$B$215:$B$218,0))),
Error!$B$17,
IF(AND($E247="Tier 1",$F247="Remove",$H247="Tree Protection Code: Other removal allowance or exemption",$I247&lt;&gt;"",ISNA(MATCH($I247,Tables!$B$215:$B$218,0))),
Error!$B$17,
IF(AND($E247="ECA / Shoreline Tree",$F247="Remove",$H247&lt;&gt;"",OR($H247="Shoreline",$H247="Environmental Critical Area (ECA)"),ISNA(MATCH($I247,Tables!$B$209:$B$212,0))),
Error!$B$17,
IF(AND(_xlpm.baseRow,$F247="Retain",$E247="ECA / Shoreline Tree",_xlpm.ECA_Short=0),
Error!$B$61,
IF(AND($F247="Remove",ISNUMBER(MATCH($E247,{"Tier 1","Tier 2","Tier 3","Tier 4","Tier 2 Grove"},0)),ISNUMBER(MATCH($I247,{"On-site replacement","Off-site replacement"},0)),$J247="",$H247&lt;&gt;""),
Error!$B$19,
IF(AND(_xlpm.baseRow,$E247&lt;&gt;"",$D247&lt;&gt;"",$F247&lt;&gt;"",COUNTBLANK($B247:$C247)&gt;0,COUNTBLANK(_xlpm.HRange)&lt;&gt;4),
Error!$B$22,
IF(AND($H247="Zoning: Tree Points",$K247&lt;&gt;"",ISNA(MATCH($K247,Tables!$B$242:$B$253,0))),
Error!$B$58,
IF(AND($H247="Zoning: Tree Points",$K247="Small",$L247&lt;&gt;"",ISNA(MATCH($L247,Tables!$C$243:$C$244,0))),
Error!$B$59,
IF(AND($H247="Zoning: Tree Points",$K247="Small/Medium",$L247&lt;&gt;"",ISNA(MATCH($L247,Tables!$C$246:$C$247,0))),
Error!$B$59,
IF(AND($H247="Zoning: Tree Points",$K247="Medium/Large",$L247&lt;&gt;"",ISNA(MATCH($L247,Tables!$C$249:$C$250,0))),
Error!$B$59,
IF(AND($H247="Zoning: Tree Points",$K247="Large",$L247&lt;&gt;"",ISNA(MATCH($L247,Tables!$C$252:$C$253,0))),
Error!$B$59,
IF(AND($F247="Retain",$H247="Zoning: Tree Points",$C247&lt;&gt;"",$D247&lt;&gt;"",OR($K247="",$L247="",$M247="")),
Error!$B$20,
""
)))))))))))))))))))))))))))))))))))))))))))))))))))))))),
Error!$B$23))</f>
        <v/>
      </c>
      <c r="O247" s="343" t="str" cm="1">
        <f t="array" aca="1" ref="O247" ca="1">IFERROR(_xlfn.LET(
    _xlpm.txt, $C247,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48" spans="1:15" x14ac:dyDescent="0.3">
      <c r="A248" s="320"/>
      <c r="B248" s="616" t="str">
        <f t="shared" ref="B248:B250" si="255">IF($B247="", "", $B247)</f>
        <v/>
      </c>
      <c r="C248" s="617" t="str">
        <f t="shared" ref="C248:C250" si="256">IF($C247="", "", $C247)</f>
        <v/>
      </c>
      <c r="D248" s="618" t="str">
        <f t="shared" ref="D248:D250" si="257">IF($D247="", "", $D247)</f>
        <v/>
      </c>
      <c r="E248" s="616" t="str">
        <f t="shared" ref="E248:E250" si="258">IF($E247="", "", $E247)</f>
        <v/>
      </c>
      <c r="F248" s="616" t="str">
        <f t="shared" ref="F248:F250" si="259">IF($F247="", "", $F247)</f>
        <v/>
      </c>
      <c r="G248" s="619" t="str">
        <f>IF(Tree_Table1[[#This Row],[Tree Status  &amp;]]="Retain", Tables!$B$237, IF(Tree_Table1[[#This Row],[Tree Status  &amp;]]="Remove", Tables!$B$238, ""))</f>
        <v/>
      </c>
      <c r="H248" s="321"/>
      <c r="I248" s="322"/>
      <c r="J248" s="453"/>
      <c r="K248" s="323" t="str">
        <f>IFERROR(
    IF(
        AND($H248="Zoning: Tree Points", NOT(ISNUMBER(SEARCH("sp.", $C248)))),
        VLOOKUP($C248, 'Tree List'!$C$3:$F$601, 4, FALSE),
        ""
    ),
"")</f>
        <v/>
      </c>
      <c r="L248" s="324" t="str" cm="1">
        <f t="array" ref="L248">IFERROR(
IF(
    AND($H248="Zoning: Tree Points", NOT(ISNUMBER(SEARCH("sp.", $C248)))),
    _xlfn.IFS(
        (COUNTIFS('Tree List'!$C$3:$C$601,$C248,'Tree List'!$D$3:$D$601,"Coniferous")
        + COUNTIFS('Tree List'!$C$3:$C$601,$C248,'Tree List'!$D$3:$D$601,"Deciduous Conifer")) &gt; 0,
            _xlfn.IFS($K248="Small",0.5,$K248="Small/Medium",1,$K248="Medium/Large",1.4,$K248="Large",1.8),
        (COUNTIFS('Tree List'!$C$3:$C$601,$C248,'Tree List'!$D$3:$D$601,"Deciduous")
        + COUNTIFS('Tree List'!$C$3:$C$601,$C248,'Tree List'!$D$3:$D$601,"Broadleaf Evergreen")) &gt; 0,
            _xlfn.IFS($K248="Small",0.4,$K248="Small/Medium",0.8,$K248="Medium/Large",1.2,$K248="Large",1.6)
    ),
    ""
),
"")</f>
        <v/>
      </c>
      <c r="M248" s="475" t="str">
        <f t="shared" si="249"/>
        <v/>
      </c>
      <c r="N248" s="346" t="str" cm="1">
        <f t="array" aca="1" ref="N24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IF(AND(_xlpm.baseRow,ISNA(MATCH($C248,'Tree List'!$C$3:$C$601,0)),SUMPRODUCT(--ISNUMBER(SEARCH(Tables2!$C$677:$C$772,$O248)))&gt;0),
Error!$B$57,
IF(AND(_xlpm.hasDM,$F248="Remove",$H248&lt;&gt;"",OR($I248="On-site replacement",$I248="Off-site replacement",$I248="Payment In Lieu")),
Error!$B$56,
IF(AND(_xlpm.hasDM,$F248="Remove",$H248&lt;&gt;"",$I248="Relocation"),
Error!$B$66,
IF(AND(OR(_xlpm.hasCN,_xlpm.hasPH,_xlpm.hasGR),$H248&lt;&gt;"",COUNTIF(Tables!$B$132:$B$134,$H248)&gt;0,$I248="N/A (No replacement required)"),
Error!$B$62,
IF(AND(_xlpm.baseRow,$E248&lt;&gt;"",ISNA(MATCH($E248,Tables!$B$225:$B$232,0))),
Error!$B$2,
IF(AND(_xlpm.baseRow,$F248&lt;&gt;"",ISNA(MATCH($F248,Tables!$B$234:$B$235,0))),
Error!$B$24,
IF(AND(_xlpm.baseRow,_xlpm.ECA_H&gt;0,_xlpm.Shore_H&gt;0),
Error!$B$16,
IF(AND(_xlpm.baseRow,$E248&lt;&gt;"",$D248=""),
Error!$B$3,
IF(AND(_xlpm.baseRow,OR($E248="Tier 3",$E248="Tier 4"),$C248&lt;&gt;"",$D248&gt;=24,COUNTIF(Tables2!$B$166:$B$674,$C248)&gt;0),
Error!$B$44,
IF(AND(_xlpm.baseRow,OR($E248="Tier 3",$E248="Tier 4"),$C248&lt;&gt;"",$D248&lt;&gt;"",COUNTIF(Tables2!$B$73:$B$152,$C248)&gt;0,
$D248&gt;=IFERROR(INDEX(Tables2!$C$73:$C$152,MATCH($C248,Tables2!$B$73:$B$152,0)),-1)),
Error!$B$44,
IF(AND(_xlpm.baseRow,OR($E248="Tier 2",$E248="Tier 2 Grove"),$C248&lt;&gt;"",$D248&gt;=12,COUNTIF(Tables2!$B$153:$B$162,$C248)&gt;0),
Error!$B$45,
IF(AND(_xlpm.baseRow,$E248="Tier 2 Grove",$D248&lt;12),
Error!$B$41,
IF(AND(_xlpm.baseRow,$E248="Tier 2",$D248&lt;5.88),
Error!$B$40,
IF(AND(_xlpm.baseRow,OR($E248="Tier 2",$E248="Tier 2 Grove"),$C248&lt;&gt;"",$D248&lt;12,$D248&gt;=6,COUNTIF(Tables2!$B$153:$B$162,$C248)&gt;0),
Error!$B$54,
IF(AND(_xlpm.baseRow,$E248="Tier 2",COUNTIF(Tables2!$B$166:$B$674,$C248)&gt;0,$D248&lt;24),
Error!$B$54,
IF(AND(_xlpm.baseRow,$E248="Tier 3",ISNA(MATCH($C248,Tables2!$B$153:$B$162,0)),OR($D248&lt;12,$D248&gt;=24)),
Error!$B$9,
IF(AND(_xlpm.baseRow,$E248="Tier 3",COUNTIF(Tables2!$B$153:$B$162,$C248)&gt;0,$D248&lt;12),
Error!$B$46,
IF(AND(_xlpm.baseRow,$E248="Tier 4",OR($D248&lt;6,$D248&gt;=12)),
Error!$B$10,
IF(AND(_xlpm.baseRow,$E248="&lt;6in DSH for Tree Points",OR($D248&gt;=6,$D248="")),
Error!$B$8,
IF(AND(_xlpm.baseRow,$E248="Street Tree for Green Factor",$F248&lt;&gt;"",$F248&lt;&gt;"Retain"),
Error!$B$14,
IF(AND($E248="&lt;6in DSH for Tree Points",$F248="Retain",$H248&lt;&gt;"",ISNA(MATCH($H248,Tables!$B$174:$B$174,0))),
Error!$B$15,
IF(AND($E248="Street Tree for Green Factor",$F248="Retain",$H248&lt;&gt;"",$H248&lt;&gt;"Zoning: Green Factor"),
Error!$B$15,
IF(AND($E248="ECA / Shoreline Tree",$F248="Remove",$H248&lt;&gt;"",ISNA(MATCH($H248,Tables!$B$189:$B$190,0))),
Error!$B$15,
IF(AND($E248="ECA / Shoreline Tree",$F248="Retain",$H248&lt;&gt;"",ISNA(MATCH($H248,Tables!$B$184:$B$186,0))),
Error!$B$15,
IF(AND($E248="Tier 4",$F248="Remove",$H248&lt;&gt;"",ISNA(MATCH($H248,Tables!$B$171,0))),
Error!$B$15,
IF(AND($E248="Tier 4",$F248="Retain",$H248&lt;&gt;"",ISNA(MATCH($H248,Tables!$B$166:$B$168,0))),
Error!$B$15,
IF(AND($E248="Tier 3",$F248="Retain",$H248&lt;&gt;"",ISNA(MATCH($H248,Tables!$B$158:$B$160,0))),
Error!$B$15,
IF(AND($E248="Tier 3",$F248="Remove",$H248&lt;&gt;"",ISNA(MATCH($H248,Tables!$B$163,0))),
Error!$B$15,
IF(AND(OR($E248="Tier 2",$E248="Tier 2 Grove"),$F248="Remove",$H248&lt;&gt;"",ISNA(MATCH($H248,Tables!$B$153:$B$155,0))),
Error!$B$15,
IF(AND(OR($E248="Tier 2",$E248="Tier 2 Grove"),$F248="Retain",$H248&lt;&gt;"",ISNA(MATCH($H248,Tables!$B$147:$B$150,0))),
Error!$B$15,
IF(AND($E248="Tier 1",$F248="Remove",$H248&lt;&gt;"",ISNA(MATCH($H248,Tables!$B$143:$B$144,0))),
Error!$B$15,
IF(AND($E248="Tier 1",$F248="Retain",$H248&lt;&gt;"",ISNA(MATCH($H248,Tables!$B$137:$B$140,0))),
Error!$B$15,
IF(AND($E248&lt;&gt;"Tier 2",$E248&lt;&gt;"Tier 2 Grove",$E248&lt;&gt;"Tier 3",$E248&lt;&gt;"Tier 4",$H248="Zoning: Green Factor",OR($D248="",$D248&lt;6)),
Error!$B$11,
IF(AND(_xlpm.baseRow,$D248&lt;6,$E248="&lt;6in DSH for Tree Points",_xlpm.TreePoints_H=0),
Error!$B$21,
IF(AND(_xlpm.baseRow,$E248&lt;&gt;"",$D248&lt;&gt;"",$F248=""),
Error!$B$4,
IF(AND(_xlpm.baseRow,$F248="Remove",OR($E248="Tier 1",$E248="Tier 2",$E248="Tier 2 Grove"),COUNTBLANK(_xlpm.HRange)&lt;3,_xlpm.uniqueH&gt;=2),
Error!$B$48,
IF(AND(_xlpm.baseRow,$F248="Retain",OR($E248="Tier 1",$E248="Tier 2",$E248="Tier 2 Grove"),COUNTIF(_xlpm.HRange,"Tree Code: Required to Retain Tier 1-2 Tree")=0),
Error!$B$47,
IF(AND(_xlpm.baseRow,$E248&lt;&gt;"",$D248&lt;&gt;"",$F248&lt;&gt;"",COUNTBLANK(_xlpm.HRange)=4),
Error!$B$5,
IF(AND($F248="Remove",$H248&lt;&gt;"",$I248=""),
Error!$B$18,
IF(AND($E248="Tier 4",$F248="Remove",$H248="Tree Protection Code: Tier 3 or Tier 4 Allowance",$H248&lt;&gt;"",ISNA(MATCH($I248,Tables!$B$200,0))),
Error!$B$17,
IF(AND($E248="Tier 3",$F248="Remove",$H248&lt;&gt;"",$H248="Tree Protection Code: Tier 3 or Tier 4 Allowance",OR($I248="",ISNA(MATCH($I248,Tables!$B$193:$B$197,0)))),
Error!$B$17,
IF(AND(OR($E248="Tier 2",$E248="Tier 2 Grove"),$F248="Remove",$H248="Tree Protection Code: Other removal allowance or exemption",$I248&lt;&gt;"",ISNA(MATCH($I248,Tables!$B$215:$B$218,0))),
Error!$B$17,
IF(AND(OR($E248="Tier 2",$E248="Tier 2 Grove"),$F248="Remove",$H248="Tree Protection Code: Development Capacity",$I248&lt;&gt;"",ISNA(MATCH($I248,Tables!$B$193:$B$197,0))),
Error!$B$17,
IF(AND(OR($E248="Tier 2",$E248="Tier 2 Grove"),$F248="Remove",$H248="Tree Protection Code: Necessary for Construction",$I248&lt;&gt;"",ISNA(MATCH($I248,Tables!$B$193:$B$197,0))),
Error!$B$17,
IF(AND($E248="Tier 1",$F248="Remove",$H248="Tree Protection Code: Special Exception",$I248&lt;&gt;"",ISNA(MATCH($I248,Tables!$B$215:$B$218,0))),
Error!$B$17,
IF(AND($E248="Tier 1",$F248="Remove",$H248="Tree Protection Code: Other removal allowance or exemption",$I248&lt;&gt;"",ISNA(MATCH($I248,Tables!$B$215:$B$218,0))),
Error!$B$17,
IF(AND($E248="ECA / Shoreline Tree",$F248="Remove",$H248&lt;&gt;"",OR($H248="Shoreline",$H248="Environmental Critical Area (ECA)"),ISNA(MATCH($I248,Tables!$B$209:$B$212,0))),
Error!$B$17,
IF(AND(_xlpm.baseRow,$F248="Retain",$E248="ECA / Shoreline Tree",_xlpm.ECA_Short=0),
Error!$B$61,
IF(AND($F248="Remove",ISNUMBER(MATCH($E248,{"Tier 1","Tier 2","Tier 3","Tier 4","Tier 2 Grove"},0)),ISNUMBER(MATCH($I248,{"On-site replacement","Off-site replacement"},0)),$J248="",$H248&lt;&gt;""),
Error!$B$19,
IF(AND(_xlpm.baseRow,$E248&lt;&gt;"",$D248&lt;&gt;"",$F248&lt;&gt;"",COUNTBLANK($B248:$C248)&gt;0,COUNTBLANK(_xlpm.HRange)&lt;&gt;4),
Error!$B$22,
IF(AND($H248="Zoning: Tree Points",$K248&lt;&gt;"",ISNA(MATCH($K248,Tables!$B$242:$B$253,0))),
Error!$B$58,
IF(AND($H248="Zoning: Tree Points",$K248="Small",$L248&lt;&gt;"",ISNA(MATCH($L248,Tables!$C$243:$C$244,0))),
Error!$B$59,
IF(AND($H248="Zoning: Tree Points",$K248="Small/Medium",$L248&lt;&gt;"",ISNA(MATCH($L248,Tables!$C$246:$C$247,0))),
Error!$B$59,
IF(AND($H248="Zoning: Tree Points",$K248="Medium/Large",$L248&lt;&gt;"",ISNA(MATCH($L248,Tables!$C$249:$C$250,0))),
Error!$B$59,
IF(AND($H248="Zoning: Tree Points",$K248="Large",$L248&lt;&gt;"",ISNA(MATCH($L248,Tables!$C$252:$C$253,0))),
Error!$B$59,
IF(AND($F248="Retain",$H248="Zoning: Tree Points",$C248&lt;&gt;"",$D248&lt;&gt;"",OR($K248="",$L248="",$M248="")),
Error!$B$20,
""
)))))))))))))))))))))))))))))))))))))))))))))))))))))))),
Error!$B$23))</f>
        <v/>
      </c>
      <c r="O248" s="343" t="str" cm="1">
        <f t="array" aca="1" ref="O248" ca="1">IFERROR(_xlfn.LET(
    _xlpm.txt, $C248,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49" spans="1:15" x14ac:dyDescent="0.3">
      <c r="A249" s="320"/>
      <c r="B249" s="616" t="str">
        <f t="shared" si="255"/>
        <v/>
      </c>
      <c r="C249" s="617" t="str">
        <f t="shared" si="256"/>
        <v/>
      </c>
      <c r="D249" s="618" t="str">
        <f t="shared" si="257"/>
        <v/>
      </c>
      <c r="E249" s="616" t="str">
        <f t="shared" si="258"/>
        <v/>
      </c>
      <c r="F249" s="616" t="str">
        <f t="shared" si="259"/>
        <v/>
      </c>
      <c r="G249" s="619" t="str">
        <f>IF(Tree_Table1[[#This Row],[Tree Status  &amp;]]="Retain", Tables!$B$237, IF(Tree_Table1[[#This Row],[Tree Status  &amp;]]="Remove", Tables!$B$238, ""))</f>
        <v/>
      </c>
      <c r="H249" s="321"/>
      <c r="I249" s="322"/>
      <c r="J249" s="453"/>
      <c r="K249" s="323" t="str">
        <f>IFERROR(
    IF(
        AND($H249="Zoning: Tree Points", NOT(ISNUMBER(SEARCH("sp.", $C249)))),
        VLOOKUP($C249, 'Tree List'!$C$3:$F$601, 4, FALSE),
        ""
    ),
"")</f>
        <v/>
      </c>
      <c r="L249" s="324" t="str" cm="1">
        <f t="array" ref="L249">IFERROR(
IF(
    AND($H249="Zoning: Tree Points", NOT(ISNUMBER(SEARCH("sp.", $C249)))),
    _xlfn.IFS(
        (COUNTIFS('Tree List'!$C$3:$C$601,$C249,'Tree List'!$D$3:$D$601,"Coniferous")
        + COUNTIFS('Tree List'!$C$3:$C$601,$C249,'Tree List'!$D$3:$D$601,"Deciduous Conifer")) &gt; 0,
            _xlfn.IFS($K249="Small",0.5,$K249="Small/Medium",1,$K249="Medium/Large",1.4,$K249="Large",1.8),
        (COUNTIFS('Tree List'!$C$3:$C$601,$C249,'Tree List'!$D$3:$D$601,"Deciduous")
        + COUNTIFS('Tree List'!$C$3:$C$601,$C249,'Tree List'!$D$3:$D$601,"Broadleaf Evergreen")) &gt; 0,
            _xlfn.IFS($K249="Small",0.4,$K249="Small/Medium",0.8,$K249="Medium/Large",1.2,$K249="Large",1.6)
    ),
    ""
),
"")</f>
        <v/>
      </c>
      <c r="M249" s="475" t="str">
        <f t="shared" si="249"/>
        <v/>
      </c>
      <c r="N249" s="346" t="str" cm="1">
        <f t="array" aca="1" ref="N24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IF(AND(_xlpm.baseRow,ISNA(MATCH($C249,'Tree List'!$C$3:$C$601,0)),SUMPRODUCT(--ISNUMBER(SEARCH(Tables2!$C$677:$C$772,$O249)))&gt;0),
Error!$B$57,
IF(AND(_xlpm.hasDM,$F249="Remove",$H249&lt;&gt;"",OR($I249="On-site replacement",$I249="Off-site replacement",$I249="Payment In Lieu")),
Error!$B$56,
IF(AND(_xlpm.hasDM,$F249="Remove",$H249&lt;&gt;"",$I249="Relocation"),
Error!$B$66,
IF(AND(OR(_xlpm.hasCN,_xlpm.hasPH,_xlpm.hasGR),$H249&lt;&gt;"",COUNTIF(Tables!$B$132:$B$134,$H249)&gt;0,$I249="N/A (No replacement required)"),
Error!$B$62,
IF(AND(_xlpm.baseRow,$E249&lt;&gt;"",ISNA(MATCH($E249,Tables!$B$225:$B$232,0))),
Error!$B$2,
IF(AND(_xlpm.baseRow,$F249&lt;&gt;"",ISNA(MATCH($F249,Tables!$B$234:$B$235,0))),
Error!$B$24,
IF(AND(_xlpm.baseRow,_xlpm.ECA_H&gt;0,_xlpm.Shore_H&gt;0),
Error!$B$16,
IF(AND(_xlpm.baseRow,$E249&lt;&gt;"",$D249=""),
Error!$B$3,
IF(AND(_xlpm.baseRow,OR($E249="Tier 3",$E249="Tier 4"),$C249&lt;&gt;"",$D249&gt;=24,COUNTIF(Tables2!$B$166:$B$674,$C249)&gt;0),
Error!$B$44,
IF(AND(_xlpm.baseRow,OR($E249="Tier 3",$E249="Tier 4"),$C249&lt;&gt;"",$D249&lt;&gt;"",COUNTIF(Tables2!$B$73:$B$152,$C249)&gt;0,
$D249&gt;=IFERROR(INDEX(Tables2!$C$73:$C$152,MATCH($C249,Tables2!$B$73:$B$152,0)),-1)),
Error!$B$44,
IF(AND(_xlpm.baseRow,OR($E249="Tier 2",$E249="Tier 2 Grove"),$C249&lt;&gt;"",$D249&gt;=12,COUNTIF(Tables2!$B$153:$B$162,$C249)&gt;0),
Error!$B$45,
IF(AND(_xlpm.baseRow,$E249="Tier 2 Grove",$D249&lt;12),
Error!$B$41,
IF(AND(_xlpm.baseRow,$E249="Tier 2",$D249&lt;5.88),
Error!$B$40,
IF(AND(_xlpm.baseRow,OR($E249="Tier 2",$E249="Tier 2 Grove"),$C249&lt;&gt;"",$D249&lt;12,$D249&gt;=6,COUNTIF(Tables2!$B$153:$B$162,$C249)&gt;0),
Error!$B$54,
IF(AND(_xlpm.baseRow,$E249="Tier 2",COUNTIF(Tables2!$B$166:$B$674,$C249)&gt;0,$D249&lt;24),
Error!$B$54,
IF(AND(_xlpm.baseRow,$E249="Tier 3",ISNA(MATCH($C249,Tables2!$B$153:$B$162,0)),OR($D249&lt;12,$D249&gt;=24)),
Error!$B$9,
IF(AND(_xlpm.baseRow,$E249="Tier 3",COUNTIF(Tables2!$B$153:$B$162,$C249)&gt;0,$D249&lt;12),
Error!$B$46,
IF(AND(_xlpm.baseRow,$E249="Tier 4",OR($D249&lt;6,$D249&gt;=12)),
Error!$B$10,
IF(AND(_xlpm.baseRow,$E249="&lt;6in DSH for Tree Points",OR($D249&gt;=6,$D249="")),
Error!$B$8,
IF(AND(_xlpm.baseRow,$E249="Street Tree for Green Factor",$F249&lt;&gt;"",$F249&lt;&gt;"Retain"),
Error!$B$14,
IF(AND($E249="&lt;6in DSH for Tree Points",$F249="Retain",$H249&lt;&gt;"",ISNA(MATCH($H249,Tables!$B$174:$B$174,0))),
Error!$B$15,
IF(AND($E249="Street Tree for Green Factor",$F249="Retain",$H249&lt;&gt;"",$H249&lt;&gt;"Zoning: Green Factor"),
Error!$B$15,
IF(AND($E249="ECA / Shoreline Tree",$F249="Remove",$H249&lt;&gt;"",ISNA(MATCH($H249,Tables!$B$189:$B$190,0))),
Error!$B$15,
IF(AND($E249="ECA / Shoreline Tree",$F249="Retain",$H249&lt;&gt;"",ISNA(MATCH($H249,Tables!$B$184:$B$186,0))),
Error!$B$15,
IF(AND($E249="Tier 4",$F249="Remove",$H249&lt;&gt;"",ISNA(MATCH($H249,Tables!$B$171,0))),
Error!$B$15,
IF(AND($E249="Tier 4",$F249="Retain",$H249&lt;&gt;"",ISNA(MATCH($H249,Tables!$B$166:$B$168,0))),
Error!$B$15,
IF(AND($E249="Tier 3",$F249="Retain",$H249&lt;&gt;"",ISNA(MATCH($H249,Tables!$B$158:$B$160,0))),
Error!$B$15,
IF(AND($E249="Tier 3",$F249="Remove",$H249&lt;&gt;"",ISNA(MATCH($H249,Tables!$B$163,0))),
Error!$B$15,
IF(AND(OR($E249="Tier 2",$E249="Tier 2 Grove"),$F249="Remove",$H249&lt;&gt;"",ISNA(MATCH($H249,Tables!$B$153:$B$155,0))),
Error!$B$15,
IF(AND(OR($E249="Tier 2",$E249="Tier 2 Grove"),$F249="Retain",$H249&lt;&gt;"",ISNA(MATCH($H249,Tables!$B$147:$B$150,0))),
Error!$B$15,
IF(AND($E249="Tier 1",$F249="Remove",$H249&lt;&gt;"",ISNA(MATCH($H249,Tables!$B$143:$B$144,0))),
Error!$B$15,
IF(AND($E249="Tier 1",$F249="Retain",$H249&lt;&gt;"",ISNA(MATCH($H249,Tables!$B$137:$B$140,0))),
Error!$B$15,
IF(AND($E249&lt;&gt;"Tier 2",$E249&lt;&gt;"Tier 2 Grove",$E249&lt;&gt;"Tier 3",$E249&lt;&gt;"Tier 4",$H249="Zoning: Green Factor",OR($D249="",$D249&lt;6)),
Error!$B$11,
IF(AND(_xlpm.baseRow,$D249&lt;6,$E249="&lt;6in DSH for Tree Points",_xlpm.TreePoints_H=0),
Error!$B$21,
IF(AND(_xlpm.baseRow,$E249&lt;&gt;"",$D249&lt;&gt;"",$F249=""),
Error!$B$4,
IF(AND(_xlpm.baseRow,$F249="Remove",OR($E249="Tier 1",$E249="Tier 2",$E249="Tier 2 Grove"),COUNTBLANK(_xlpm.HRange)&lt;3,_xlpm.uniqueH&gt;=2),
Error!$B$48,
IF(AND(_xlpm.baseRow,$F249="Retain",OR($E249="Tier 1",$E249="Tier 2",$E249="Tier 2 Grove"),COUNTIF(_xlpm.HRange,"Tree Code: Required to Retain Tier 1-2 Tree")=0),
Error!$B$47,
IF(AND(_xlpm.baseRow,$E249&lt;&gt;"",$D249&lt;&gt;"",$F249&lt;&gt;"",COUNTBLANK(_xlpm.HRange)=4),
Error!$B$5,
IF(AND($F249="Remove",$H249&lt;&gt;"",$I249=""),
Error!$B$18,
IF(AND($E249="Tier 4",$F249="Remove",$H249="Tree Protection Code: Tier 3 or Tier 4 Allowance",$H249&lt;&gt;"",ISNA(MATCH($I249,Tables!$B$200,0))),
Error!$B$17,
IF(AND($E249="Tier 3",$F249="Remove",$H249&lt;&gt;"",$H249="Tree Protection Code: Tier 3 or Tier 4 Allowance",OR($I249="",ISNA(MATCH($I249,Tables!$B$193:$B$197,0)))),
Error!$B$17,
IF(AND(OR($E249="Tier 2",$E249="Tier 2 Grove"),$F249="Remove",$H249="Tree Protection Code: Other removal allowance or exemption",$I249&lt;&gt;"",ISNA(MATCH($I249,Tables!$B$215:$B$218,0))),
Error!$B$17,
IF(AND(OR($E249="Tier 2",$E249="Tier 2 Grove"),$F249="Remove",$H249="Tree Protection Code: Development Capacity",$I249&lt;&gt;"",ISNA(MATCH($I249,Tables!$B$193:$B$197,0))),
Error!$B$17,
IF(AND(OR($E249="Tier 2",$E249="Tier 2 Grove"),$F249="Remove",$H249="Tree Protection Code: Necessary for Construction",$I249&lt;&gt;"",ISNA(MATCH($I249,Tables!$B$193:$B$197,0))),
Error!$B$17,
IF(AND($E249="Tier 1",$F249="Remove",$H249="Tree Protection Code: Special Exception",$I249&lt;&gt;"",ISNA(MATCH($I249,Tables!$B$215:$B$218,0))),
Error!$B$17,
IF(AND($E249="Tier 1",$F249="Remove",$H249="Tree Protection Code: Other removal allowance or exemption",$I249&lt;&gt;"",ISNA(MATCH($I249,Tables!$B$215:$B$218,0))),
Error!$B$17,
IF(AND($E249="ECA / Shoreline Tree",$F249="Remove",$H249&lt;&gt;"",OR($H249="Shoreline",$H249="Environmental Critical Area (ECA)"),ISNA(MATCH($I249,Tables!$B$209:$B$212,0))),
Error!$B$17,
IF(AND(_xlpm.baseRow,$F249="Retain",$E249="ECA / Shoreline Tree",_xlpm.ECA_Short=0),
Error!$B$61,
IF(AND($F249="Remove",ISNUMBER(MATCH($E249,{"Tier 1","Tier 2","Tier 3","Tier 4","Tier 2 Grove"},0)),ISNUMBER(MATCH($I249,{"On-site replacement","Off-site replacement"},0)),$J249="",$H249&lt;&gt;""),
Error!$B$19,
IF(AND(_xlpm.baseRow,$E249&lt;&gt;"",$D249&lt;&gt;"",$F249&lt;&gt;"",COUNTBLANK($B249:$C249)&gt;0,COUNTBLANK(_xlpm.HRange)&lt;&gt;4),
Error!$B$22,
IF(AND($H249="Zoning: Tree Points",$K249&lt;&gt;"",ISNA(MATCH($K249,Tables!$B$242:$B$253,0))),
Error!$B$58,
IF(AND($H249="Zoning: Tree Points",$K249="Small",$L249&lt;&gt;"",ISNA(MATCH($L249,Tables!$C$243:$C$244,0))),
Error!$B$59,
IF(AND($H249="Zoning: Tree Points",$K249="Small/Medium",$L249&lt;&gt;"",ISNA(MATCH($L249,Tables!$C$246:$C$247,0))),
Error!$B$59,
IF(AND($H249="Zoning: Tree Points",$K249="Medium/Large",$L249&lt;&gt;"",ISNA(MATCH($L249,Tables!$C$249:$C$250,0))),
Error!$B$59,
IF(AND($H249="Zoning: Tree Points",$K249="Large",$L249&lt;&gt;"",ISNA(MATCH($L249,Tables!$C$252:$C$253,0))),
Error!$B$59,
IF(AND($F249="Retain",$H249="Zoning: Tree Points",$C249&lt;&gt;"",$D249&lt;&gt;"",OR($K249="",$L249="",$M249="")),
Error!$B$20,
""
)))))))))))))))))))))))))))))))))))))))))))))))))))))))),
Error!$B$23))</f>
        <v/>
      </c>
      <c r="O249" s="343" t="str" cm="1">
        <f t="array" aca="1" ref="O249" ca="1">IFERROR(_xlfn.LET(
    _xlpm.txt, $C249,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50" spans="1:15" ht="15" thickBot="1" x14ac:dyDescent="0.35">
      <c r="A250" s="331"/>
      <c r="B250" s="616" t="str">
        <f t="shared" si="255"/>
        <v/>
      </c>
      <c r="C250" s="617" t="str">
        <f t="shared" si="256"/>
        <v/>
      </c>
      <c r="D250" s="618" t="str">
        <f t="shared" si="257"/>
        <v/>
      </c>
      <c r="E250" s="616" t="str">
        <f t="shared" si="258"/>
        <v/>
      </c>
      <c r="F250" s="616" t="str">
        <f t="shared" si="259"/>
        <v/>
      </c>
      <c r="G250" s="619" t="str">
        <f>IF(Tree_Table1[[#This Row],[Tree Status  &amp;]]="Retain", Tables!$B$237, IF(Tree_Table1[[#This Row],[Tree Status  &amp;]]="Remove", Tables!$B$238, ""))</f>
        <v/>
      </c>
      <c r="H250" s="329"/>
      <c r="I250" s="330"/>
      <c r="J250" s="455"/>
      <c r="K250" s="327" t="str">
        <f>IFERROR(
    IF(
        AND($H250="Zoning: Tree Points", NOT(ISNUMBER(SEARCH("sp.", $C250)))),
        VLOOKUP($C250, 'Tree List'!$C$3:$F$601, 4, FALSE),
        ""
    ),
"")</f>
        <v/>
      </c>
      <c r="L250" s="328" t="str" cm="1">
        <f t="array" ref="L250">IFERROR(
IF(
    AND($H250="Zoning: Tree Points", NOT(ISNUMBER(SEARCH("sp.", $C250)))),
    _xlfn.IFS(
        (COUNTIFS('Tree List'!$C$3:$C$601,$C250,'Tree List'!$D$3:$D$601,"Coniferous")
        + COUNTIFS('Tree List'!$C$3:$C$601,$C250,'Tree List'!$D$3:$D$601,"Deciduous Conifer")) &gt; 0,
            _xlfn.IFS($K250="Small",0.5,$K250="Small/Medium",1,$K250="Medium/Large",1.4,$K250="Large",1.8),
        (COUNTIFS('Tree List'!$C$3:$C$601,$C250,'Tree List'!$D$3:$D$601,"Deciduous")
        + COUNTIFS('Tree List'!$C$3:$C$601,$C250,'Tree List'!$D$3:$D$601,"Broadleaf Evergreen")) &gt; 0,
            _xlfn.IFS($K250="Small",0.4,$K250="Small/Medium",0.8,$K250="Medium/Large",1.2,$K250="Large",1.6)
    ),
    ""
),
"")</f>
        <v/>
      </c>
      <c r="M250" s="476" t="str">
        <f t="shared" si="249"/>
        <v/>
      </c>
      <c r="N250" s="347" t="str" cm="1">
        <f t="array" aca="1" ref="N25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IF(AND(_xlpm.baseRow,ISNA(MATCH($C250,'Tree List'!$C$3:$C$601,0)),SUMPRODUCT(--ISNUMBER(SEARCH(Tables2!$C$677:$C$772,$O250)))&gt;0),
Error!$B$57,
IF(AND(_xlpm.hasDM,$F250="Remove",$H250&lt;&gt;"",OR($I250="On-site replacement",$I250="Off-site replacement",$I250="Payment In Lieu")),
Error!$B$56,
IF(AND(_xlpm.hasDM,$F250="Remove",$H250&lt;&gt;"",$I250="Relocation"),
Error!$B$66,
IF(AND(OR(_xlpm.hasCN,_xlpm.hasPH,_xlpm.hasGR),$H250&lt;&gt;"",COUNTIF(Tables!$B$132:$B$134,$H250)&gt;0,$I250="N/A (No replacement required)"),
Error!$B$62,
IF(AND(_xlpm.baseRow,$E250&lt;&gt;"",ISNA(MATCH($E250,Tables!$B$225:$B$232,0))),
Error!$B$2,
IF(AND(_xlpm.baseRow,$F250&lt;&gt;"",ISNA(MATCH($F250,Tables!$B$234:$B$235,0))),
Error!$B$24,
IF(AND(_xlpm.baseRow,_xlpm.ECA_H&gt;0,_xlpm.Shore_H&gt;0),
Error!$B$16,
IF(AND(_xlpm.baseRow,$E250&lt;&gt;"",$D250=""),
Error!$B$3,
IF(AND(_xlpm.baseRow,OR($E250="Tier 3",$E250="Tier 4"),$C250&lt;&gt;"",$D250&gt;=24,COUNTIF(Tables2!$B$166:$B$674,$C250)&gt;0),
Error!$B$44,
IF(AND(_xlpm.baseRow,OR($E250="Tier 3",$E250="Tier 4"),$C250&lt;&gt;"",$D250&lt;&gt;"",COUNTIF(Tables2!$B$73:$B$152,$C250)&gt;0,
$D250&gt;=IFERROR(INDEX(Tables2!$C$73:$C$152,MATCH($C250,Tables2!$B$73:$B$152,0)),-1)),
Error!$B$44,
IF(AND(_xlpm.baseRow,OR($E250="Tier 2",$E250="Tier 2 Grove"),$C250&lt;&gt;"",$D250&gt;=12,COUNTIF(Tables2!$B$153:$B$162,$C250)&gt;0),
Error!$B$45,
IF(AND(_xlpm.baseRow,$E250="Tier 2 Grove",$D250&lt;12),
Error!$B$41,
IF(AND(_xlpm.baseRow,$E250="Tier 2",$D250&lt;5.88),
Error!$B$40,
IF(AND(_xlpm.baseRow,OR($E250="Tier 2",$E250="Tier 2 Grove"),$C250&lt;&gt;"",$D250&lt;12,$D250&gt;=6,COUNTIF(Tables2!$B$153:$B$162,$C250)&gt;0),
Error!$B$54,
IF(AND(_xlpm.baseRow,$E250="Tier 2",COUNTIF(Tables2!$B$166:$B$674,$C250)&gt;0,$D250&lt;24),
Error!$B$54,
IF(AND(_xlpm.baseRow,$E250="Tier 3",ISNA(MATCH($C250,Tables2!$B$153:$B$162,0)),OR($D250&lt;12,$D250&gt;=24)),
Error!$B$9,
IF(AND(_xlpm.baseRow,$E250="Tier 3",COUNTIF(Tables2!$B$153:$B$162,$C250)&gt;0,$D250&lt;12),
Error!$B$46,
IF(AND(_xlpm.baseRow,$E250="Tier 4",OR($D250&lt;6,$D250&gt;=12)),
Error!$B$10,
IF(AND(_xlpm.baseRow,$E250="&lt;6in DSH for Tree Points",OR($D250&gt;=6,$D250="")),
Error!$B$8,
IF(AND(_xlpm.baseRow,$E250="Street Tree for Green Factor",$F250&lt;&gt;"",$F250&lt;&gt;"Retain"),
Error!$B$14,
IF(AND($E250="&lt;6in DSH for Tree Points",$F250="Retain",$H250&lt;&gt;"",ISNA(MATCH($H250,Tables!$B$174:$B$174,0))),
Error!$B$15,
IF(AND($E250="Street Tree for Green Factor",$F250="Retain",$H250&lt;&gt;"",$H250&lt;&gt;"Zoning: Green Factor"),
Error!$B$15,
IF(AND($E250="ECA / Shoreline Tree",$F250="Remove",$H250&lt;&gt;"",ISNA(MATCH($H250,Tables!$B$189:$B$190,0))),
Error!$B$15,
IF(AND($E250="ECA / Shoreline Tree",$F250="Retain",$H250&lt;&gt;"",ISNA(MATCH($H250,Tables!$B$184:$B$186,0))),
Error!$B$15,
IF(AND($E250="Tier 4",$F250="Remove",$H250&lt;&gt;"",ISNA(MATCH($H250,Tables!$B$171,0))),
Error!$B$15,
IF(AND($E250="Tier 4",$F250="Retain",$H250&lt;&gt;"",ISNA(MATCH($H250,Tables!$B$166:$B$168,0))),
Error!$B$15,
IF(AND($E250="Tier 3",$F250="Retain",$H250&lt;&gt;"",ISNA(MATCH($H250,Tables!$B$158:$B$160,0))),
Error!$B$15,
IF(AND($E250="Tier 3",$F250="Remove",$H250&lt;&gt;"",ISNA(MATCH($H250,Tables!$B$163,0))),
Error!$B$15,
IF(AND(OR($E250="Tier 2",$E250="Tier 2 Grove"),$F250="Remove",$H250&lt;&gt;"",ISNA(MATCH($H250,Tables!$B$153:$B$155,0))),
Error!$B$15,
IF(AND(OR($E250="Tier 2",$E250="Tier 2 Grove"),$F250="Retain",$H250&lt;&gt;"",ISNA(MATCH($H250,Tables!$B$147:$B$150,0))),
Error!$B$15,
IF(AND($E250="Tier 1",$F250="Remove",$H250&lt;&gt;"",ISNA(MATCH($H250,Tables!$B$143:$B$144,0))),
Error!$B$15,
IF(AND($E250="Tier 1",$F250="Retain",$H250&lt;&gt;"",ISNA(MATCH($H250,Tables!$B$137:$B$140,0))),
Error!$B$15,
IF(AND($E250&lt;&gt;"Tier 2",$E250&lt;&gt;"Tier 2 Grove",$E250&lt;&gt;"Tier 3",$E250&lt;&gt;"Tier 4",$H250="Zoning: Green Factor",OR($D250="",$D250&lt;6)),
Error!$B$11,
IF(AND(_xlpm.baseRow,$D250&lt;6,$E250="&lt;6in DSH for Tree Points",_xlpm.TreePoints_H=0),
Error!$B$21,
IF(AND(_xlpm.baseRow,$E250&lt;&gt;"",$D250&lt;&gt;"",$F250=""),
Error!$B$4,
IF(AND(_xlpm.baseRow,$F250="Remove",OR($E250="Tier 1",$E250="Tier 2",$E250="Tier 2 Grove"),COUNTBLANK(_xlpm.HRange)&lt;3,_xlpm.uniqueH&gt;=2),
Error!$B$48,
IF(AND(_xlpm.baseRow,$F250="Retain",OR($E250="Tier 1",$E250="Tier 2",$E250="Tier 2 Grove"),COUNTIF(_xlpm.HRange,"Tree Code: Required to Retain Tier 1-2 Tree")=0),
Error!$B$47,
IF(AND(_xlpm.baseRow,$E250&lt;&gt;"",$D250&lt;&gt;"",$F250&lt;&gt;"",COUNTBLANK(_xlpm.HRange)=4),
Error!$B$5,
IF(AND($F250="Remove",$H250&lt;&gt;"",$I250=""),
Error!$B$18,
IF(AND($E250="Tier 4",$F250="Remove",$H250="Tree Protection Code: Tier 3 or Tier 4 Allowance",$H250&lt;&gt;"",ISNA(MATCH($I250,Tables!$B$200,0))),
Error!$B$17,
IF(AND($E250="Tier 3",$F250="Remove",$H250&lt;&gt;"",$H250="Tree Protection Code: Tier 3 or Tier 4 Allowance",OR($I250="",ISNA(MATCH($I250,Tables!$B$193:$B$197,0)))),
Error!$B$17,
IF(AND(OR($E250="Tier 2",$E250="Tier 2 Grove"),$F250="Remove",$H250="Tree Protection Code: Other removal allowance or exemption",$I250&lt;&gt;"",ISNA(MATCH($I250,Tables!$B$215:$B$218,0))),
Error!$B$17,
IF(AND(OR($E250="Tier 2",$E250="Tier 2 Grove"),$F250="Remove",$H250="Tree Protection Code: Development Capacity",$I250&lt;&gt;"",ISNA(MATCH($I250,Tables!$B$193:$B$197,0))),
Error!$B$17,
IF(AND(OR($E250="Tier 2",$E250="Tier 2 Grove"),$F250="Remove",$H250="Tree Protection Code: Necessary for Construction",$I250&lt;&gt;"",ISNA(MATCH($I250,Tables!$B$193:$B$197,0))),
Error!$B$17,
IF(AND($E250="Tier 1",$F250="Remove",$H250="Tree Protection Code: Special Exception",$I250&lt;&gt;"",ISNA(MATCH($I250,Tables!$B$215:$B$218,0))),
Error!$B$17,
IF(AND($E250="Tier 1",$F250="Remove",$H250="Tree Protection Code: Other removal allowance or exemption",$I250&lt;&gt;"",ISNA(MATCH($I250,Tables!$B$215:$B$218,0))),
Error!$B$17,
IF(AND($E250="ECA / Shoreline Tree",$F250="Remove",$H250&lt;&gt;"",OR($H250="Shoreline",$H250="Environmental Critical Area (ECA)"),ISNA(MATCH($I250,Tables!$B$209:$B$212,0))),
Error!$B$17,
IF(AND(_xlpm.baseRow,$F250="Retain",$E250="ECA / Shoreline Tree",_xlpm.ECA_Short=0),
Error!$B$61,
IF(AND($F250="Remove",ISNUMBER(MATCH($E250,{"Tier 1","Tier 2","Tier 3","Tier 4","Tier 2 Grove"},0)),ISNUMBER(MATCH($I250,{"On-site replacement","Off-site replacement"},0)),$J250="",$H250&lt;&gt;""),
Error!$B$19,
IF(AND(_xlpm.baseRow,$E250&lt;&gt;"",$D250&lt;&gt;"",$F250&lt;&gt;"",COUNTBLANK($B250:$C250)&gt;0,COUNTBLANK(_xlpm.HRange)&lt;&gt;4),
Error!$B$22,
IF(AND($H250="Zoning: Tree Points",$K250&lt;&gt;"",ISNA(MATCH($K250,Tables!$B$242:$B$253,0))),
Error!$B$58,
IF(AND($H250="Zoning: Tree Points",$K250="Small",$L250&lt;&gt;"",ISNA(MATCH($L250,Tables!$C$243:$C$244,0))),
Error!$B$59,
IF(AND($H250="Zoning: Tree Points",$K250="Small/Medium",$L250&lt;&gt;"",ISNA(MATCH($L250,Tables!$C$246:$C$247,0))),
Error!$B$59,
IF(AND($H250="Zoning: Tree Points",$K250="Medium/Large",$L250&lt;&gt;"",ISNA(MATCH($L250,Tables!$C$249:$C$250,0))),
Error!$B$59,
IF(AND($H250="Zoning: Tree Points",$K250="Large",$L250&lt;&gt;"",ISNA(MATCH($L250,Tables!$C$252:$C$253,0))),
Error!$B$59,
IF(AND($F250="Retain",$H250="Zoning: Tree Points",$C250&lt;&gt;"",$D250&lt;&gt;"",OR($K250="",$L250="",$M250="")),
Error!$B$20,
""
)))))))))))))))))))))))))))))))))))))))))))))))))))))))),
Error!$B$23))</f>
        <v/>
      </c>
      <c r="O250" s="343" t="str" cm="1">
        <f t="array" aca="1" ref="O250" ca="1">IFERROR(_xlfn.LET(
    _xlpm.txt, $C250,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51" spans="1:15" ht="15" thickBot="1" x14ac:dyDescent="0.35">
      <c r="A251" s="311">
        <v>61</v>
      </c>
      <c r="B251" s="312"/>
      <c r="C251" s="313"/>
      <c r="D251" s="478"/>
      <c r="E251" s="314"/>
      <c r="F251" s="314"/>
      <c r="G251" s="315" t="str">
        <f>IF(Tree_Table1[[#This Row],[Tree Status  &amp;]]="Retain", Tables!$B$237, IF(Tree_Table1[[#This Row],[Tree Status  &amp;]]="Remove", Tables!$B$238, ""))</f>
        <v/>
      </c>
      <c r="H251" s="316"/>
      <c r="I251" s="317"/>
      <c r="J251" s="452"/>
      <c r="K251" s="318" t="str">
        <f>IFERROR(
    IF(
        AND($H251="Zoning: Tree Points", NOT(ISNUMBER(SEARCH("sp.", $C251)))),
        VLOOKUP($C251, 'Tree List'!$C$3:$F$601, 4, FALSE),
        ""
    ),
"")</f>
        <v/>
      </c>
      <c r="L251" s="319" t="str" cm="1">
        <f t="array" ref="L251">IFERROR(
IF(
    AND($H251="Zoning: Tree Points", NOT(ISNUMBER(SEARCH("sp.", $C251)))),
    _xlfn.IFS(
        (COUNTIFS('Tree List'!$C$3:$C$601,$C251,'Tree List'!$D$3:$D$601,"Coniferous")
        + COUNTIFS('Tree List'!$C$3:$C$601,$C251,'Tree List'!$D$3:$D$601,"Deciduous Conifer")) &gt; 0,
            _xlfn.IFS($K251="Small",0.5,$K251="Small/Medium",1,$K251="Medium/Large",1.4,$K251="Large",1.8),
        (COUNTIFS('Tree List'!$C$3:$C$601,$C251,'Tree List'!$D$3:$D$601,"Deciduous")
        + COUNTIFS('Tree List'!$C$3:$C$601,$C251,'Tree List'!$D$3:$D$601,"Broadleaf Evergreen")) &gt; 0,
            _xlfn.IFS($K251="Small",0.4,$K251="Small/Medium",0.8,$K251="Medium/Large",1.2,$K251="Large",1.6)
    ),
    ""
),
"")</f>
        <v/>
      </c>
      <c r="M251" s="474" t="str">
        <f t="shared" si="249"/>
        <v/>
      </c>
      <c r="N251" s="620" t="str" cm="1">
        <f t="array" aca="1" ref="N25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IF(AND(_xlpm.baseRow,ISNA(MATCH($C251,'Tree List'!$C$3:$C$601,0)),SUMPRODUCT(--ISNUMBER(SEARCH(Tables2!$C$677:$C$772,$O251)))&gt;0),
Error!$B$57,
IF(AND(_xlpm.hasDM,$F251="Remove",$H251&lt;&gt;"",OR($I251="On-site replacement",$I251="Off-site replacement",$I251="Payment In Lieu")),
Error!$B$56,
IF(AND(_xlpm.hasDM,$F251="Remove",$H251&lt;&gt;"",$I251="Relocation"),
Error!$B$66,
IF(AND(OR(_xlpm.hasCN,_xlpm.hasPH,_xlpm.hasGR),$H251&lt;&gt;"",COUNTIF(Tables!$B$132:$B$134,$H251)&gt;0,$I251="N/A (No replacement required)"),
Error!$B$62,
IF(AND(_xlpm.baseRow,$E251&lt;&gt;"",ISNA(MATCH($E251,Tables!$B$225:$B$232,0))),
Error!$B$2,
IF(AND(_xlpm.baseRow,$F251&lt;&gt;"",ISNA(MATCH($F251,Tables!$B$234:$B$235,0))),
Error!$B$24,
IF(AND(_xlpm.baseRow,_xlpm.ECA_H&gt;0,_xlpm.Shore_H&gt;0),
Error!$B$16,
IF(AND(_xlpm.baseRow,$E251&lt;&gt;"",$D251=""),
Error!$B$3,
IF(AND(_xlpm.baseRow,OR($E251="Tier 3",$E251="Tier 4"),$C251&lt;&gt;"",$D251&gt;=24,COUNTIF(Tables2!$B$166:$B$674,$C251)&gt;0),
Error!$B$44,
IF(AND(_xlpm.baseRow,OR($E251="Tier 3",$E251="Tier 4"),$C251&lt;&gt;"",$D251&lt;&gt;"",COUNTIF(Tables2!$B$73:$B$152,$C251)&gt;0,
$D251&gt;=IFERROR(INDEX(Tables2!$C$73:$C$152,MATCH($C251,Tables2!$B$73:$B$152,0)),-1)),
Error!$B$44,
IF(AND(_xlpm.baseRow,OR($E251="Tier 2",$E251="Tier 2 Grove"),$C251&lt;&gt;"",$D251&gt;=12,COUNTIF(Tables2!$B$153:$B$162,$C251)&gt;0),
Error!$B$45,
IF(AND(_xlpm.baseRow,$E251="Tier 2 Grove",$D251&lt;12),
Error!$B$41,
IF(AND(_xlpm.baseRow,$E251="Tier 2",$D251&lt;5.88),
Error!$B$40,
IF(AND(_xlpm.baseRow,OR($E251="Tier 2",$E251="Tier 2 Grove"),$C251&lt;&gt;"",$D251&lt;12,$D251&gt;=6,COUNTIF(Tables2!$B$153:$B$162,$C251)&gt;0),
Error!$B$54,
IF(AND(_xlpm.baseRow,$E251="Tier 2",COUNTIF(Tables2!$B$166:$B$674,$C251)&gt;0,$D251&lt;24),
Error!$B$54,
IF(AND(_xlpm.baseRow,$E251="Tier 3",ISNA(MATCH($C251,Tables2!$B$153:$B$162,0)),OR($D251&lt;12,$D251&gt;=24)),
Error!$B$9,
IF(AND(_xlpm.baseRow,$E251="Tier 3",COUNTIF(Tables2!$B$153:$B$162,$C251)&gt;0,$D251&lt;12),
Error!$B$46,
IF(AND(_xlpm.baseRow,$E251="Tier 4",OR($D251&lt;6,$D251&gt;=12)),
Error!$B$10,
IF(AND(_xlpm.baseRow,$E251="&lt;6in DSH for Tree Points",OR($D251&gt;=6,$D251="")),
Error!$B$8,
IF(AND(_xlpm.baseRow,$E251="Street Tree for Green Factor",$F251&lt;&gt;"",$F251&lt;&gt;"Retain"),
Error!$B$14,
IF(AND($E251="&lt;6in DSH for Tree Points",$F251="Retain",$H251&lt;&gt;"",ISNA(MATCH($H251,Tables!$B$174:$B$174,0))),
Error!$B$15,
IF(AND($E251="Street Tree for Green Factor",$F251="Retain",$H251&lt;&gt;"",$H251&lt;&gt;"Zoning: Green Factor"),
Error!$B$15,
IF(AND($E251="ECA / Shoreline Tree",$F251="Remove",$H251&lt;&gt;"",ISNA(MATCH($H251,Tables!$B$189:$B$190,0))),
Error!$B$15,
IF(AND($E251="ECA / Shoreline Tree",$F251="Retain",$H251&lt;&gt;"",ISNA(MATCH($H251,Tables!$B$184:$B$186,0))),
Error!$B$15,
IF(AND($E251="Tier 4",$F251="Remove",$H251&lt;&gt;"",ISNA(MATCH($H251,Tables!$B$171,0))),
Error!$B$15,
IF(AND($E251="Tier 4",$F251="Retain",$H251&lt;&gt;"",ISNA(MATCH($H251,Tables!$B$166:$B$168,0))),
Error!$B$15,
IF(AND($E251="Tier 3",$F251="Retain",$H251&lt;&gt;"",ISNA(MATCH($H251,Tables!$B$158:$B$160,0))),
Error!$B$15,
IF(AND($E251="Tier 3",$F251="Remove",$H251&lt;&gt;"",ISNA(MATCH($H251,Tables!$B$163,0))),
Error!$B$15,
IF(AND(OR($E251="Tier 2",$E251="Tier 2 Grove"),$F251="Remove",$H251&lt;&gt;"",ISNA(MATCH($H251,Tables!$B$153:$B$155,0))),
Error!$B$15,
IF(AND(OR($E251="Tier 2",$E251="Tier 2 Grove"),$F251="Retain",$H251&lt;&gt;"",ISNA(MATCH($H251,Tables!$B$147:$B$150,0))),
Error!$B$15,
IF(AND($E251="Tier 1",$F251="Remove",$H251&lt;&gt;"",ISNA(MATCH($H251,Tables!$B$143:$B$144,0))),
Error!$B$15,
IF(AND($E251="Tier 1",$F251="Retain",$H251&lt;&gt;"",ISNA(MATCH($H251,Tables!$B$137:$B$140,0))),
Error!$B$15,
IF(AND($E251&lt;&gt;"Tier 2",$E251&lt;&gt;"Tier 2 Grove",$E251&lt;&gt;"Tier 3",$E251&lt;&gt;"Tier 4",$H251="Zoning: Green Factor",OR($D251="",$D251&lt;6)),
Error!$B$11,
IF(AND(_xlpm.baseRow,$D251&lt;6,$E251="&lt;6in DSH for Tree Points",_xlpm.TreePoints_H=0),
Error!$B$21,
IF(AND(_xlpm.baseRow,$E251&lt;&gt;"",$D251&lt;&gt;"",$F251=""),
Error!$B$4,
IF(AND(_xlpm.baseRow,$F251="Remove",OR($E251="Tier 1",$E251="Tier 2",$E251="Tier 2 Grove"),COUNTBLANK(_xlpm.HRange)&lt;3,_xlpm.uniqueH&gt;=2),
Error!$B$48,
IF(AND(_xlpm.baseRow,$F251="Retain",OR($E251="Tier 1",$E251="Tier 2",$E251="Tier 2 Grove"),COUNTIF(_xlpm.HRange,"Tree Code: Required to Retain Tier 1-2 Tree")=0),
Error!$B$47,
IF(AND(_xlpm.baseRow,$E251&lt;&gt;"",$D251&lt;&gt;"",$F251&lt;&gt;"",COUNTBLANK(_xlpm.HRange)=4),
Error!$B$5,
IF(AND($F251="Remove",$H251&lt;&gt;"",$I251=""),
Error!$B$18,
IF(AND($E251="Tier 4",$F251="Remove",$H251="Tree Protection Code: Tier 3 or Tier 4 Allowance",$H251&lt;&gt;"",ISNA(MATCH($I251,Tables!$B$200,0))),
Error!$B$17,
IF(AND($E251="Tier 3",$F251="Remove",$H251&lt;&gt;"",$H251="Tree Protection Code: Tier 3 or Tier 4 Allowance",OR($I251="",ISNA(MATCH($I251,Tables!$B$193:$B$197,0)))),
Error!$B$17,
IF(AND(OR($E251="Tier 2",$E251="Tier 2 Grove"),$F251="Remove",$H251="Tree Protection Code: Other removal allowance or exemption",$I251&lt;&gt;"",ISNA(MATCH($I251,Tables!$B$215:$B$218,0))),
Error!$B$17,
IF(AND(OR($E251="Tier 2",$E251="Tier 2 Grove"),$F251="Remove",$H251="Tree Protection Code: Development Capacity",$I251&lt;&gt;"",ISNA(MATCH($I251,Tables!$B$193:$B$197,0))),
Error!$B$17,
IF(AND(OR($E251="Tier 2",$E251="Tier 2 Grove"),$F251="Remove",$H251="Tree Protection Code: Necessary for Construction",$I251&lt;&gt;"",ISNA(MATCH($I251,Tables!$B$193:$B$197,0))),
Error!$B$17,
IF(AND($E251="Tier 1",$F251="Remove",$H251="Tree Protection Code: Special Exception",$I251&lt;&gt;"",ISNA(MATCH($I251,Tables!$B$215:$B$218,0))),
Error!$B$17,
IF(AND($E251="Tier 1",$F251="Remove",$H251="Tree Protection Code: Other removal allowance or exemption",$I251&lt;&gt;"",ISNA(MATCH($I251,Tables!$B$215:$B$218,0))),
Error!$B$17,
IF(AND($E251="ECA / Shoreline Tree",$F251="Remove",$H251&lt;&gt;"",OR($H251="Shoreline",$H251="Environmental Critical Area (ECA)"),ISNA(MATCH($I251,Tables!$B$209:$B$212,0))),
Error!$B$17,
IF(AND(_xlpm.baseRow,$F251="Retain",$E251="ECA / Shoreline Tree",_xlpm.ECA_Short=0),
Error!$B$61,
IF(AND($F251="Remove",ISNUMBER(MATCH($E251,{"Tier 1","Tier 2","Tier 3","Tier 4","Tier 2 Grove"},0)),ISNUMBER(MATCH($I251,{"On-site replacement","Off-site replacement"},0)),$J251="",$H251&lt;&gt;""),
Error!$B$19,
IF(AND(_xlpm.baseRow,$E251&lt;&gt;"",$D251&lt;&gt;"",$F251&lt;&gt;"",COUNTBLANK($B251:$C251)&gt;0,COUNTBLANK(_xlpm.HRange)&lt;&gt;4),
Error!$B$22,
IF(AND($H251="Zoning: Tree Points",$K251&lt;&gt;"",ISNA(MATCH($K251,Tables!$B$242:$B$253,0))),
Error!$B$58,
IF(AND($H251="Zoning: Tree Points",$K251="Small",$L251&lt;&gt;"",ISNA(MATCH($L251,Tables!$C$243:$C$244,0))),
Error!$B$59,
IF(AND($H251="Zoning: Tree Points",$K251="Small/Medium",$L251&lt;&gt;"",ISNA(MATCH($L251,Tables!$C$246:$C$247,0))),
Error!$B$59,
IF(AND($H251="Zoning: Tree Points",$K251="Medium/Large",$L251&lt;&gt;"",ISNA(MATCH($L251,Tables!$C$249:$C$250,0))),
Error!$B$59,
IF(AND($H251="Zoning: Tree Points",$K251="Large",$L251&lt;&gt;"",ISNA(MATCH($L251,Tables!$C$252:$C$253,0))),
Error!$B$59,
IF(AND($F251="Retain",$H251="Zoning: Tree Points",$C251&lt;&gt;"",$D251&lt;&gt;"",OR($K251="",$L251="",$M251="")),
Error!$B$20,
""
)))))))))))))))))))))))))))))))))))))))))))))))))))))))),
Error!$B$23))</f>
        <v/>
      </c>
      <c r="O251" s="343" t="str" cm="1">
        <f t="array" aca="1" ref="O251" ca="1">IFERROR(_xlfn.LET(
    _xlpm.txt, $C251,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52" spans="1:15" x14ac:dyDescent="0.3">
      <c r="A252" s="320"/>
      <c r="B252" s="616" t="str">
        <f t="shared" ref="B252:B254" si="260">IF($B251="", "", $B251)</f>
        <v/>
      </c>
      <c r="C252" s="617" t="str">
        <f t="shared" ref="C252:C254" si="261">IF($C251="", "", $C251)</f>
        <v/>
      </c>
      <c r="D252" s="618" t="str">
        <f t="shared" ref="D252:D254" si="262">IF($D251="", "", $D251)</f>
        <v/>
      </c>
      <c r="E252" s="616" t="str">
        <f t="shared" ref="E252:E254" si="263">IF($E251="", "", $E251)</f>
        <v/>
      </c>
      <c r="F252" s="616" t="str">
        <f t="shared" ref="F252:F254" si="264">IF($F251="", "", $F251)</f>
        <v/>
      </c>
      <c r="G252" s="619" t="str">
        <f>IF(Tree_Table1[[#This Row],[Tree Status  &amp;]]="Retain", Tables!$B$237, IF(Tree_Table1[[#This Row],[Tree Status  &amp;]]="Remove", Tables!$B$238, ""))</f>
        <v/>
      </c>
      <c r="H252" s="321"/>
      <c r="I252" s="322"/>
      <c r="J252" s="453"/>
      <c r="K252" s="323" t="str">
        <f>IFERROR(
    IF(
        AND($H252="Zoning: Tree Points", NOT(ISNUMBER(SEARCH("sp.", $C252)))),
        VLOOKUP($C252, 'Tree List'!$C$3:$F$601, 4, FALSE),
        ""
    ),
"")</f>
        <v/>
      </c>
      <c r="L252" s="324" t="str" cm="1">
        <f t="array" ref="L252">IFERROR(
IF(
    AND($H252="Zoning: Tree Points", NOT(ISNUMBER(SEARCH("sp.", $C252)))),
    _xlfn.IFS(
        (COUNTIFS('Tree List'!$C$3:$C$601,$C252,'Tree List'!$D$3:$D$601,"Coniferous")
        + COUNTIFS('Tree List'!$C$3:$C$601,$C252,'Tree List'!$D$3:$D$601,"Deciduous Conifer")) &gt; 0,
            _xlfn.IFS($K252="Small",0.5,$K252="Small/Medium",1,$K252="Medium/Large",1.4,$K252="Large",1.8),
        (COUNTIFS('Tree List'!$C$3:$C$601,$C252,'Tree List'!$D$3:$D$601,"Deciduous")
        + COUNTIFS('Tree List'!$C$3:$C$601,$C252,'Tree List'!$D$3:$D$601,"Broadleaf Evergreen")) &gt; 0,
            _xlfn.IFS($K252="Small",0.4,$K252="Small/Medium",0.8,$K252="Medium/Large",1.2,$K252="Large",1.6)
    ),
    ""
),
"")</f>
        <v/>
      </c>
      <c r="M252" s="475" t="str">
        <f t="shared" si="249"/>
        <v/>
      </c>
      <c r="N252" s="346" t="str" cm="1">
        <f t="array" aca="1" ref="N25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IF(AND(_xlpm.baseRow,ISNA(MATCH($C252,'Tree List'!$C$3:$C$601,0)),SUMPRODUCT(--ISNUMBER(SEARCH(Tables2!$C$677:$C$772,$O252)))&gt;0),
Error!$B$57,
IF(AND(_xlpm.hasDM,$F252="Remove",$H252&lt;&gt;"",OR($I252="On-site replacement",$I252="Off-site replacement",$I252="Payment In Lieu")),
Error!$B$56,
IF(AND(_xlpm.hasDM,$F252="Remove",$H252&lt;&gt;"",$I252="Relocation"),
Error!$B$66,
IF(AND(OR(_xlpm.hasCN,_xlpm.hasPH,_xlpm.hasGR),$H252&lt;&gt;"",COUNTIF(Tables!$B$132:$B$134,$H252)&gt;0,$I252="N/A (No replacement required)"),
Error!$B$62,
IF(AND(_xlpm.baseRow,$E252&lt;&gt;"",ISNA(MATCH($E252,Tables!$B$225:$B$232,0))),
Error!$B$2,
IF(AND(_xlpm.baseRow,$F252&lt;&gt;"",ISNA(MATCH($F252,Tables!$B$234:$B$235,0))),
Error!$B$24,
IF(AND(_xlpm.baseRow,_xlpm.ECA_H&gt;0,_xlpm.Shore_H&gt;0),
Error!$B$16,
IF(AND(_xlpm.baseRow,$E252&lt;&gt;"",$D252=""),
Error!$B$3,
IF(AND(_xlpm.baseRow,OR($E252="Tier 3",$E252="Tier 4"),$C252&lt;&gt;"",$D252&gt;=24,COUNTIF(Tables2!$B$166:$B$674,$C252)&gt;0),
Error!$B$44,
IF(AND(_xlpm.baseRow,OR($E252="Tier 3",$E252="Tier 4"),$C252&lt;&gt;"",$D252&lt;&gt;"",COUNTIF(Tables2!$B$73:$B$152,$C252)&gt;0,
$D252&gt;=IFERROR(INDEX(Tables2!$C$73:$C$152,MATCH($C252,Tables2!$B$73:$B$152,0)),-1)),
Error!$B$44,
IF(AND(_xlpm.baseRow,OR($E252="Tier 2",$E252="Tier 2 Grove"),$C252&lt;&gt;"",$D252&gt;=12,COUNTIF(Tables2!$B$153:$B$162,$C252)&gt;0),
Error!$B$45,
IF(AND(_xlpm.baseRow,$E252="Tier 2 Grove",$D252&lt;12),
Error!$B$41,
IF(AND(_xlpm.baseRow,$E252="Tier 2",$D252&lt;5.88),
Error!$B$40,
IF(AND(_xlpm.baseRow,OR($E252="Tier 2",$E252="Tier 2 Grove"),$C252&lt;&gt;"",$D252&lt;12,$D252&gt;=6,COUNTIF(Tables2!$B$153:$B$162,$C252)&gt;0),
Error!$B$54,
IF(AND(_xlpm.baseRow,$E252="Tier 2",COUNTIF(Tables2!$B$166:$B$674,$C252)&gt;0,$D252&lt;24),
Error!$B$54,
IF(AND(_xlpm.baseRow,$E252="Tier 3",ISNA(MATCH($C252,Tables2!$B$153:$B$162,0)),OR($D252&lt;12,$D252&gt;=24)),
Error!$B$9,
IF(AND(_xlpm.baseRow,$E252="Tier 3",COUNTIF(Tables2!$B$153:$B$162,$C252)&gt;0,$D252&lt;12),
Error!$B$46,
IF(AND(_xlpm.baseRow,$E252="Tier 4",OR($D252&lt;6,$D252&gt;=12)),
Error!$B$10,
IF(AND(_xlpm.baseRow,$E252="&lt;6in DSH for Tree Points",OR($D252&gt;=6,$D252="")),
Error!$B$8,
IF(AND(_xlpm.baseRow,$E252="Street Tree for Green Factor",$F252&lt;&gt;"",$F252&lt;&gt;"Retain"),
Error!$B$14,
IF(AND($E252="&lt;6in DSH for Tree Points",$F252="Retain",$H252&lt;&gt;"",ISNA(MATCH($H252,Tables!$B$174:$B$174,0))),
Error!$B$15,
IF(AND($E252="Street Tree for Green Factor",$F252="Retain",$H252&lt;&gt;"",$H252&lt;&gt;"Zoning: Green Factor"),
Error!$B$15,
IF(AND($E252="ECA / Shoreline Tree",$F252="Remove",$H252&lt;&gt;"",ISNA(MATCH($H252,Tables!$B$189:$B$190,0))),
Error!$B$15,
IF(AND($E252="ECA / Shoreline Tree",$F252="Retain",$H252&lt;&gt;"",ISNA(MATCH($H252,Tables!$B$184:$B$186,0))),
Error!$B$15,
IF(AND($E252="Tier 4",$F252="Remove",$H252&lt;&gt;"",ISNA(MATCH($H252,Tables!$B$171,0))),
Error!$B$15,
IF(AND($E252="Tier 4",$F252="Retain",$H252&lt;&gt;"",ISNA(MATCH($H252,Tables!$B$166:$B$168,0))),
Error!$B$15,
IF(AND($E252="Tier 3",$F252="Retain",$H252&lt;&gt;"",ISNA(MATCH($H252,Tables!$B$158:$B$160,0))),
Error!$B$15,
IF(AND($E252="Tier 3",$F252="Remove",$H252&lt;&gt;"",ISNA(MATCH($H252,Tables!$B$163,0))),
Error!$B$15,
IF(AND(OR($E252="Tier 2",$E252="Tier 2 Grove"),$F252="Remove",$H252&lt;&gt;"",ISNA(MATCH($H252,Tables!$B$153:$B$155,0))),
Error!$B$15,
IF(AND(OR($E252="Tier 2",$E252="Tier 2 Grove"),$F252="Retain",$H252&lt;&gt;"",ISNA(MATCH($H252,Tables!$B$147:$B$150,0))),
Error!$B$15,
IF(AND($E252="Tier 1",$F252="Remove",$H252&lt;&gt;"",ISNA(MATCH($H252,Tables!$B$143:$B$144,0))),
Error!$B$15,
IF(AND($E252="Tier 1",$F252="Retain",$H252&lt;&gt;"",ISNA(MATCH($H252,Tables!$B$137:$B$140,0))),
Error!$B$15,
IF(AND($E252&lt;&gt;"Tier 2",$E252&lt;&gt;"Tier 2 Grove",$E252&lt;&gt;"Tier 3",$E252&lt;&gt;"Tier 4",$H252="Zoning: Green Factor",OR($D252="",$D252&lt;6)),
Error!$B$11,
IF(AND(_xlpm.baseRow,$D252&lt;6,$E252="&lt;6in DSH for Tree Points",_xlpm.TreePoints_H=0),
Error!$B$21,
IF(AND(_xlpm.baseRow,$E252&lt;&gt;"",$D252&lt;&gt;"",$F252=""),
Error!$B$4,
IF(AND(_xlpm.baseRow,$F252="Remove",OR($E252="Tier 1",$E252="Tier 2",$E252="Tier 2 Grove"),COUNTBLANK(_xlpm.HRange)&lt;3,_xlpm.uniqueH&gt;=2),
Error!$B$48,
IF(AND(_xlpm.baseRow,$F252="Retain",OR($E252="Tier 1",$E252="Tier 2",$E252="Tier 2 Grove"),COUNTIF(_xlpm.HRange,"Tree Code: Required to Retain Tier 1-2 Tree")=0),
Error!$B$47,
IF(AND(_xlpm.baseRow,$E252&lt;&gt;"",$D252&lt;&gt;"",$F252&lt;&gt;"",COUNTBLANK(_xlpm.HRange)=4),
Error!$B$5,
IF(AND($F252="Remove",$H252&lt;&gt;"",$I252=""),
Error!$B$18,
IF(AND($E252="Tier 4",$F252="Remove",$H252="Tree Protection Code: Tier 3 or Tier 4 Allowance",$H252&lt;&gt;"",ISNA(MATCH($I252,Tables!$B$200,0))),
Error!$B$17,
IF(AND($E252="Tier 3",$F252="Remove",$H252&lt;&gt;"",$H252="Tree Protection Code: Tier 3 or Tier 4 Allowance",OR($I252="",ISNA(MATCH($I252,Tables!$B$193:$B$197,0)))),
Error!$B$17,
IF(AND(OR($E252="Tier 2",$E252="Tier 2 Grove"),$F252="Remove",$H252="Tree Protection Code: Other removal allowance or exemption",$I252&lt;&gt;"",ISNA(MATCH($I252,Tables!$B$215:$B$218,0))),
Error!$B$17,
IF(AND(OR($E252="Tier 2",$E252="Tier 2 Grove"),$F252="Remove",$H252="Tree Protection Code: Development Capacity",$I252&lt;&gt;"",ISNA(MATCH($I252,Tables!$B$193:$B$197,0))),
Error!$B$17,
IF(AND(OR($E252="Tier 2",$E252="Tier 2 Grove"),$F252="Remove",$H252="Tree Protection Code: Necessary for Construction",$I252&lt;&gt;"",ISNA(MATCH($I252,Tables!$B$193:$B$197,0))),
Error!$B$17,
IF(AND($E252="Tier 1",$F252="Remove",$H252="Tree Protection Code: Special Exception",$I252&lt;&gt;"",ISNA(MATCH($I252,Tables!$B$215:$B$218,0))),
Error!$B$17,
IF(AND($E252="Tier 1",$F252="Remove",$H252="Tree Protection Code: Other removal allowance or exemption",$I252&lt;&gt;"",ISNA(MATCH($I252,Tables!$B$215:$B$218,0))),
Error!$B$17,
IF(AND($E252="ECA / Shoreline Tree",$F252="Remove",$H252&lt;&gt;"",OR($H252="Shoreline",$H252="Environmental Critical Area (ECA)"),ISNA(MATCH($I252,Tables!$B$209:$B$212,0))),
Error!$B$17,
IF(AND(_xlpm.baseRow,$F252="Retain",$E252="ECA / Shoreline Tree",_xlpm.ECA_Short=0),
Error!$B$61,
IF(AND($F252="Remove",ISNUMBER(MATCH($E252,{"Tier 1","Tier 2","Tier 3","Tier 4","Tier 2 Grove"},0)),ISNUMBER(MATCH($I252,{"On-site replacement","Off-site replacement"},0)),$J252="",$H252&lt;&gt;""),
Error!$B$19,
IF(AND(_xlpm.baseRow,$E252&lt;&gt;"",$D252&lt;&gt;"",$F252&lt;&gt;"",COUNTBLANK($B252:$C252)&gt;0,COUNTBLANK(_xlpm.HRange)&lt;&gt;4),
Error!$B$22,
IF(AND($H252="Zoning: Tree Points",$K252&lt;&gt;"",ISNA(MATCH($K252,Tables!$B$242:$B$253,0))),
Error!$B$58,
IF(AND($H252="Zoning: Tree Points",$K252="Small",$L252&lt;&gt;"",ISNA(MATCH($L252,Tables!$C$243:$C$244,0))),
Error!$B$59,
IF(AND($H252="Zoning: Tree Points",$K252="Small/Medium",$L252&lt;&gt;"",ISNA(MATCH($L252,Tables!$C$246:$C$247,0))),
Error!$B$59,
IF(AND($H252="Zoning: Tree Points",$K252="Medium/Large",$L252&lt;&gt;"",ISNA(MATCH($L252,Tables!$C$249:$C$250,0))),
Error!$B$59,
IF(AND($H252="Zoning: Tree Points",$K252="Large",$L252&lt;&gt;"",ISNA(MATCH($L252,Tables!$C$252:$C$253,0))),
Error!$B$59,
IF(AND($F252="Retain",$H252="Zoning: Tree Points",$C252&lt;&gt;"",$D252&lt;&gt;"",OR($K252="",$L252="",$M252="")),
Error!$B$20,
""
)))))))))))))))))))))))))))))))))))))))))))))))))))))))),
Error!$B$23))</f>
        <v/>
      </c>
      <c r="O252" s="343" t="str" cm="1">
        <f t="array" aca="1" ref="O252" ca="1">IFERROR(_xlfn.LET(
    _xlpm.txt, $C252,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53" spans="1:15" x14ac:dyDescent="0.3">
      <c r="A253" s="320"/>
      <c r="B253" s="616" t="str">
        <f t="shared" si="260"/>
        <v/>
      </c>
      <c r="C253" s="617" t="str">
        <f t="shared" si="261"/>
        <v/>
      </c>
      <c r="D253" s="618" t="str">
        <f t="shared" si="262"/>
        <v/>
      </c>
      <c r="E253" s="616" t="str">
        <f t="shared" si="263"/>
        <v/>
      </c>
      <c r="F253" s="616" t="str">
        <f t="shared" si="264"/>
        <v/>
      </c>
      <c r="G253" s="619" t="str">
        <f>IF(Tree_Table1[[#This Row],[Tree Status  &amp;]]="Retain", Tables!$B$237, IF(Tree_Table1[[#This Row],[Tree Status  &amp;]]="Remove", Tables!$B$238, ""))</f>
        <v/>
      </c>
      <c r="H253" s="321"/>
      <c r="I253" s="322"/>
      <c r="J253" s="453"/>
      <c r="K253" s="323" t="str">
        <f>IFERROR(
    IF(
        AND($H253="Zoning: Tree Points", NOT(ISNUMBER(SEARCH("sp.", $C253)))),
        VLOOKUP($C253, 'Tree List'!$C$3:$F$601, 4, FALSE),
        ""
    ),
"")</f>
        <v/>
      </c>
      <c r="L253" s="324" t="str" cm="1">
        <f t="array" ref="L253">IFERROR(
IF(
    AND($H253="Zoning: Tree Points", NOT(ISNUMBER(SEARCH("sp.", $C253)))),
    _xlfn.IFS(
        (COUNTIFS('Tree List'!$C$3:$C$601,$C253,'Tree List'!$D$3:$D$601,"Coniferous")
        + COUNTIFS('Tree List'!$C$3:$C$601,$C253,'Tree List'!$D$3:$D$601,"Deciduous Conifer")) &gt; 0,
            _xlfn.IFS($K253="Small",0.5,$K253="Small/Medium",1,$K253="Medium/Large",1.4,$K253="Large",1.8),
        (COUNTIFS('Tree List'!$C$3:$C$601,$C253,'Tree List'!$D$3:$D$601,"Deciduous")
        + COUNTIFS('Tree List'!$C$3:$C$601,$C253,'Tree List'!$D$3:$D$601,"Broadleaf Evergreen")) &gt; 0,
            _xlfn.IFS($K253="Small",0.4,$K253="Small/Medium",0.8,$K253="Medium/Large",1.2,$K253="Large",1.6)
    ),
    ""
),
"")</f>
        <v/>
      </c>
      <c r="M253" s="475" t="str">
        <f t="shared" si="249"/>
        <v/>
      </c>
      <c r="N253" s="346" t="str" cm="1">
        <f t="array" aca="1" ref="N25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IF(AND(_xlpm.baseRow,ISNA(MATCH($C253,'Tree List'!$C$3:$C$601,0)),SUMPRODUCT(--ISNUMBER(SEARCH(Tables2!$C$677:$C$772,$O253)))&gt;0),
Error!$B$57,
IF(AND(_xlpm.hasDM,$F253="Remove",$H253&lt;&gt;"",OR($I253="On-site replacement",$I253="Off-site replacement",$I253="Payment In Lieu")),
Error!$B$56,
IF(AND(_xlpm.hasDM,$F253="Remove",$H253&lt;&gt;"",$I253="Relocation"),
Error!$B$66,
IF(AND(OR(_xlpm.hasCN,_xlpm.hasPH,_xlpm.hasGR),$H253&lt;&gt;"",COUNTIF(Tables!$B$132:$B$134,$H253)&gt;0,$I253="N/A (No replacement required)"),
Error!$B$62,
IF(AND(_xlpm.baseRow,$E253&lt;&gt;"",ISNA(MATCH($E253,Tables!$B$225:$B$232,0))),
Error!$B$2,
IF(AND(_xlpm.baseRow,$F253&lt;&gt;"",ISNA(MATCH($F253,Tables!$B$234:$B$235,0))),
Error!$B$24,
IF(AND(_xlpm.baseRow,_xlpm.ECA_H&gt;0,_xlpm.Shore_H&gt;0),
Error!$B$16,
IF(AND(_xlpm.baseRow,$E253&lt;&gt;"",$D253=""),
Error!$B$3,
IF(AND(_xlpm.baseRow,OR($E253="Tier 3",$E253="Tier 4"),$C253&lt;&gt;"",$D253&gt;=24,COUNTIF(Tables2!$B$166:$B$674,$C253)&gt;0),
Error!$B$44,
IF(AND(_xlpm.baseRow,OR($E253="Tier 3",$E253="Tier 4"),$C253&lt;&gt;"",$D253&lt;&gt;"",COUNTIF(Tables2!$B$73:$B$152,$C253)&gt;0,
$D253&gt;=IFERROR(INDEX(Tables2!$C$73:$C$152,MATCH($C253,Tables2!$B$73:$B$152,0)),-1)),
Error!$B$44,
IF(AND(_xlpm.baseRow,OR($E253="Tier 2",$E253="Tier 2 Grove"),$C253&lt;&gt;"",$D253&gt;=12,COUNTIF(Tables2!$B$153:$B$162,$C253)&gt;0),
Error!$B$45,
IF(AND(_xlpm.baseRow,$E253="Tier 2 Grove",$D253&lt;12),
Error!$B$41,
IF(AND(_xlpm.baseRow,$E253="Tier 2",$D253&lt;5.88),
Error!$B$40,
IF(AND(_xlpm.baseRow,OR($E253="Tier 2",$E253="Tier 2 Grove"),$C253&lt;&gt;"",$D253&lt;12,$D253&gt;=6,COUNTIF(Tables2!$B$153:$B$162,$C253)&gt;0),
Error!$B$54,
IF(AND(_xlpm.baseRow,$E253="Tier 2",COUNTIF(Tables2!$B$166:$B$674,$C253)&gt;0,$D253&lt;24),
Error!$B$54,
IF(AND(_xlpm.baseRow,$E253="Tier 3",ISNA(MATCH($C253,Tables2!$B$153:$B$162,0)),OR($D253&lt;12,$D253&gt;=24)),
Error!$B$9,
IF(AND(_xlpm.baseRow,$E253="Tier 3",COUNTIF(Tables2!$B$153:$B$162,$C253)&gt;0,$D253&lt;12),
Error!$B$46,
IF(AND(_xlpm.baseRow,$E253="Tier 4",OR($D253&lt;6,$D253&gt;=12)),
Error!$B$10,
IF(AND(_xlpm.baseRow,$E253="&lt;6in DSH for Tree Points",OR($D253&gt;=6,$D253="")),
Error!$B$8,
IF(AND(_xlpm.baseRow,$E253="Street Tree for Green Factor",$F253&lt;&gt;"",$F253&lt;&gt;"Retain"),
Error!$B$14,
IF(AND($E253="&lt;6in DSH for Tree Points",$F253="Retain",$H253&lt;&gt;"",ISNA(MATCH($H253,Tables!$B$174:$B$174,0))),
Error!$B$15,
IF(AND($E253="Street Tree for Green Factor",$F253="Retain",$H253&lt;&gt;"",$H253&lt;&gt;"Zoning: Green Factor"),
Error!$B$15,
IF(AND($E253="ECA / Shoreline Tree",$F253="Remove",$H253&lt;&gt;"",ISNA(MATCH($H253,Tables!$B$189:$B$190,0))),
Error!$B$15,
IF(AND($E253="ECA / Shoreline Tree",$F253="Retain",$H253&lt;&gt;"",ISNA(MATCH($H253,Tables!$B$184:$B$186,0))),
Error!$B$15,
IF(AND($E253="Tier 4",$F253="Remove",$H253&lt;&gt;"",ISNA(MATCH($H253,Tables!$B$171,0))),
Error!$B$15,
IF(AND($E253="Tier 4",$F253="Retain",$H253&lt;&gt;"",ISNA(MATCH($H253,Tables!$B$166:$B$168,0))),
Error!$B$15,
IF(AND($E253="Tier 3",$F253="Retain",$H253&lt;&gt;"",ISNA(MATCH($H253,Tables!$B$158:$B$160,0))),
Error!$B$15,
IF(AND($E253="Tier 3",$F253="Remove",$H253&lt;&gt;"",ISNA(MATCH($H253,Tables!$B$163,0))),
Error!$B$15,
IF(AND(OR($E253="Tier 2",$E253="Tier 2 Grove"),$F253="Remove",$H253&lt;&gt;"",ISNA(MATCH($H253,Tables!$B$153:$B$155,0))),
Error!$B$15,
IF(AND(OR($E253="Tier 2",$E253="Tier 2 Grove"),$F253="Retain",$H253&lt;&gt;"",ISNA(MATCH($H253,Tables!$B$147:$B$150,0))),
Error!$B$15,
IF(AND($E253="Tier 1",$F253="Remove",$H253&lt;&gt;"",ISNA(MATCH($H253,Tables!$B$143:$B$144,0))),
Error!$B$15,
IF(AND($E253="Tier 1",$F253="Retain",$H253&lt;&gt;"",ISNA(MATCH($H253,Tables!$B$137:$B$140,0))),
Error!$B$15,
IF(AND($E253&lt;&gt;"Tier 2",$E253&lt;&gt;"Tier 2 Grove",$E253&lt;&gt;"Tier 3",$E253&lt;&gt;"Tier 4",$H253="Zoning: Green Factor",OR($D253="",$D253&lt;6)),
Error!$B$11,
IF(AND(_xlpm.baseRow,$D253&lt;6,$E253="&lt;6in DSH for Tree Points",_xlpm.TreePoints_H=0),
Error!$B$21,
IF(AND(_xlpm.baseRow,$E253&lt;&gt;"",$D253&lt;&gt;"",$F253=""),
Error!$B$4,
IF(AND(_xlpm.baseRow,$F253="Remove",OR($E253="Tier 1",$E253="Tier 2",$E253="Tier 2 Grove"),COUNTBLANK(_xlpm.HRange)&lt;3,_xlpm.uniqueH&gt;=2),
Error!$B$48,
IF(AND(_xlpm.baseRow,$F253="Retain",OR($E253="Tier 1",$E253="Tier 2",$E253="Tier 2 Grove"),COUNTIF(_xlpm.HRange,"Tree Code: Required to Retain Tier 1-2 Tree")=0),
Error!$B$47,
IF(AND(_xlpm.baseRow,$E253&lt;&gt;"",$D253&lt;&gt;"",$F253&lt;&gt;"",COUNTBLANK(_xlpm.HRange)=4),
Error!$B$5,
IF(AND($F253="Remove",$H253&lt;&gt;"",$I253=""),
Error!$B$18,
IF(AND($E253="Tier 4",$F253="Remove",$H253="Tree Protection Code: Tier 3 or Tier 4 Allowance",$H253&lt;&gt;"",ISNA(MATCH($I253,Tables!$B$200,0))),
Error!$B$17,
IF(AND($E253="Tier 3",$F253="Remove",$H253&lt;&gt;"",$H253="Tree Protection Code: Tier 3 or Tier 4 Allowance",OR($I253="",ISNA(MATCH($I253,Tables!$B$193:$B$197,0)))),
Error!$B$17,
IF(AND(OR($E253="Tier 2",$E253="Tier 2 Grove"),$F253="Remove",$H253="Tree Protection Code: Other removal allowance or exemption",$I253&lt;&gt;"",ISNA(MATCH($I253,Tables!$B$215:$B$218,0))),
Error!$B$17,
IF(AND(OR($E253="Tier 2",$E253="Tier 2 Grove"),$F253="Remove",$H253="Tree Protection Code: Development Capacity",$I253&lt;&gt;"",ISNA(MATCH($I253,Tables!$B$193:$B$197,0))),
Error!$B$17,
IF(AND(OR($E253="Tier 2",$E253="Tier 2 Grove"),$F253="Remove",$H253="Tree Protection Code: Necessary for Construction",$I253&lt;&gt;"",ISNA(MATCH($I253,Tables!$B$193:$B$197,0))),
Error!$B$17,
IF(AND($E253="Tier 1",$F253="Remove",$H253="Tree Protection Code: Special Exception",$I253&lt;&gt;"",ISNA(MATCH($I253,Tables!$B$215:$B$218,0))),
Error!$B$17,
IF(AND($E253="Tier 1",$F253="Remove",$H253="Tree Protection Code: Other removal allowance or exemption",$I253&lt;&gt;"",ISNA(MATCH($I253,Tables!$B$215:$B$218,0))),
Error!$B$17,
IF(AND($E253="ECA / Shoreline Tree",$F253="Remove",$H253&lt;&gt;"",OR($H253="Shoreline",$H253="Environmental Critical Area (ECA)"),ISNA(MATCH($I253,Tables!$B$209:$B$212,0))),
Error!$B$17,
IF(AND(_xlpm.baseRow,$F253="Retain",$E253="ECA / Shoreline Tree",_xlpm.ECA_Short=0),
Error!$B$61,
IF(AND($F253="Remove",ISNUMBER(MATCH($E253,{"Tier 1","Tier 2","Tier 3","Tier 4","Tier 2 Grove"},0)),ISNUMBER(MATCH($I253,{"On-site replacement","Off-site replacement"},0)),$J253="",$H253&lt;&gt;""),
Error!$B$19,
IF(AND(_xlpm.baseRow,$E253&lt;&gt;"",$D253&lt;&gt;"",$F253&lt;&gt;"",COUNTBLANK($B253:$C253)&gt;0,COUNTBLANK(_xlpm.HRange)&lt;&gt;4),
Error!$B$22,
IF(AND($H253="Zoning: Tree Points",$K253&lt;&gt;"",ISNA(MATCH($K253,Tables!$B$242:$B$253,0))),
Error!$B$58,
IF(AND($H253="Zoning: Tree Points",$K253="Small",$L253&lt;&gt;"",ISNA(MATCH($L253,Tables!$C$243:$C$244,0))),
Error!$B$59,
IF(AND($H253="Zoning: Tree Points",$K253="Small/Medium",$L253&lt;&gt;"",ISNA(MATCH($L253,Tables!$C$246:$C$247,0))),
Error!$B$59,
IF(AND($H253="Zoning: Tree Points",$K253="Medium/Large",$L253&lt;&gt;"",ISNA(MATCH($L253,Tables!$C$249:$C$250,0))),
Error!$B$59,
IF(AND($H253="Zoning: Tree Points",$K253="Large",$L253&lt;&gt;"",ISNA(MATCH($L253,Tables!$C$252:$C$253,0))),
Error!$B$59,
IF(AND($F253="Retain",$H253="Zoning: Tree Points",$C253&lt;&gt;"",$D253&lt;&gt;"",OR($K253="",$L253="",$M253="")),
Error!$B$20,
""
)))))))))))))))))))))))))))))))))))))))))))))))))))))))),
Error!$B$23))</f>
        <v/>
      </c>
      <c r="O253" s="343" t="str" cm="1">
        <f t="array" aca="1" ref="O253" ca="1">IFERROR(_xlfn.LET(
    _xlpm.txt, $C253,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54" spans="1:15" ht="15" thickBot="1" x14ac:dyDescent="0.35">
      <c r="A254" s="331"/>
      <c r="B254" s="616" t="str">
        <f t="shared" si="260"/>
        <v/>
      </c>
      <c r="C254" s="617" t="str">
        <f t="shared" si="261"/>
        <v/>
      </c>
      <c r="D254" s="618" t="str">
        <f t="shared" si="262"/>
        <v/>
      </c>
      <c r="E254" s="616" t="str">
        <f t="shared" si="263"/>
        <v/>
      </c>
      <c r="F254" s="616" t="str">
        <f t="shared" si="264"/>
        <v/>
      </c>
      <c r="G254" s="619" t="str">
        <f>IF(Tree_Table1[[#This Row],[Tree Status  &amp;]]="Retain", Tables!$B$237, IF(Tree_Table1[[#This Row],[Tree Status  &amp;]]="Remove", Tables!$B$238, ""))</f>
        <v/>
      </c>
      <c r="H254" s="329"/>
      <c r="I254" s="330"/>
      <c r="J254" s="455"/>
      <c r="K254" s="327" t="str">
        <f>IFERROR(
    IF(
        AND($H254="Zoning: Tree Points", NOT(ISNUMBER(SEARCH("sp.", $C254)))),
        VLOOKUP($C254, 'Tree List'!$C$3:$F$601, 4, FALSE),
        ""
    ),
"")</f>
        <v/>
      </c>
      <c r="L254" s="328" t="str" cm="1">
        <f t="array" ref="L254">IFERROR(
IF(
    AND($H254="Zoning: Tree Points", NOT(ISNUMBER(SEARCH("sp.", $C254)))),
    _xlfn.IFS(
        (COUNTIFS('Tree List'!$C$3:$C$601,$C254,'Tree List'!$D$3:$D$601,"Coniferous")
        + COUNTIFS('Tree List'!$C$3:$C$601,$C254,'Tree List'!$D$3:$D$601,"Deciduous Conifer")) &gt; 0,
            _xlfn.IFS($K254="Small",0.5,$K254="Small/Medium",1,$K254="Medium/Large",1.4,$K254="Large",1.8),
        (COUNTIFS('Tree List'!$C$3:$C$601,$C254,'Tree List'!$D$3:$D$601,"Deciduous")
        + COUNTIFS('Tree List'!$C$3:$C$601,$C254,'Tree List'!$D$3:$D$601,"Broadleaf Evergreen")) &gt; 0,
            _xlfn.IFS($K254="Small",0.4,$K254="Small/Medium",0.8,$K254="Medium/Large",1.2,$K254="Large",1.6)
    ),
    ""
),
"")</f>
        <v/>
      </c>
      <c r="M254" s="476" t="str">
        <f t="shared" si="249"/>
        <v/>
      </c>
      <c r="N254" s="347" t="str" cm="1">
        <f t="array" aca="1" ref="N25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IF(AND(_xlpm.baseRow,ISNA(MATCH($C254,'Tree List'!$C$3:$C$601,0)),SUMPRODUCT(--ISNUMBER(SEARCH(Tables2!$C$677:$C$772,$O254)))&gt;0),
Error!$B$57,
IF(AND(_xlpm.hasDM,$F254="Remove",$H254&lt;&gt;"",OR($I254="On-site replacement",$I254="Off-site replacement",$I254="Payment In Lieu")),
Error!$B$56,
IF(AND(_xlpm.hasDM,$F254="Remove",$H254&lt;&gt;"",$I254="Relocation"),
Error!$B$66,
IF(AND(OR(_xlpm.hasCN,_xlpm.hasPH,_xlpm.hasGR),$H254&lt;&gt;"",COUNTIF(Tables!$B$132:$B$134,$H254)&gt;0,$I254="N/A (No replacement required)"),
Error!$B$62,
IF(AND(_xlpm.baseRow,$E254&lt;&gt;"",ISNA(MATCH($E254,Tables!$B$225:$B$232,0))),
Error!$B$2,
IF(AND(_xlpm.baseRow,$F254&lt;&gt;"",ISNA(MATCH($F254,Tables!$B$234:$B$235,0))),
Error!$B$24,
IF(AND(_xlpm.baseRow,_xlpm.ECA_H&gt;0,_xlpm.Shore_H&gt;0),
Error!$B$16,
IF(AND(_xlpm.baseRow,$E254&lt;&gt;"",$D254=""),
Error!$B$3,
IF(AND(_xlpm.baseRow,OR($E254="Tier 3",$E254="Tier 4"),$C254&lt;&gt;"",$D254&gt;=24,COUNTIF(Tables2!$B$166:$B$674,$C254)&gt;0),
Error!$B$44,
IF(AND(_xlpm.baseRow,OR($E254="Tier 3",$E254="Tier 4"),$C254&lt;&gt;"",$D254&lt;&gt;"",COUNTIF(Tables2!$B$73:$B$152,$C254)&gt;0,
$D254&gt;=IFERROR(INDEX(Tables2!$C$73:$C$152,MATCH($C254,Tables2!$B$73:$B$152,0)),-1)),
Error!$B$44,
IF(AND(_xlpm.baseRow,OR($E254="Tier 2",$E254="Tier 2 Grove"),$C254&lt;&gt;"",$D254&gt;=12,COUNTIF(Tables2!$B$153:$B$162,$C254)&gt;0),
Error!$B$45,
IF(AND(_xlpm.baseRow,$E254="Tier 2 Grove",$D254&lt;12),
Error!$B$41,
IF(AND(_xlpm.baseRow,$E254="Tier 2",$D254&lt;5.88),
Error!$B$40,
IF(AND(_xlpm.baseRow,OR($E254="Tier 2",$E254="Tier 2 Grove"),$C254&lt;&gt;"",$D254&lt;12,$D254&gt;=6,COUNTIF(Tables2!$B$153:$B$162,$C254)&gt;0),
Error!$B$54,
IF(AND(_xlpm.baseRow,$E254="Tier 2",COUNTIF(Tables2!$B$166:$B$674,$C254)&gt;0,$D254&lt;24),
Error!$B$54,
IF(AND(_xlpm.baseRow,$E254="Tier 3",ISNA(MATCH($C254,Tables2!$B$153:$B$162,0)),OR($D254&lt;12,$D254&gt;=24)),
Error!$B$9,
IF(AND(_xlpm.baseRow,$E254="Tier 3",COUNTIF(Tables2!$B$153:$B$162,$C254)&gt;0,$D254&lt;12),
Error!$B$46,
IF(AND(_xlpm.baseRow,$E254="Tier 4",OR($D254&lt;6,$D254&gt;=12)),
Error!$B$10,
IF(AND(_xlpm.baseRow,$E254="&lt;6in DSH for Tree Points",OR($D254&gt;=6,$D254="")),
Error!$B$8,
IF(AND(_xlpm.baseRow,$E254="Street Tree for Green Factor",$F254&lt;&gt;"",$F254&lt;&gt;"Retain"),
Error!$B$14,
IF(AND($E254="&lt;6in DSH for Tree Points",$F254="Retain",$H254&lt;&gt;"",ISNA(MATCH($H254,Tables!$B$174:$B$174,0))),
Error!$B$15,
IF(AND($E254="Street Tree for Green Factor",$F254="Retain",$H254&lt;&gt;"",$H254&lt;&gt;"Zoning: Green Factor"),
Error!$B$15,
IF(AND($E254="ECA / Shoreline Tree",$F254="Remove",$H254&lt;&gt;"",ISNA(MATCH($H254,Tables!$B$189:$B$190,0))),
Error!$B$15,
IF(AND($E254="ECA / Shoreline Tree",$F254="Retain",$H254&lt;&gt;"",ISNA(MATCH($H254,Tables!$B$184:$B$186,0))),
Error!$B$15,
IF(AND($E254="Tier 4",$F254="Remove",$H254&lt;&gt;"",ISNA(MATCH($H254,Tables!$B$171,0))),
Error!$B$15,
IF(AND($E254="Tier 4",$F254="Retain",$H254&lt;&gt;"",ISNA(MATCH($H254,Tables!$B$166:$B$168,0))),
Error!$B$15,
IF(AND($E254="Tier 3",$F254="Retain",$H254&lt;&gt;"",ISNA(MATCH($H254,Tables!$B$158:$B$160,0))),
Error!$B$15,
IF(AND($E254="Tier 3",$F254="Remove",$H254&lt;&gt;"",ISNA(MATCH($H254,Tables!$B$163,0))),
Error!$B$15,
IF(AND(OR($E254="Tier 2",$E254="Tier 2 Grove"),$F254="Remove",$H254&lt;&gt;"",ISNA(MATCH($H254,Tables!$B$153:$B$155,0))),
Error!$B$15,
IF(AND(OR($E254="Tier 2",$E254="Tier 2 Grove"),$F254="Retain",$H254&lt;&gt;"",ISNA(MATCH($H254,Tables!$B$147:$B$150,0))),
Error!$B$15,
IF(AND($E254="Tier 1",$F254="Remove",$H254&lt;&gt;"",ISNA(MATCH($H254,Tables!$B$143:$B$144,0))),
Error!$B$15,
IF(AND($E254="Tier 1",$F254="Retain",$H254&lt;&gt;"",ISNA(MATCH($H254,Tables!$B$137:$B$140,0))),
Error!$B$15,
IF(AND($E254&lt;&gt;"Tier 2",$E254&lt;&gt;"Tier 2 Grove",$E254&lt;&gt;"Tier 3",$E254&lt;&gt;"Tier 4",$H254="Zoning: Green Factor",OR($D254="",$D254&lt;6)),
Error!$B$11,
IF(AND(_xlpm.baseRow,$D254&lt;6,$E254="&lt;6in DSH for Tree Points",_xlpm.TreePoints_H=0),
Error!$B$21,
IF(AND(_xlpm.baseRow,$E254&lt;&gt;"",$D254&lt;&gt;"",$F254=""),
Error!$B$4,
IF(AND(_xlpm.baseRow,$F254="Remove",OR($E254="Tier 1",$E254="Tier 2",$E254="Tier 2 Grove"),COUNTBLANK(_xlpm.HRange)&lt;3,_xlpm.uniqueH&gt;=2),
Error!$B$48,
IF(AND(_xlpm.baseRow,$F254="Retain",OR($E254="Tier 1",$E254="Tier 2",$E254="Tier 2 Grove"),COUNTIF(_xlpm.HRange,"Tree Code: Required to Retain Tier 1-2 Tree")=0),
Error!$B$47,
IF(AND(_xlpm.baseRow,$E254&lt;&gt;"",$D254&lt;&gt;"",$F254&lt;&gt;"",COUNTBLANK(_xlpm.HRange)=4),
Error!$B$5,
IF(AND($F254="Remove",$H254&lt;&gt;"",$I254=""),
Error!$B$18,
IF(AND($E254="Tier 4",$F254="Remove",$H254="Tree Protection Code: Tier 3 or Tier 4 Allowance",$H254&lt;&gt;"",ISNA(MATCH($I254,Tables!$B$200,0))),
Error!$B$17,
IF(AND($E254="Tier 3",$F254="Remove",$H254&lt;&gt;"",$H254="Tree Protection Code: Tier 3 or Tier 4 Allowance",OR($I254="",ISNA(MATCH($I254,Tables!$B$193:$B$197,0)))),
Error!$B$17,
IF(AND(OR($E254="Tier 2",$E254="Tier 2 Grove"),$F254="Remove",$H254="Tree Protection Code: Other removal allowance or exemption",$I254&lt;&gt;"",ISNA(MATCH($I254,Tables!$B$215:$B$218,0))),
Error!$B$17,
IF(AND(OR($E254="Tier 2",$E254="Tier 2 Grove"),$F254="Remove",$H254="Tree Protection Code: Development Capacity",$I254&lt;&gt;"",ISNA(MATCH($I254,Tables!$B$193:$B$197,0))),
Error!$B$17,
IF(AND(OR($E254="Tier 2",$E254="Tier 2 Grove"),$F254="Remove",$H254="Tree Protection Code: Necessary for Construction",$I254&lt;&gt;"",ISNA(MATCH($I254,Tables!$B$193:$B$197,0))),
Error!$B$17,
IF(AND($E254="Tier 1",$F254="Remove",$H254="Tree Protection Code: Special Exception",$I254&lt;&gt;"",ISNA(MATCH($I254,Tables!$B$215:$B$218,0))),
Error!$B$17,
IF(AND($E254="Tier 1",$F254="Remove",$H254="Tree Protection Code: Other removal allowance or exemption",$I254&lt;&gt;"",ISNA(MATCH($I254,Tables!$B$215:$B$218,0))),
Error!$B$17,
IF(AND($E254="ECA / Shoreline Tree",$F254="Remove",$H254&lt;&gt;"",OR($H254="Shoreline",$H254="Environmental Critical Area (ECA)"),ISNA(MATCH($I254,Tables!$B$209:$B$212,0))),
Error!$B$17,
IF(AND(_xlpm.baseRow,$F254="Retain",$E254="ECA / Shoreline Tree",_xlpm.ECA_Short=0),
Error!$B$61,
IF(AND($F254="Remove",ISNUMBER(MATCH($E254,{"Tier 1","Tier 2","Tier 3","Tier 4","Tier 2 Grove"},0)),ISNUMBER(MATCH($I254,{"On-site replacement","Off-site replacement"},0)),$J254="",$H254&lt;&gt;""),
Error!$B$19,
IF(AND(_xlpm.baseRow,$E254&lt;&gt;"",$D254&lt;&gt;"",$F254&lt;&gt;"",COUNTBLANK($B254:$C254)&gt;0,COUNTBLANK(_xlpm.HRange)&lt;&gt;4),
Error!$B$22,
IF(AND($H254="Zoning: Tree Points",$K254&lt;&gt;"",ISNA(MATCH($K254,Tables!$B$242:$B$253,0))),
Error!$B$58,
IF(AND($H254="Zoning: Tree Points",$K254="Small",$L254&lt;&gt;"",ISNA(MATCH($L254,Tables!$C$243:$C$244,0))),
Error!$B$59,
IF(AND($H254="Zoning: Tree Points",$K254="Small/Medium",$L254&lt;&gt;"",ISNA(MATCH($L254,Tables!$C$246:$C$247,0))),
Error!$B$59,
IF(AND($H254="Zoning: Tree Points",$K254="Medium/Large",$L254&lt;&gt;"",ISNA(MATCH($L254,Tables!$C$249:$C$250,0))),
Error!$B$59,
IF(AND($H254="Zoning: Tree Points",$K254="Large",$L254&lt;&gt;"",ISNA(MATCH($L254,Tables!$C$252:$C$253,0))),
Error!$B$59,
IF(AND($F254="Retain",$H254="Zoning: Tree Points",$C254&lt;&gt;"",$D254&lt;&gt;"",OR($K254="",$L254="",$M254="")),
Error!$B$20,
""
)))))))))))))))))))))))))))))))))))))))))))))))))))))))),
Error!$B$23))</f>
        <v/>
      </c>
      <c r="O254" s="343" t="str" cm="1">
        <f t="array" aca="1" ref="O254" ca="1">IFERROR(_xlfn.LET(
    _xlpm.txt, $C254,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55" spans="1:15" ht="15" thickBot="1" x14ac:dyDescent="0.35">
      <c r="A255" s="311">
        <v>62</v>
      </c>
      <c r="B255" s="312"/>
      <c r="C255" s="313"/>
      <c r="D255" s="478"/>
      <c r="E255" s="314"/>
      <c r="F255" s="314"/>
      <c r="G255" s="315" t="str">
        <f>IF(Tree_Table1[[#This Row],[Tree Status  &amp;]]="Retain", Tables!$B$237, IF(Tree_Table1[[#This Row],[Tree Status  &amp;]]="Remove", Tables!$B$238, ""))</f>
        <v/>
      </c>
      <c r="H255" s="316"/>
      <c r="I255" s="317"/>
      <c r="J255" s="452"/>
      <c r="K255" s="318" t="str">
        <f>IFERROR(
    IF(
        AND($H255="Zoning: Tree Points", NOT(ISNUMBER(SEARCH("sp.", $C255)))),
        VLOOKUP($C255, 'Tree List'!$C$3:$F$601, 4, FALSE),
        ""
    ),
"")</f>
        <v/>
      </c>
      <c r="L255" s="319" t="str" cm="1">
        <f t="array" ref="L255">IFERROR(
IF(
    AND($H255="Zoning: Tree Points", NOT(ISNUMBER(SEARCH("sp.", $C255)))),
    _xlfn.IFS(
        (COUNTIFS('Tree List'!$C$3:$C$601,$C255,'Tree List'!$D$3:$D$601,"Coniferous")
        + COUNTIFS('Tree List'!$C$3:$C$601,$C255,'Tree List'!$D$3:$D$601,"Deciduous Conifer")) &gt; 0,
            _xlfn.IFS($K255="Small",0.5,$K255="Small/Medium",1,$K255="Medium/Large",1.4,$K255="Large",1.8),
        (COUNTIFS('Tree List'!$C$3:$C$601,$C255,'Tree List'!$D$3:$D$601,"Deciduous")
        + COUNTIFS('Tree List'!$C$3:$C$601,$C255,'Tree List'!$D$3:$D$601,"Broadleaf Evergreen")) &gt; 0,
            _xlfn.IFS($K255="Small",0.4,$K255="Small/Medium",0.8,$K255="Medium/Large",1.2,$K255="Large",1.6)
    ),
    ""
),
"")</f>
        <v/>
      </c>
      <c r="M255" s="474" t="str">
        <f t="shared" si="249"/>
        <v/>
      </c>
      <c r="N255" s="620" t="str" cm="1">
        <f t="array" aca="1" ref="N25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IF(AND(_xlpm.baseRow,ISNA(MATCH($C255,'Tree List'!$C$3:$C$601,0)),SUMPRODUCT(--ISNUMBER(SEARCH(Tables2!$C$677:$C$772,$O255)))&gt;0),
Error!$B$57,
IF(AND(_xlpm.hasDM,$F255="Remove",$H255&lt;&gt;"",OR($I255="On-site replacement",$I255="Off-site replacement",$I255="Payment In Lieu")),
Error!$B$56,
IF(AND(_xlpm.hasDM,$F255="Remove",$H255&lt;&gt;"",$I255="Relocation"),
Error!$B$66,
IF(AND(OR(_xlpm.hasCN,_xlpm.hasPH,_xlpm.hasGR),$H255&lt;&gt;"",COUNTIF(Tables!$B$132:$B$134,$H255)&gt;0,$I255="N/A (No replacement required)"),
Error!$B$62,
IF(AND(_xlpm.baseRow,$E255&lt;&gt;"",ISNA(MATCH($E255,Tables!$B$225:$B$232,0))),
Error!$B$2,
IF(AND(_xlpm.baseRow,$F255&lt;&gt;"",ISNA(MATCH($F255,Tables!$B$234:$B$235,0))),
Error!$B$24,
IF(AND(_xlpm.baseRow,_xlpm.ECA_H&gt;0,_xlpm.Shore_H&gt;0),
Error!$B$16,
IF(AND(_xlpm.baseRow,$E255&lt;&gt;"",$D255=""),
Error!$B$3,
IF(AND(_xlpm.baseRow,OR($E255="Tier 3",$E255="Tier 4"),$C255&lt;&gt;"",$D255&gt;=24,COUNTIF(Tables2!$B$166:$B$674,$C255)&gt;0),
Error!$B$44,
IF(AND(_xlpm.baseRow,OR($E255="Tier 3",$E255="Tier 4"),$C255&lt;&gt;"",$D255&lt;&gt;"",COUNTIF(Tables2!$B$73:$B$152,$C255)&gt;0,
$D255&gt;=IFERROR(INDEX(Tables2!$C$73:$C$152,MATCH($C255,Tables2!$B$73:$B$152,0)),-1)),
Error!$B$44,
IF(AND(_xlpm.baseRow,OR($E255="Tier 2",$E255="Tier 2 Grove"),$C255&lt;&gt;"",$D255&gt;=12,COUNTIF(Tables2!$B$153:$B$162,$C255)&gt;0),
Error!$B$45,
IF(AND(_xlpm.baseRow,$E255="Tier 2 Grove",$D255&lt;12),
Error!$B$41,
IF(AND(_xlpm.baseRow,$E255="Tier 2",$D255&lt;5.88),
Error!$B$40,
IF(AND(_xlpm.baseRow,OR($E255="Tier 2",$E255="Tier 2 Grove"),$C255&lt;&gt;"",$D255&lt;12,$D255&gt;=6,COUNTIF(Tables2!$B$153:$B$162,$C255)&gt;0),
Error!$B$54,
IF(AND(_xlpm.baseRow,$E255="Tier 2",COUNTIF(Tables2!$B$166:$B$674,$C255)&gt;0,$D255&lt;24),
Error!$B$54,
IF(AND(_xlpm.baseRow,$E255="Tier 3",ISNA(MATCH($C255,Tables2!$B$153:$B$162,0)),OR($D255&lt;12,$D255&gt;=24)),
Error!$B$9,
IF(AND(_xlpm.baseRow,$E255="Tier 3",COUNTIF(Tables2!$B$153:$B$162,$C255)&gt;0,$D255&lt;12),
Error!$B$46,
IF(AND(_xlpm.baseRow,$E255="Tier 4",OR($D255&lt;6,$D255&gt;=12)),
Error!$B$10,
IF(AND(_xlpm.baseRow,$E255="&lt;6in DSH for Tree Points",OR($D255&gt;=6,$D255="")),
Error!$B$8,
IF(AND(_xlpm.baseRow,$E255="Street Tree for Green Factor",$F255&lt;&gt;"",$F255&lt;&gt;"Retain"),
Error!$B$14,
IF(AND($E255="&lt;6in DSH for Tree Points",$F255="Retain",$H255&lt;&gt;"",ISNA(MATCH($H255,Tables!$B$174:$B$174,0))),
Error!$B$15,
IF(AND($E255="Street Tree for Green Factor",$F255="Retain",$H255&lt;&gt;"",$H255&lt;&gt;"Zoning: Green Factor"),
Error!$B$15,
IF(AND($E255="ECA / Shoreline Tree",$F255="Remove",$H255&lt;&gt;"",ISNA(MATCH($H255,Tables!$B$189:$B$190,0))),
Error!$B$15,
IF(AND($E255="ECA / Shoreline Tree",$F255="Retain",$H255&lt;&gt;"",ISNA(MATCH($H255,Tables!$B$184:$B$186,0))),
Error!$B$15,
IF(AND($E255="Tier 4",$F255="Remove",$H255&lt;&gt;"",ISNA(MATCH($H255,Tables!$B$171,0))),
Error!$B$15,
IF(AND($E255="Tier 4",$F255="Retain",$H255&lt;&gt;"",ISNA(MATCH($H255,Tables!$B$166:$B$168,0))),
Error!$B$15,
IF(AND($E255="Tier 3",$F255="Retain",$H255&lt;&gt;"",ISNA(MATCH($H255,Tables!$B$158:$B$160,0))),
Error!$B$15,
IF(AND($E255="Tier 3",$F255="Remove",$H255&lt;&gt;"",ISNA(MATCH($H255,Tables!$B$163,0))),
Error!$B$15,
IF(AND(OR($E255="Tier 2",$E255="Tier 2 Grove"),$F255="Remove",$H255&lt;&gt;"",ISNA(MATCH($H255,Tables!$B$153:$B$155,0))),
Error!$B$15,
IF(AND(OR($E255="Tier 2",$E255="Tier 2 Grove"),$F255="Retain",$H255&lt;&gt;"",ISNA(MATCH($H255,Tables!$B$147:$B$150,0))),
Error!$B$15,
IF(AND($E255="Tier 1",$F255="Remove",$H255&lt;&gt;"",ISNA(MATCH($H255,Tables!$B$143:$B$144,0))),
Error!$B$15,
IF(AND($E255="Tier 1",$F255="Retain",$H255&lt;&gt;"",ISNA(MATCH($H255,Tables!$B$137:$B$140,0))),
Error!$B$15,
IF(AND($E255&lt;&gt;"Tier 2",$E255&lt;&gt;"Tier 2 Grove",$E255&lt;&gt;"Tier 3",$E255&lt;&gt;"Tier 4",$H255="Zoning: Green Factor",OR($D255="",$D255&lt;6)),
Error!$B$11,
IF(AND(_xlpm.baseRow,$D255&lt;6,$E255="&lt;6in DSH for Tree Points",_xlpm.TreePoints_H=0),
Error!$B$21,
IF(AND(_xlpm.baseRow,$E255&lt;&gt;"",$D255&lt;&gt;"",$F255=""),
Error!$B$4,
IF(AND(_xlpm.baseRow,$F255="Remove",OR($E255="Tier 1",$E255="Tier 2",$E255="Tier 2 Grove"),COUNTBLANK(_xlpm.HRange)&lt;3,_xlpm.uniqueH&gt;=2),
Error!$B$48,
IF(AND(_xlpm.baseRow,$F255="Retain",OR($E255="Tier 1",$E255="Tier 2",$E255="Tier 2 Grove"),COUNTIF(_xlpm.HRange,"Tree Code: Required to Retain Tier 1-2 Tree")=0),
Error!$B$47,
IF(AND(_xlpm.baseRow,$E255&lt;&gt;"",$D255&lt;&gt;"",$F255&lt;&gt;"",COUNTBLANK(_xlpm.HRange)=4),
Error!$B$5,
IF(AND($F255="Remove",$H255&lt;&gt;"",$I255=""),
Error!$B$18,
IF(AND($E255="Tier 4",$F255="Remove",$H255="Tree Protection Code: Tier 3 or Tier 4 Allowance",$H255&lt;&gt;"",ISNA(MATCH($I255,Tables!$B$200,0))),
Error!$B$17,
IF(AND($E255="Tier 3",$F255="Remove",$H255&lt;&gt;"",$H255="Tree Protection Code: Tier 3 or Tier 4 Allowance",OR($I255="",ISNA(MATCH($I255,Tables!$B$193:$B$197,0)))),
Error!$B$17,
IF(AND(OR($E255="Tier 2",$E255="Tier 2 Grove"),$F255="Remove",$H255="Tree Protection Code: Other removal allowance or exemption",$I255&lt;&gt;"",ISNA(MATCH($I255,Tables!$B$215:$B$218,0))),
Error!$B$17,
IF(AND(OR($E255="Tier 2",$E255="Tier 2 Grove"),$F255="Remove",$H255="Tree Protection Code: Development Capacity",$I255&lt;&gt;"",ISNA(MATCH($I255,Tables!$B$193:$B$197,0))),
Error!$B$17,
IF(AND(OR($E255="Tier 2",$E255="Tier 2 Grove"),$F255="Remove",$H255="Tree Protection Code: Necessary for Construction",$I255&lt;&gt;"",ISNA(MATCH($I255,Tables!$B$193:$B$197,0))),
Error!$B$17,
IF(AND($E255="Tier 1",$F255="Remove",$H255="Tree Protection Code: Special Exception",$I255&lt;&gt;"",ISNA(MATCH($I255,Tables!$B$215:$B$218,0))),
Error!$B$17,
IF(AND($E255="Tier 1",$F255="Remove",$H255="Tree Protection Code: Other removal allowance or exemption",$I255&lt;&gt;"",ISNA(MATCH($I255,Tables!$B$215:$B$218,0))),
Error!$B$17,
IF(AND($E255="ECA / Shoreline Tree",$F255="Remove",$H255&lt;&gt;"",OR($H255="Shoreline",$H255="Environmental Critical Area (ECA)"),ISNA(MATCH($I255,Tables!$B$209:$B$212,0))),
Error!$B$17,
IF(AND(_xlpm.baseRow,$F255="Retain",$E255="ECA / Shoreline Tree",_xlpm.ECA_Short=0),
Error!$B$61,
IF(AND($F255="Remove",ISNUMBER(MATCH($E255,{"Tier 1","Tier 2","Tier 3","Tier 4","Tier 2 Grove"},0)),ISNUMBER(MATCH($I255,{"On-site replacement","Off-site replacement"},0)),$J255="",$H255&lt;&gt;""),
Error!$B$19,
IF(AND(_xlpm.baseRow,$E255&lt;&gt;"",$D255&lt;&gt;"",$F255&lt;&gt;"",COUNTBLANK($B255:$C255)&gt;0,COUNTBLANK(_xlpm.HRange)&lt;&gt;4),
Error!$B$22,
IF(AND($H255="Zoning: Tree Points",$K255&lt;&gt;"",ISNA(MATCH($K255,Tables!$B$242:$B$253,0))),
Error!$B$58,
IF(AND($H255="Zoning: Tree Points",$K255="Small",$L255&lt;&gt;"",ISNA(MATCH($L255,Tables!$C$243:$C$244,0))),
Error!$B$59,
IF(AND($H255="Zoning: Tree Points",$K255="Small/Medium",$L255&lt;&gt;"",ISNA(MATCH($L255,Tables!$C$246:$C$247,0))),
Error!$B$59,
IF(AND($H255="Zoning: Tree Points",$K255="Medium/Large",$L255&lt;&gt;"",ISNA(MATCH($L255,Tables!$C$249:$C$250,0))),
Error!$B$59,
IF(AND($H255="Zoning: Tree Points",$K255="Large",$L255&lt;&gt;"",ISNA(MATCH($L255,Tables!$C$252:$C$253,0))),
Error!$B$59,
IF(AND($F255="Retain",$H255="Zoning: Tree Points",$C255&lt;&gt;"",$D255&lt;&gt;"",OR($K255="",$L255="",$M255="")),
Error!$B$20,
""
)))))))))))))))))))))))))))))))))))))))))))))))))))))))),
Error!$B$23))</f>
        <v/>
      </c>
      <c r="O255" s="343" t="str" cm="1">
        <f t="array" aca="1" ref="O255" ca="1">IFERROR(_xlfn.LET(
    _xlpm.txt, $C255,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56" spans="1:15" x14ac:dyDescent="0.3">
      <c r="A256" s="320"/>
      <c r="B256" s="616" t="str">
        <f t="shared" ref="B256:B258" si="265">IF($B255="", "", $B255)</f>
        <v/>
      </c>
      <c r="C256" s="617" t="str">
        <f t="shared" ref="C256:C258" si="266">IF($C255="", "", $C255)</f>
        <v/>
      </c>
      <c r="D256" s="618" t="str">
        <f t="shared" ref="D256:D258" si="267">IF($D255="", "", $D255)</f>
        <v/>
      </c>
      <c r="E256" s="616" t="str">
        <f t="shared" ref="E256:E258" si="268">IF($E255="", "", $E255)</f>
        <v/>
      </c>
      <c r="F256" s="616" t="str">
        <f t="shared" ref="F256:F258" si="269">IF($F255="", "", $F255)</f>
        <v/>
      </c>
      <c r="G256" s="619" t="str">
        <f>IF(Tree_Table1[[#This Row],[Tree Status  &amp;]]="Retain", Tables!$B$237, IF(Tree_Table1[[#This Row],[Tree Status  &amp;]]="Remove", Tables!$B$238, ""))</f>
        <v/>
      </c>
      <c r="H256" s="321"/>
      <c r="I256" s="322"/>
      <c r="J256" s="453"/>
      <c r="K256" s="323" t="str">
        <f>IFERROR(
    IF(
        AND($H256="Zoning: Tree Points", NOT(ISNUMBER(SEARCH("sp.", $C256)))),
        VLOOKUP($C256, 'Tree List'!$C$3:$F$601, 4, FALSE),
        ""
    ),
"")</f>
        <v/>
      </c>
      <c r="L256" s="324" t="str" cm="1">
        <f t="array" ref="L256">IFERROR(
IF(
    AND($H256="Zoning: Tree Points", NOT(ISNUMBER(SEARCH("sp.", $C256)))),
    _xlfn.IFS(
        (COUNTIFS('Tree List'!$C$3:$C$601,$C256,'Tree List'!$D$3:$D$601,"Coniferous")
        + COUNTIFS('Tree List'!$C$3:$C$601,$C256,'Tree List'!$D$3:$D$601,"Deciduous Conifer")) &gt; 0,
            _xlfn.IFS($K256="Small",0.5,$K256="Small/Medium",1,$K256="Medium/Large",1.4,$K256="Large",1.8),
        (COUNTIFS('Tree List'!$C$3:$C$601,$C256,'Tree List'!$D$3:$D$601,"Deciduous")
        + COUNTIFS('Tree List'!$C$3:$C$601,$C256,'Tree List'!$D$3:$D$601,"Broadleaf Evergreen")) &gt; 0,
            _xlfn.IFS($K256="Small",0.4,$K256="Small/Medium",0.8,$K256="Medium/Large",1.2,$K256="Large",1.6)
    ),
    ""
),
"")</f>
        <v/>
      </c>
      <c r="M256" s="475" t="str">
        <f t="shared" si="249"/>
        <v/>
      </c>
      <c r="N256" s="346" t="str" cm="1">
        <f t="array" aca="1" ref="N25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IF(AND(_xlpm.baseRow,ISNA(MATCH($C256,'Tree List'!$C$3:$C$601,0)),SUMPRODUCT(--ISNUMBER(SEARCH(Tables2!$C$677:$C$772,$O256)))&gt;0),
Error!$B$57,
IF(AND(_xlpm.hasDM,$F256="Remove",$H256&lt;&gt;"",OR($I256="On-site replacement",$I256="Off-site replacement",$I256="Payment In Lieu")),
Error!$B$56,
IF(AND(_xlpm.hasDM,$F256="Remove",$H256&lt;&gt;"",$I256="Relocation"),
Error!$B$66,
IF(AND(OR(_xlpm.hasCN,_xlpm.hasPH,_xlpm.hasGR),$H256&lt;&gt;"",COUNTIF(Tables!$B$132:$B$134,$H256)&gt;0,$I256="N/A (No replacement required)"),
Error!$B$62,
IF(AND(_xlpm.baseRow,$E256&lt;&gt;"",ISNA(MATCH($E256,Tables!$B$225:$B$232,0))),
Error!$B$2,
IF(AND(_xlpm.baseRow,$F256&lt;&gt;"",ISNA(MATCH($F256,Tables!$B$234:$B$235,0))),
Error!$B$24,
IF(AND(_xlpm.baseRow,_xlpm.ECA_H&gt;0,_xlpm.Shore_H&gt;0),
Error!$B$16,
IF(AND(_xlpm.baseRow,$E256&lt;&gt;"",$D256=""),
Error!$B$3,
IF(AND(_xlpm.baseRow,OR($E256="Tier 3",$E256="Tier 4"),$C256&lt;&gt;"",$D256&gt;=24,COUNTIF(Tables2!$B$166:$B$674,$C256)&gt;0),
Error!$B$44,
IF(AND(_xlpm.baseRow,OR($E256="Tier 3",$E256="Tier 4"),$C256&lt;&gt;"",$D256&lt;&gt;"",COUNTIF(Tables2!$B$73:$B$152,$C256)&gt;0,
$D256&gt;=IFERROR(INDEX(Tables2!$C$73:$C$152,MATCH($C256,Tables2!$B$73:$B$152,0)),-1)),
Error!$B$44,
IF(AND(_xlpm.baseRow,OR($E256="Tier 2",$E256="Tier 2 Grove"),$C256&lt;&gt;"",$D256&gt;=12,COUNTIF(Tables2!$B$153:$B$162,$C256)&gt;0),
Error!$B$45,
IF(AND(_xlpm.baseRow,$E256="Tier 2 Grove",$D256&lt;12),
Error!$B$41,
IF(AND(_xlpm.baseRow,$E256="Tier 2",$D256&lt;5.88),
Error!$B$40,
IF(AND(_xlpm.baseRow,OR($E256="Tier 2",$E256="Tier 2 Grove"),$C256&lt;&gt;"",$D256&lt;12,$D256&gt;=6,COUNTIF(Tables2!$B$153:$B$162,$C256)&gt;0),
Error!$B$54,
IF(AND(_xlpm.baseRow,$E256="Tier 2",COUNTIF(Tables2!$B$166:$B$674,$C256)&gt;0,$D256&lt;24),
Error!$B$54,
IF(AND(_xlpm.baseRow,$E256="Tier 3",ISNA(MATCH($C256,Tables2!$B$153:$B$162,0)),OR($D256&lt;12,$D256&gt;=24)),
Error!$B$9,
IF(AND(_xlpm.baseRow,$E256="Tier 3",COUNTIF(Tables2!$B$153:$B$162,$C256)&gt;0,$D256&lt;12),
Error!$B$46,
IF(AND(_xlpm.baseRow,$E256="Tier 4",OR($D256&lt;6,$D256&gt;=12)),
Error!$B$10,
IF(AND(_xlpm.baseRow,$E256="&lt;6in DSH for Tree Points",OR($D256&gt;=6,$D256="")),
Error!$B$8,
IF(AND(_xlpm.baseRow,$E256="Street Tree for Green Factor",$F256&lt;&gt;"",$F256&lt;&gt;"Retain"),
Error!$B$14,
IF(AND($E256="&lt;6in DSH for Tree Points",$F256="Retain",$H256&lt;&gt;"",ISNA(MATCH($H256,Tables!$B$174:$B$174,0))),
Error!$B$15,
IF(AND($E256="Street Tree for Green Factor",$F256="Retain",$H256&lt;&gt;"",$H256&lt;&gt;"Zoning: Green Factor"),
Error!$B$15,
IF(AND($E256="ECA / Shoreline Tree",$F256="Remove",$H256&lt;&gt;"",ISNA(MATCH($H256,Tables!$B$189:$B$190,0))),
Error!$B$15,
IF(AND($E256="ECA / Shoreline Tree",$F256="Retain",$H256&lt;&gt;"",ISNA(MATCH($H256,Tables!$B$184:$B$186,0))),
Error!$B$15,
IF(AND($E256="Tier 4",$F256="Remove",$H256&lt;&gt;"",ISNA(MATCH($H256,Tables!$B$171,0))),
Error!$B$15,
IF(AND($E256="Tier 4",$F256="Retain",$H256&lt;&gt;"",ISNA(MATCH($H256,Tables!$B$166:$B$168,0))),
Error!$B$15,
IF(AND($E256="Tier 3",$F256="Retain",$H256&lt;&gt;"",ISNA(MATCH($H256,Tables!$B$158:$B$160,0))),
Error!$B$15,
IF(AND($E256="Tier 3",$F256="Remove",$H256&lt;&gt;"",ISNA(MATCH($H256,Tables!$B$163,0))),
Error!$B$15,
IF(AND(OR($E256="Tier 2",$E256="Tier 2 Grove"),$F256="Remove",$H256&lt;&gt;"",ISNA(MATCH($H256,Tables!$B$153:$B$155,0))),
Error!$B$15,
IF(AND(OR($E256="Tier 2",$E256="Tier 2 Grove"),$F256="Retain",$H256&lt;&gt;"",ISNA(MATCH($H256,Tables!$B$147:$B$150,0))),
Error!$B$15,
IF(AND($E256="Tier 1",$F256="Remove",$H256&lt;&gt;"",ISNA(MATCH($H256,Tables!$B$143:$B$144,0))),
Error!$B$15,
IF(AND($E256="Tier 1",$F256="Retain",$H256&lt;&gt;"",ISNA(MATCH($H256,Tables!$B$137:$B$140,0))),
Error!$B$15,
IF(AND($E256&lt;&gt;"Tier 2",$E256&lt;&gt;"Tier 2 Grove",$E256&lt;&gt;"Tier 3",$E256&lt;&gt;"Tier 4",$H256="Zoning: Green Factor",OR($D256="",$D256&lt;6)),
Error!$B$11,
IF(AND(_xlpm.baseRow,$D256&lt;6,$E256="&lt;6in DSH for Tree Points",_xlpm.TreePoints_H=0),
Error!$B$21,
IF(AND(_xlpm.baseRow,$E256&lt;&gt;"",$D256&lt;&gt;"",$F256=""),
Error!$B$4,
IF(AND(_xlpm.baseRow,$F256="Remove",OR($E256="Tier 1",$E256="Tier 2",$E256="Tier 2 Grove"),COUNTBLANK(_xlpm.HRange)&lt;3,_xlpm.uniqueH&gt;=2),
Error!$B$48,
IF(AND(_xlpm.baseRow,$F256="Retain",OR($E256="Tier 1",$E256="Tier 2",$E256="Tier 2 Grove"),COUNTIF(_xlpm.HRange,"Tree Code: Required to Retain Tier 1-2 Tree")=0),
Error!$B$47,
IF(AND(_xlpm.baseRow,$E256&lt;&gt;"",$D256&lt;&gt;"",$F256&lt;&gt;"",COUNTBLANK(_xlpm.HRange)=4),
Error!$B$5,
IF(AND($F256="Remove",$H256&lt;&gt;"",$I256=""),
Error!$B$18,
IF(AND($E256="Tier 4",$F256="Remove",$H256="Tree Protection Code: Tier 3 or Tier 4 Allowance",$H256&lt;&gt;"",ISNA(MATCH($I256,Tables!$B$200,0))),
Error!$B$17,
IF(AND($E256="Tier 3",$F256="Remove",$H256&lt;&gt;"",$H256="Tree Protection Code: Tier 3 or Tier 4 Allowance",OR($I256="",ISNA(MATCH($I256,Tables!$B$193:$B$197,0)))),
Error!$B$17,
IF(AND(OR($E256="Tier 2",$E256="Tier 2 Grove"),$F256="Remove",$H256="Tree Protection Code: Other removal allowance or exemption",$I256&lt;&gt;"",ISNA(MATCH($I256,Tables!$B$215:$B$218,0))),
Error!$B$17,
IF(AND(OR($E256="Tier 2",$E256="Tier 2 Grove"),$F256="Remove",$H256="Tree Protection Code: Development Capacity",$I256&lt;&gt;"",ISNA(MATCH($I256,Tables!$B$193:$B$197,0))),
Error!$B$17,
IF(AND(OR($E256="Tier 2",$E256="Tier 2 Grove"),$F256="Remove",$H256="Tree Protection Code: Necessary for Construction",$I256&lt;&gt;"",ISNA(MATCH($I256,Tables!$B$193:$B$197,0))),
Error!$B$17,
IF(AND($E256="Tier 1",$F256="Remove",$H256="Tree Protection Code: Special Exception",$I256&lt;&gt;"",ISNA(MATCH($I256,Tables!$B$215:$B$218,0))),
Error!$B$17,
IF(AND($E256="Tier 1",$F256="Remove",$H256="Tree Protection Code: Other removal allowance or exemption",$I256&lt;&gt;"",ISNA(MATCH($I256,Tables!$B$215:$B$218,0))),
Error!$B$17,
IF(AND($E256="ECA / Shoreline Tree",$F256="Remove",$H256&lt;&gt;"",OR($H256="Shoreline",$H256="Environmental Critical Area (ECA)"),ISNA(MATCH($I256,Tables!$B$209:$B$212,0))),
Error!$B$17,
IF(AND(_xlpm.baseRow,$F256="Retain",$E256="ECA / Shoreline Tree",_xlpm.ECA_Short=0),
Error!$B$61,
IF(AND($F256="Remove",ISNUMBER(MATCH($E256,{"Tier 1","Tier 2","Tier 3","Tier 4","Tier 2 Grove"},0)),ISNUMBER(MATCH($I256,{"On-site replacement","Off-site replacement"},0)),$J256="",$H256&lt;&gt;""),
Error!$B$19,
IF(AND(_xlpm.baseRow,$E256&lt;&gt;"",$D256&lt;&gt;"",$F256&lt;&gt;"",COUNTBLANK($B256:$C256)&gt;0,COUNTBLANK(_xlpm.HRange)&lt;&gt;4),
Error!$B$22,
IF(AND($H256="Zoning: Tree Points",$K256&lt;&gt;"",ISNA(MATCH($K256,Tables!$B$242:$B$253,0))),
Error!$B$58,
IF(AND($H256="Zoning: Tree Points",$K256="Small",$L256&lt;&gt;"",ISNA(MATCH($L256,Tables!$C$243:$C$244,0))),
Error!$B$59,
IF(AND($H256="Zoning: Tree Points",$K256="Small/Medium",$L256&lt;&gt;"",ISNA(MATCH($L256,Tables!$C$246:$C$247,0))),
Error!$B$59,
IF(AND($H256="Zoning: Tree Points",$K256="Medium/Large",$L256&lt;&gt;"",ISNA(MATCH($L256,Tables!$C$249:$C$250,0))),
Error!$B$59,
IF(AND($H256="Zoning: Tree Points",$K256="Large",$L256&lt;&gt;"",ISNA(MATCH($L256,Tables!$C$252:$C$253,0))),
Error!$B$59,
IF(AND($F256="Retain",$H256="Zoning: Tree Points",$C256&lt;&gt;"",$D256&lt;&gt;"",OR($K256="",$L256="",$M256="")),
Error!$B$20,
""
)))))))))))))))))))))))))))))))))))))))))))))))))))))))),
Error!$B$23))</f>
        <v/>
      </c>
      <c r="O256" s="343" t="str" cm="1">
        <f t="array" aca="1" ref="O256" ca="1">IFERROR(_xlfn.LET(
    _xlpm.txt, $C256,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57" spans="1:15" x14ac:dyDescent="0.3">
      <c r="A257" s="320"/>
      <c r="B257" s="616" t="str">
        <f t="shared" si="265"/>
        <v/>
      </c>
      <c r="C257" s="617" t="str">
        <f t="shared" si="266"/>
        <v/>
      </c>
      <c r="D257" s="618" t="str">
        <f t="shared" si="267"/>
        <v/>
      </c>
      <c r="E257" s="616" t="str">
        <f t="shared" si="268"/>
        <v/>
      </c>
      <c r="F257" s="616" t="str">
        <f t="shared" si="269"/>
        <v/>
      </c>
      <c r="G257" s="619" t="str">
        <f>IF(Tree_Table1[[#This Row],[Tree Status  &amp;]]="Retain", Tables!$B$237, IF(Tree_Table1[[#This Row],[Tree Status  &amp;]]="Remove", Tables!$B$238, ""))</f>
        <v/>
      </c>
      <c r="H257" s="321"/>
      <c r="I257" s="322"/>
      <c r="J257" s="453"/>
      <c r="K257" s="323" t="str">
        <f>IFERROR(
    IF(
        AND($H257="Zoning: Tree Points", NOT(ISNUMBER(SEARCH("sp.", $C257)))),
        VLOOKUP($C257, 'Tree List'!$C$3:$F$601, 4, FALSE),
        ""
    ),
"")</f>
        <v/>
      </c>
      <c r="L257" s="324" t="str" cm="1">
        <f t="array" ref="L257">IFERROR(
IF(
    AND($H257="Zoning: Tree Points", NOT(ISNUMBER(SEARCH("sp.", $C257)))),
    _xlfn.IFS(
        (COUNTIFS('Tree List'!$C$3:$C$601,$C257,'Tree List'!$D$3:$D$601,"Coniferous")
        + COUNTIFS('Tree List'!$C$3:$C$601,$C257,'Tree List'!$D$3:$D$601,"Deciduous Conifer")) &gt; 0,
            _xlfn.IFS($K257="Small",0.5,$K257="Small/Medium",1,$K257="Medium/Large",1.4,$K257="Large",1.8),
        (COUNTIFS('Tree List'!$C$3:$C$601,$C257,'Tree List'!$D$3:$D$601,"Deciduous")
        + COUNTIFS('Tree List'!$C$3:$C$601,$C257,'Tree List'!$D$3:$D$601,"Broadleaf Evergreen")) &gt; 0,
            _xlfn.IFS($K257="Small",0.4,$K257="Small/Medium",0.8,$K257="Medium/Large",1.2,$K257="Large",1.6)
    ),
    ""
),
"")</f>
        <v/>
      </c>
      <c r="M257" s="475" t="str">
        <f t="shared" si="249"/>
        <v/>
      </c>
      <c r="N257" s="346" t="str" cm="1">
        <f t="array" aca="1" ref="N25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IF(AND(_xlpm.baseRow,ISNA(MATCH($C257,'Tree List'!$C$3:$C$601,0)),SUMPRODUCT(--ISNUMBER(SEARCH(Tables2!$C$677:$C$772,$O257)))&gt;0),
Error!$B$57,
IF(AND(_xlpm.hasDM,$F257="Remove",$H257&lt;&gt;"",OR($I257="On-site replacement",$I257="Off-site replacement",$I257="Payment In Lieu")),
Error!$B$56,
IF(AND(_xlpm.hasDM,$F257="Remove",$H257&lt;&gt;"",$I257="Relocation"),
Error!$B$66,
IF(AND(OR(_xlpm.hasCN,_xlpm.hasPH,_xlpm.hasGR),$H257&lt;&gt;"",COUNTIF(Tables!$B$132:$B$134,$H257)&gt;0,$I257="N/A (No replacement required)"),
Error!$B$62,
IF(AND(_xlpm.baseRow,$E257&lt;&gt;"",ISNA(MATCH($E257,Tables!$B$225:$B$232,0))),
Error!$B$2,
IF(AND(_xlpm.baseRow,$F257&lt;&gt;"",ISNA(MATCH($F257,Tables!$B$234:$B$235,0))),
Error!$B$24,
IF(AND(_xlpm.baseRow,_xlpm.ECA_H&gt;0,_xlpm.Shore_H&gt;0),
Error!$B$16,
IF(AND(_xlpm.baseRow,$E257&lt;&gt;"",$D257=""),
Error!$B$3,
IF(AND(_xlpm.baseRow,OR($E257="Tier 3",$E257="Tier 4"),$C257&lt;&gt;"",$D257&gt;=24,COUNTIF(Tables2!$B$166:$B$674,$C257)&gt;0),
Error!$B$44,
IF(AND(_xlpm.baseRow,OR($E257="Tier 3",$E257="Tier 4"),$C257&lt;&gt;"",$D257&lt;&gt;"",COUNTIF(Tables2!$B$73:$B$152,$C257)&gt;0,
$D257&gt;=IFERROR(INDEX(Tables2!$C$73:$C$152,MATCH($C257,Tables2!$B$73:$B$152,0)),-1)),
Error!$B$44,
IF(AND(_xlpm.baseRow,OR($E257="Tier 2",$E257="Tier 2 Grove"),$C257&lt;&gt;"",$D257&gt;=12,COUNTIF(Tables2!$B$153:$B$162,$C257)&gt;0),
Error!$B$45,
IF(AND(_xlpm.baseRow,$E257="Tier 2 Grove",$D257&lt;12),
Error!$B$41,
IF(AND(_xlpm.baseRow,$E257="Tier 2",$D257&lt;5.88),
Error!$B$40,
IF(AND(_xlpm.baseRow,OR($E257="Tier 2",$E257="Tier 2 Grove"),$C257&lt;&gt;"",$D257&lt;12,$D257&gt;=6,COUNTIF(Tables2!$B$153:$B$162,$C257)&gt;0),
Error!$B$54,
IF(AND(_xlpm.baseRow,$E257="Tier 2",COUNTIF(Tables2!$B$166:$B$674,$C257)&gt;0,$D257&lt;24),
Error!$B$54,
IF(AND(_xlpm.baseRow,$E257="Tier 3",ISNA(MATCH($C257,Tables2!$B$153:$B$162,0)),OR($D257&lt;12,$D257&gt;=24)),
Error!$B$9,
IF(AND(_xlpm.baseRow,$E257="Tier 3",COUNTIF(Tables2!$B$153:$B$162,$C257)&gt;0,$D257&lt;12),
Error!$B$46,
IF(AND(_xlpm.baseRow,$E257="Tier 4",OR($D257&lt;6,$D257&gt;=12)),
Error!$B$10,
IF(AND(_xlpm.baseRow,$E257="&lt;6in DSH for Tree Points",OR($D257&gt;=6,$D257="")),
Error!$B$8,
IF(AND(_xlpm.baseRow,$E257="Street Tree for Green Factor",$F257&lt;&gt;"",$F257&lt;&gt;"Retain"),
Error!$B$14,
IF(AND($E257="&lt;6in DSH for Tree Points",$F257="Retain",$H257&lt;&gt;"",ISNA(MATCH($H257,Tables!$B$174:$B$174,0))),
Error!$B$15,
IF(AND($E257="Street Tree for Green Factor",$F257="Retain",$H257&lt;&gt;"",$H257&lt;&gt;"Zoning: Green Factor"),
Error!$B$15,
IF(AND($E257="ECA / Shoreline Tree",$F257="Remove",$H257&lt;&gt;"",ISNA(MATCH($H257,Tables!$B$189:$B$190,0))),
Error!$B$15,
IF(AND($E257="ECA / Shoreline Tree",$F257="Retain",$H257&lt;&gt;"",ISNA(MATCH($H257,Tables!$B$184:$B$186,0))),
Error!$B$15,
IF(AND($E257="Tier 4",$F257="Remove",$H257&lt;&gt;"",ISNA(MATCH($H257,Tables!$B$171,0))),
Error!$B$15,
IF(AND($E257="Tier 4",$F257="Retain",$H257&lt;&gt;"",ISNA(MATCH($H257,Tables!$B$166:$B$168,0))),
Error!$B$15,
IF(AND($E257="Tier 3",$F257="Retain",$H257&lt;&gt;"",ISNA(MATCH($H257,Tables!$B$158:$B$160,0))),
Error!$B$15,
IF(AND($E257="Tier 3",$F257="Remove",$H257&lt;&gt;"",ISNA(MATCH($H257,Tables!$B$163,0))),
Error!$B$15,
IF(AND(OR($E257="Tier 2",$E257="Tier 2 Grove"),$F257="Remove",$H257&lt;&gt;"",ISNA(MATCH($H257,Tables!$B$153:$B$155,0))),
Error!$B$15,
IF(AND(OR($E257="Tier 2",$E257="Tier 2 Grove"),$F257="Retain",$H257&lt;&gt;"",ISNA(MATCH($H257,Tables!$B$147:$B$150,0))),
Error!$B$15,
IF(AND($E257="Tier 1",$F257="Remove",$H257&lt;&gt;"",ISNA(MATCH($H257,Tables!$B$143:$B$144,0))),
Error!$B$15,
IF(AND($E257="Tier 1",$F257="Retain",$H257&lt;&gt;"",ISNA(MATCH($H257,Tables!$B$137:$B$140,0))),
Error!$B$15,
IF(AND($E257&lt;&gt;"Tier 2",$E257&lt;&gt;"Tier 2 Grove",$E257&lt;&gt;"Tier 3",$E257&lt;&gt;"Tier 4",$H257="Zoning: Green Factor",OR($D257="",$D257&lt;6)),
Error!$B$11,
IF(AND(_xlpm.baseRow,$D257&lt;6,$E257="&lt;6in DSH for Tree Points",_xlpm.TreePoints_H=0),
Error!$B$21,
IF(AND(_xlpm.baseRow,$E257&lt;&gt;"",$D257&lt;&gt;"",$F257=""),
Error!$B$4,
IF(AND(_xlpm.baseRow,$F257="Remove",OR($E257="Tier 1",$E257="Tier 2",$E257="Tier 2 Grove"),COUNTBLANK(_xlpm.HRange)&lt;3,_xlpm.uniqueH&gt;=2),
Error!$B$48,
IF(AND(_xlpm.baseRow,$F257="Retain",OR($E257="Tier 1",$E257="Tier 2",$E257="Tier 2 Grove"),COUNTIF(_xlpm.HRange,"Tree Code: Required to Retain Tier 1-2 Tree")=0),
Error!$B$47,
IF(AND(_xlpm.baseRow,$E257&lt;&gt;"",$D257&lt;&gt;"",$F257&lt;&gt;"",COUNTBLANK(_xlpm.HRange)=4),
Error!$B$5,
IF(AND($F257="Remove",$H257&lt;&gt;"",$I257=""),
Error!$B$18,
IF(AND($E257="Tier 4",$F257="Remove",$H257="Tree Protection Code: Tier 3 or Tier 4 Allowance",$H257&lt;&gt;"",ISNA(MATCH($I257,Tables!$B$200,0))),
Error!$B$17,
IF(AND($E257="Tier 3",$F257="Remove",$H257&lt;&gt;"",$H257="Tree Protection Code: Tier 3 or Tier 4 Allowance",OR($I257="",ISNA(MATCH($I257,Tables!$B$193:$B$197,0)))),
Error!$B$17,
IF(AND(OR($E257="Tier 2",$E257="Tier 2 Grove"),$F257="Remove",$H257="Tree Protection Code: Other removal allowance or exemption",$I257&lt;&gt;"",ISNA(MATCH($I257,Tables!$B$215:$B$218,0))),
Error!$B$17,
IF(AND(OR($E257="Tier 2",$E257="Tier 2 Grove"),$F257="Remove",$H257="Tree Protection Code: Development Capacity",$I257&lt;&gt;"",ISNA(MATCH($I257,Tables!$B$193:$B$197,0))),
Error!$B$17,
IF(AND(OR($E257="Tier 2",$E257="Tier 2 Grove"),$F257="Remove",$H257="Tree Protection Code: Necessary for Construction",$I257&lt;&gt;"",ISNA(MATCH($I257,Tables!$B$193:$B$197,0))),
Error!$B$17,
IF(AND($E257="Tier 1",$F257="Remove",$H257="Tree Protection Code: Special Exception",$I257&lt;&gt;"",ISNA(MATCH($I257,Tables!$B$215:$B$218,0))),
Error!$B$17,
IF(AND($E257="Tier 1",$F257="Remove",$H257="Tree Protection Code: Other removal allowance or exemption",$I257&lt;&gt;"",ISNA(MATCH($I257,Tables!$B$215:$B$218,0))),
Error!$B$17,
IF(AND($E257="ECA / Shoreline Tree",$F257="Remove",$H257&lt;&gt;"",OR($H257="Shoreline",$H257="Environmental Critical Area (ECA)"),ISNA(MATCH($I257,Tables!$B$209:$B$212,0))),
Error!$B$17,
IF(AND(_xlpm.baseRow,$F257="Retain",$E257="ECA / Shoreline Tree",_xlpm.ECA_Short=0),
Error!$B$61,
IF(AND($F257="Remove",ISNUMBER(MATCH($E257,{"Tier 1","Tier 2","Tier 3","Tier 4","Tier 2 Grove"},0)),ISNUMBER(MATCH($I257,{"On-site replacement","Off-site replacement"},0)),$J257="",$H257&lt;&gt;""),
Error!$B$19,
IF(AND(_xlpm.baseRow,$E257&lt;&gt;"",$D257&lt;&gt;"",$F257&lt;&gt;"",COUNTBLANK($B257:$C257)&gt;0,COUNTBLANK(_xlpm.HRange)&lt;&gt;4),
Error!$B$22,
IF(AND($H257="Zoning: Tree Points",$K257&lt;&gt;"",ISNA(MATCH($K257,Tables!$B$242:$B$253,0))),
Error!$B$58,
IF(AND($H257="Zoning: Tree Points",$K257="Small",$L257&lt;&gt;"",ISNA(MATCH($L257,Tables!$C$243:$C$244,0))),
Error!$B$59,
IF(AND($H257="Zoning: Tree Points",$K257="Small/Medium",$L257&lt;&gt;"",ISNA(MATCH($L257,Tables!$C$246:$C$247,0))),
Error!$B$59,
IF(AND($H257="Zoning: Tree Points",$K257="Medium/Large",$L257&lt;&gt;"",ISNA(MATCH($L257,Tables!$C$249:$C$250,0))),
Error!$B$59,
IF(AND($H257="Zoning: Tree Points",$K257="Large",$L257&lt;&gt;"",ISNA(MATCH($L257,Tables!$C$252:$C$253,0))),
Error!$B$59,
IF(AND($F257="Retain",$H257="Zoning: Tree Points",$C257&lt;&gt;"",$D257&lt;&gt;"",OR($K257="",$L257="",$M257="")),
Error!$B$20,
""
)))))))))))))))))))))))))))))))))))))))))))))))))))))))),
Error!$B$23))</f>
        <v/>
      </c>
      <c r="O257" s="343" t="str" cm="1">
        <f t="array" aca="1" ref="O257" ca="1">IFERROR(_xlfn.LET(
    _xlpm.txt, $C257,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58" spans="1:15" ht="15" thickBot="1" x14ac:dyDescent="0.35">
      <c r="A258" s="331"/>
      <c r="B258" s="616" t="str">
        <f t="shared" si="265"/>
        <v/>
      </c>
      <c r="C258" s="617" t="str">
        <f t="shared" si="266"/>
        <v/>
      </c>
      <c r="D258" s="618" t="str">
        <f t="shared" si="267"/>
        <v/>
      </c>
      <c r="E258" s="616" t="str">
        <f t="shared" si="268"/>
        <v/>
      </c>
      <c r="F258" s="616" t="str">
        <f t="shared" si="269"/>
        <v/>
      </c>
      <c r="G258" s="619" t="str">
        <f>IF(Tree_Table1[[#This Row],[Tree Status  &amp;]]="Retain", Tables!$B$237, IF(Tree_Table1[[#This Row],[Tree Status  &amp;]]="Remove", Tables!$B$238, ""))</f>
        <v/>
      </c>
      <c r="H258" s="329"/>
      <c r="I258" s="330"/>
      <c r="J258" s="455"/>
      <c r="K258" s="327" t="str">
        <f>IFERROR(
    IF(
        AND($H258="Zoning: Tree Points", NOT(ISNUMBER(SEARCH("sp.", $C258)))),
        VLOOKUP($C258, 'Tree List'!$C$3:$F$601, 4, FALSE),
        ""
    ),
"")</f>
        <v/>
      </c>
      <c r="L258" s="328" t="str" cm="1">
        <f t="array" ref="L258">IFERROR(
IF(
    AND($H258="Zoning: Tree Points", NOT(ISNUMBER(SEARCH("sp.", $C258)))),
    _xlfn.IFS(
        (COUNTIFS('Tree List'!$C$3:$C$601,$C258,'Tree List'!$D$3:$D$601,"Coniferous")
        + COUNTIFS('Tree List'!$C$3:$C$601,$C258,'Tree List'!$D$3:$D$601,"Deciduous Conifer")) &gt; 0,
            _xlfn.IFS($K258="Small",0.5,$K258="Small/Medium",1,$K258="Medium/Large",1.4,$K258="Large",1.8),
        (COUNTIFS('Tree List'!$C$3:$C$601,$C258,'Tree List'!$D$3:$D$601,"Deciduous")
        + COUNTIFS('Tree List'!$C$3:$C$601,$C258,'Tree List'!$D$3:$D$601,"Broadleaf Evergreen")) &gt; 0,
            _xlfn.IFS($K258="Small",0.4,$K258="Small/Medium",0.8,$K258="Medium/Large",1.2,$K258="Large",1.6)
    ),
    ""
),
"")</f>
        <v/>
      </c>
      <c r="M258" s="476" t="str">
        <f t="shared" si="249"/>
        <v/>
      </c>
      <c r="N258" s="347" t="str" cm="1">
        <f t="array" aca="1" ref="N25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IF(AND(_xlpm.baseRow,ISNA(MATCH($C258,'Tree List'!$C$3:$C$601,0)),SUMPRODUCT(--ISNUMBER(SEARCH(Tables2!$C$677:$C$772,$O258)))&gt;0),
Error!$B$57,
IF(AND(_xlpm.hasDM,$F258="Remove",$H258&lt;&gt;"",OR($I258="On-site replacement",$I258="Off-site replacement",$I258="Payment In Lieu")),
Error!$B$56,
IF(AND(_xlpm.hasDM,$F258="Remove",$H258&lt;&gt;"",$I258="Relocation"),
Error!$B$66,
IF(AND(OR(_xlpm.hasCN,_xlpm.hasPH,_xlpm.hasGR),$H258&lt;&gt;"",COUNTIF(Tables!$B$132:$B$134,$H258)&gt;0,$I258="N/A (No replacement required)"),
Error!$B$62,
IF(AND(_xlpm.baseRow,$E258&lt;&gt;"",ISNA(MATCH($E258,Tables!$B$225:$B$232,0))),
Error!$B$2,
IF(AND(_xlpm.baseRow,$F258&lt;&gt;"",ISNA(MATCH($F258,Tables!$B$234:$B$235,0))),
Error!$B$24,
IF(AND(_xlpm.baseRow,_xlpm.ECA_H&gt;0,_xlpm.Shore_H&gt;0),
Error!$B$16,
IF(AND(_xlpm.baseRow,$E258&lt;&gt;"",$D258=""),
Error!$B$3,
IF(AND(_xlpm.baseRow,OR($E258="Tier 3",$E258="Tier 4"),$C258&lt;&gt;"",$D258&gt;=24,COUNTIF(Tables2!$B$166:$B$674,$C258)&gt;0),
Error!$B$44,
IF(AND(_xlpm.baseRow,OR($E258="Tier 3",$E258="Tier 4"),$C258&lt;&gt;"",$D258&lt;&gt;"",COUNTIF(Tables2!$B$73:$B$152,$C258)&gt;0,
$D258&gt;=IFERROR(INDEX(Tables2!$C$73:$C$152,MATCH($C258,Tables2!$B$73:$B$152,0)),-1)),
Error!$B$44,
IF(AND(_xlpm.baseRow,OR($E258="Tier 2",$E258="Tier 2 Grove"),$C258&lt;&gt;"",$D258&gt;=12,COUNTIF(Tables2!$B$153:$B$162,$C258)&gt;0),
Error!$B$45,
IF(AND(_xlpm.baseRow,$E258="Tier 2 Grove",$D258&lt;12),
Error!$B$41,
IF(AND(_xlpm.baseRow,$E258="Tier 2",$D258&lt;5.88),
Error!$B$40,
IF(AND(_xlpm.baseRow,OR($E258="Tier 2",$E258="Tier 2 Grove"),$C258&lt;&gt;"",$D258&lt;12,$D258&gt;=6,COUNTIF(Tables2!$B$153:$B$162,$C258)&gt;0),
Error!$B$54,
IF(AND(_xlpm.baseRow,$E258="Tier 2",COUNTIF(Tables2!$B$166:$B$674,$C258)&gt;0,$D258&lt;24),
Error!$B$54,
IF(AND(_xlpm.baseRow,$E258="Tier 3",ISNA(MATCH($C258,Tables2!$B$153:$B$162,0)),OR($D258&lt;12,$D258&gt;=24)),
Error!$B$9,
IF(AND(_xlpm.baseRow,$E258="Tier 3",COUNTIF(Tables2!$B$153:$B$162,$C258)&gt;0,$D258&lt;12),
Error!$B$46,
IF(AND(_xlpm.baseRow,$E258="Tier 4",OR($D258&lt;6,$D258&gt;=12)),
Error!$B$10,
IF(AND(_xlpm.baseRow,$E258="&lt;6in DSH for Tree Points",OR($D258&gt;=6,$D258="")),
Error!$B$8,
IF(AND(_xlpm.baseRow,$E258="Street Tree for Green Factor",$F258&lt;&gt;"",$F258&lt;&gt;"Retain"),
Error!$B$14,
IF(AND($E258="&lt;6in DSH for Tree Points",$F258="Retain",$H258&lt;&gt;"",ISNA(MATCH($H258,Tables!$B$174:$B$174,0))),
Error!$B$15,
IF(AND($E258="Street Tree for Green Factor",$F258="Retain",$H258&lt;&gt;"",$H258&lt;&gt;"Zoning: Green Factor"),
Error!$B$15,
IF(AND($E258="ECA / Shoreline Tree",$F258="Remove",$H258&lt;&gt;"",ISNA(MATCH($H258,Tables!$B$189:$B$190,0))),
Error!$B$15,
IF(AND($E258="ECA / Shoreline Tree",$F258="Retain",$H258&lt;&gt;"",ISNA(MATCH($H258,Tables!$B$184:$B$186,0))),
Error!$B$15,
IF(AND($E258="Tier 4",$F258="Remove",$H258&lt;&gt;"",ISNA(MATCH($H258,Tables!$B$171,0))),
Error!$B$15,
IF(AND($E258="Tier 4",$F258="Retain",$H258&lt;&gt;"",ISNA(MATCH($H258,Tables!$B$166:$B$168,0))),
Error!$B$15,
IF(AND($E258="Tier 3",$F258="Retain",$H258&lt;&gt;"",ISNA(MATCH($H258,Tables!$B$158:$B$160,0))),
Error!$B$15,
IF(AND($E258="Tier 3",$F258="Remove",$H258&lt;&gt;"",ISNA(MATCH($H258,Tables!$B$163,0))),
Error!$B$15,
IF(AND(OR($E258="Tier 2",$E258="Tier 2 Grove"),$F258="Remove",$H258&lt;&gt;"",ISNA(MATCH($H258,Tables!$B$153:$B$155,0))),
Error!$B$15,
IF(AND(OR($E258="Tier 2",$E258="Tier 2 Grove"),$F258="Retain",$H258&lt;&gt;"",ISNA(MATCH($H258,Tables!$B$147:$B$150,0))),
Error!$B$15,
IF(AND($E258="Tier 1",$F258="Remove",$H258&lt;&gt;"",ISNA(MATCH($H258,Tables!$B$143:$B$144,0))),
Error!$B$15,
IF(AND($E258="Tier 1",$F258="Retain",$H258&lt;&gt;"",ISNA(MATCH($H258,Tables!$B$137:$B$140,0))),
Error!$B$15,
IF(AND($E258&lt;&gt;"Tier 2",$E258&lt;&gt;"Tier 2 Grove",$E258&lt;&gt;"Tier 3",$E258&lt;&gt;"Tier 4",$H258="Zoning: Green Factor",OR($D258="",$D258&lt;6)),
Error!$B$11,
IF(AND(_xlpm.baseRow,$D258&lt;6,$E258="&lt;6in DSH for Tree Points",_xlpm.TreePoints_H=0),
Error!$B$21,
IF(AND(_xlpm.baseRow,$E258&lt;&gt;"",$D258&lt;&gt;"",$F258=""),
Error!$B$4,
IF(AND(_xlpm.baseRow,$F258="Remove",OR($E258="Tier 1",$E258="Tier 2",$E258="Tier 2 Grove"),COUNTBLANK(_xlpm.HRange)&lt;3,_xlpm.uniqueH&gt;=2),
Error!$B$48,
IF(AND(_xlpm.baseRow,$F258="Retain",OR($E258="Tier 1",$E258="Tier 2",$E258="Tier 2 Grove"),COUNTIF(_xlpm.HRange,"Tree Code: Required to Retain Tier 1-2 Tree")=0),
Error!$B$47,
IF(AND(_xlpm.baseRow,$E258&lt;&gt;"",$D258&lt;&gt;"",$F258&lt;&gt;"",COUNTBLANK(_xlpm.HRange)=4),
Error!$B$5,
IF(AND($F258="Remove",$H258&lt;&gt;"",$I258=""),
Error!$B$18,
IF(AND($E258="Tier 4",$F258="Remove",$H258="Tree Protection Code: Tier 3 or Tier 4 Allowance",$H258&lt;&gt;"",ISNA(MATCH($I258,Tables!$B$200,0))),
Error!$B$17,
IF(AND($E258="Tier 3",$F258="Remove",$H258&lt;&gt;"",$H258="Tree Protection Code: Tier 3 or Tier 4 Allowance",OR($I258="",ISNA(MATCH($I258,Tables!$B$193:$B$197,0)))),
Error!$B$17,
IF(AND(OR($E258="Tier 2",$E258="Tier 2 Grove"),$F258="Remove",$H258="Tree Protection Code: Other removal allowance or exemption",$I258&lt;&gt;"",ISNA(MATCH($I258,Tables!$B$215:$B$218,0))),
Error!$B$17,
IF(AND(OR($E258="Tier 2",$E258="Tier 2 Grove"),$F258="Remove",$H258="Tree Protection Code: Development Capacity",$I258&lt;&gt;"",ISNA(MATCH($I258,Tables!$B$193:$B$197,0))),
Error!$B$17,
IF(AND(OR($E258="Tier 2",$E258="Tier 2 Grove"),$F258="Remove",$H258="Tree Protection Code: Necessary for Construction",$I258&lt;&gt;"",ISNA(MATCH($I258,Tables!$B$193:$B$197,0))),
Error!$B$17,
IF(AND($E258="Tier 1",$F258="Remove",$H258="Tree Protection Code: Special Exception",$I258&lt;&gt;"",ISNA(MATCH($I258,Tables!$B$215:$B$218,0))),
Error!$B$17,
IF(AND($E258="Tier 1",$F258="Remove",$H258="Tree Protection Code: Other removal allowance or exemption",$I258&lt;&gt;"",ISNA(MATCH($I258,Tables!$B$215:$B$218,0))),
Error!$B$17,
IF(AND($E258="ECA / Shoreline Tree",$F258="Remove",$H258&lt;&gt;"",OR($H258="Shoreline",$H258="Environmental Critical Area (ECA)"),ISNA(MATCH($I258,Tables!$B$209:$B$212,0))),
Error!$B$17,
IF(AND(_xlpm.baseRow,$F258="Retain",$E258="ECA / Shoreline Tree",_xlpm.ECA_Short=0),
Error!$B$61,
IF(AND($F258="Remove",ISNUMBER(MATCH($E258,{"Tier 1","Tier 2","Tier 3","Tier 4","Tier 2 Grove"},0)),ISNUMBER(MATCH($I258,{"On-site replacement","Off-site replacement"},0)),$J258="",$H258&lt;&gt;""),
Error!$B$19,
IF(AND(_xlpm.baseRow,$E258&lt;&gt;"",$D258&lt;&gt;"",$F258&lt;&gt;"",COUNTBLANK($B258:$C258)&gt;0,COUNTBLANK(_xlpm.HRange)&lt;&gt;4),
Error!$B$22,
IF(AND($H258="Zoning: Tree Points",$K258&lt;&gt;"",ISNA(MATCH($K258,Tables!$B$242:$B$253,0))),
Error!$B$58,
IF(AND($H258="Zoning: Tree Points",$K258="Small",$L258&lt;&gt;"",ISNA(MATCH($L258,Tables!$C$243:$C$244,0))),
Error!$B$59,
IF(AND($H258="Zoning: Tree Points",$K258="Small/Medium",$L258&lt;&gt;"",ISNA(MATCH($L258,Tables!$C$246:$C$247,0))),
Error!$B$59,
IF(AND($H258="Zoning: Tree Points",$K258="Medium/Large",$L258&lt;&gt;"",ISNA(MATCH($L258,Tables!$C$249:$C$250,0))),
Error!$B$59,
IF(AND($H258="Zoning: Tree Points",$K258="Large",$L258&lt;&gt;"",ISNA(MATCH($L258,Tables!$C$252:$C$253,0))),
Error!$B$59,
IF(AND($F258="Retain",$H258="Zoning: Tree Points",$C258&lt;&gt;"",$D258&lt;&gt;"",OR($K258="",$L258="",$M258="")),
Error!$B$20,
""
)))))))))))))))))))))))))))))))))))))))))))))))))))))))),
Error!$B$23))</f>
        <v/>
      </c>
      <c r="O258" s="343" t="str" cm="1">
        <f t="array" aca="1" ref="O258" ca="1">IFERROR(_xlfn.LET(
    _xlpm.txt, $C258,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59" spans="1:15" ht="15" thickBot="1" x14ac:dyDescent="0.35">
      <c r="A259" s="311">
        <v>63</v>
      </c>
      <c r="B259" s="312"/>
      <c r="C259" s="313"/>
      <c r="D259" s="478"/>
      <c r="E259" s="314"/>
      <c r="F259" s="314"/>
      <c r="G259" s="315" t="str">
        <f>IF(Tree_Table1[[#This Row],[Tree Status  &amp;]]="Retain", Tables!$B$237, IF(Tree_Table1[[#This Row],[Tree Status  &amp;]]="Remove", Tables!$B$238, ""))</f>
        <v/>
      </c>
      <c r="H259" s="316"/>
      <c r="I259" s="317"/>
      <c r="J259" s="452"/>
      <c r="K259" s="318" t="str">
        <f>IFERROR(
    IF(
        AND($H259="Zoning: Tree Points", NOT(ISNUMBER(SEARCH("sp.", $C259)))),
        VLOOKUP($C259, 'Tree List'!$C$3:$F$601, 4, FALSE),
        ""
    ),
"")</f>
        <v/>
      </c>
      <c r="L259" s="319" t="str" cm="1">
        <f t="array" ref="L259">IFERROR(
IF(
    AND($H259="Zoning: Tree Points", NOT(ISNUMBER(SEARCH("sp.", $C259)))),
    _xlfn.IFS(
        (COUNTIFS('Tree List'!$C$3:$C$601,$C259,'Tree List'!$D$3:$D$601,"Coniferous")
        + COUNTIFS('Tree List'!$C$3:$C$601,$C259,'Tree List'!$D$3:$D$601,"Deciduous Conifer")) &gt; 0,
            _xlfn.IFS($K259="Small",0.5,$K259="Small/Medium",1,$K259="Medium/Large",1.4,$K259="Large",1.8),
        (COUNTIFS('Tree List'!$C$3:$C$601,$C259,'Tree List'!$D$3:$D$601,"Deciduous")
        + COUNTIFS('Tree List'!$C$3:$C$601,$C259,'Tree List'!$D$3:$D$601,"Broadleaf Evergreen")) &gt; 0,
            _xlfn.IFS($K259="Small",0.4,$K259="Small/Medium",0.8,$K259="Medium/Large",1.2,$K259="Large",1.6)
    ),
    ""
),
"")</f>
        <v/>
      </c>
      <c r="M259" s="474" t="str">
        <f t="shared" si="249"/>
        <v/>
      </c>
      <c r="N259" s="620" t="str" cm="1">
        <f t="array" aca="1" ref="N25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IF(AND(_xlpm.baseRow,ISNA(MATCH($C259,'Tree List'!$C$3:$C$601,0)),SUMPRODUCT(--ISNUMBER(SEARCH(Tables2!$C$677:$C$772,$O259)))&gt;0),
Error!$B$57,
IF(AND(_xlpm.hasDM,$F259="Remove",$H259&lt;&gt;"",OR($I259="On-site replacement",$I259="Off-site replacement",$I259="Payment In Lieu")),
Error!$B$56,
IF(AND(_xlpm.hasDM,$F259="Remove",$H259&lt;&gt;"",$I259="Relocation"),
Error!$B$66,
IF(AND(OR(_xlpm.hasCN,_xlpm.hasPH,_xlpm.hasGR),$H259&lt;&gt;"",COUNTIF(Tables!$B$132:$B$134,$H259)&gt;0,$I259="N/A (No replacement required)"),
Error!$B$62,
IF(AND(_xlpm.baseRow,$E259&lt;&gt;"",ISNA(MATCH($E259,Tables!$B$225:$B$232,0))),
Error!$B$2,
IF(AND(_xlpm.baseRow,$F259&lt;&gt;"",ISNA(MATCH($F259,Tables!$B$234:$B$235,0))),
Error!$B$24,
IF(AND(_xlpm.baseRow,_xlpm.ECA_H&gt;0,_xlpm.Shore_H&gt;0),
Error!$B$16,
IF(AND(_xlpm.baseRow,$E259&lt;&gt;"",$D259=""),
Error!$B$3,
IF(AND(_xlpm.baseRow,OR($E259="Tier 3",$E259="Tier 4"),$C259&lt;&gt;"",$D259&gt;=24,COUNTIF(Tables2!$B$166:$B$674,$C259)&gt;0),
Error!$B$44,
IF(AND(_xlpm.baseRow,OR($E259="Tier 3",$E259="Tier 4"),$C259&lt;&gt;"",$D259&lt;&gt;"",COUNTIF(Tables2!$B$73:$B$152,$C259)&gt;0,
$D259&gt;=IFERROR(INDEX(Tables2!$C$73:$C$152,MATCH($C259,Tables2!$B$73:$B$152,0)),-1)),
Error!$B$44,
IF(AND(_xlpm.baseRow,OR($E259="Tier 2",$E259="Tier 2 Grove"),$C259&lt;&gt;"",$D259&gt;=12,COUNTIF(Tables2!$B$153:$B$162,$C259)&gt;0),
Error!$B$45,
IF(AND(_xlpm.baseRow,$E259="Tier 2 Grove",$D259&lt;12),
Error!$B$41,
IF(AND(_xlpm.baseRow,$E259="Tier 2",$D259&lt;5.88),
Error!$B$40,
IF(AND(_xlpm.baseRow,OR($E259="Tier 2",$E259="Tier 2 Grove"),$C259&lt;&gt;"",$D259&lt;12,$D259&gt;=6,COUNTIF(Tables2!$B$153:$B$162,$C259)&gt;0),
Error!$B$54,
IF(AND(_xlpm.baseRow,$E259="Tier 2",COUNTIF(Tables2!$B$166:$B$674,$C259)&gt;0,$D259&lt;24),
Error!$B$54,
IF(AND(_xlpm.baseRow,$E259="Tier 3",ISNA(MATCH($C259,Tables2!$B$153:$B$162,0)),OR($D259&lt;12,$D259&gt;=24)),
Error!$B$9,
IF(AND(_xlpm.baseRow,$E259="Tier 3",COUNTIF(Tables2!$B$153:$B$162,$C259)&gt;0,$D259&lt;12),
Error!$B$46,
IF(AND(_xlpm.baseRow,$E259="Tier 4",OR($D259&lt;6,$D259&gt;=12)),
Error!$B$10,
IF(AND(_xlpm.baseRow,$E259="&lt;6in DSH for Tree Points",OR($D259&gt;=6,$D259="")),
Error!$B$8,
IF(AND(_xlpm.baseRow,$E259="Street Tree for Green Factor",$F259&lt;&gt;"",$F259&lt;&gt;"Retain"),
Error!$B$14,
IF(AND($E259="&lt;6in DSH for Tree Points",$F259="Retain",$H259&lt;&gt;"",ISNA(MATCH($H259,Tables!$B$174:$B$174,0))),
Error!$B$15,
IF(AND($E259="Street Tree for Green Factor",$F259="Retain",$H259&lt;&gt;"",$H259&lt;&gt;"Zoning: Green Factor"),
Error!$B$15,
IF(AND($E259="ECA / Shoreline Tree",$F259="Remove",$H259&lt;&gt;"",ISNA(MATCH($H259,Tables!$B$189:$B$190,0))),
Error!$B$15,
IF(AND($E259="ECA / Shoreline Tree",$F259="Retain",$H259&lt;&gt;"",ISNA(MATCH($H259,Tables!$B$184:$B$186,0))),
Error!$B$15,
IF(AND($E259="Tier 4",$F259="Remove",$H259&lt;&gt;"",ISNA(MATCH($H259,Tables!$B$171,0))),
Error!$B$15,
IF(AND($E259="Tier 4",$F259="Retain",$H259&lt;&gt;"",ISNA(MATCH($H259,Tables!$B$166:$B$168,0))),
Error!$B$15,
IF(AND($E259="Tier 3",$F259="Retain",$H259&lt;&gt;"",ISNA(MATCH($H259,Tables!$B$158:$B$160,0))),
Error!$B$15,
IF(AND($E259="Tier 3",$F259="Remove",$H259&lt;&gt;"",ISNA(MATCH($H259,Tables!$B$163,0))),
Error!$B$15,
IF(AND(OR($E259="Tier 2",$E259="Tier 2 Grove"),$F259="Remove",$H259&lt;&gt;"",ISNA(MATCH($H259,Tables!$B$153:$B$155,0))),
Error!$B$15,
IF(AND(OR($E259="Tier 2",$E259="Tier 2 Grove"),$F259="Retain",$H259&lt;&gt;"",ISNA(MATCH($H259,Tables!$B$147:$B$150,0))),
Error!$B$15,
IF(AND($E259="Tier 1",$F259="Remove",$H259&lt;&gt;"",ISNA(MATCH($H259,Tables!$B$143:$B$144,0))),
Error!$B$15,
IF(AND($E259="Tier 1",$F259="Retain",$H259&lt;&gt;"",ISNA(MATCH($H259,Tables!$B$137:$B$140,0))),
Error!$B$15,
IF(AND($E259&lt;&gt;"Tier 2",$E259&lt;&gt;"Tier 2 Grove",$E259&lt;&gt;"Tier 3",$E259&lt;&gt;"Tier 4",$H259="Zoning: Green Factor",OR($D259="",$D259&lt;6)),
Error!$B$11,
IF(AND(_xlpm.baseRow,$D259&lt;6,$E259="&lt;6in DSH for Tree Points",_xlpm.TreePoints_H=0),
Error!$B$21,
IF(AND(_xlpm.baseRow,$E259&lt;&gt;"",$D259&lt;&gt;"",$F259=""),
Error!$B$4,
IF(AND(_xlpm.baseRow,$F259="Remove",OR($E259="Tier 1",$E259="Tier 2",$E259="Tier 2 Grove"),COUNTBLANK(_xlpm.HRange)&lt;3,_xlpm.uniqueH&gt;=2),
Error!$B$48,
IF(AND(_xlpm.baseRow,$F259="Retain",OR($E259="Tier 1",$E259="Tier 2",$E259="Tier 2 Grove"),COUNTIF(_xlpm.HRange,"Tree Code: Required to Retain Tier 1-2 Tree")=0),
Error!$B$47,
IF(AND(_xlpm.baseRow,$E259&lt;&gt;"",$D259&lt;&gt;"",$F259&lt;&gt;"",COUNTBLANK(_xlpm.HRange)=4),
Error!$B$5,
IF(AND($F259="Remove",$H259&lt;&gt;"",$I259=""),
Error!$B$18,
IF(AND($E259="Tier 4",$F259="Remove",$H259="Tree Protection Code: Tier 3 or Tier 4 Allowance",$H259&lt;&gt;"",ISNA(MATCH($I259,Tables!$B$200,0))),
Error!$B$17,
IF(AND($E259="Tier 3",$F259="Remove",$H259&lt;&gt;"",$H259="Tree Protection Code: Tier 3 or Tier 4 Allowance",OR($I259="",ISNA(MATCH($I259,Tables!$B$193:$B$197,0)))),
Error!$B$17,
IF(AND(OR($E259="Tier 2",$E259="Tier 2 Grove"),$F259="Remove",$H259="Tree Protection Code: Other removal allowance or exemption",$I259&lt;&gt;"",ISNA(MATCH($I259,Tables!$B$215:$B$218,0))),
Error!$B$17,
IF(AND(OR($E259="Tier 2",$E259="Tier 2 Grove"),$F259="Remove",$H259="Tree Protection Code: Development Capacity",$I259&lt;&gt;"",ISNA(MATCH($I259,Tables!$B$193:$B$197,0))),
Error!$B$17,
IF(AND(OR($E259="Tier 2",$E259="Tier 2 Grove"),$F259="Remove",$H259="Tree Protection Code: Necessary for Construction",$I259&lt;&gt;"",ISNA(MATCH($I259,Tables!$B$193:$B$197,0))),
Error!$B$17,
IF(AND($E259="Tier 1",$F259="Remove",$H259="Tree Protection Code: Special Exception",$I259&lt;&gt;"",ISNA(MATCH($I259,Tables!$B$215:$B$218,0))),
Error!$B$17,
IF(AND($E259="Tier 1",$F259="Remove",$H259="Tree Protection Code: Other removal allowance or exemption",$I259&lt;&gt;"",ISNA(MATCH($I259,Tables!$B$215:$B$218,0))),
Error!$B$17,
IF(AND($E259="ECA / Shoreline Tree",$F259="Remove",$H259&lt;&gt;"",OR($H259="Shoreline",$H259="Environmental Critical Area (ECA)"),ISNA(MATCH($I259,Tables!$B$209:$B$212,0))),
Error!$B$17,
IF(AND(_xlpm.baseRow,$F259="Retain",$E259="ECA / Shoreline Tree",_xlpm.ECA_Short=0),
Error!$B$61,
IF(AND($F259="Remove",ISNUMBER(MATCH($E259,{"Tier 1","Tier 2","Tier 3","Tier 4","Tier 2 Grove"},0)),ISNUMBER(MATCH($I259,{"On-site replacement","Off-site replacement"},0)),$J259="",$H259&lt;&gt;""),
Error!$B$19,
IF(AND(_xlpm.baseRow,$E259&lt;&gt;"",$D259&lt;&gt;"",$F259&lt;&gt;"",COUNTBLANK($B259:$C259)&gt;0,COUNTBLANK(_xlpm.HRange)&lt;&gt;4),
Error!$B$22,
IF(AND($H259="Zoning: Tree Points",$K259&lt;&gt;"",ISNA(MATCH($K259,Tables!$B$242:$B$253,0))),
Error!$B$58,
IF(AND($H259="Zoning: Tree Points",$K259="Small",$L259&lt;&gt;"",ISNA(MATCH($L259,Tables!$C$243:$C$244,0))),
Error!$B$59,
IF(AND($H259="Zoning: Tree Points",$K259="Small/Medium",$L259&lt;&gt;"",ISNA(MATCH($L259,Tables!$C$246:$C$247,0))),
Error!$B$59,
IF(AND($H259="Zoning: Tree Points",$K259="Medium/Large",$L259&lt;&gt;"",ISNA(MATCH($L259,Tables!$C$249:$C$250,0))),
Error!$B$59,
IF(AND($H259="Zoning: Tree Points",$K259="Large",$L259&lt;&gt;"",ISNA(MATCH($L259,Tables!$C$252:$C$253,0))),
Error!$B$59,
IF(AND($F259="Retain",$H259="Zoning: Tree Points",$C259&lt;&gt;"",$D259&lt;&gt;"",OR($K259="",$L259="",$M259="")),
Error!$B$20,
""
)))))))))))))))))))))))))))))))))))))))))))))))))))))))),
Error!$B$23))</f>
        <v/>
      </c>
      <c r="O259" s="343" t="str" cm="1">
        <f t="array" aca="1" ref="O259" ca="1">IFERROR(_xlfn.LET(
    _xlpm.txt, $C259,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60" spans="1:15" x14ac:dyDescent="0.3">
      <c r="A260" s="320"/>
      <c r="B260" s="616" t="str">
        <f t="shared" ref="B260:B262" si="270">IF($B259="", "", $B259)</f>
        <v/>
      </c>
      <c r="C260" s="617" t="str">
        <f t="shared" ref="C260:C262" si="271">IF($C259="", "", $C259)</f>
        <v/>
      </c>
      <c r="D260" s="618" t="str">
        <f t="shared" ref="D260:D262" si="272">IF($D259="", "", $D259)</f>
        <v/>
      </c>
      <c r="E260" s="616" t="str">
        <f t="shared" ref="E260:E262" si="273">IF($E259="", "", $E259)</f>
        <v/>
      </c>
      <c r="F260" s="616" t="str">
        <f t="shared" ref="F260:F262" si="274">IF($F259="", "", $F259)</f>
        <v/>
      </c>
      <c r="G260" s="619" t="str">
        <f>IF(Tree_Table1[[#This Row],[Tree Status  &amp;]]="Retain", Tables!$B$237, IF(Tree_Table1[[#This Row],[Tree Status  &amp;]]="Remove", Tables!$B$238, ""))</f>
        <v/>
      </c>
      <c r="H260" s="321"/>
      <c r="I260" s="322"/>
      <c r="J260" s="453"/>
      <c r="K260" s="323" t="str">
        <f>IFERROR(
    IF(
        AND($H260="Zoning: Tree Points", NOT(ISNUMBER(SEARCH("sp.", $C260)))),
        VLOOKUP($C260, 'Tree List'!$C$3:$F$601, 4, FALSE),
        ""
    ),
"")</f>
        <v/>
      </c>
      <c r="L260" s="324" t="str" cm="1">
        <f t="array" ref="L260">IFERROR(
IF(
    AND($H260="Zoning: Tree Points", NOT(ISNUMBER(SEARCH("sp.", $C260)))),
    _xlfn.IFS(
        (COUNTIFS('Tree List'!$C$3:$C$601,$C260,'Tree List'!$D$3:$D$601,"Coniferous")
        + COUNTIFS('Tree List'!$C$3:$C$601,$C260,'Tree List'!$D$3:$D$601,"Deciduous Conifer")) &gt; 0,
            _xlfn.IFS($K260="Small",0.5,$K260="Small/Medium",1,$K260="Medium/Large",1.4,$K260="Large",1.8),
        (COUNTIFS('Tree List'!$C$3:$C$601,$C260,'Tree List'!$D$3:$D$601,"Deciduous")
        + COUNTIFS('Tree List'!$C$3:$C$601,$C260,'Tree List'!$D$3:$D$601,"Broadleaf Evergreen")) &gt; 0,
            _xlfn.IFS($K260="Small",0.4,$K260="Small/Medium",0.8,$K260="Medium/Large",1.2,$K260="Large",1.6)
    ),
    ""
),
"")</f>
        <v/>
      </c>
      <c r="M260" s="475" t="str">
        <f t="shared" si="249"/>
        <v/>
      </c>
      <c r="N260" s="346" t="str" cm="1">
        <f t="array" aca="1" ref="N26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IF(AND(_xlpm.baseRow,ISNA(MATCH($C260,'Tree List'!$C$3:$C$601,0)),SUMPRODUCT(--ISNUMBER(SEARCH(Tables2!$C$677:$C$772,$O260)))&gt;0),
Error!$B$57,
IF(AND(_xlpm.hasDM,$F260="Remove",$H260&lt;&gt;"",OR($I260="On-site replacement",$I260="Off-site replacement",$I260="Payment In Lieu")),
Error!$B$56,
IF(AND(_xlpm.hasDM,$F260="Remove",$H260&lt;&gt;"",$I260="Relocation"),
Error!$B$66,
IF(AND(OR(_xlpm.hasCN,_xlpm.hasPH,_xlpm.hasGR),$H260&lt;&gt;"",COUNTIF(Tables!$B$132:$B$134,$H260)&gt;0,$I260="N/A (No replacement required)"),
Error!$B$62,
IF(AND(_xlpm.baseRow,$E260&lt;&gt;"",ISNA(MATCH($E260,Tables!$B$225:$B$232,0))),
Error!$B$2,
IF(AND(_xlpm.baseRow,$F260&lt;&gt;"",ISNA(MATCH($F260,Tables!$B$234:$B$235,0))),
Error!$B$24,
IF(AND(_xlpm.baseRow,_xlpm.ECA_H&gt;0,_xlpm.Shore_H&gt;0),
Error!$B$16,
IF(AND(_xlpm.baseRow,$E260&lt;&gt;"",$D260=""),
Error!$B$3,
IF(AND(_xlpm.baseRow,OR($E260="Tier 3",$E260="Tier 4"),$C260&lt;&gt;"",$D260&gt;=24,COUNTIF(Tables2!$B$166:$B$674,$C260)&gt;0),
Error!$B$44,
IF(AND(_xlpm.baseRow,OR($E260="Tier 3",$E260="Tier 4"),$C260&lt;&gt;"",$D260&lt;&gt;"",COUNTIF(Tables2!$B$73:$B$152,$C260)&gt;0,
$D260&gt;=IFERROR(INDEX(Tables2!$C$73:$C$152,MATCH($C260,Tables2!$B$73:$B$152,0)),-1)),
Error!$B$44,
IF(AND(_xlpm.baseRow,OR($E260="Tier 2",$E260="Tier 2 Grove"),$C260&lt;&gt;"",$D260&gt;=12,COUNTIF(Tables2!$B$153:$B$162,$C260)&gt;0),
Error!$B$45,
IF(AND(_xlpm.baseRow,$E260="Tier 2 Grove",$D260&lt;12),
Error!$B$41,
IF(AND(_xlpm.baseRow,$E260="Tier 2",$D260&lt;5.88),
Error!$B$40,
IF(AND(_xlpm.baseRow,OR($E260="Tier 2",$E260="Tier 2 Grove"),$C260&lt;&gt;"",$D260&lt;12,$D260&gt;=6,COUNTIF(Tables2!$B$153:$B$162,$C260)&gt;0),
Error!$B$54,
IF(AND(_xlpm.baseRow,$E260="Tier 2",COUNTIF(Tables2!$B$166:$B$674,$C260)&gt;0,$D260&lt;24),
Error!$B$54,
IF(AND(_xlpm.baseRow,$E260="Tier 3",ISNA(MATCH($C260,Tables2!$B$153:$B$162,0)),OR($D260&lt;12,$D260&gt;=24)),
Error!$B$9,
IF(AND(_xlpm.baseRow,$E260="Tier 3",COUNTIF(Tables2!$B$153:$B$162,$C260)&gt;0,$D260&lt;12),
Error!$B$46,
IF(AND(_xlpm.baseRow,$E260="Tier 4",OR($D260&lt;6,$D260&gt;=12)),
Error!$B$10,
IF(AND(_xlpm.baseRow,$E260="&lt;6in DSH for Tree Points",OR($D260&gt;=6,$D260="")),
Error!$B$8,
IF(AND(_xlpm.baseRow,$E260="Street Tree for Green Factor",$F260&lt;&gt;"",$F260&lt;&gt;"Retain"),
Error!$B$14,
IF(AND($E260="&lt;6in DSH for Tree Points",$F260="Retain",$H260&lt;&gt;"",ISNA(MATCH($H260,Tables!$B$174:$B$174,0))),
Error!$B$15,
IF(AND($E260="Street Tree for Green Factor",$F260="Retain",$H260&lt;&gt;"",$H260&lt;&gt;"Zoning: Green Factor"),
Error!$B$15,
IF(AND($E260="ECA / Shoreline Tree",$F260="Remove",$H260&lt;&gt;"",ISNA(MATCH($H260,Tables!$B$189:$B$190,0))),
Error!$B$15,
IF(AND($E260="ECA / Shoreline Tree",$F260="Retain",$H260&lt;&gt;"",ISNA(MATCH($H260,Tables!$B$184:$B$186,0))),
Error!$B$15,
IF(AND($E260="Tier 4",$F260="Remove",$H260&lt;&gt;"",ISNA(MATCH($H260,Tables!$B$171,0))),
Error!$B$15,
IF(AND($E260="Tier 4",$F260="Retain",$H260&lt;&gt;"",ISNA(MATCH($H260,Tables!$B$166:$B$168,0))),
Error!$B$15,
IF(AND($E260="Tier 3",$F260="Retain",$H260&lt;&gt;"",ISNA(MATCH($H260,Tables!$B$158:$B$160,0))),
Error!$B$15,
IF(AND($E260="Tier 3",$F260="Remove",$H260&lt;&gt;"",ISNA(MATCH($H260,Tables!$B$163,0))),
Error!$B$15,
IF(AND(OR($E260="Tier 2",$E260="Tier 2 Grove"),$F260="Remove",$H260&lt;&gt;"",ISNA(MATCH($H260,Tables!$B$153:$B$155,0))),
Error!$B$15,
IF(AND(OR($E260="Tier 2",$E260="Tier 2 Grove"),$F260="Retain",$H260&lt;&gt;"",ISNA(MATCH($H260,Tables!$B$147:$B$150,0))),
Error!$B$15,
IF(AND($E260="Tier 1",$F260="Remove",$H260&lt;&gt;"",ISNA(MATCH($H260,Tables!$B$143:$B$144,0))),
Error!$B$15,
IF(AND($E260="Tier 1",$F260="Retain",$H260&lt;&gt;"",ISNA(MATCH($H260,Tables!$B$137:$B$140,0))),
Error!$B$15,
IF(AND($E260&lt;&gt;"Tier 2",$E260&lt;&gt;"Tier 2 Grove",$E260&lt;&gt;"Tier 3",$E260&lt;&gt;"Tier 4",$H260="Zoning: Green Factor",OR($D260="",$D260&lt;6)),
Error!$B$11,
IF(AND(_xlpm.baseRow,$D260&lt;6,$E260="&lt;6in DSH for Tree Points",_xlpm.TreePoints_H=0),
Error!$B$21,
IF(AND(_xlpm.baseRow,$E260&lt;&gt;"",$D260&lt;&gt;"",$F260=""),
Error!$B$4,
IF(AND(_xlpm.baseRow,$F260="Remove",OR($E260="Tier 1",$E260="Tier 2",$E260="Tier 2 Grove"),COUNTBLANK(_xlpm.HRange)&lt;3,_xlpm.uniqueH&gt;=2),
Error!$B$48,
IF(AND(_xlpm.baseRow,$F260="Retain",OR($E260="Tier 1",$E260="Tier 2",$E260="Tier 2 Grove"),COUNTIF(_xlpm.HRange,"Tree Code: Required to Retain Tier 1-2 Tree")=0),
Error!$B$47,
IF(AND(_xlpm.baseRow,$E260&lt;&gt;"",$D260&lt;&gt;"",$F260&lt;&gt;"",COUNTBLANK(_xlpm.HRange)=4),
Error!$B$5,
IF(AND($F260="Remove",$H260&lt;&gt;"",$I260=""),
Error!$B$18,
IF(AND($E260="Tier 4",$F260="Remove",$H260="Tree Protection Code: Tier 3 or Tier 4 Allowance",$H260&lt;&gt;"",ISNA(MATCH($I260,Tables!$B$200,0))),
Error!$B$17,
IF(AND($E260="Tier 3",$F260="Remove",$H260&lt;&gt;"",$H260="Tree Protection Code: Tier 3 or Tier 4 Allowance",OR($I260="",ISNA(MATCH($I260,Tables!$B$193:$B$197,0)))),
Error!$B$17,
IF(AND(OR($E260="Tier 2",$E260="Tier 2 Grove"),$F260="Remove",$H260="Tree Protection Code: Other removal allowance or exemption",$I260&lt;&gt;"",ISNA(MATCH($I260,Tables!$B$215:$B$218,0))),
Error!$B$17,
IF(AND(OR($E260="Tier 2",$E260="Tier 2 Grove"),$F260="Remove",$H260="Tree Protection Code: Development Capacity",$I260&lt;&gt;"",ISNA(MATCH($I260,Tables!$B$193:$B$197,0))),
Error!$B$17,
IF(AND(OR($E260="Tier 2",$E260="Tier 2 Grove"),$F260="Remove",$H260="Tree Protection Code: Necessary for Construction",$I260&lt;&gt;"",ISNA(MATCH($I260,Tables!$B$193:$B$197,0))),
Error!$B$17,
IF(AND($E260="Tier 1",$F260="Remove",$H260="Tree Protection Code: Special Exception",$I260&lt;&gt;"",ISNA(MATCH($I260,Tables!$B$215:$B$218,0))),
Error!$B$17,
IF(AND($E260="Tier 1",$F260="Remove",$H260="Tree Protection Code: Other removal allowance or exemption",$I260&lt;&gt;"",ISNA(MATCH($I260,Tables!$B$215:$B$218,0))),
Error!$B$17,
IF(AND($E260="ECA / Shoreline Tree",$F260="Remove",$H260&lt;&gt;"",OR($H260="Shoreline",$H260="Environmental Critical Area (ECA)"),ISNA(MATCH($I260,Tables!$B$209:$B$212,0))),
Error!$B$17,
IF(AND(_xlpm.baseRow,$F260="Retain",$E260="ECA / Shoreline Tree",_xlpm.ECA_Short=0),
Error!$B$61,
IF(AND($F260="Remove",ISNUMBER(MATCH($E260,{"Tier 1","Tier 2","Tier 3","Tier 4","Tier 2 Grove"},0)),ISNUMBER(MATCH($I260,{"On-site replacement","Off-site replacement"},0)),$J260="",$H260&lt;&gt;""),
Error!$B$19,
IF(AND(_xlpm.baseRow,$E260&lt;&gt;"",$D260&lt;&gt;"",$F260&lt;&gt;"",COUNTBLANK($B260:$C260)&gt;0,COUNTBLANK(_xlpm.HRange)&lt;&gt;4),
Error!$B$22,
IF(AND($H260="Zoning: Tree Points",$K260&lt;&gt;"",ISNA(MATCH($K260,Tables!$B$242:$B$253,0))),
Error!$B$58,
IF(AND($H260="Zoning: Tree Points",$K260="Small",$L260&lt;&gt;"",ISNA(MATCH($L260,Tables!$C$243:$C$244,0))),
Error!$B$59,
IF(AND($H260="Zoning: Tree Points",$K260="Small/Medium",$L260&lt;&gt;"",ISNA(MATCH($L260,Tables!$C$246:$C$247,0))),
Error!$B$59,
IF(AND($H260="Zoning: Tree Points",$K260="Medium/Large",$L260&lt;&gt;"",ISNA(MATCH($L260,Tables!$C$249:$C$250,0))),
Error!$B$59,
IF(AND($H260="Zoning: Tree Points",$K260="Large",$L260&lt;&gt;"",ISNA(MATCH($L260,Tables!$C$252:$C$253,0))),
Error!$B$59,
IF(AND($F260="Retain",$H260="Zoning: Tree Points",$C260&lt;&gt;"",$D260&lt;&gt;"",OR($K260="",$L260="",$M260="")),
Error!$B$20,
""
)))))))))))))))))))))))))))))))))))))))))))))))))))))))),
Error!$B$23))</f>
        <v/>
      </c>
      <c r="O260" s="343" t="str" cm="1">
        <f t="array" aca="1" ref="O260" ca="1">IFERROR(_xlfn.LET(
    _xlpm.txt, $C260,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61" spans="1:15" x14ac:dyDescent="0.3">
      <c r="A261" s="320"/>
      <c r="B261" s="616" t="str">
        <f t="shared" si="270"/>
        <v/>
      </c>
      <c r="C261" s="617" t="str">
        <f t="shared" si="271"/>
        <v/>
      </c>
      <c r="D261" s="618" t="str">
        <f t="shared" si="272"/>
        <v/>
      </c>
      <c r="E261" s="616" t="str">
        <f t="shared" si="273"/>
        <v/>
      </c>
      <c r="F261" s="616" t="str">
        <f t="shared" si="274"/>
        <v/>
      </c>
      <c r="G261" s="619" t="str">
        <f>IF(Tree_Table1[[#This Row],[Tree Status  &amp;]]="Retain", Tables!$B$237, IF(Tree_Table1[[#This Row],[Tree Status  &amp;]]="Remove", Tables!$B$238, ""))</f>
        <v/>
      </c>
      <c r="H261" s="321"/>
      <c r="I261" s="322"/>
      <c r="J261" s="453"/>
      <c r="K261" s="323" t="str">
        <f>IFERROR(
    IF(
        AND($H261="Zoning: Tree Points", NOT(ISNUMBER(SEARCH("sp.", $C261)))),
        VLOOKUP($C261, 'Tree List'!$C$3:$F$601, 4, FALSE),
        ""
    ),
"")</f>
        <v/>
      </c>
      <c r="L261" s="324" t="str" cm="1">
        <f t="array" ref="L261">IFERROR(
IF(
    AND($H261="Zoning: Tree Points", NOT(ISNUMBER(SEARCH("sp.", $C261)))),
    _xlfn.IFS(
        (COUNTIFS('Tree List'!$C$3:$C$601,$C261,'Tree List'!$D$3:$D$601,"Coniferous")
        + COUNTIFS('Tree List'!$C$3:$C$601,$C261,'Tree List'!$D$3:$D$601,"Deciduous Conifer")) &gt; 0,
            _xlfn.IFS($K261="Small",0.5,$K261="Small/Medium",1,$K261="Medium/Large",1.4,$K261="Large",1.8),
        (COUNTIFS('Tree List'!$C$3:$C$601,$C261,'Tree List'!$D$3:$D$601,"Deciduous")
        + COUNTIFS('Tree List'!$C$3:$C$601,$C261,'Tree List'!$D$3:$D$601,"Broadleaf Evergreen")) &gt; 0,
            _xlfn.IFS($K261="Small",0.4,$K261="Small/Medium",0.8,$K261="Medium/Large",1.2,$K261="Large",1.6)
    ),
    ""
),
"")</f>
        <v/>
      </c>
      <c r="M261" s="475" t="str">
        <f t="shared" si="249"/>
        <v/>
      </c>
      <c r="N261" s="346" t="str" cm="1">
        <f t="array" aca="1" ref="N26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IF(AND(_xlpm.baseRow,ISNA(MATCH($C261,'Tree List'!$C$3:$C$601,0)),SUMPRODUCT(--ISNUMBER(SEARCH(Tables2!$C$677:$C$772,$O261)))&gt;0),
Error!$B$57,
IF(AND(_xlpm.hasDM,$F261="Remove",$H261&lt;&gt;"",OR($I261="On-site replacement",$I261="Off-site replacement",$I261="Payment In Lieu")),
Error!$B$56,
IF(AND(_xlpm.hasDM,$F261="Remove",$H261&lt;&gt;"",$I261="Relocation"),
Error!$B$66,
IF(AND(OR(_xlpm.hasCN,_xlpm.hasPH,_xlpm.hasGR),$H261&lt;&gt;"",COUNTIF(Tables!$B$132:$B$134,$H261)&gt;0,$I261="N/A (No replacement required)"),
Error!$B$62,
IF(AND(_xlpm.baseRow,$E261&lt;&gt;"",ISNA(MATCH($E261,Tables!$B$225:$B$232,0))),
Error!$B$2,
IF(AND(_xlpm.baseRow,$F261&lt;&gt;"",ISNA(MATCH($F261,Tables!$B$234:$B$235,0))),
Error!$B$24,
IF(AND(_xlpm.baseRow,_xlpm.ECA_H&gt;0,_xlpm.Shore_H&gt;0),
Error!$B$16,
IF(AND(_xlpm.baseRow,$E261&lt;&gt;"",$D261=""),
Error!$B$3,
IF(AND(_xlpm.baseRow,OR($E261="Tier 3",$E261="Tier 4"),$C261&lt;&gt;"",$D261&gt;=24,COUNTIF(Tables2!$B$166:$B$674,$C261)&gt;0),
Error!$B$44,
IF(AND(_xlpm.baseRow,OR($E261="Tier 3",$E261="Tier 4"),$C261&lt;&gt;"",$D261&lt;&gt;"",COUNTIF(Tables2!$B$73:$B$152,$C261)&gt;0,
$D261&gt;=IFERROR(INDEX(Tables2!$C$73:$C$152,MATCH($C261,Tables2!$B$73:$B$152,0)),-1)),
Error!$B$44,
IF(AND(_xlpm.baseRow,OR($E261="Tier 2",$E261="Tier 2 Grove"),$C261&lt;&gt;"",$D261&gt;=12,COUNTIF(Tables2!$B$153:$B$162,$C261)&gt;0),
Error!$B$45,
IF(AND(_xlpm.baseRow,$E261="Tier 2 Grove",$D261&lt;12),
Error!$B$41,
IF(AND(_xlpm.baseRow,$E261="Tier 2",$D261&lt;5.88),
Error!$B$40,
IF(AND(_xlpm.baseRow,OR($E261="Tier 2",$E261="Tier 2 Grove"),$C261&lt;&gt;"",$D261&lt;12,$D261&gt;=6,COUNTIF(Tables2!$B$153:$B$162,$C261)&gt;0),
Error!$B$54,
IF(AND(_xlpm.baseRow,$E261="Tier 2",COUNTIF(Tables2!$B$166:$B$674,$C261)&gt;0,$D261&lt;24),
Error!$B$54,
IF(AND(_xlpm.baseRow,$E261="Tier 3",ISNA(MATCH($C261,Tables2!$B$153:$B$162,0)),OR($D261&lt;12,$D261&gt;=24)),
Error!$B$9,
IF(AND(_xlpm.baseRow,$E261="Tier 3",COUNTIF(Tables2!$B$153:$B$162,$C261)&gt;0,$D261&lt;12),
Error!$B$46,
IF(AND(_xlpm.baseRow,$E261="Tier 4",OR($D261&lt;6,$D261&gt;=12)),
Error!$B$10,
IF(AND(_xlpm.baseRow,$E261="&lt;6in DSH for Tree Points",OR($D261&gt;=6,$D261="")),
Error!$B$8,
IF(AND(_xlpm.baseRow,$E261="Street Tree for Green Factor",$F261&lt;&gt;"",$F261&lt;&gt;"Retain"),
Error!$B$14,
IF(AND($E261="&lt;6in DSH for Tree Points",$F261="Retain",$H261&lt;&gt;"",ISNA(MATCH($H261,Tables!$B$174:$B$174,0))),
Error!$B$15,
IF(AND($E261="Street Tree for Green Factor",$F261="Retain",$H261&lt;&gt;"",$H261&lt;&gt;"Zoning: Green Factor"),
Error!$B$15,
IF(AND($E261="ECA / Shoreline Tree",$F261="Remove",$H261&lt;&gt;"",ISNA(MATCH($H261,Tables!$B$189:$B$190,0))),
Error!$B$15,
IF(AND($E261="ECA / Shoreline Tree",$F261="Retain",$H261&lt;&gt;"",ISNA(MATCH($H261,Tables!$B$184:$B$186,0))),
Error!$B$15,
IF(AND($E261="Tier 4",$F261="Remove",$H261&lt;&gt;"",ISNA(MATCH($H261,Tables!$B$171,0))),
Error!$B$15,
IF(AND($E261="Tier 4",$F261="Retain",$H261&lt;&gt;"",ISNA(MATCH($H261,Tables!$B$166:$B$168,0))),
Error!$B$15,
IF(AND($E261="Tier 3",$F261="Retain",$H261&lt;&gt;"",ISNA(MATCH($H261,Tables!$B$158:$B$160,0))),
Error!$B$15,
IF(AND($E261="Tier 3",$F261="Remove",$H261&lt;&gt;"",ISNA(MATCH($H261,Tables!$B$163,0))),
Error!$B$15,
IF(AND(OR($E261="Tier 2",$E261="Tier 2 Grove"),$F261="Remove",$H261&lt;&gt;"",ISNA(MATCH($H261,Tables!$B$153:$B$155,0))),
Error!$B$15,
IF(AND(OR($E261="Tier 2",$E261="Tier 2 Grove"),$F261="Retain",$H261&lt;&gt;"",ISNA(MATCH($H261,Tables!$B$147:$B$150,0))),
Error!$B$15,
IF(AND($E261="Tier 1",$F261="Remove",$H261&lt;&gt;"",ISNA(MATCH($H261,Tables!$B$143:$B$144,0))),
Error!$B$15,
IF(AND($E261="Tier 1",$F261="Retain",$H261&lt;&gt;"",ISNA(MATCH($H261,Tables!$B$137:$B$140,0))),
Error!$B$15,
IF(AND($E261&lt;&gt;"Tier 2",$E261&lt;&gt;"Tier 2 Grove",$E261&lt;&gt;"Tier 3",$E261&lt;&gt;"Tier 4",$H261="Zoning: Green Factor",OR($D261="",$D261&lt;6)),
Error!$B$11,
IF(AND(_xlpm.baseRow,$D261&lt;6,$E261="&lt;6in DSH for Tree Points",_xlpm.TreePoints_H=0),
Error!$B$21,
IF(AND(_xlpm.baseRow,$E261&lt;&gt;"",$D261&lt;&gt;"",$F261=""),
Error!$B$4,
IF(AND(_xlpm.baseRow,$F261="Remove",OR($E261="Tier 1",$E261="Tier 2",$E261="Tier 2 Grove"),COUNTBLANK(_xlpm.HRange)&lt;3,_xlpm.uniqueH&gt;=2),
Error!$B$48,
IF(AND(_xlpm.baseRow,$F261="Retain",OR($E261="Tier 1",$E261="Tier 2",$E261="Tier 2 Grove"),COUNTIF(_xlpm.HRange,"Tree Code: Required to Retain Tier 1-2 Tree")=0),
Error!$B$47,
IF(AND(_xlpm.baseRow,$E261&lt;&gt;"",$D261&lt;&gt;"",$F261&lt;&gt;"",COUNTBLANK(_xlpm.HRange)=4),
Error!$B$5,
IF(AND($F261="Remove",$H261&lt;&gt;"",$I261=""),
Error!$B$18,
IF(AND($E261="Tier 4",$F261="Remove",$H261="Tree Protection Code: Tier 3 or Tier 4 Allowance",$H261&lt;&gt;"",ISNA(MATCH($I261,Tables!$B$200,0))),
Error!$B$17,
IF(AND($E261="Tier 3",$F261="Remove",$H261&lt;&gt;"",$H261="Tree Protection Code: Tier 3 or Tier 4 Allowance",OR($I261="",ISNA(MATCH($I261,Tables!$B$193:$B$197,0)))),
Error!$B$17,
IF(AND(OR($E261="Tier 2",$E261="Tier 2 Grove"),$F261="Remove",$H261="Tree Protection Code: Other removal allowance or exemption",$I261&lt;&gt;"",ISNA(MATCH($I261,Tables!$B$215:$B$218,0))),
Error!$B$17,
IF(AND(OR($E261="Tier 2",$E261="Tier 2 Grove"),$F261="Remove",$H261="Tree Protection Code: Development Capacity",$I261&lt;&gt;"",ISNA(MATCH($I261,Tables!$B$193:$B$197,0))),
Error!$B$17,
IF(AND(OR($E261="Tier 2",$E261="Tier 2 Grove"),$F261="Remove",$H261="Tree Protection Code: Necessary for Construction",$I261&lt;&gt;"",ISNA(MATCH($I261,Tables!$B$193:$B$197,0))),
Error!$B$17,
IF(AND($E261="Tier 1",$F261="Remove",$H261="Tree Protection Code: Special Exception",$I261&lt;&gt;"",ISNA(MATCH($I261,Tables!$B$215:$B$218,0))),
Error!$B$17,
IF(AND($E261="Tier 1",$F261="Remove",$H261="Tree Protection Code: Other removal allowance or exemption",$I261&lt;&gt;"",ISNA(MATCH($I261,Tables!$B$215:$B$218,0))),
Error!$B$17,
IF(AND($E261="ECA / Shoreline Tree",$F261="Remove",$H261&lt;&gt;"",OR($H261="Shoreline",$H261="Environmental Critical Area (ECA)"),ISNA(MATCH($I261,Tables!$B$209:$B$212,0))),
Error!$B$17,
IF(AND(_xlpm.baseRow,$F261="Retain",$E261="ECA / Shoreline Tree",_xlpm.ECA_Short=0),
Error!$B$61,
IF(AND($F261="Remove",ISNUMBER(MATCH($E261,{"Tier 1","Tier 2","Tier 3","Tier 4","Tier 2 Grove"},0)),ISNUMBER(MATCH($I261,{"On-site replacement","Off-site replacement"},0)),$J261="",$H261&lt;&gt;""),
Error!$B$19,
IF(AND(_xlpm.baseRow,$E261&lt;&gt;"",$D261&lt;&gt;"",$F261&lt;&gt;"",COUNTBLANK($B261:$C261)&gt;0,COUNTBLANK(_xlpm.HRange)&lt;&gt;4),
Error!$B$22,
IF(AND($H261="Zoning: Tree Points",$K261&lt;&gt;"",ISNA(MATCH($K261,Tables!$B$242:$B$253,0))),
Error!$B$58,
IF(AND($H261="Zoning: Tree Points",$K261="Small",$L261&lt;&gt;"",ISNA(MATCH($L261,Tables!$C$243:$C$244,0))),
Error!$B$59,
IF(AND($H261="Zoning: Tree Points",$K261="Small/Medium",$L261&lt;&gt;"",ISNA(MATCH($L261,Tables!$C$246:$C$247,0))),
Error!$B$59,
IF(AND($H261="Zoning: Tree Points",$K261="Medium/Large",$L261&lt;&gt;"",ISNA(MATCH($L261,Tables!$C$249:$C$250,0))),
Error!$B$59,
IF(AND($H261="Zoning: Tree Points",$K261="Large",$L261&lt;&gt;"",ISNA(MATCH($L261,Tables!$C$252:$C$253,0))),
Error!$B$59,
IF(AND($F261="Retain",$H261="Zoning: Tree Points",$C261&lt;&gt;"",$D261&lt;&gt;"",OR($K261="",$L261="",$M261="")),
Error!$B$20,
""
)))))))))))))))))))))))))))))))))))))))))))))))))))))))),
Error!$B$23))</f>
        <v/>
      </c>
      <c r="O261" s="343" t="str" cm="1">
        <f t="array" aca="1" ref="O261" ca="1">IFERROR(_xlfn.LET(
    _xlpm.txt, $C261,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62" spans="1:15" ht="15" thickBot="1" x14ac:dyDescent="0.35">
      <c r="A262" s="331"/>
      <c r="B262" s="616" t="str">
        <f t="shared" si="270"/>
        <v/>
      </c>
      <c r="C262" s="617" t="str">
        <f t="shared" si="271"/>
        <v/>
      </c>
      <c r="D262" s="618" t="str">
        <f t="shared" si="272"/>
        <v/>
      </c>
      <c r="E262" s="616" t="str">
        <f t="shared" si="273"/>
        <v/>
      </c>
      <c r="F262" s="616" t="str">
        <f t="shared" si="274"/>
        <v/>
      </c>
      <c r="G262" s="619" t="str">
        <f>IF(Tree_Table1[[#This Row],[Tree Status  &amp;]]="Retain", Tables!$B$237, IF(Tree_Table1[[#This Row],[Tree Status  &amp;]]="Remove", Tables!$B$238, ""))</f>
        <v/>
      </c>
      <c r="H262" s="329"/>
      <c r="I262" s="330"/>
      <c r="J262" s="455"/>
      <c r="K262" s="327" t="str">
        <f>IFERROR(
    IF(
        AND($H262="Zoning: Tree Points", NOT(ISNUMBER(SEARCH("sp.", $C262)))),
        VLOOKUP($C262, 'Tree List'!$C$3:$F$601, 4, FALSE),
        ""
    ),
"")</f>
        <v/>
      </c>
      <c r="L262" s="328" t="str" cm="1">
        <f t="array" ref="L262">IFERROR(
IF(
    AND($H262="Zoning: Tree Points", NOT(ISNUMBER(SEARCH("sp.", $C262)))),
    _xlfn.IFS(
        (COUNTIFS('Tree List'!$C$3:$C$601,$C262,'Tree List'!$D$3:$D$601,"Coniferous")
        + COUNTIFS('Tree List'!$C$3:$C$601,$C262,'Tree List'!$D$3:$D$601,"Deciduous Conifer")) &gt; 0,
            _xlfn.IFS($K262="Small",0.5,$K262="Small/Medium",1,$K262="Medium/Large",1.4,$K262="Large",1.8),
        (COUNTIFS('Tree List'!$C$3:$C$601,$C262,'Tree List'!$D$3:$D$601,"Deciduous")
        + COUNTIFS('Tree List'!$C$3:$C$601,$C262,'Tree List'!$D$3:$D$601,"Broadleaf Evergreen")) &gt; 0,
            _xlfn.IFS($K262="Small",0.4,$K262="Small/Medium",0.8,$K262="Medium/Large",1.2,$K262="Large",1.6)
    ),
    ""
),
"")</f>
        <v/>
      </c>
      <c r="M262" s="476" t="str">
        <f t="shared" si="249"/>
        <v/>
      </c>
      <c r="N262" s="347" t="str" cm="1">
        <f t="array" aca="1" ref="N26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IF(AND(_xlpm.baseRow,ISNA(MATCH($C262,'Tree List'!$C$3:$C$601,0)),SUMPRODUCT(--ISNUMBER(SEARCH(Tables2!$C$677:$C$772,$O262)))&gt;0),
Error!$B$57,
IF(AND(_xlpm.hasDM,$F262="Remove",$H262&lt;&gt;"",OR($I262="On-site replacement",$I262="Off-site replacement",$I262="Payment In Lieu")),
Error!$B$56,
IF(AND(_xlpm.hasDM,$F262="Remove",$H262&lt;&gt;"",$I262="Relocation"),
Error!$B$66,
IF(AND(OR(_xlpm.hasCN,_xlpm.hasPH,_xlpm.hasGR),$H262&lt;&gt;"",COUNTIF(Tables!$B$132:$B$134,$H262)&gt;0,$I262="N/A (No replacement required)"),
Error!$B$62,
IF(AND(_xlpm.baseRow,$E262&lt;&gt;"",ISNA(MATCH($E262,Tables!$B$225:$B$232,0))),
Error!$B$2,
IF(AND(_xlpm.baseRow,$F262&lt;&gt;"",ISNA(MATCH($F262,Tables!$B$234:$B$235,0))),
Error!$B$24,
IF(AND(_xlpm.baseRow,_xlpm.ECA_H&gt;0,_xlpm.Shore_H&gt;0),
Error!$B$16,
IF(AND(_xlpm.baseRow,$E262&lt;&gt;"",$D262=""),
Error!$B$3,
IF(AND(_xlpm.baseRow,OR($E262="Tier 3",$E262="Tier 4"),$C262&lt;&gt;"",$D262&gt;=24,COUNTIF(Tables2!$B$166:$B$674,$C262)&gt;0),
Error!$B$44,
IF(AND(_xlpm.baseRow,OR($E262="Tier 3",$E262="Tier 4"),$C262&lt;&gt;"",$D262&lt;&gt;"",COUNTIF(Tables2!$B$73:$B$152,$C262)&gt;0,
$D262&gt;=IFERROR(INDEX(Tables2!$C$73:$C$152,MATCH($C262,Tables2!$B$73:$B$152,0)),-1)),
Error!$B$44,
IF(AND(_xlpm.baseRow,OR($E262="Tier 2",$E262="Tier 2 Grove"),$C262&lt;&gt;"",$D262&gt;=12,COUNTIF(Tables2!$B$153:$B$162,$C262)&gt;0),
Error!$B$45,
IF(AND(_xlpm.baseRow,$E262="Tier 2 Grove",$D262&lt;12),
Error!$B$41,
IF(AND(_xlpm.baseRow,$E262="Tier 2",$D262&lt;5.88),
Error!$B$40,
IF(AND(_xlpm.baseRow,OR($E262="Tier 2",$E262="Tier 2 Grove"),$C262&lt;&gt;"",$D262&lt;12,$D262&gt;=6,COUNTIF(Tables2!$B$153:$B$162,$C262)&gt;0),
Error!$B$54,
IF(AND(_xlpm.baseRow,$E262="Tier 2",COUNTIF(Tables2!$B$166:$B$674,$C262)&gt;0,$D262&lt;24),
Error!$B$54,
IF(AND(_xlpm.baseRow,$E262="Tier 3",ISNA(MATCH($C262,Tables2!$B$153:$B$162,0)),OR($D262&lt;12,$D262&gt;=24)),
Error!$B$9,
IF(AND(_xlpm.baseRow,$E262="Tier 3",COUNTIF(Tables2!$B$153:$B$162,$C262)&gt;0,$D262&lt;12),
Error!$B$46,
IF(AND(_xlpm.baseRow,$E262="Tier 4",OR($D262&lt;6,$D262&gt;=12)),
Error!$B$10,
IF(AND(_xlpm.baseRow,$E262="&lt;6in DSH for Tree Points",OR($D262&gt;=6,$D262="")),
Error!$B$8,
IF(AND(_xlpm.baseRow,$E262="Street Tree for Green Factor",$F262&lt;&gt;"",$F262&lt;&gt;"Retain"),
Error!$B$14,
IF(AND($E262="&lt;6in DSH for Tree Points",$F262="Retain",$H262&lt;&gt;"",ISNA(MATCH($H262,Tables!$B$174:$B$174,0))),
Error!$B$15,
IF(AND($E262="Street Tree for Green Factor",$F262="Retain",$H262&lt;&gt;"",$H262&lt;&gt;"Zoning: Green Factor"),
Error!$B$15,
IF(AND($E262="ECA / Shoreline Tree",$F262="Remove",$H262&lt;&gt;"",ISNA(MATCH($H262,Tables!$B$189:$B$190,0))),
Error!$B$15,
IF(AND($E262="ECA / Shoreline Tree",$F262="Retain",$H262&lt;&gt;"",ISNA(MATCH($H262,Tables!$B$184:$B$186,0))),
Error!$B$15,
IF(AND($E262="Tier 4",$F262="Remove",$H262&lt;&gt;"",ISNA(MATCH($H262,Tables!$B$171,0))),
Error!$B$15,
IF(AND($E262="Tier 4",$F262="Retain",$H262&lt;&gt;"",ISNA(MATCH($H262,Tables!$B$166:$B$168,0))),
Error!$B$15,
IF(AND($E262="Tier 3",$F262="Retain",$H262&lt;&gt;"",ISNA(MATCH($H262,Tables!$B$158:$B$160,0))),
Error!$B$15,
IF(AND($E262="Tier 3",$F262="Remove",$H262&lt;&gt;"",ISNA(MATCH($H262,Tables!$B$163,0))),
Error!$B$15,
IF(AND(OR($E262="Tier 2",$E262="Tier 2 Grove"),$F262="Remove",$H262&lt;&gt;"",ISNA(MATCH($H262,Tables!$B$153:$B$155,0))),
Error!$B$15,
IF(AND(OR($E262="Tier 2",$E262="Tier 2 Grove"),$F262="Retain",$H262&lt;&gt;"",ISNA(MATCH($H262,Tables!$B$147:$B$150,0))),
Error!$B$15,
IF(AND($E262="Tier 1",$F262="Remove",$H262&lt;&gt;"",ISNA(MATCH($H262,Tables!$B$143:$B$144,0))),
Error!$B$15,
IF(AND($E262="Tier 1",$F262="Retain",$H262&lt;&gt;"",ISNA(MATCH($H262,Tables!$B$137:$B$140,0))),
Error!$B$15,
IF(AND($E262&lt;&gt;"Tier 2",$E262&lt;&gt;"Tier 2 Grove",$E262&lt;&gt;"Tier 3",$E262&lt;&gt;"Tier 4",$H262="Zoning: Green Factor",OR($D262="",$D262&lt;6)),
Error!$B$11,
IF(AND(_xlpm.baseRow,$D262&lt;6,$E262="&lt;6in DSH for Tree Points",_xlpm.TreePoints_H=0),
Error!$B$21,
IF(AND(_xlpm.baseRow,$E262&lt;&gt;"",$D262&lt;&gt;"",$F262=""),
Error!$B$4,
IF(AND(_xlpm.baseRow,$F262="Remove",OR($E262="Tier 1",$E262="Tier 2",$E262="Tier 2 Grove"),COUNTBLANK(_xlpm.HRange)&lt;3,_xlpm.uniqueH&gt;=2),
Error!$B$48,
IF(AND(_xlpm.baseRow,$F262="Retain",OR($E262="Tier 1",$E262="Tier 2",$E262="Tier 2 Grove"),COUNTIF(_xlpm.HRange,"Tree Code: Required to Retain Tier 1-2 Tree")=0),
Error!$B$47,
IF(AND(_xlpm.baseRow,$E262&lt;&gt;"",$D262&lt;&gt;"",$F262&lt;&gt;"",COUNTBLANK(_xlpm.HRange)=4),
Error!$B$5,
IF(AND($F262="Remove",$H262&lt;&gt;"",$I262=""),
Error!$B$18,
IF(AND($E262="Tier 4",$F262="Remove",$H262="Tree Protection Code: Tier 3 or Tier 4 Allowance",$H262&lt;&gt;"",ISNA(MATCH($I262,Tables!$B$200,0))),
Error!$B$17,
IF(AND($E262="Tier 3",$F262="Remove",$H262&lt;&gt;"",$H262="Tree Protection Code: Tier 3 or Tier 4 Allowance",OR($I262="",ISNA(MATCH($I262,Tables!$B$193:$B$197,0)))),
Error!$B$17,
IF(AND(OR($E262="Tier 2",$E262="Tier 2 Grove"),$F262="Remove",$H262="Tree Protection Code: Other removal allowance or exemption",$I262&lt;&gt;"",ISNA(MATCH($I262,Tables!$B$215:$B$218,0))),
Error!$B$17,
IF(AND(OR($E262="Tier 2",$E262="Tier 2 Grove"),$F262="Remove",$H262="Tree Protection Code: Development Capacity",$I262&lt;&gt;"",ISNA(MATCH($I262,Tables!$B$193:$B$197,0))),
Error!$B$17,
IF(AND(OR($E262="Tier 2",$E262="Tier 2 Grove"),$F262="Remove",$H262="Tree Protection Code: Necessary for Construction",$I262&lt;&gt;"",ISNA(MATCH($I262,Tables!$B$193:$B$197,0))),
Error!$B$17,
IF(AND($E262="Tier 1",$F262="Remove",$H262="Tree Protection Code: Special Exception",$I262&lt;&gt;"",ISNA(MATCH($I262,Tables!$B$215:$B$218,0))),
Error!$B$17,
IF(AND($E262="Tier 1",$F262="Remove",$H262="Tree Protection Code: Other removal allowance or exemption",$I262&lt;&gt;"",ISNA(MATCH($I262,Tables!$B$215:$B$218,0))),
Error!$B$17,
IF(AND($E262="ECA / Shoreline Tree",$F262="Remove",$H262&lt;&gt;"",OR($H262="Shoreline",$H262="Environmental Critical Area (ECA)"),ISNA(MATCH($I262,Tables!$B$209:$B$212,0))),
Error!$B$17,
IF(AND(_xlpm.baseRow,$F262="Retain",$E262="ECA / Shoreline Tree",_xlpm.ECA_Short=0),
Error!$B$61,
IF(AND($F262="Remove",ISNUMBER(MATCH($E262,{"Tier 1","Tier 2","Tier 3","Tier 4","Tier 2 Grove"},0)),ISNUMBER(MATCH($I262,{"On-site replacement","Off-site replacement"},0)),$J262="",$H262&lt;&gt;""),
Error!$B$19,
IF(AND(_xlpm.baseRow,$E262&lt;&gt;"",$D262&lt;&gt;"",$F262&lt;&gt;"",COUNTBLANK($B262:$C262)&gt;0,COUNTBLANK(_xlpm.HRange)&lt;&gt;4),
Error!$B$22,
IF(AND($H262="Zoning: Tree Points",$K262&lt;&gt;"",ISNA(MATCH($K262,Tables!$B$242:$B$253,0))),
Error!$B$58,
IF(AND($H262="Zoning: Tree Points",$K262="Small",$L262&lt;&gt;"",ISNA(MATCH($L262,Tables!$C$243:$C$244,0))),
Error!$B$59,
IF(AND($H262="Zoning: Tree Points",$K262="Small/Medium",$L262&lt;&gt;"",ISNA(MATCH($L262,Tables!$C$246:$C$247,0))),
Error!$B$59,
IF(AND($H262="Zoning: Tree Points",$K262="Medium/Large",$L262&lt;&gt;"",ISNA(MATCH($L262,Tables!$C$249:$C$250,0))),
Error!$B$59,
IF(AND($H262="Zoning: Tree Points",$K262="Large",$L262&lt;&gt;"",ISNA(MATCH($L262,Tables!$C$252:$C$253,0))),
Error!$B$59,
IF(AND($F262="Retain",$H262="Zoning: Tree Points",$C262&lt;&gt;"",$D262&lt;&gt;"",OR($K262="",$L262="",$M262="")),
Error!$B$20,
""
)))))))))))))))))))))))))))))))))))))))))))))))))))))))),
Error!$B$23))</f>
        <v/>
      </c>
      <c r="O262" s="343" t="str" cm="1">
        <f t="array" aca="1" ref="O262" ca="1">IFERROR(_xlfn.LET(
    _xlpm.txt, $C262,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63" spans="1:15" ht="15" thickBot="1" x14ac:dyDescent="0.35">
      <c r="A263" s="311">
        <v>64</v>
      </c>
      <c r="B263" s="312"/>
      <c r="C263" s="313"/>
      <c r="D263" s="478"/>
      <c r="E263" s="314"/>
      <c r="F263" s="314"/>
      <c r="G263" s="315" t="str">
        <f>IF(Tree_Table1[[#This Row],[Tree Status  &amp;]]="Retain", Tables!$B$237, IF(Tree_Table1[[#This Row],[Tree Status  &amp;]]="Remove", Tables!$B$238, ""))</f>
        <v/>
      </c>
      <c r="H263" s="316"/>
      <c r="I263" s="317"/>
      <c r="J263" s="452"/>
      <c r="K263" s="318" t="str">
        <f>IFERROR(
    IF(
        AND($H263="Zoning: Tree Points", NOT(ISNUMBER(SEARCH("sp.", $C263)))),
        VLOOKUP($C263, 'Tree List'!$C$3:$F$601, 4, FALSE),
        ""
    ),
"")</f>
        <v/>
      </c>
      <c r="L263" s="319" t="str" cm="1">
        <f t="array" ref="L263">IFERROR(
IF(
    AND($H263="Zoning: Tree Points", NOT(ISNUMBER(SEARCH("sp.", $C263)))),
    _xlfn.IFS(
        (COUNTIFS('Tree List'!$C$3:$C$601,$C263,'Tree List'!$D$3:$D$601,"Coniferous")
        + COUNTIFS('Tree List'!$C$3:$C$601,$C263,'Tree List'!$D$3:$D$601,"Deciduous Conifer")) &gt; 0,
            _xlfn.IFS($K263="Small",0.5,$K263="Small/Medium",1,$K263="Medium/Large",1.4,$K263="Large",1.8),
        (COUNTIFS('Tree List'!$C$3:$C$601,$C263,'Tree List'!$D$3:$D$601,"Deciduous")
        + COUNTIFS('Tree List'!$C$3:$C$601,$C263,'Tree List'!$D$3:$D$601,"Broadleaf Evergreen")) &gt; 0,
            _xlfn.IFS($K263="Small",0.4,$K263="Small/Medium",0.8,$K263="Medium/Large",1.2,$K263="Large",1.6)
    ),
    ""
),
"")</f>
        <v/>
      </c>
      <c r="M263" s="474" t="str">
        <f t="shared" si="249"/>
        <v/>
      </c>
      <c r="N263" s="620" t="str" cm="1">
        <f t="array" aca="1" ref="N26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IF(AND(_xlpm.baseRow,ISNA(MATCH($C263,'Tree List'!$C$3:$C$601,0)),SUMPRODUCT(--ISNUMBER(SEARCH(Tables2!$C$677:$C$772,$O263)))&gt;0),
Error!$B$57,
IF(AND(_xlpm.hasDM,$F263="Remove",$H263&lt;&gt;"",OR($I263="On-site replacement",$I263="Off-site replacement",$I263="Payment In Lieu")),
Error!$B$56,
IF(AND(_xlpm.hasDM,$F263="Remove",$H263&lt;&gt;"",$I263="Relocation"),
Error!$B$66,
IF(AND(OR(_xlpm.hasCN,_xlpm.hasPH,_xlpm.hasGR),$H263&lt;&gt;"",COUNTIF(Tables!$B$132:$B$134,$H263)&gt;0,$I263="N/A (No replacement required)"),
Error!$B$62,
IF(AND(_xlpm.baseRow,$E263&lt;&gt;"",ISNA(MATCH($E263,Tables!$B$225:$B$232,0))),
Error!$B$2,
IF(AND(_xlpm.baseRow,$F263&lt;&gt;"",ISNA(MATCH($F263,Tables!$B$234:$B$235,0))),
Error!$B$24,
IF(AND(_xlpm.baseRow,_xlpm.ECA_H&gt;0,_xlpm.Shore_H&gt;0),
Error!$B$16,
IF(AND(_xlpm.baseRow,$E263&lt;&gt;"",$D263=""),
Error!$B$3,
IF(AND(_xlpm.baseRow,OR($E263="Tier 3",$E263="Tier 4"),$C263&lt;&gt;"",$D263&gt;=24,COUNTIF(Tables2!$B$166:$B$674,$C263)&gt;0),
Error!$B$44,
IF(AND(_xlpm.baseRow,OR($E263="Tier 3",$E263="Tier 4"),$C263&lt;&gt;"",$D263&lt;&gt;"",COUNTIF(Tables2!$B$73:$B$152,$C263)&gt;0,
$D263&gt;=IFERROR(INDEX(Tables2!$C$73:$C$152,MATCH($C263,Tables2!$B$73:$B$152,0)),-1)),
Error!$B$44,
IF(AND(_xlpm.baseRow,OR($E263="Tier 2",$E263="Tier 2 Grove"),$C263&lt;&gt;"",$D263&gt;=12,COUNTIF(Tables2!$B$153:$B$162,$C263)&gt;0),
Error!$B$45,
IF(AND(_xlpm.baseRow,$E263="Tier 2 Grove",$D263&lt;12),
Error!$B$41,
IF(AND(_xlpm.baseRow,$E263="Tier 2",$D263&lt;5.88),
Error!$B$40,
IF(AND(_xlpm.baseRow,OR($E263="Tier 2",$E263="Tier 2 Grove"),$C263&lt;&gt;"",$D263&lt;12,$D263&gt;=6,COUNTIF(Tables2!$B$153:$B$162,$C263)&gt;0),
Error!$B$54,
IF(AND(_xlpm.baseRow,$E263="Tier 2",COUNTIF(Tables2!$B$166:$B$674,$C263)&gt;0,$D263&lt;24),
Error!$B$54,
IF(AND(_xlpm.baseRow,$E263="Tier 3",ISNA(MATCH($C263,Tables2!$B$153:$B$162,0)),OR($D263&lt;12,$D263&gt;=24)),
Error!$B$9,
IF(AND(_xlpm.baseRow,$E263="Tier 3",COUNTIF(Tables2!$B$153:$B$162,$C263)&gt;0,$D263&lt;12),
Error!$B$46,
IF(AND(_xlpm.baseRow,$E263="Tier 4",OR($D263&lt;6,$D263&gt;=12)),
Error!$B$10,
IF(AND(_xlpm.baseRow,$E263="&lt;6in DSH for Tree Points",OR($D263&gt;=6,$D263="")),
Error!$B$8,
IF(AND(_xlpm.baseRow,$E263="Street Tree for Green Factor",$F263&lt;&gt;"",$F263&lt;&gt;"Retain"),
Error!$B$14,
IF(AND($E263="&lt;6in DSH for Tree Points",$F263="Retain",$H263&lt;&gt;"",ISNA(MATCH($H263,Tables!$B$174:$B$174,0))),
Error!$B$15,
IF(AND($E263="Street Tree for Green Factor",$F263="Retain",$H263&lt;&gt;"",$H263&lt;&gt;"Zoning: Green Factor"),
Error!$B$15,
IF(AND($E263="ECA / Shoreline Tree",$F263="Remove",$H263&lt;&gt;"",ISNA(MATCH($H263,Tables!$B$189:$B$190,0))),
Error!$B$15,
IF(AND($E263="ECA / Shoreline Tree",$F263="Retain",$H263&lt;&gt;"",ISNA(MATCH($H263,Tables!$B$184:$B$186,0))),
Error!$B$15,
IF(AND($E263="Tier 4",$F263="Remove",$H263&lt;&gt;"",ISNA(MATCH($H263,Tables!$B$171,0))),
Error!$B$15,
IF(AND($E263="Tier 4",$F263="Retain",$H263&lt;&gt;"",ISNA(MATCH($H263,Tables!$B$166:$B$168,0))),
Error!$B$15,
IF(AND($E263="Tier 3",$F263="Retain",$H263&lt;&gt;"",ISNA(MATCH($H263,Tables!$B$158:$B$160,0))),
Error!$B$15,
IF(AND($E263="Tier 3",$F263="Remove",$H263&lt;&gt;"",ISNA(MATCH($H263,Tables!$B$163,0))),
Error!$B$15,
IF(AND(OR($E263="Tier 2",$E263="Tier 2 Grove"),$F263="Remove",$H263&lt;&gt;"",ISNA(MATCH($H263,Tables!$B$153:$B$155,0))),
Error!$B$15,
IF(AND(OR($E263="Tier 2",$E263="Tier 2 Grove"),$F263="Retain",$H263&lt;&gt;"",ISNA(MATCH($H263,Tables!$B$147:$B$150,0))),
Error!$B$15,
IF(AND($E263="Tier 1",$F263="Remove",$H263&lt;&gt;"",ISNA(MATCH($H263,Tables!$B$143:$B$144,0))),
Error!$B$15,
IF(AND($E263="Tier 1",$F263="Retain",$H263&lt;&gt;"",ISNA(MATCH($H263,Tables!$B$137:$B$140,0))),
Error!$B$15,
IF(AND($E263&lt;&gt;"Tier 2",$E263&lt;&gt;"Tier 2 Grove",$E263&lt;&gt;"Tier 3",$E263&lt;&gt;"Tier 4",$H263="Zoning: Green Factor",OR($D263="",$D263&lt;6)),
Error!$B$11,
IF(AND(_xlpm.baseRow,$D263&lt;6,$E263="&lt;6in DSH for Tree Points",_xlpm.TreePoints_H=0),
Error!$B$21,
IF(AND(_xlpm.baseRow,$E263&lt;&gt;"",$D263&lt;&gt;"",$F263=""),
Error!$B$4,
IF(AND(_xlpm.baseRow,$F263="Remove",OR($E263="Tier 1",$E263="Tier 2",$E263="Tier 2 Grove"),COUNTBLANK(_xlpm.HRange)&lt;3,_xlpm.uniqueH&gt;=2),
Error!$B$48,
IF(AND(_xlpm.baseRow,$F263="Retain",OR($E263="Tier 1",$E263="Tier 2",$E263="Tier 2 Grove"),COUNTIF(_xlpm.HRange,"Tree Code: Required to Retain Tier 1-2 Tree")=0),
Error!$B$47,
IF(AND(_xlpm.baseRow,$E263&lt;&gt;"",$D263&lt;&gt;"",$F263&lt;&gt;"",COUNTBLANK(_xlpm.HRange)=4),
Error!$B$5,
IF(AND($F263="Remove",$H263&lt;&gt;"",$I263=""),
Error!$B$18,
IF(AND($E263="Tier 4",$F263="Remove",$H263="Tree Protection Code: Tier 3 or Tier 4 Allowance",$H263&lt;&gt;"",ISNA(MATCH($I263,Tables!$B$200,0))),
Error!$B$17,
IF(AND($E263="Tier 3",$F263="Remove",$H263&lt;&gt;"",$H263="Tree Protection Code: Tier 3 or Tier 4 Allowance",OR($I263="",ISNA(MATCH($I263,Tables!$B$193:$B$197,0)))),
Error!$B$17,
IF(AND(OR($E263="Tier 2",$E263="Tier 2 Grove"),$F263="Remove",$H263="Tree Protection Code: Other removal allowance or exemption",$I263&lt;&gt;"",ISNA(MATCH($I263,Tables!$B$215:$B$218,0))),
Error!$B$17,
IF(AND(OR($E263="Tier 2",$E263="Tier 2 Grove"),$F263="Remove",$H263="Tree Protection Code: Development Capacity",$I263&lt;&gt;"",ISNA(MATCH($I263,Tables!$B$193:$B$197,0))),
Error!$B$17,
IF(AND(OR($E263="Tier 2",$E263="Tier 2 Grove"),$F263="Remove",$H263="Tree Protection Code: Necessary for Construction",$I263&lt;&gt;"",ISNA(MATCH($I263,Tables!$B$193:$B$197,0))),
Error!$B$17,
IF(AND($E263="Tier 1",$F263="Remove",$H263="Tree Protection Code: Special Exception",$I263&lt;&gt;"",ISNA(MATCH($I263,Tables!$B$215:$B$218,0))),
Error!$B$17,
IF(AND($E263="Tier 1",$F263="Remove",$H263="Tree Protection Code: Other removal allowance or exemption",$I263&lt;&gt;"",ISNA(MATCH($I263,Tables!$B$215:$B$218,0))),
Error!$B$17,
IF(AND($E263="ECA / Shoreline Tree",$F263="Remove",$H263&lt;&gt;"",OR($H263="Shoreline",$H263="Environmental Critical Area (ECA)"),ISNA(MATCH($I263,Tables!$B$209:$B$212,0))),
Error!$B$17,
IF(AND(_xlpm.baseRow,$F263="Retain",$E263="ECA / Shoreline Tree",_xlpm.ECA_Short=0),
Error!$B$61,
IF(AND($F263="Remove",ISNUMBER(MATCH($E263,{"Tier 1","Tier 2","Tier 3","Tier 4","Tier 2 Grove"},0)),ISNUMBER(MATCH($I263,{"On-site replacement","Off-site replacement"},0)),$J263="",$H263&lt;&gt;""),
Error!$B$19,
IF(AND(_xlpm.baseRow,$E263&lt;&gt;"",$D263&lt;&gt;"",$F263&lt;&gt;"",COUNTBLANK($B263:$C263)&gt;0,COUNTBLANK(_xlpm.HRange)&lt;&gt;4),
Error!$B$22,
IF(AND($H263="Zoning: Tree Points",$K263&lt;&gt;"",ISNA(MATCH($K263,Tables!$B$242:$B$253,0))),
Error!$B$58,
IF(AND($H263="Zoning: Tree Points",$K263="Small",$L263&lt;&gt;"",ISNA(MATCH($L263,Tables!$C$243:$C$244,0))),
Error!$B$59,
IF(AND($H263="Zoning: Tree Points",$K263="Small/Medium",$L263&lt;&gt;"",ISNA(MATCH($L263,Tables!$C$246:$C$247,0))),
Error!$B$59,
IF(AND($H263="Zoning: Tree Points",$K263="Medium/Large",$L263&lt;&gt;"",ISNA(MATCH($L263,Tables!$C$249:$C$250,0))),
Error!$B$59,
IF(AND($H263="Zoning: Tree Points",$K263="Large",$L263&lt;&gt;"",ISNA(MATCH($L263,Tables!$C$252:$C$253,0))),
Error!$B$59,
IF(AND($F263="Retain",$H263="Zoning: Tree Points",$C263&lt;&gt;"",$D263&lt;&gt;"",OR($K263="",$L263="",$M263="")),
Error!$B$20,
""
)))))))))))))))))))))))))))))))))))))))))))))))))))))))),
Error!$B$23))</f>
        <v/>
      </c>
      <c r="O263" s="343" t="str" cm="1">
        <f t="array" aca="1" ref="O263" ca="1">IFERROR(_xlfn.LET(
    _xlpm.txt, $C263,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64" spans="1:15" x14ac:dyDescent="0.3">
      <c r="A264" s="320"/>
      <c r="B264" s="616" t="str">
        <f t="shared" ref="B264:B266" si="275">IF($B263="", "", $B263)</f>
        <v/>
      </c>
      <c r="C264" s="617" t="str">
        <f t="shared" ref="C264:C266" si="276">IF($C263="", "", $C263)</f>
        <v/>
      </c>
      <c r="D264" s="618" t="str">
        <f t="shared" ref="D264:D266" si="277">IF($D263="", "", $D263)</f>
        <v/>
      </c>
      <c r="E264" s="616" t="str">
        <f t="shared" ref="E264:E266" si="278">IF($E263="", "", $E263)</f>
        <v/>
      </c>
      <c r="F264" s="616" t="str">
        <f t="shared" ref="F264:F266" si="279">IF($F263="", "", $F263)</f>
        <v/>
      </c>
      <c r="G264" s="619" t="str">
        <f>IF(Tree_Table1[[#This Row],[Tree Status  &amp;]]="Retain", Tables!$B$237, IF(Tree_Table1[[#This Row],[Tree Status  &amp;]]="Remove", Tables!$B$238, ""))</f>
        <v/>
      </c>
      <c r="H264" s="321"/>
      <c r="I264" s="322"/>
      <c r="J264" s="453"/>
      <c r="K264" s="323" t="str">
        <f>IFERROR(
    IF(
        AND($H264="Zoning: Tree Points", NOT(ISNUMBER(SEARCH("sp.", $C264)))),
        VLOOKUP($C264, 'Tree List'!$C$3:$F$601, 4, FALSE),
        ""
    ),
"")</f>
        <v/>
      </c>
      <c r="L264" s="324" t="str" cm="1">
        <f t="array" ref="L264">IFERROR(
IF(
    AND($H264="Zoning: Tree Points", NOT(ISNUMBER(SEARCH("sp.", $C264)))),
    _xlfn.IFS(
        (COUNTIFS('Tree List'!$C$3:$C$601,$C264,'Tree List'!$D$3:$D$601,"Coniferous")
        + COUNTIFS('Tree List'!$C$3:$C$601,$C264,'Tree List'!$D$3:$D$601,"Deciduous Conifer")) &gt; 0,
            _xlfn.IFS($K264="Small",0.5,$K264="Small/Medium",1,$K264="Medium/Large",1.4,$K264="Large",1.8),
        (COUNTIFS('Tree List'!$C$3:$C$601,$C264,'Tree List'!$D$3:$D$601,"Deciduous")
        + COUNTIFS('Tree List'!$C$3:$C$601,$C264,'Tree List'!$D$3:$D$601,"Broadleaf Evergreen")) &gt; 0,
            _xlfn.IFS($K264="Small",0.4,$K264="Small/Medium",0.8,$K264="Medium/Large",1.2,$K264="Large",1.6)
    ),
    ""
),
"")</f>
        <v/>
      </c>
      <c r="M264" s="475" t="str">
        <f t="shared" si="249"/>
        <v/>
      </c>
      <c r="N264" s="346" t="str" cm="1">
        <f t="array" aca="1" ref="N26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IF(AND(_xlpm.baseRow,ISNA(MATCH($C264,'Tree List'!$C$3:$C$601,0)),SUMPRODUCT(--ISNUMBER(SEARCH(Tables2!$C$677:$C$772,$O264)))&gt;0),
Error!$B$57,
IF(AND(_xlpm.hasDM,$F264="Remove",$H264&lt;&gt;"",OR($I264="On-site replacement",$I264="Off-site replacement",$I264="Payment In Lieu")),
Error!$B$56,
IF(AND(_xlpm.hasDM,$F264="Remove",$H264&lt;&gt;"",$I264="Relocation"),
Error!$B$66,
IF(AND(OR(_xlpm.hasCN,_xlpm.hasPH,_xlpm.hasGR),$H264&lt;&gt;"",COUNTIF(Tables!$B$132:$B$134,$H264)&gt;0,$I264="N/A (No replacement required)"),
Error!$B$62,
IF(AND(_xlpm.baseRow,$E264&lt;&gt;"",ISNA(MATCH($E264,Tables!$B$225:$B$232,0))),
Error!$B$2,
IF(AND(_xlpm.baseRow,$F264&lt;&gt;"",ISNA(MATCH($F264,Tables!$B$234:$B$235,0))),
Error!$B$24,
IF(AND(_xlpm.baseRow,_xlpm.ECA_H&gt;0,_xlpm.Shore_H&gt;0),
Error!$B$16,
IF(AND(_xlpm.baseRow,$E264&lt;&gt;"",$D264=""),
Error!$B$3,
IF(AND(_xlpm.baseRow,OR($E264="Tier 3",$E264="Tier 4"),$C264&lt;&gt;"",$D264&gt;=24,COUNTIF(Tables2!$B$166:$B$674,$C264)&gt;0),
Error!$B$44,
IF(AND(_xlpm.baseRow,OR($E264="Tier 3",$E264="Tier 4"),$C264&lt;&gt;"",$D264&lt;&gt;"",COUNTIF(Tables2!$B$73:$B$152,$C264)&gt;0,
$D264&gt;=IFERROR(INDEX(Tables2!$C$73:$C$152,MATCH($C264,Tables2!$B$73:$B$152,0)),-1)),
Error!$B$44,
IF(AND(_xlpm.baseRow,OR($E264="Tier 2",$E264="Tier 2 Grove"),$C264&lt;&gt;"",$D264&gt;=12,COUNTIF(Tables2!$B$153:$B$162,$C264)&gt;0),
Error!$B$45,
IF(AND(_xlpm.baseRow,$E264="Tier 2 Grove",$D264&lt;12),
Error!$B$41,
IF(AND(_xlpm.baseRow,$E264="Tier 2",$D264&lt;5.88),
Error!$B$40,
IF(AND(_xlpm.baseRow,OR($E264="Tier 2",$E264="Tier 2 Grove"),$C264&lt;&gt;"",$D264&lt;12,$D264&gt;=6,COUNTIF(Tables2!$B$153:$B$162,$C264)&gt;0),
Error!$B$54,
IF(AND(_xlpm.baseRow,$E264="Tier 2",COUNTIF(Tables2!$B$166:$B$674,$C264)&gt;0,$D264&lt;24),
Error!$B$54,
IF(AND(_xlpm.baseRow,$E264="Tier 3",ISNA(MATCH($C264,Tables2!$B$153:$B$162,0)),OR($D264&lt;12,$D264&gt;=24)),
Error!$B$9,
IF(AND(_xlpm.baseRow,$E264="Tier 3",COUNTIF(Tables2!$B$153:$B$162,$C264)&gt;0,$D264&lt;12),
Error!$B$46,
IF(AND(_xlpm.baseRow,$E264="Tier 4",OR($D264&lt;6,$D264&gt;=12)),
Error!$B$10,
IF(AND(_xlpm.baseRow,$E264="&lt;6in DSH for Tree Points",OR($D264&gt;=6,$D264="")),
Error!$B$8,
IF(AND(_xlpm.baseRow,$E264="Street Tree for Green Factor",$F264&lt;&gt;"",$F264&lt;&gt;"Retain"),
Error!$B$14,
IF(AND($E264="&lt;6in DSH for Tree Points",$F264="Retain",$H264&lt;&gt;"",ISNA(MATCH($H264,Tables!$B$174:$B$174,0))),
Error!$B$15,
IF(AND($E264="Street Tree for Green Factor",$F264="Retain",$H264&lt;&gt;"",$H264&lt;&gt;"Zoning: Green Factor"),
Error!$B$15,
IF(AND($E264="ECA / Shoreline Tree",$F264="Remove",$H264&lt;&gt;"",ISNA(MATCH($H264,Tables!$B$189:$B$190,0))),
Error!$B$15,
IF(AND($E264="ECA / Shoreline Tree",$F264="Retain",$H264&lt;&gt;"",ISNA(MATCH($H264,Tables!$B$184:$B$186,0))),
Error!$B$15,
IF(AND($E264="Tier 4",$F264="Remove",$H264&lt;&gt;"",ISNA(MATCH($H264,Tables!$B$171,0))),
Error!$B$15,
IF(AND($E264="Tier 4",$F264="Retain",$H264&lt;&gt;"",ISNA(MATCH($H264,Tables!$B$166:$B$168,0))),
Error!$B$15,
IF(AND($E264="Tier 3",$F264="Retain",$H264&lt;&gt;"",ISNA(MATCH($H264,Tables!$B$158:$B$160,0))),
Error!$B$15,
IF(AND($E264="Tier 3",$F264="Remove",$H264&lt;&gt;"",ISNA(MATCH($H264,Tables!$B$163,0))),
Error!$B$15,
IF(AND(OR($E264="Tier 2",$E264="Tier 2 Grove"),$F264="Remove",$H264&lt;&gt;"",ISNA(MATCH($H264,Tables!$B$153:$B$155,0))),
Error!$B$15,
IF(AND(OR($E264="Tier 2",$E264="Tier 2 Grove"),$F264="Retain",$H264&lt;&gt;"",ISNA(MATCH($H264,Tables!$B$147:$B$150,0))),
Error!$B$15,
IF(AND($E264="Tier 1",$F264="Remove",$H264&lt;&gt;"",ISNA(MATCH($H264,Tables!$B$143:$B$144,0))),
Error!$B$15,
IF(AND($E264="Tier 1",$F264="Retain",$H264&lt;&gt;"",ISNA(MATCH($H264,Tables!$B$137:$B$140,0))),
Error!$B$15,
IF(AND($E264&lt;&gt;"Tier 2",$E264&lt;&gt;"Tier 2 Grove",$E264&lt;&gt;"Tier 3",$E264&lt;&gt;"Tier 4",$H264="Zoning: Green Factor",OR($D264="",$D264&lt;6)),
Error!$B$11,
IF(AND(_xlpm.baseRow,$D264&lt;6,$E264="&lt;6in DSH for Tree Points",_xlpm.TreePoints_H=0),
Error!$B$21,
IF(AND(_xlpm.baseRow,$E264&lt;&gt;"",$D264&lt;&gt;"",$F264=""),
Error!$B$4,
IF(AND(_xlpm.baseRow,$F264="Remove",OR($E264="Tier 1",$E264="Tier 2",$E264="Tier 2 Grove"),COUNTBLANK(_xlpm.HRange)&lt;3,_xlpm.uniqueH&gt;=2),
Error!$B$48,
IF(AND(_xlpm.baseRow,$F264="Retain",OR($E264="Tier 1",$E264="Tier 2",$E264="Tier 2 Grove"),COUNTIF(_xlpm.HRange,"Tree Code: Required to Retain Tier 1-2 Tree")=0),
Error!$B$47,
IF(AND(_xlpm.baseRow,$E264&lt;&gt;"",$D264&lt;&gt;"",$F264&lt;&gt;"",COUNTBLANK(_xlpm.HRange)=4),
Error!$B$5,
IF(AND($F264="Remove",$H264&lt;&gt;"",$I264=""),
Error!$B$18,
IF(AND($E264="Tier 4",$F264="Remove",$H264="Tree Protection Code: Tier 3 or Tier 4 Allowance",$H264&lt;&gt;"",ISNA(MATCH($I264,Tables!$B$200,0))),
Error!$B$17,
IF(AND($E264="Tier 3",$F264="Remove",$H264&lt;&gt;"",$H264="Tree Protection Code: Tier 3 or Tier 4 Allowance",OR($I264="",ISNA(MATCH($I264,Tables!$B$193:$B$197,0)))),
Error!$B$17,
IF(AND(OR($E264="Tier 2",$E264="Tier 2 Grove"),$F264="Remove",$H264="Tree Protection Code: Other removal allowance or exemption",$I264&lt;&gt;"",ISNA(MATCH($I264,Tables!$B$215:$B$218,0))),
Error!$B$17,
IF(AND(OR($E264="Tier 2",$E264="Tier 2 Grove"),$F264="Remove",$H264="Tree Protection Code: Development Capacity",$I264&lt;&gt;"",ISNA(MATCH($I264,Tables!$B$193:$B$197,0))),
Error!$B$17,
IF(AND(OR($E264="Tier 2",$E264="Tier 2 Grove"),$F264="Remove",$H264="Tree Protection Code: Necessary for Construction",$I264&lt;&gt;"",ISNA(MATCH($I264,Tables!$B$193:$B$197,0))),
Error!$B$17,
IF(AND($E264="Tier 1",$F264="Remove",$H264="Tree Protection Code: Special Exception",$I264&lt;&gt;"",ISNA(MATCH($I264,Tables!$B$215:$B$218,0))),
Error!$B$17,
IF(AND($E264="Tier 1",$F264="Remove",$H264="Tree Protection Code: Other removal allowance or exemption",$I264&lt;&gt;"",ISNA(MATCH($I264,Tables!$B$215:$B$218,0))),
Error!$B$17,
IF(AND($E264="ECA / Shoreline Tree",$F264="Remove",$H264&lt;&gt;"",OR($H264="Shoreline",$H264="Environmental Critical Area (ECA)"),ISNA(MATCH($I264,Tables!$B$209:$B$212,0))),
Error!$B$17,
IF(AND(_xlpm.baseRow,$F264="Retain",$E264="ECA / Shoreline Tree",_xlpm.ECA_Short=0),
Error!$B$61,
IF(AND($F264="Remove",ISNUMBER(MATCH($E264,{"Tier 1","Tier 2","Tier 3","Tier 4","Tier 2 Grove"},0)),ISNUMBER(MATCH($I264,{"On-site replacement","Off-site replacement"},0)),$J264="",$H264&lt;&gt;""),
Error!$B$19,
IF(AND(_xlpm.baseRow,$E264&lt;&gt;"",$D264&lt;&gt;"",$F264&lt;&gt;"",COUNTBLANK($B264:$C264)&gt;0,COUNTBLANK(_xlpm.HRange)&lt;&gt;4),
Error!$B$22,
IF(AND($H264="Zoning: Tree Points",$K264&lt;&gt;"",ISNA(MATCH($K264,Tables!$B$242:$B$253,0))),
Error!$B$58,
IF(AND($H264="Zoning: Tree Points",$K264="Small",$L264&lt;&gt;"",ISNA(MATCH($L264,Tables!$C$243:$C$244,0))),
Error!$B$59,
IF(AND($H264="Zoning: Tree Points",$K264="Small/Medium",$L264&lt;&gt;"",ISNA(MATCH($L264,Tables!$C$246:$C$247,0))),
Error!$B$59,
IF(AND($H264="Zoning: Tree Points",$K264="Medium/Large",$L264&lt;&gt;"",ISNA(MATCH($L264,Tables!$C$249:$C$250,0))),
Error!$B$59,
IF(AND($H264="Zoning: Tree Points",$K264="Large",$L264&lt;&gt;"",ISNA(MATCH($L264,Tables!$C$252:$C$253,0))),
Error!$B$59,
IF(AND($F264="Retain",$H264="Zoning: Tree Points",$C264&lt;&gt;"",$D264&lt;&gt;"",OR($K264="",$L264="",$M264="")),
Error!$B$20,
""
)))))))))))))))))))))))))))))))))))))))))))))))))))))))),
Error!$B$23))</f>
        <v/>
      </c>
      <c r="O264" s="343" t="str" cm="1">
        <f t="array" aca="1" ref="O264" ca="1">IFERROR(_xlfn.LET(
    _xlpm.txt, $C264,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65" spans="1:15" x14ac:dyDescent="0.3">
      <c r="A265" s="320"/>
      <c r="B265" s="616" t="str">
        <f t="shared" si="275"/>
        <v/>
      </c>
      <c r="C265" s="617" t="str">
        <f t="shared" si="276"/>
        <v/>
      </c>
      <c r="D265" s="618" t="str">
        <f t="shared" si="277"/>
        <v/>
      </c>
      <c r="E265" s="616" t="str">
        <f t="shared" si="278"/>
        <v/>
      </c>
      <c r="F265" s="616" t="str">
        <f t="shared" si="279"/>
        <v/>
      </c>
      <c r="G265" s="619" t="str">
        <f>IF(Tree_Table1[[#This Row],[Tree Status  &amp;]]="Retain", Tables!$B$237, IF(Tree_Table1[[#This Row],[Tree Status  &amp;]]="Remove", Tables!$B$238, ""))</f>
        <v/>
      </c>
      <c r="H265" s="321"/>
      <c r="I265" s="322"/>
      <c r="J265" s="453"/>
      <c r="K265" s="323" t="str">
        <f>IFERROR(
    IF(
        AND($H265="Zoning: Tree Points", NOT(ISNUMBER(SEARCH("sp.", $C265)))),
        VLOOKUP($C265, 'Tree List'!$C$3:$F$601, 4, FALSE),
        ""
    ),
"")</f>
        <v/>
      </c>
      <c r="L265" s="324" t="str" cm="1">
        <f t="array" ref="L265">IFERROR(
IF(
    AND($H265="Zoning: Tree Points", NOT(ISNUMBER(SEARCH("sp.", $C265)))),
    _xlfn.IFS(
        (COUNTIFS('Tree List'!$C$3:$C$601,$C265,'Tree List'!$D$3:$D$601,"Coniferous")
        + COUNTIFS('Tree List'!$C$3:$C$601,$C265,'Tree List'!$D$3:$D$601,"Deciduous Conifer")) &gt; 0,
            _xlfn.IFS($K265="Small",0.5,$K265="Small/Medium",1,$K265="Medium/Large",1.4,$K265="Large",1.8),
        (COUNTIFS('Tree List'!$C$3:$C$601,$C265,'Tree List'!$D$3:$D$601,"Deciduous")
        + COUNTIFS('Tree List'!$C$3:$C$601,$C265,'Tree List'!$D$3:$D$601,"Broadleaf Evergreen")) &gt; 0,
            _xlfn.IFS($K265="Small",0.4,$K265="Small/Medium",0.8,$K265="Medium/Large",1.2,$K265="Large",1.6)
    ),
    ""
),
"")</f>
        <v/>
      </c>
      <c r="M265" s="475" t="str">
        <f t="shared" si="249"/>
        <v/>
      </c>
      <c r="N265" s="346" t="str" cm="1">
        <f t="array" aca="1" ref="N26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IF(AND(_xlpm.baseRow,ISNA(MATCH($C265,'Tree List'!$C$3:$C$601,0)),SUMPRODUCT(--ISNUMBER(SEARCH(Tables2!$C$677:$C$772,$O265)))&gt;0),
Error!$B$57,
IF(AND(_xlpm.hasDM,$F265="Remove",$H265&lt;&gt;"",OR($I265="On-site replacement",$I265="Off-site replacement",$I265="Payment In Lieu")),
Error!$B$56,
IF(AND(_xlpm.hasDM,$F265="Remove",$H265&lt;&gt;"",$I265="Relocation"),
Error!$B$66,
IF(AND(OR(_xlpm.hasCN,_xlpm.hasPH,_xlpm.hasGR),$H265&lt;&gt;"",COUNTIF(Tables!$B$132:$B$134,$H265)&gt;0,$I265="N/A (No replacement required)"),
Error!$B$62,
IF(AND(_xlpm.baseRow,$E265&lt;&gt;"",ISNA(MATCH($E265,Tables!$B$225:$B$232,0))),
Error!$B$2,
IF(AND(_xlpm.baseRow,$F265&lt;&gt;"",ISNA(MATCH($F265,Tables!$B$234:$B$235,0))),
Error!$B$24,
IF(AND(_xlpm.baseRow,_xlpm.ECA_H&gt;0,_xlpm.Shore_H&gt;0),
Error!$B$16,
IF(AND(_xlpm.baseRow,$E265&lt;&gt;"",$D265=""),
Error!$B$3,
IF(AND(_xlpm.baseRow,OR($E265="Tier 3",$E265="Tier 4"),$C265&lt;&gt;"",$D265&gt;=24,COUNTIF(Tables2!$B$166:$B$674,$C265)&gt;0),
Error!$B$44,
IF(AND(_xlpm.baseRow,OR($E265="Tier 3",$E265="Tier 4"),$C265&lt;&gt;"",$D265&lt;&gt;"",COUNTIF(Tables2!$B$73:$B$152,$C265)&gt;0,
$D265&gt;=IFERROR(INDEX(Tables2!$C$73:$C$152,MATCH($C265,Tables2!$B$73:$B$152,0)),-1)),
Error!$B$44,
IF(AND(_xlpm.baseRow,OR($E265="Tier 2",$E265="Tier 2 Grove"),$C265&lt;&gt;"",$D265&gt;=12,COUNTIF(Tables2!$B$153:$B$162,$C265)&gt;0),
Error!$B$45,
IF(AND(_xlpm.baseRow,$E265="Tier 2 Grove",$D265&lt;12),
Error!$B$41,
IF(AND(_xlpm.baseRow,$E265="Tier 2",$D265&lt;5.88),
Error!$B$40,
IF(AND(_xlpm.baseRow,OR($E265="Tier 2",$E265="Tier 2 Grove"),$C265&lt;&gt;"",$D265&lt;12,$D265&gt;=6,COUNTIF(Tables2!$B$153:$B$162,$C265)&gt;0),
Error!$B$54,
IF(AND(_xlpm.baseRow,$E265="Tier 2",COUNTIF(Tables2!$B$166:$B$674,$C265)&gt;0,$D265&lt;24),
Error!$B$54,
IF(AND(_xlpm.baseRow,$E265="Tier 3",ISNA(MATCH($C265,Tables2!$B$153:$B$162,0)),OR($D265&lt;12,$D265&gt;=24)),
Error!$B$9,
IF(AND(_xlpm.baseRow,$E265="Tier 3",COUNTIF(Tables2!$B$153:$B$162,$C265)&gt;0,$D265&lt;12),
Error!$B$46,
IF(AND(_xlpm.baseRow,$E265="Tier 4",OR($D265&lt;6,$D265&gt;=12)),
Error!$B$10,
IF(AND(_xlpm.baseRow,$E265="&lt;6in DSH for Tree Points",OR($D265&gt;=6,$D265="")),
Error!$B$8,
IF(AND(_xlpm.baseRow,$E265="Street Tree for Green Factor",$F265&lt;&gt;"",$F265&lt;&gt;"Retain"),
Error!$B$14,
IF(AND($E265="&lt;6in DSH for Tree Points",$F265="Retain",$H265&lt;&gt;"",ISNA(MATCH($H265,Tables!$B$174:$B$174,0))),
Error!$B$15,
IF(AND($E265="Street Tree for Green Factor",$F265="Retain",$H265&lt;&gt;"",$H265&lt;&gt;"Zoning: Green Factor"),
Error!$B$15,
IF(AND($E265="ECA / Shoreline Tree",$F265="Remove",$H265&lt;&gt;"",ISNA(MATCH($H265,Tables!$B$189:$B$190,0))),
Error!$B$15,
IF(AND($E265="ECA / Shoreline Tree",$F265="Retain",$H265&lt;&gt;"",ISNA(MATCH($H265,Tables!$B$184:$B$186,0))),
Error!$B$15,
IF(AND($E265="Tier 4",$F265="Remove",$H265&lt;&gt;"",ISNA(MATCH($H265,Tables!$B$171,0))),
Error!$B$15,
IF(AND($E265="Tier 4",$F265="Retain",$H265&lt;&gt;"",ISNA(MATCH($H265,Tables!$B$166:$B$168,0))),
Error!$B$15,
IF(AND($E265="Tier 3",$F265="Retain",$H265&lt;&gt;"",ISNA(MATCH($H265,Tables!$B$158:$B$160,0))),
Error!$B$15,
IF(AND($E265="Tier 3",$F265="Remove",$H265&lt;&gt;"",ISNA(MATCH($H265,Tables!$B$163,0))),
Error!$B$15,
IF(AND(OR($E265="Tier 2",$E265="Tier 2 Grove"),$F265="Remove",$H265&lt;&gt;"",ISNA(MATCH($H265,Tables!$B$153:$B$155,0))),
Error!$B$15,
IF(AND(OR($E265="Tier 2",$E265="Tier 2 Grove"),$F265="Retain",$H265&lt;&gt;"",ISNA(MATCH($H265,Tables!$B$147:$B$150,0))),
Error!$B$15,
IF(AND($E265="Tier 1",$F265="Remove",$H265&lt;&gt;"",ISNA(MATCH($H265,Tables!$B$143:$B$144,0))),
Error!$B$15,
IF(AND($E265="Tier 1",$F265="Retain",$H265&lt;&gt;"",ISNA(MATCH($H265,Tables!$B$137:$B$140,0))),
Error!$B$15,
IF(AND($E265&lt;&gt;"Tier 2",$E265&lt;&gt;"Tier 2 Grove",$E265&lt;&gt;"Tier 3",$E265&lt;&gt;"Tier 4",$H265="Zoning: Green Factor",OR($D265="",$D265&lt;6)),
Error!$B$11,
IF(AND(_xlpm.baseRow,$D265&lt;6,$E265="&lt;6in DSH for Tree Points",_xlpm.TreePoints_H=0),
Error!$B$21,
IF(AND(_xlpm.baseRow,$E265&lt;&gt;"",$D265&lt;&gt;"",$F265=""),
Error!$B$4,
IF(AND(_xlpm.baseRow,$F265="Remove",OR($E265="Tier 1",$E265="Tier 2",$E265="Tier 2 Grove"),COUNTBLANK(_xlpm.HRange)&lt;3,_xlpm.uniqueH&gt;=2),
Error!$B$48,
IF(AND(_xlpm.baseRow,$F265="Retain",OR($E265="Tier 1",$E265="Tier 2",$E265="Tier 2 Grove"),COUNTIF(_xlpm.HRange,"Tree Code: Required to Retain Tier 1-2 Tree")=0),
Error!$B$47,
IF(AND(_xlpm.baseRow,$E265&lt;&gt;"",$D265&lt;&gt;"",$F265&lt;&gt;"",COUNTBLANK(_xlpm.HRange)=4),
Error!$B$5,
IF(AND($F265="Remove",$H265&lt;&gt;"",$I265=""),
Error!$B$18,
IF(AND($E265="Tier 4",$F265="Remove",$H265="Tree Protection Code: Tier 3 or Tier 4 Allowance",$H265&lt;&gt;"",ISNA(MATCH($I265,Tables!$B$200,0))),
Error!$B$17,
IF(AND($E265="Tier 3",$F265="Remove",$H265&lt;&gt;"",$H265="Tree Protection Code: Tier 3 or Tier 4 Allowance",OR($I265="",ISNA(MATCH($I265,Tables!$B$193:$B$197,0)))),
Error!$B$17,
IF(AND(OR($E265="Tier 2",$E265="Tier 2 Grove"),$F265="Remove",$H265="Tree Protection Code: Other removal allowance or exemption",$I265&lt;&gt;"",ISNA(MATCH($I265,Tables!$B$215:$B$218,0))),
Error!$B$17,
IF(AND(OR($E265="Tier 2",$E265="Tier 2 Grove"),$F265="Remove",$H265="Tree Protection Code: Development Capacity",$I265&lt;&gt;"",ISNA(MATCH($I265,Tables!$B$193:$B$197,0))),
Error!$B$17,
IF(AND(OR($E265="Tier 2",$E265="Tier 2 Grove"),$F265="Remove",$H265="Tree Protection Code: Necessary for Construction",$I265&lt;&gt;"",ISNA(MATCH($I265,Tables!$B$193:$B$197,0))),
Error!$B$17,
IF(AND($E265="Tier 1",$F265="Remove",$H265="Tree Protection Code: Special Exception",$I265&lt;&gt;"",ISNA(MATCH($I265,Tables!$B$215:$B$218,0))),
Error!$B$17,
IF(AND($E265="Tier 1",$F265="Remove",$H265="Tree Protection Code: Other removal allowance or exemption",$I265&lt;&gt;"",ISNA(MATCH($I265,Tables!$B$215:$B$218,0))),
Error!$B$17,
IF(AND($E265="ECA / Shoreline Tree",$F265="Remove",$H265&lt;&gt;"",OR($H265="Shoreline",$H265="Environmental Critical Area (ECA)"),ISNA(MATCH($I265,Tables!$B$209:$B$212,0))),
Error!$B$17,
IF(AND(_xlpm.baseRow,$F265="Retain",$E265="ECA / Shoreline Tree",_xlpm.ECA_Short=0),
Error!$B$61,
IF(AND($F265="Remove",ISNUMBER(MATCH($E265,{"Tier 1","Tier 2","Tier 3","Tier 4","Tier 2 Grove"},0)),ISNUMBER(MATCH($I265,{"On-site replacement","Off-site replacement"},0)),$J265="",$H265&lt;&gt;""),
Error!$B$19,
IF(AND(_xlpm.baseRow,$E265&lt;&gt;"",$D265&lt;&gt;"",$F265&lt;&gt;"",COUNTBLANK($B265:$C265)&gt;0,COUNTBLANK(_xlpm.HRange)&lt;&gt;4),
Error!$B$22,
IF(AND($H265="Zoning: Tree Points",$K265&lt;&gt;"",ISNA(MATCH($K265,Tables!$B$242:$B$253,0))),
Error!$B$58,
IF(AND($H265="Zoning: Tree Points",$K265="Small",$L265&lt;&gt;"",ISNA(MATCH($L265,Tables!$C$243:$C$244,0))),
Error!$B$59,
IF(AND($H265="Zoning: Tree Points",$K265="Small/Medium",$L265&lt;&gt;"",ISNA(MATCH($L265,Tables!$C$246:$C$247,0))),
Error!$B$59,
IF(AND($H265="Zoning: Tree Points",$K265="Medium/Large",$L265&lt;&gt;"",ISNA(MATCH($L265,Tables!$C$249:$C$250,0))),
Error!$B$59,
IF(AND($H265="Zoning: Tree Points",$K265="Large",$L265&lt;&gt;"",ISNA(MATCH($L265,Tables!$C$252:$C$253,0))),
Error!$B$59,
IF(AND($F265="Retain",$H265="Zoning: Tree Points",$C265&lt;&gt;"",$D265&lt;&gt;"",OR($K265="",$L265="",$M265="")),
Error!$B$20,
""
)))))))))))))))))))))))))))))))))))))))))))))))))))))))),
Error!$B$23))</f>
        <v/>
      </c>
      <c r="O265" s="343" t="str" cm="1">
        <f t="array" aca="1" ref="O265" ca="1">IFERROR(_xlfn.LET(
    _xlpm.txt, $C265,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66" spans="1:15" ht="15" thickBot="1" x14ac:dyDescent="0.35">
      <c r="A266" s="331"/>
      <c r="B266" s="616" t="str">
        <f t="shared" si="275"/>
        <v/>
      </c>
      <c r="C266" s="617" t="str">
        <f t="shared" si="276"/>
        <v/>
      </c>
      <c r="D266" s="618" t="str">
        <f t="shared" si="277"/>
        <v/>
      </c>
      <c r="E266" s="616" t="str">
        <f t="shared" si="278"/>
        <v/>
      </c>
      <c r="F266" s="616" t="str">
        <f t="shared" si="279"/>
        <v/>
      </c>
      <c r="G266" s="619" t="str">
        <f>IF(Tree_Table1[[#This Row],[Tree Status  &amp;]]="Retain", Tables!$B$237, IF(Tree_Table1[[#This Row],[Tree Status  &amp;]]="Remove", Tables!$B$238, ""))</f>
        <v/>
      </c>
      <c r="H266" s="329"/>
      <c r="I266" s="330"/>
      <c r="J266" s="455"/>
      <c r="K266" s="327" t="str">
        <f>IFERROR(
    IF(
        AND($H266="Zoning: Tree Points", NOT(ISNUMBER(SEARCH("sp.", $C266)))),
        VLOOKUP($C266, 'Tree List'!$C$3:$F$601, 4, FALSE),
        ""
    ),
"")</f>
        <v/>
      </c>
      <c r="L266" s="328" t="str" cm="1">
        <f t="array" ref="L266">IFERROR(
IF(
    AND($H266="Zoning: Tree Points", NOT(ISNUMBER(SEARCH("sp.", $C266)))),
    _xlfn.IFS(
        (COUNTIFS('Tree List'!$C$3:$C$601,$C266,'Tree List'!$D$3:$D$601,"Coniferous")
        + COUNTIFS('Tree List'!$C$3:$C$601,$C266,'Tree List'!$D$3:$D$601,"Deciduous Conifer")) &gt; 0,
            _xlfn.IFS($K266="Small",0.5,$K266="Small/Medium",1,$K266="Medium/Large",1.4,$K266="Large",1.8),
        (COUNTIFS('Tree List'!$C$3:$C$601,$C266,'Tree List'!$D$3:$D$601,"Deciduous")
        + COUNTIFS('Tree List'!$C$3:$C$601,$C266,'Tree List'!$D$3:$D$601,"Broadleaf Evergreen")) &gt; 0,
            _xlfn.IFS($K266="Small",0.4,$K266="Small/Medium",0.8,$K266="Medium/Large",1.2,$K266="Large",1.6)
    ),
    ""
),
"")</f>
        <v/>
      </c>
      <c r="M266" s="476" t="str">
        <f t="shared" si="249"/>
        <v/>
      </c>
      <c r="N266" s="347" t="str" cm="1">
        <f t="array" aca="1" ref="N26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IF(AND(_xlpm.baseRow,ISNA(MATCH($C266,'Tree List'!$C$3:$C$601,0)),SUMPRODUCT(--ISNUMBER(SEARCH(Tables2!$C$677:$C$772,$O266)))&gt;0),
Error!$B$57,
IF(AND(_xlpm.hasDM,$F266="Remove",$H266&lt;&gt;"",OR($I266="On-site replacement",$I266="Off-site replacement",$I266="Payment In Lieu")),
Error!$B$56,
IF(AND(_xlpm.hasDM,$F266="Remove",$H266&lt;&gt;"",$I266="Relocation"),
Error!$B$66,
IF(AND(OR(_xlpm.hasCN,_xlpm.hasPH,_xlpm.hasGR),$H266&lt;&gt;"",COUNTIF(Tables!$B$132:$B$134,$H266)&gt;0,$I266="N/A (No replacement required)"),
Error!$B$62,
IF(AND(_xlpm.baseRow,$E266&lt;&gt;"",ISNA(MATCH($E266,Tables!$B$225:$B$232,0))),
Error!$B$2,
IF(AND(_xlpm.baseRow,$F266&lt;&gt;"",ISNA(MATCH($F266,Tables!$B$234:$B$235,0))),
Error!$B$24,
IF(AND(_xlpm.baseRow,_xlpm.ECA_H&gt;0,_xlpm.Shore_H&gt;0),
Error!$B$16,
IF(AND(_xlpm.baseRow,$E266&lt;&gt;"",$D266=""),
Error!$B$3,
IF(AND(_xlpm.baseRow,OR($E266="Tier 3",$E266="Tier 4"),$C266&lt;&gt;"",$D266&gt;=24,COUNTIF(Tables2!$B$166:$B$674,$C266)&gt;0),
Error!$B$44,
IF(AND(_xlpm.baseRow,OR($E266="Tier 3",$E266="Tier 4"),$C266&lt;&gt;"",$D266&lt;&gt;"",COUNTIF(Tables2!$B$73:$B$152,$C266)&gt;0,
$D266&gt;=IFERROR(INDEX(Tables2!$C$73:$C$152,MATCH($C266,Tables2!$B$73:$B$152,0)),-1)),
Error!$B$44,
IF(AND(_xlpm.baseRow,OR($E266="Tier 2",$E266="Tier 2 Grove"),$C266&lt;&gt;"",$D266&gt;=12,COUNTIF(Tables2!$B$153:$B$162,$C266)&gt;0),
Error!$B$45,
IF(AND(_xlpm.baseRow,$E266="Tier 2 Grove",$D266&lt;12),
Error!$B$41,
IF(AND(_xlpm.baseRow,$E266="Tier 2",$D266&lt;5.88),
Error!$B$40,
IF(AND(_xlpm.baseRow,OR($E266="Tier 2",$E266="Tier 2 Grove"),$C266&lt;&gt;"",$D266&lt;12,$D266&gt;=6,COUNTIF(Tables2!$B$153:$B$162,$C266)&gt;0),
Error!$B$54,
IF(AND(_xlpm.baseRow,$E266="Tier 2",COUNTIF(Tables2!$B$166:$B$674,$C266)&gt;0,$D266&lt;24),
Error!$B$54,
IF(AND(_xlpm.baseRow,$E266="Tier 3",ISNA(MATCH($C266,Tables2!$B$153:$B$162,0)),OR($D266&lt;12,$D266&gt;=24)),
Error!$B$9,
IF(AND(_xlpm.baseRow,$E266="Tier 3",COUNTIF(Tables2!$B$153:$B$162,$C266)&gt;0,$D266&lt;12),
Error!$B$46,
IF(AND(_xlpm.baseRow,$E266="Tier 4",OR($D266&lt;6,$D266&gt;=12)),
Error!$B$10,
IF(AND(_xlpm.baseRow,$E266="&lt;6in DSH for Tree Points",OR($D266&gt;=6,$D266="")),
Error!$B$8,
IF(AND(_xlpm.baseRow,$E266="Street Tree for Green Factor",$F266&lt;&gt;"",$F266&lt;&gt;"Retain"),
Error!$B$14,
IF(AND($E266="&lt;6in DSH for Tree Points",$F266="Retain",$H266&lt;&gt;"",ISNA(MATCH($H266,Tables!$B$174:$B$174,0))),
Error!$B$15,
IF(AND($E266="Street Tree for Green Factor",$F266="Retain",$H266&lt;&gt;"",$H266&lt;&gt;"Zoning: Green Factor"),
Error!$B$15,
IF(AND($E266="ECA / Shoreline Tree",$F266="Remove",$H266&lt;&gt;"",ISNA(MATCH($H266,Tables!$B$189:$B$190,0))),
Error!$B$15,
IF(AND($E266="ECA / Shoreline Tree",$F266="Retain",$H266&lt;&gt;"",ISNA(MATCH($H266,Tables!$B$184:$B$186,0))),
Error!$B$15,
IF(AND($E266="Tier 4",$F266="Remove",$H266&lt;&gt;"",ISNA(MATCH($H266,Tables!$B$171,0))),
Error!$B$15,
IF(AND($E266="Tier 4",$F266="Retain",$H266&lt;&gt;"",ISNA(MATCH($H266,Tables!$B$166:$B$168,0))),
Error!$B$15,
IF(AND($E266="Tier 3",$F266="Retain",$H266&lt;&gt;"",ISNA(MATCH($H266,Tables!$B$158:$B$160,0))),
Error!$B$15,
IF(AND($E266="Tier 3",$F266="Remove",$H266&lt;&gt;"",ISNA(MATCH($H266,Tables!$B$163,0))),
Error!$B$15,
IF(AND(OR($E266="Tier 2",$E266="Tier 2 Grove"),$F266="Remove",$H266&lt;&gt;"",ISNA(MATCH($H266,Tables!$B$153:$B$155,0))),
Error!$B$15,
IF(AND(OR($E266="Tier 2",$E266="Tier 2 Grove"),$F266="Retain",$H266&lt;&gt;"",ISNA(MATCH($H266,Tables!$B$147:$B$150,0))),
Error!$B$15,
IF(AND($E266="Tier 1",$F266="Remove",$H266&lt;&gt;"",ISNA(MATCH($H266,Tables!$B$143:$B$144,0))),
Error!$B$15,
IF(AND($E266="Tier 1",$F266="Retain",$H266&lt;&gt;"",ISNA(MATCH($H266,Tables!$B$137:$B$140,0))),
Error!$B$15,
IF(AND($E266&lt;&gt;"Tier 2",$E266&lt;&gt;"Tier 2 Grove",$E266&lt;&gt;"Tier 3",$E266&lt;&gt;"Tier 4",$H266="Zoning: Green Factor",OR($D266="",$D266&lt;6)),
Error!$B$11,
IF(AND(_xlpm.baseRow,$D266&lt;6,$E266="&lt;6in DSH for Tree Points",_xlpm.TreePoints_H=0),
Error!$B$21,
IF(AND(_xlpm.baseRow,$E266&lt;&gt;"",$D266&lt;&gt;"",$F266=""),
Error!$B$4,
IF(AND(_xlpm.baseRow,$F266="Remove",OR($E266="Tier 1",$E266="Tier 2",$E266="Tier 2 Grove"),COUNTBLANK(_xlpm.HRange)&lt;3,_xlpm.uniqueH&gt;=2),
Error!$B$48,
IF(AND(_xlpm.baseRow,$F266="Retain",OR($E266="Tier 1",$E266="Tier 2",$E266="Tier 2 Grove"),COUNTIF(_xlpm.HRange,"Tree Code: Required to Retain Tier 1-2 Tree")=0),
Error!$B$47,
IF(AND(_xlpm.baseRow,$E266&lt;&gt;"",$D266&lt;&gt;"",$F266&lt;&gt;"",COUNTBLANK(_xlpm.HRange)=4),
Error!$B$5,
IF(AND($F266="Remove",$H266&lt;&gt;"",$I266=""),
Error!$B$18,
IF(AND($E266="Tier 4",$F266="Remove",$H266="Tree Protection Code: Tier 3 or Tier 4 Allowance",$H266&lt;&gt;"",ISNA(MATCH($I266,Tables!$B$200,0))),
Error!$B$17,
IF(AND($E266="Tier 3",$F266="Remove",$H266&lt;&gt;"",$H266="Tree Protection Code: Tier 3 or Tier 4 Allowance",OR($I266="",ISNA(MATCH($I266,Tables!$B$193:$B$197,0)))),
Error!$B$17,
IF(AND(OR($E266="Tier 2",$E266="Tier 2 Grove"),$F266="Remove",$H266="Tree Protection Code: Other removal allowance or exemption",$I266&lt;&gt;"",ISNA(MATCH($I266,Tables!$B$215:$B$218,0))),
Error!$B$17,
IF(AND(OR($E266="Tier 2",$E266="Tier 2 Grove"),$F266="Remove",$H266="Tree Protection Code: Development Capacity",$I266&lt;&gt;"",ISNA(MATCH($I266,Tables!$B$193:$B$197,0))),
Error!$B$17,
IF(AND(OR($E266="Tier 2",$E266="Tier 2 Grove"),$F266="Remove",$H266="Tree Protection Code: Necessary for Construction",$I266&lt;&gt;"",ISNA(MATCH($I266,Tables!$B$193:$B$197,0))),
Error!$B$17,
IF(AND($E266="Tier 1",$F266="Remove",$H266="Tree Protection Code: Special Exception",$I266&lt;&gt;"",ISNA(MATCH($I266,Tables!$B$215:$B$218,0))),
Error!$B$17,
IF(AND($E266="Tier 1",$F266="Remove",$H266="Tree Protection Code: Other removal allowance or exemption",$I266&lt;&gt;"",ISNA(MATCH($I266,Tables!$B$215:$B$218,0))),
Error!$B$17,
IF(AND($E266="ECA / Shoreline Tree",$F266="Remove",$H266&lt;&gt;"",OR($H266="Shoreline",$H266="Environmental Critical Area (ECA)"),ISNA(MATCH($I266,Tables!$B$209:$B$212,0))),
Error!$B$17,
IF(AND(_xlpm.baseRow,$F266="Retain",$E266="ECA / Shoreline Tree",_xlpm.ECA_Short=0),
Error!$B$61,
IF(AND($F266="Remove",ISNUMBER(MATCH($E266,{"Tier 1","Tier 2","Tier 3","Tier 4","Tier 2 Grove"},0)),ISNUMBER(MATCH($I266,{"On-site replacement","Off-site replacement"},0)),$J266="",$H266&lt;&gt;""),
Error!$B$19,
IF(AND(_xlpm.baseRow,$E266&lt;&gt;"",$D266&lt;&gt;"",$F266&lt;&gt;"",COUNTBLANK($B266:$C266)&gt;0,COUNTBLANK(_xlpm.HRange)&lt;&gt;4),
Error!$B$22,
IF(AND($H266="Zoning: Tree Points",$K266&lt;&gt;"",ISNA(MATCH($K266,Tables!$B$242:$B$253,0))),
Error!$B$58,
IF(AND($H266="Zoning: Tree Points",$K266="Small",$L266&lt;&gt;"",ISNA(MATCH($L266,Tables!$C$243:$C$244,0))),
Error!$B$59,
IF(AND($H266="Zoning: Tree Points",$K266="Small/Medium",$L266&lt;&gt;"",ISNA(MATCH($L266,Tables!$C$246:$C$247,0))),
Error!$B$59,
IF(AND($H266="Zoning: Tree Points",$K266="Medium/Large",$L266&lt;&gt;"",ISNA(MATCH($L266,Tables!$C$249:$C$250,0))),
Error!$B$59,
IF(AND($H266="Zoning: Tree Points",$K266="Large",$L266&lt;&gt;"",ISNA(MATCH($L266,Tables!$C$252:$C$253,0))),
Error!$B$59,
IF(AND($F266="Retain",$H266="Zoning: Tree Points",$C266&lt;&gt;"",$D266&lt;&gt;"",OR($K266="",$L266="",$M266="")),
Error!$B$20,
""
)))))))))))))))))))))))))))))))))))))))))))))))))))))))),
Error!$B$23))</f>
        <v/>
      </c>
      <c r="O266" s="343" t="str" cm="1">
        <f t="array" aca="1" ref="O266" ca="1">IFERROR(_xlfn.LET(
    _xlpm.txt, $C266,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67" spans="1:15" ht="15" thickBot="1" x14ac:dyDescent="0.35">
      <c r="A267" s="311">
        <v>65</v>
      </c>
      <c r="B267" s="312"/>
      <c r="C267" s="313"/>
      <c r="D267" s="478"/>
      <c r="E267" s="314"/>
      <c r="F267" s="314"/>
      <c r="G267" s="315" t="str">
        <f>IF(Tree_Table1[[#This Row],[Tree Status  &amp;]]="Retain", Tables!$B$237, IF(Tree_Table1[[#This Row],[Tree Status  &amp;]]="Remove", Tables!$B$238, ""))</f>
        <v/>
      </c>
      <c r="H267" s="316"/>
      <c r="I267" s="317"/>
      <c r="J267" s="452"/>
      <c r="K267" s="318" t="str">
        <f>IFERROR(
    IF(
        AND($H267="Zoning: Tree Points", NOT(ISNUMBER(SEARCH("sp.", $C267)))),
        VLOOKUP($C267, 'Tree List'!$C$3:$F$601, 4, FALSE),
        ""
    ),
"")</f>
        <v/>
      </c>
      <c r="L267" s="319" t="str" cm="1">
        <f t="array" ref="L267">IFERROR(
IF(
    AND($H267="Zoning: Tree Points", NOT(ISNUMBER(SEARCH("sp.", $C267)))),
    _xlfn.IFS(
        (COUNTIFS('Tree List'!$C$3:$C$601,$C267,'Tree List'!$D$3:$D$601,"Coniferous")
        + COUNTIFS('Tree List'!$C$3:$C$601,$C267,'Tree List'!$D$3:$D$601,"Deciduous Conifer")) &gt; 0,
            _xlfn.IFS($K267="Small",0.5,$K267="Small/Medium",1,$K267="Medium/Large",1.4,$K267="Large",1.8),
        (COUNTIFS('Tree List'!$C$3:$C$601,$C267,'Tree List'!$D$3:$D$601,"Deciduous")
        + COUNTIFS('Tree List'!$C$3:$C$601,$C267,'Tree List'!$D$3:$D$601,"Broadleaf Evergreen")) &gt; 0,
            _xlfn.IFS($K267="Small",0.4,$K267="Small/Medium",0.8,$K267="Medium/Large",1.2,$K267="Large",1.6)
    ),
    ""
),
"")</f>
        <v/>
      </c>
      <c r="M267" s="474" t="str">
        <f t="shared" si="249"/>
        <v/>
      </c>
      <c r="N267" s="620" t="str" cm="1">
        <f t="array" aca="1" ref="N26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IF(AND(_xlpm.baseRow,ISNA(MATCH($C267,'Tree List'!$C$3:$C$601,0)),SUMPRODUCT(--ISNUMBER(SEARCH(Tables2!$C$677:$C$772,$O267)))&gt;0),
Error!$B$57,
IF(AND(_xlpm.hasDM,$F267="Remove",$H267&lt;&gt;"",OR($I267="On-site replacement",$I267="Off-site replacement",$I267="Payment In Lieu")),
Error!$B$56,
IF(AND(_xlpm.hasDM,$F267="Remove",$H267&lt;&gt;"",$I267="Relocation"),
Error!$B$66,
IF(AND(OR(_xlpm.hasCN,_xlpm.hasPH,_xlpm.hasGR),$H267&lt;&gt;"",COUNTIF(Tables!$B$132:$B$134,$H267)&gt;0,$I267="N/A (No replacement required)"),
Error!$B$62,
IF(AND(_xlpm.baseRow,$E267&lt;&gt;"",ISNA(MATCH($E267,Tables!$B$225:$B$232,0))),
Error!$B$2,
IF(AND(_xlpm.baseRow,$F267&lt;&gt;"",ISNA(MATCH($F267,Tables!$B$234:$B$235,0))),
Error!$B$24,
IF(AND(_xlpm.baseRow,_xlpm.ECA_H&gt;0,_xlpm.Shore_H&gt;0),
Error!$B$16,
IF(AND(_xlpm.baseRow,$E267&lt;&gt;"",$D267=""),
Error!$B$3,
IF(AND(_xlpm.baseRow,OR($E267="Tier 3",$E267="Tier 4"),$C267&lt;&gt;"",$D267&gt;=24,COUNTIF(Tables2!$B$166:$B$674,$C267)&gt;0),
Error!$B$44,
IF(AND(_xlpm.baseRow,OR($E267="Tier 3",$E267="Tier 4"),$C267&lt;&gt;"",$D267&lt;&gt;"",COUNTIF(Tables2!$B$73:$B$152,$C267)&gt;0,
$D267&gt;=IFERROR(INDEX(Tables2!$C$73:$C$152,MATCH($C267,Tables2!$B$73:$B$152,0)),-1)),
Error!$B$44,
IF(AND(_xlpm.baseRow,OR($E267="Tier 2",$E267="Tier 2 Grove"),$C267&lt;&gt;"",$D267&gt;=12,COUNTIF(Tables2!$B$153:$B$162,$C267)&gt;0),
Error!$B$45,
IF(AND(_xlpm.baseRow,$E267="Tier 2 Grove",$D267&lt;12),
Error!$B$41,
IF(AND(_xlpm.baseRow,$E267="Tier 2",$D267&lt;5.88),
Error!$B$40,
IF(AND(_xlpm.baseRow,OR($E267="Tier 2",$E267="Tier 2 Grove"),$C267&lt;&gt;"",$D267&lt;12,$D267&gt;=6,COUNTIF(Tables2!$B$153:$B$162,$C267)&gt;0),
Error!$B$54,
IF(AND(_xlpm.baseRow,$E267="Tier 2",COUNTIF(Tables2!$B$166:$B$674,$C267)&gt;0,$D267&lt;24),
Error!$B$54,
IF(AND(_xlpm.baseRow,$E267="Tier 3",ISNA(MATCH($C267,Tables2!$B$153:$B$162,0)),OR($D267&lt;12,$D267&gt;=24)),
Error!$B$9,
IF(AND(_xlpm.baseRow,$E267="Tier 3",COUNTIF(Tables2!$B$153:$B$162,$C267)&gt;0,$D267&lt;12),
Error!$B$46,
IF(AND(_xlpm.baseRow,$E267="Tier 4",OR($D267&lt;6,$D267&gt;=12)),
Error!$B$10,
IF(AND(_xlpm.baseRow,$E267="&lt;6in DSH for Tree Points",OR($D267&gt;=6,$D267="")),
Error!$B$8,
IF(AND(_xlpm.baseRow,$E267="Street Tree for Green Factor",$F267&lt;&gt;"",$F267&lt;&gt;"Retain"),
Error!$B$14,
IF(AND($E267="&lt;6in DSH for Tree Points",$F267="Retain",$H267&lt;&gt;"",ISNA(MATCH($H267,Tables!$B$174:$B$174,0))),
Error!$B$15,
IF(AND($E267="Street Tree for Green Factor",$F267="Retain",$H267&lt;&gt;"",$H267&lt;&gt;"Zoning: Green Factor"),
Error!$B$15,
IF(AND($E267="ECA / Shoreline Tree",$F267="Remove",$H267&lt;&gt;"",ISNA(MATCH($H267,Tables!$B$189:$B$190,0))),
Error!$B$15,
IF(AND($E267="ECA / Shoreline Tree",$F267="Retain",$H267&lt;&gt;"",ISNA(MATCH($H267,Tables!$B$184:$B$186,0))),
Error!$B$15,
IF(AND($E267="Tier 4",$F267="Remove",$H267&lt;&gt;"",ISNA(MATCH($H267,Tables!$B$171,0))),
Error!$B$15,
IF(AND($E267="Tier 4",$F267="Retain",$H267&lt;&gt;"",ISNA(MATCH($H267,Tables!$B$166:$B$168,0))),
Error!$B$15,
IF(AND($E267="Tier 3",$F267="Retain",$H267&lt;&gt;"",ISNA(MATCH($H267,Tables!$B$158:$B$160,0))),
Error!$B$15,
IF(AND($E267="Tier 3",$F267="Remove",$H267&lt;&gt;"",ISNA(MATCH($H267,Tables!$B$163,0))),
Error!$B$15,
IF(AND(OR($E267="Tier 2",$E267="Tier 2 Grove"),$F267="Remove",$H267&lt;&gt;"",ISNA(MATCH($H267,Tables!$B$153:$B$155,0))),
Error!$B$15,
IF(AND(OR($E267="Tier 2",$E267="Tier 2 Grove"),$F267="Retain",$H267&lt;&gt;"",ISNA(MATCH($H267,Tables!$B$147:$B$150,0))),
Error!$B$15,
IF(AND($E267="Tier 1",$F267="Remove",$H267&lt;&gt;"",ISNA(MATCH($H267,Tables!$B$143:$B$144,0))),
Error!$B$15,
IF(AND($E267="Tier 1",$F267="Retain",$H267&lt;&gt;"",ISNA(MATCH($H267,Tables!$B$137:$B$140,0))),
Error!$B$15,
IF(AND($E267&lt;&gt;"Tier 2",$E267&lt;&gt;"Tier 2 Grove",$E267&lt;&gt;"Tier 3",$E267&lt;&gt;"Tier 4",$H267="Zoning: Green Factor",OR($D267="",$D267&lt;6)),
Error!$B$11,
IF(AND(_xlpm.baseRow,$D267&lt;6,$E267="&lt;6in DSH for Tree Points",_xlpm.TreePoints_H=0),
Error!$B$21,
IF(AND(_xlpm.baseRow,$E267&lt;&gt;"",$D267&lt;&gt;"",$F267=""),
Error!$B$4,
IF(AND(_xlpm.baseRow,$F267="Remove",OR($E267="Tier 1",$E267="Tier 2",$E267="Tier 2 Grove"),COUNTBLANK(_xlpm.HRange)&lt;3,_xlpm.uniqueH&gt;=2),
Error!$B$48,
IF(AND(_xlpm.baseRow,$F267="Retain",OR($E267="Tier 1",$E267="Tier 2",$E267="Tier 2 Grove"),COUNTIF(_xlpm.HRange,"Tree Code: Required to Retain Tier 1-2 Tree")=0),
Error!$B$47,
IF(AND(_xlpm.baseRow,$E267&lt;&gt;"",$D267&lt;&gt;"",$F267&lt;&gt;"",COUNTBLANK(_xlpm.HRange)=4),
Error!$B$5,
IF(AND($F267="Remove",$H267&lt;&gt;"",$I267=""),
Error!$B$18,
IF(AND($E267="Tier 4",$F267="Remove",$H267="Tree Protection Code: Tier 3 or Tier 4 Allowance",$H267&lt;&gt;"",ISNA(MATCH($I267,Tables!$B$200,0))),
Error!$B$17,
IF(AND($E267="Tier 3",$F267="Remove",$H267&lt;&gt;"",$H267="Tree Protection Code: Tier 3 or Tier 4 Allowance",OR($I267="",ISNA(MATCH($I267,Tables!$B$193:$B$197,0)))),
Error!$B$17,
IF(AND(OR($E267="Tier 2",$E267="Tier 2 Grove"),$F267="Remove",$H267="Tree Protection Code: Other removal allowance or exemption",$I267&lt;&gt;"",ISNA(MATCH($I267,Tables!$B$215:$B$218,0))),
Error!$B$17,
IF(AND(OR($E267="Tier 2",$E267="Tier 2 Grove"),$F267="Remove",$H267="Tree Protection Code: Development Capacity",$I267&lt;&gt;"",ISNA(MATCH($I267,Tables!$B$193:$B$197,0))),
Error!$B$17,
IF(AND(OR($E267="Tier 2",$E267="Tier 2 Grove"),$F267="Remove",$H267="Tree Protection Code: Necessary for Construction",$I267&lt;&gt;"",ISNA(MATCH($I267,Tables!$B$193:$B$197,0))),
Error!$B$17,
IF(AND($E267="Tier 1",$F267="Remove",$H267="Tree Protection Code: Special Exception",$I267&lt;&gt;"",ISNA(MATCH($I267,Tables!$B$215:$B$218,0))),
Error!$B$17,
IF(AND($E267="Tier 1",$F267="Remove",$H267="Tree Protection Code: Other removal allowance or exemption",$I267&lt;&gt;"",ISNA(MATCH($I267,Tables!$B$215:$B$218,0))),
Error!$B$17,
IF(AND($E267="ECA / Shoreline Tree",$F267="Remove",$H267&lt;&gt;"",OR($H267="Shoreline",$H267="Environmental Critical Area (ECA)"),ISNA(MATCH($I267,Tables!$B$209:$B$212,0))),
Error!$B$17,
IF(AND(_xlpm.baseRow,$F267="Retain",$E267="ECA / Shoreline Tree",_xlpm.ECA_Short=0),
Error!$B$61,
IF(AND($F267="Remove",ISNUMBER(MATCH($E267,{"Tier 1","Tier 2","Tier 3","Tier 4","Tier 2 Grove"},0)),ISNUMBER(MATCH($I267,{"On-site replacement","Off-site replacement"},0)),$J267="",$H267&lt;&gt;""),
Error!$B$19,
IF(AND(_xlpm.baseRow,$E267&lt;&gt;"",$D267&lt;&gt;"",$F267&lt;&gt;"",COUNTBLANK($B267:$C267)&gt;0,COUNTBLANK(_xlpm.HRange)&lt;&gt;4),
Error!$B$22,
IF(AND($H267="Zoning: Tree Points",$K267&lt;&gt;"",ISNA(MATCH($K267,Tables!$B$242:$B$253,0))),
Error!$B$58,
IF(AND($H267="Zoning: Tree Points",$K267="Small",$L267&lt;&gt;"",ISNA(MATCH($L267,Tables!$C$243:$C$244,0))),
Error!$B$59,
IF(AND($H267="Zoning: Tree Points",$K267="Small/Medium",$L267&lt;&gt;"",ISNA(MATCH($L267,Tables!$C$246:$C$247,0))),
Error!$B$59,
IF(AND($H267="Zoning: Tree Points",$K267="Medium/Large",$L267&lt;&gt;"",ISNA(MATCH($L267,Tables!$C$249:$C$250,0))),
Error!$B$59,
IF(AND($H267="Zoning: Tree Points",$K267="Large",$L267&lt;&gt;"",ISNA(MATCH($L267,Tables!$C$252:$C$253,0))),
Error!$B$59,
IF(AND($F267="Retain",$H267="Zoning: Tree Points",$C267&lt;&gt;"",$D267&lt;&gt;"",OR($K267="",$L267="",$M267="")),
Error!$B$20,
""
)))))))))))))))))))))))))))))))))))))))))))))))))))))))),
Error!$B$23))</f>
        <v/>
      </c>
      <c r="O267" s="343" t="str" cm="1">
        <f t="array" aca="1" ref="O267" ca="1">IFERROR(_xlfn.LET(
    _xlpm.txt, $C267,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68" spans="1:15" x14ac:dyDescent="0.3">
      <c r="A268" s="320"/>
      <c r="B268" s="616" t="str">
        <f t="shared" ref="B268:B270" si="280">IF($B267="", "", $B267)</f>
        <v/>
      </c>
      <c r="C268" s="617" t="str">
        <f t="shared" ref="C268:C270" si="281">IF($C267="", "", $C267)</f>
        <v/>
      </c>
      <c r="D268" s="618" t="str">
        <f t="shared" ref="D268:D270" si="282">IF($D267="", "", $D267)</f>
        <v/>
      </c>
      <c r="E268" s="616" t="str">
        <f t="shared" ref="E268:E270" si="283">IF($E267="", "", $E267)</f>
        <v/>
      </c>
      <c r="F268" s="616" t="str">
        <f t="shared" ref="F268:F270" si="284">IF($F267="", "", $F267)</f>
        <v/>
      </c>
      <c r="G268" s="619" t="str">
        <f>IF(Tree_Table1[[#This Row],[Tree Status  &amp;]]="Retain", Tables!$B$237, IF(Tree_Table1[[#This Row],[Tree Status  &amp;]]="Remove", Tables!$B$238, ""))</f>
        <v/>
      </c>
      <c r="H268" s="321"/>
      <c r="I268" s="322"/>
      <c r="J268" s="453"/>
      <c r="K268" s="323" t="str">
        <f>IFERROR(
    IF(
        AND($H268="Zoning: Tree Points", NOT(ISNUMBER(SEARCH("sp.", $C268)))),
        VLOOKUP($C268, 'Tree List'!$C$3:$F$601, 4, FALSE),
        ""
    ),
"")</f>
        <v/>
      </c>
      <c r="L268" s="324" t="str" cm="1">
        <f t="array" ref="L268">IFERROR(
IF(
    AND($H268="Zoning: Tree Points", NOT(ISNUMBER(SEARCH("sp.", $C268)))),
    _xlfn.IFS(
        (COUNTIFS('Tree List'!$C$3:$C$601,$C268,'Tree List'!$D$3:$D$601,"Coniferous")
        + COUNTIFS('Tree List'!$C$3:$C$601,$C268,'Tree List'!$D$3:$D$601,"Deciduous Conifer")) &gt; 0,
            _xlfn.IFS($K268="Small",0.5,$K268="Small/Medium",1,$K268="Medium/Large",1.4,$K268="Large",1.8),
        (COUNTIFS('Tree List'!$C$3:$C$601,$C268,'Tree List'!$D$3:$D$601,"Deciduous")
        + COUNTIFS('Tree List'!$C$3:$C$601,$C268,'Tree List'!$D$3:$D$601,"Broadleaf Evergreen")) &gt; 0,
            _xlfn.IFS($K268="Small",0.4,$K268="Small/Medium",0.8,$K268="Medium/Large",1.2,$K268="Large",1.6)
    ),
    ""
),
"")</f>
        <v/>
      </c>
      <c r="M268" s="475" t="str">
        <f t="shared" si="249"/>
        <v/>
      </c>
      <c r="N268" s="346" t="str" cm="1">
        <f t="array" aca="1" ref="N26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IF(AND(_xlpm.baseRow,ISNA(MATCH($C268,'Tree List'!$C$3:$C$601,0)),SUMPRODUCT(--ISNUMBER(SEARCH(Tables2!$C$677:$C$772,$O268)))&gt;0),
Error!$B$57,
IF(AND(_xlpm.hasDM,$F268="Remove",$H268&lt;&gt;"",OR($I268="On-site replacement",$I268="Off-site replacement",$I268="Payment In Lieu")),
Error!$B$56,
IF(AND(_xlpm.hasDM,$F268="Remove",$H268&lt;&gt;"",$I268="Relocation"),
Error!$B$66,
IF(AND(OR(_xlpm.hasCN,_xlpm.hasPH,_xlpm.hasGR),$H268&lt;&gt;"",COUNTIF(Tables!$B$132:$B$134,$H268)&gt;0,$I268="N/A (No replacement required)"),
Error!$B$62,
IF(AND(_xlpm.baseRow,$E268&lt;&gt;"",ISNA(MATCH($E268,Tables!$B$225:$B$232,0))),
Error!$B$2,
IF(AND(_xlpm.baseRow,$F268&lt;&gt;"",ISNA(MATCH($F268,Tables!$B$234:$B$235,0))),
Error!$B$24,
IF(AND(_xlpm.baseRow,_xlpm.ECA_H&gt;0,_xlpm.Shore_H&gt;0),
Error!$B$16,
IF(AND(_xlpm.baseRow,$E268&lt;&gt;"",$D268=""),
Error!$B$3,
IF(AND(_xlpm.baseRow,OR($E268="Tier 3",$E268="Tier 4"),$C268&lt;&gt;"",$D268&gt;=24,COUNTIF(Tables2!$B$166:$B$674,$C268)&gt;0),
Error!$B$44,
IF(AND(_xlpm.baseRow,OR($E268="Tier 3",$E268="Tier 4"),$C268&lt;&gt;"",$D268&lt;&gt;"",COUNTIF(Tables2!$B$73:$B$152,$C268)&gt;0,
$D268&gt;=IFERROR(INDEX(Tables2!$C$73:$C$152,MATCH($C268,Tables2!$B$73:$B$152,0)),-1)),
Error!$B$44,
IF(AND(_xlpm.baseRow,OR($E268="Tier 2",$E268="Tier 2 Grove"),$C268&lt;&gt;"",$D268&gt;=12,COUNTIF(Tables2!$B$153:$B$162,$C268)&gt;0),
Error!$B$45,
IF(AND(_xlpm.baseRow,$E268="Tier 2 Grove",$D268&lt;12),
Error!$B$41,
IF(AND(_xlpm.baseRow,$E268="Tier 2",$D268&lt;5.88),
Error!$B$40,
IF(AND(_xlpm.baseRow,OR($E268="Tier 2",$E268="Tier 2 Grove"),$C268&lt;&gt;"",$D268&lt;12,$D268&gt;=6,COUNTIF(Tables2!$B$153:$B$162,$C268)&gt;0),
Error!$B$54,
IF(AND(_xlpm.baseRow,$E268="Tier 2",COUNTIF(Tables2!$B$166:$B$674,$C268)&gt;0,$D268&lt;24),
Error!$B$54,
IF(AND(_xlpm.baseRow,$E268="Tier 3",ISNA(MATCH($C268,Tables2!$B$153:$B$162,0)),OR($D268&lt;12,$D268&gt;=24)),
Error!$B$9,
IF(AND(_xlpm.baseRow,$E268="Tier 3",COUNTIF(Tables2!$B$153:$B$162,$C268)&gt;0,$D268&lt;12),
Error!$B$46,
IF(AND(_xlpm.baseRow,$E268="Tier 4",OR($D268&lt;6,$D268&gt;=12)),
Error!$B$10,
IF(AND(_xlpm.baseRow,$E268="&lt;6in DSH for Tree Points",OR($D268&gt;=6,$D268="")),
Error!$B$8,
IF(AND(_xlpm.baseRow,$E268="Street Tree for Green Factor",$F268&lt;&gt;"",$F268&lt;&gt;"Retain"),
Error!$B$14,
IF(AND($E268="&lt;6in DSH for Tree Points",$F268="Retain",$H268&lt;&gt;"",ISNA(MATCH($H268,Tables!$B$174:$B$174,0))),
Error!$B$15,
IF(AND($E268="Street Tree for Green Factor",$F268="Retain",$H268&lt;&gt;"",$H268&lt;&gt;"Zoning: Green Factor"),
Error!$B$15,
IF(AND($E268="ECA / Shoreline Tree",$F268="Remove",$H268&lt;&gt;"",ISNA(MATCH($H268,Tables!$B$189:$B$190,0))),
Error!$B$15,
IF(AND($E268="ECA / Shoreline Tree",$F268="Retain",$H268&lt;&gt;"",ISNA(MATCH($H268,Tables!$B$184:$B$186,0))),
Error!$B$15,
IF(AND($E268="Tier 4",$F268="Remove",$H268&lt;&gt;"",ISNA(MATCH($H268,Tables!$B$171,0))),
Error!$B$15,
IF(AND($E268="Tier 4",$F268="Retain",$H268&lt;&gt;"",ISNA(MATCH($H268,Tables!$B$166:$B$168,0))),
Error!$B$15,
IF(AND($E268="Tier 3",$F268="Retain",$H268&lt;&gt;"",ISNA(MATCH($H268,Tables!$B$158:$B$160,0))),
Error!$B$15,
IF(AND($E268="Tier 3",$F268="Remove",$H268&lt;&gt;"",ISNA(MATCH($H268,Tables!$B$163,0))),
Error!$B$15,
IF(AND(OR($E268="Tier 2",$E268="Tier 2 Grove"),$F268="Remove",$H268&lt;&gt;"",ISNA(MATCH($H268,Tables!$B$153:$B$155,0))),
Error!$B$15,
IF(AND(OR($E268="Tier 2",$E268="Tier 2 Grove"),$F268="Retain",$H268&lt;&gt;"",ISNA(MATCH($H268,Tables!$B$147:$B$150,0))),
Error!$B$15,
IF(AND($E268="Tier 1",$F268="Remove",$H268&lt;&gt;"",ISNA(MATCH($H268,Tables!$B$143:$B$144,0))),
Error!$B$15,
IF(AND($E268="Tier 1",$F268="Retain",$H268&lt;&gt;"",ISNA(MATCH($H268,Tables!$B$137:$B$140,0))),
Error!$B$15,
IF(AND($E268&lt;&gt;"Tier 2",$E268&lt;&gt;"Tier 2 Grove",$E268&lt;&gt;"Tier 3",$E268&lt;&gt;"Tier 4",$H268="Zoning: Green Factor",OR($D268="",$D268&lt;6)),
Error!$B$11,
IF(AND(_xlpm.baseRow,$D268&lt;6,$E268="&lt;6in DSH for Tree Points",_xlpm.TreePoints_H=0),
Error!$B$21,
IF(AND(_xlpm.baseRow,$E268&lt;&gt;"",$D268&lt;&gt;"",$F268=""),
Error!$B$4,
IF(AND(_xlpm.baseRow,$F268="Remove",OR($E268="Tier 1",$E268="Tier 2",$E268="Tier 2 Grove"),COUNTBLANK(_xlpm.HRange)&lt;3,_xlpm.uniqueH&gt;=2),
Error!$B$48,
IF(AND(_xlpm.baseRow,$F268="Retain",OR($E268="Tier 1",$E268="Tier 2",$E268="Tier 2 Grove"),COUNTIF(_xlpm.HRange,"Tree Code: Required to Retain Tier 1-2 Tree")=0),
Error!$B$47,
IF(AND(_xlpm.baseRow,$E268&lt;&gt;"",$D268&lt;&gt;"",$F268&lt;&gt;"",COUNTBLANK(_xlpm.HRange)=4),
Error!$B$5,
IF(AND($F268="Remove",$H268&lt;&gt;"",$I268=""),
Error!$B$18,
IF(AND($E268="Tier 4",$F268="Remove",$H268="Tree Protection Code: Tier 3 or Tier 4 Allowance",$H268&lt;&gt;"",ISNA(MATCH($I268,Tables!$B$200,0))),
Error!$B$17,
IF(AND($E268="Tier 3",$F268="Remove",$H268&lt;&gt;"",$H268="Tree Protection Code: Tier 3 or Tier 4 Allowance",OR($I268="",ISNA(MATCH($I268,Tables!$B$193:$B$197,0)))),
Error!$B$17,
IF(AND(OR($E268="Tier 2",$E268="Tier 2 Grove"),$F268="Remove",$H268="Tree Protection Code: Other removal allowance or exemption",$I268&lt;&gt;"",ISNA(MATCH($I268,Tables!$B$215:$B$218,0))),
Error!$B$17,
IF(AND(OR($E268="Tier 2",$E268="Tier 2 Grove"),$F268="Remove",$H268="Tree Protection Code: Development Capacity",$I268&lt;&gt;"",ISNA(MATCH($I268,Tables!$B$193:$B$197,0))),
Error!$B$17,
IF(AND(OR($E268="Tier 2",$E268="Tier 2 Grove"),$F268="Remove",$H268="Tree Protection Code: Necessary for Construction",$I268&lt;&gt;"",ISNA(MATCH($I268,Tables!$B$193:$B$197,0))),
Error!$B$17,
IF(AND($E268="Tier 1",$F268="Remove",$H268="Tree Protection Code: Special Exception",$I268&lt;&gt;"",ISNA(MATCH($I268,Tables!$B$215:$B$218,0))),
Error!$B$17,
IF(AND($E268="Tier 1",$F268="Remove",$H268="Tree Protection Code: Other removal allowance or exemption",$I268&lt;&gt;"",ISNA(MATCH($I268,Tables!$B$215:$B$218,0))),
Error!$B$17,
IF(AND($E268="ECA / Shoreline Tree",$F268="Remove",$H268&lt;&gt;"",OR($H268="Shoreline",$H268="Environmental Critical Area (ECA)"),ISNA(MATCH($I268,Tables!$B$209:$B$212,0))),
Error!$B$17,
IF(AND(_xlpm.baseRow,$F268="Retain",$E268="ECA / Shoreline Tree",_xlpm.ECA_Short=0),
Error!$B$61,
IF(AND($F268="Remove",ISNUMBER(MATCH($E268,{"Tier 1","Tier 2","Tier 3","Tier 4","Tier 2 Grove"},0)),ISNUMBER(MATCH($I268,{"On-site replacement","Off-site replacement"},0)),$J268="",$H268&lt;&gt;""),
Error!$B$19,
IF(AND(_xlpm.baseRow,$E268&lt;&gt;"",$D268&lt;&gt;"",$F268&lt;&gt;"",COUNTBLANK($B268:$C268)&gt;0,COUNTBLANK(_xlpm.HRange)&lt;&gt;4),
Error!$B$22,
IF(AND($H268="Zoning: Tree Points",$K268&lt;&gt;"",ISNA(MATCH($K268,Tables!$B$242:$B$253,0))),
Error!$B$58,
IF(AND($H268="Zoning: Tree Points",$K268="Small",$L268&lt;&gt;"",ISNA(MATCH($L268,Tables!$C$243:$C$244,0))),
Error!$B$59,
IF(AND($H268="Zoning: Tree Points",$K268="Small/Medium",$L268&lt;&gt;"",ISNA(MATCH($L268,Tables!$C$246:$C$247,0))),
Error!$B$59,
IF(AND($H268="Zoning: Tree Points",$K268="Medium/Large",$L268&lt;&gt;"",ISNA(MATCH($L268,Tables!$C$249:$C$250,0))),
Error!$B$59,
IF(AND($H268="Zoning: Tree Points",$K268="Large",$L268&lt;&gt;"",ISNA(MATCH($L268,Tables!$C$252:$C$253,0))),
Error!$B$59,
IF(AND($F268="Retain",$H268="Zoning: Tree Points",$C268&lt;&gt;"",$D268&lt;&gt;"",OR($K268="",$L268="",$M268="")),
Error!$B$20,
""
)))))))))))))))))))))))))))))))))))))))))))))))))))))))),
Error!$B$23))</f>
        <v/>
      </c>
      <c r="O268" s="343" t="str" cm="1">
        <f t="array" aca="1" ref="O268" ca="1">IFERROR(_xlfn.LET(
    _xlpm.txt, $C268,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69" spans="1:15" x14ac:dyDescent="0.3">
      <c r="A269" s="320"/>
      <c r="B269" s="616" t="str">
        <f t="shared" si="280"/>
        <v/>
      </c>
      <c r="C269" s="617" t="str">
        <f t="shared" si="281"/>
        <v/>
      </c>
      <c r="D269" s="618" t="str">
        <f t="shared" si="282"/>
        <v/>
      </c>
      <c r="E269" s="616" t="str">
        <f t="shared" si="283"/>
        <v/>
      </c>
      <c r="F269" s="616" t="str">
        <f t="shared" si="284"/>
        <v/>
      </c>
      <c r="G269" s="619" t="str">
        <f>IF(Tree_Table1[[#This Row],[Tree Status  &amp;]]="Retain", Tables!$B$237, IF(Tree_Table1[[#This Row],[Tree Status  &amp;]]="Remove", Tables!$B$238, ""))</f>
        <v/>
      </c>
      <c r="H269" s="321"/>
      <c r="I269" s="322"/>
      <c r="J269" s="453"/>
      <c r="K269" s="323" t="str">
        <f>IFERROR(
    IF(
        AND($H269="Zoning: Tree Points", NOT(ISNUMBER(SEARCH("sp.", $C269)))),
        VLOOKUP($C269, 'Tree List'!$C$3:$F$601, 4, FALSE),
        ""
    ),
"")</f>
        <v/>
      </c>
      <c r="L269" s="324" t="str" cm="1">
        <f t="array" ref="L269">IFERROR(
IF(
    AND($H269="Zoning: Tree Points", NOT(ISNUMBER(SEARCH("sp.", $C269)))),
    _xlfn.IFS(
        (COUNTIFS('Tree List'!$C$3:$C$601,$C269,'Tree List'!$D$3:$D$601,"Coniferous")
        + COUNTIFS('Tree List'!$C$3:$C$601,$C269,'Tree List'!$D$3:$D$601,"Deciduous Conifer")) &gt; 0,
            _xlfn.IFS($K269="Small",0.5,$K269="Small/Medium",1,$K269="Medium/Large",1.4,$K269="Large",1.8),
        (COUNTIFS('Tree List'!$C$3:$C$601,$C269,'Tree List'!$D$3:$D$601,"Deciduous")
        + COUNTIFS('Tree List'!$C$3:$C$601,$C269,'Tree List'!$D$3:$D$601,"Broadleaf Evergreen")) &gt; 0,
            _xlfn.IFS($K269="Small",0.4,$K269="Small/Medium",0.8,$K269="Medium/Large",1.2,$K269="Large",1.6)
    ),
    ""
),
"")</f>
        <v/>
      </c>
      <c r="M269" s="475" t="str">
        <f t="shared" si="249"/>
        <v/>
      </c>
      <c r="N269" s="346" t="str" cm="1">
        <f t="array" aca="1" ref="N26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IF(AND(_xlpm.baseRow,ISNA(MATCH($C269,'Tree List'!$C$3:$C$601,0)),SUMPRODUCT(--ISNUMBER(SEARCH(Tables2!$C$677:$C$772,$O269)))&gt;0),
Error!$B$57,
IF(AND(_xlpm.hasDM,$F269="Remove",$H269&lt;&gt;"",OR($I269="On-site replacement",$I269="Off-site replacement",$I269="Payment In Lieu")),
Error!$B$56,
IF(AND(_xlpm.hasDM,$F269="Remove",$H269&lt;&gt;"",$I269="Relocation"),
Error!$B$66,
IF(AND(OR(_xlpm.hasCN,_xlpm.hasPH,_xlpm.hasGR),$H269&lt;&gt;"",COUNTIF(Tables!$B$132:$B$134,$H269)&gt;0,$I269="N/A (No replacement required)"),
Error!$B$62,
IF(AND(_xlpm.baseRow,$E269&lt;&gt;"",ISNA(MATCH($E269,Tables!$B$225:$B$232,0))),
Error!$B$2,
IF(AND(_xlpm.baseRow,$F269&lt;&gt;"",ISNA(MATCH($F269,Tables!$B$234:$B$235,0))),
Error!$B$24,
IF(AND(_xlpm.baseRow,_xlpm.ECA_H&gt;0,_xlpm.Shore_H&gt;0),
Error!$B$16,
IF(AND(_xlpm.baseRow,$E269&lt;&gt;"",$D269=""),
Error!$B$3,
IF(AND(_xlpm.baseRow,OR($E269="Tier 3",$E269="Tier 4"),$C269&lt;&gt;"",$D269&gt;=24,COUNTIF(Tables2!$B$166:$B$674,$C269)&gt;0),
Error!$B$44,
IF(AND(_xlpm.baseRow,OR($E269="Tier 3",$E269="Tier 4"),$C269&lt;&gt;"",$D269&lt;&gt;"",COUNTIF(Tables2!$B$73:$B$152,$C269)&gt;0,
$D269&gt;=IFERROR(INDEX(Tables2!$C$73:$C$152,MATCH($C269,Tables2!$B$73:$B$152,0)),-1)),
Error!$B$44,
IF(AND(_xlpm.baseRow,OR($E269="Tier 2",$E269="Tier 2 Grove"),$C269&lt;&gt;"",$D269&gt;=12,COUNTIF(Tables2!$B$153:$B$162,$C269)&gt;0),
Error!$B$45,
IF(AND(_xlpm.baseRow,$E269="Tier 2 Grove",$D269&lt;12),
Error!$B$41,
IF(AND(_xlpm.baseRow,$E269="Tier 2",$D269&lt;5.88),
Error!$B$40,
IF(AND(_xlpm.baseRow,OR($E269="Tier 2",$E269="Tier 2 Grove"),$C269&lt;&gt;"",$D269&lt;12,$D269&gt;=6,COUNTIF(Tables2!$B$153:$B$162,$C269)&gt;0),
Error!$B$54,
IF(AND(_xlpm.baseRow,$E269="Tier 2",COUNTIF(Tables2!$B$166:$B$674,$C269)&gt;0,$D269&lt;24),
Error!$B$54,
IF(AND(_xlpm.baseRow,$E269="Tier 3",ISNA(MATCH($C269,Tables2!$B$153:$B$162,0)),OR($D269&lt;12,$D269&gt;=24)),
Error!$B$9,
IF(AND(_xlpm.baseRow,$E269="Tier 3",COUNTIF(Tables2!$B$153:$B$162,$C269)&gt;0,$D269&lt;12),
Error!$B$46,
IF(AND(_xlpm.baseRow,$E269="Tier 4",OR($D269&lt;6,$D269&gt;=12)),
Error!$B$10,
IF(AND(_xlpm.baseRow,$E269="&lt;6in DSH for Tree Points",OR($D269&gt;=6,$D269="")),
Error!$B$8,
IF(AND(_xlpm.baseRow,$E269="Street Tree for Green Factor",$F269&lt;&gt;"",$F269&lt;&gt;"Retain"),
Error!$B$14,
IF(AND($E269="&lt;6in DSH for Tree Points",$F269="Retain",$H269&lt;&gt;"",ISNA(MATCH($H269,Tables!$B$174:$B$174,0))),
Error!$B$15,
IF(AND($E269="Street Tree for Green Factor",$F269="Retain",$H269&lt;&gt;"",$H269&lt;&gt;"Zoning: Green Factor"),
Error!$B$15,
IF(AND($E269="ECA / Shoreline Tree",$F269="Remove",$H269&lt;&gt;"",ISNA(MATCH($H269,Tables!$B$189:$B$190,0))),
Error!$B$15,
IF(AND($E269="ECA / Shoreline Tree",$F269="Retain",$H269&lt;&gt;"",ISNA(MATCH($H269,Tables!$B$184:$B$186,0))),
Error!$B$15,
IF(AND($E269="Tier 4",$F269="Remove",$H269&lt;&gt;"",ISNA(MATCH($H269,Tables!$B$171,0))),
Error!$B$15,
IF(AND($E269="Tier 4",$F269="Retain",$H269&lt;&gt;"",ISNA(MATCH($H269,Tables!$B$166:$B$168,0))),
Error!$B$15,
IF(AND($E269="Tier 3",$F269="Retain",$H269&lt;&gt;"",ISNA(MATCH($H269,Tables!$B$158:$B$160,0))),
Error!$B$15,
IF(AND($E269="Tier 3",$F269="Remove",$H269&lt;&gt;"",ISNA(MATCH($H269,Tables!$B$163,0))),
Error!$B$15,
IF(AND(OR($E269="Tier 2",$E269="Tier 2 Grove"),$F269="Remove",$H269&lt;&gt;"",ISNA(MATCH($H269,Tables!$B$153:$B$155,0))),
Error!$B$15,
IF(AND(OR($E269="Tier 2",$E269="Tier 2 Grove"),$F269="Retain",$H269&lt;&gt;"",ISNA(MATCH($H269,Tables!$B$147:$B$150,0))),
Error!$B$15,
IF(AND($E269="Tier 1",$F269="Remove",$H269&lt;&gt;"",ISNA(MATCH($H269,Tables!$B$143:$B$144,0))),
Error!$B$15,
IF(AND($E269="Tier 1",$F269="Retain",$H269&lt;&gt;"",ISNA(MATCH($H269,Tables!$B$137:$B$140,0))),
Error!$B$15,
IF(AND($E269&lt;&gt;"Tier 2",$E269&lt;&gt;"Tier 2 Grove",$E269&lt;&gt;"Tier 3",$E269&lt;&gt;"Tier 4",$H269="Zoning: Green Factor",OR($D269="",$D269&lt;6)),
Error!$B$11,
IF(AND(_xlpm.baseRow,$D269&lt;6,$E269="&lt;6in DSH for Tree Points",_xlpm.TreePoints_H=0),
Error!$B$21,
IF(AND(_xlpm.baseRow,$E269&lt;&gt;"",$D269&lt;&gt;"",$F269=""),
Error!$B$4,
IF(AND(_xlpm.baseRow,$F269="Remove",OR($E269="Tier 1",$E269="Tier 2",$E269="Tier 2 Grove"),COUNTBLANK(_xlpm.HRange)&lt;3,_xlpm.uniqueH&gt;=2),
Error!$B$48,
IF(AND(_xlpm.baseRow,$F269="Retain",OR($E269="Tier 1",$E269="Tier 2",$E269="Tier 2 Grove"),COUNTIF(_xlpm.HRange,"Tree Code: Required to Retain Tier 1-2 Tree")=0),
Error!$B$47,
IF(AND(_xlpm.baseRow,$E269&lt;&gt;"",$D269&lt;&gt;"",$F269&lt;&gt;"",COUNTBLANK(_xlpm.HRange)=4),
Error!$B$5,
IF(AND($F269="Remove",$H269&lt;&gt;"",$I269=""),
Error!$B$18,
IF(AND($E269="Tier 4",$F269="Remove",$H269="Tree Protection Code: Tier 3 or Tier 4 Allowance",$H269&lt;&gt;"",ISNA(MATCH($I269,Tables!$B$200,0))),
Error!$B$17,
IF(AND($E269="Tier 3",$F269="Remove",$H269&lt;&gt;"",$H269="Tree Protection Code: Tier 3 or Tier 4 Allowance",OR($I269="",ISNA(MATCH($I269,Tables!$B$193:$B$197,0)))),
Error!$B$17,
IF(AND(OR($E269="Tier 2",$E269="Tier 2 Grove"),$F269="Remove",$H269="Tree Protection Code: Other removal allowance or exemption",$I269&lt;&gt;"",ISNA(MATCH($I269,Tables!$B$215:$B$218,0))),
Error!$B$17,
IF(AND(OR($E269="Tier 2",$E269="Tier 2 Grove"),$F269="Remove",$H269="Tree Protection Code: Development Capacity",$I269&lt;&gt;"",ISNA(MATCH($I269,Tables!$B$193:$B$197,0))),
Error!$B$17,
IF(AND(OR($E269="Tier 2",$E269="Tier 2 Grove"),$F269="Remove",$H269="Tree Protection Code: Necessary for Construction",$I269&lt;&gt;"",ISNA(MATCH($I269,Tables!$B$193:$B$197,0))),
Error!$B$17,
IF(AND($E269="Tier 1",$F269="Remove",$H269="Tree Protection Code: Special Exception",$I269&lt;&gt;"",ISNA(MATCH($I269,Tables!$B$215:$B$218,0))),
Error!$B$17,
IF(AND($E269="Tier 1",$F269="Remove",$H269="Tree Protection Code: Other removal allowance or exemption",$I269&lt;&gt;"",ISNA(MATCH($I269,Tables!$B$215:$B$218,0))),
Error!$B$17,
IF(AND($E269="ECA / Shoreline Tree",$F269="Remove",$H269&lt;&gt;"",OR($H269="Shoreline",$H269="Environmental Critical Area (ECA)"),ISNA(MATCH($I269,Tables!$B$209:$B$212,0))),
Error!$B$17,
IF(AND(_xlpm.baseRow,$F269="Retain",$E269="ECA / Shoreline Tree",_xlpm.ECA_Short=0),
Error!$B$61,
IF(AND($F269="Remove",ISNUMBER(MATCH($E269,{"Tier 1","Tier 2","Tier 3","Tier 4","Tier 2 Grove"},0)),ISNUMBER(MATCH($I269,{"On-site replacement","Off-site replacement"},0)),$J269="",$H269&lt;&gt;""),
Error!$B$19,
IF(AND(_xlpm.baseRow,$E269&lt;&gt;"",$D269&lt;&gt;"",$F269&lt;&gt;"",COUNTBLANK($B269:$C269)&gt;0,COUNTBLANK(_xlpm.HRange)&lt;&gt;4),
Error!$B$22,
IF(AND($H269="Zoning: Tree Points",$K269&lt;&gt;"",ISNA(MATCH($K269,Tables!$B$242:$B$253,0))),
Error!$B$58,
IF(AND($H269="Zoning: Tree Points",$K269="Small",$L269&lt;&gt;"",ISNA(MATCH($L269,Tables!$C$243:$C$244,0))),
Error!$B$59,
IF(AND($H269="Zoning: Tree Points",$K269="Small/Medium",$L269&lt;&gt;"",ISNA(MATCH($L269,Tables!$C$246:$C$247,0))),
Error!$B$59,
IF(AND($H269="Zoning: Tree Points",$K269="Medium/Large",$L269&lt;&gt;"",ISNA(MATCH($L269,Tables!$C$249:$C$250,0))),
Error!$B$59,
IF(AND($H269="Zoning: Tree Points",$K269="Large",$L269&lt;&gt;"",ISNA(MATCH($L269,Tables!$C$252:$C$253,0))),
Error!$B$59,
IF(AND($F269="Retain",$H269="Zoning: Tree Points",$C269&lt;&gt;"",$D269&lt;&gt;"",OR($K269="",$L269="",$M269="")),
Error!$B$20,
""
)))))))))))))))))))))))))))))))))))))))))))))))))))))))),
Error!$B$23))</f>
        <v/>
      </c>
      <c r="O269" s="343" t="str" cm="1">
        <f t="array" aca="1" ref="O269" ca="1">IFERROR(_xlfn.LET(
    _xlpm.txt, $C269,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70" spans="1:15" ht="15" thickBot="1" x14ac:dyDescent="0.35">
      <c r="A270" s="331"/>
      <c r="B270" s="616" t="str">
        <f t="shared" si="280"/>
        <v/>
      </c>
      <c r="C270" s="617" t="str">
        <f t="shared" si="281"/>
        <v/>
      </c>
      <c r="D270" s="618" t="str">
        <f t="shared" si="282"/>
        <v/>
      </c>
      <c r="E270" s="616" t="str">
        <f t="shared" si="283"/>
        <v/>
      </c>
      <c r="F270" s="616" t="str">
        <f t="shared" si="284"/>
        <v/>
      </c>
      <c r="G270" s="619" t="str">
        <f>IF(Tree_Table1[[#This Row],[Tree Status  &amp;]]="Retain", Tables!$B$237, IF(Tree_Table1[[#This Row],[Tree Status  &amp;]]="Remove", Tables!$B$238, ""))</f>
        <v/>
      </c>
      <c r="H270" s="329"/>
      <c r="I270" s="330"/>
      <c r="J270" s="455"/>
      <c r="K270" s="327" t="str">
        <f>IFERROR(
    IF(
        AND($H270="Zoning: Tree Points", NOT(ISNUMBER(SEARCH("sp.", $C270)))),
        VLOOKUP($C270, 'Tree List'!$C$3:$F$601, 4, FALSE),
        ""
    ),
"")</f>
        <v/>
      </c>
      <c r="L270" s="328" t="str" cm="1">
        <f t="array" ref="L270">IFERROR(
IF(
    AND($H270="Zoning: Tree Points", NOT(ISNUMBER(SEARCH("sp.", $C270)))),
    _xlfn.IFS(
        (COUNTIFS('Tree List'!$C$3:$C$601,$C270,'Tree List'!$D$3:$D$601,"Coniferous")
        + COUNTIFS('Tree List'!$C$3:$C$601,$C270,'Tree List'!$D$3:$D$601,"Deciduous Conifer")) &gt; 0,
            _xlfn.IFS($K270="Small",0.5,$K270="Small/Medium",1,$K270="Medium/Large",1.4,$K270="Large",1.8),
        (COUNTIFS('Tree List'!$C$3:$C$601,$C270,'Tree List'!$D$3:$D$601,"Deciduous")
        + COUNTIFS('Tree List'!$C$3:$C$601,$C270,'Tree List'!$D$3:$D$601,"Broadleaf Evergreen")) &gt; 0,
            _xlfn.IFS($K270="Small",0.4,$K270="Small/Medium",0.8,$K270="Medium/Large",1.2,$K270="Large",1.6)
    ),
    ""
),
"")</f>
        <v/>
      </c>
      <c r="M270" s="476" t="str">
        <f t="shared" si="249"/>
        <v/>
      </c>
      <c r="N270" s="347" t="str" cm="1">
        <f t="array" aca="1" ref="N27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IF(AND(_xlpm.baseRow,ISNA(MATCH($C270,'Tree List'!$C$3:$C$601,0)),SUMPRODUCT(--ISNUMBER(SEARCH(Tables2!$C$677:$C$772,$O270)))&gt;0),
Error!$B$57,
IF(AND(_xlpm.hasDM,$F270="Remove",$H270&lt;&gt;"",OR($I270="On-site replacement",$I270="Off-site replacement",$I270="Payment In Lieu")),
Error!$B$56,
IF(AND(_xlpm.hasDM,$F270="Remove",$H270&lt;&gt;"",$I270="Relocation"),
Error!$B$66,
IF(AND(OR(_xlpm.hasCN,_xlpm.hasPH,_xlpm.hasGR),$H270&lt;&gt;"",COUNTIF(Tables!$B$132:$B$134,$H270)&gt;0,$I270="N/A (No replacement required)"),
Error!$B$62,
IF(AND(_xlpm.baseRow,$E270&lt;&gt;"",ISNA(MATCH($E270,Tables!$B$225:$B$232,0))),
Error!$B$2,
IF(AND(_xlpm.baseRow,$F270&lt;&gt;"",ISNA(MATCH($F270,Tables!$B$234:$B$235,0))),
Error!$B$24,
IF(AND(_xlpm.baseRow,_xlpm.ECA_H&gt;0,_xlpm.Shore_H&gt;0),
Error!$B$16,
IF(AND(_xlpm.baseRow,$E270&lt;&gt;"",$D270=""),
Error!$B$3,
IF(AND(_xlpm.baseRow,OR($E270="Tier 3",$E270="Tier 4"),$C270&lt;&gt;"",$D270&gt;=24,COUNTIF(Tables2!$B$166:$B$674,$C270)&gt;0),
Error!$B$44,
IF(AND(_xlpm.baseRow,OR($E270="Tier 3",$E270="Tier 4"),$C270&lt;&gt;"",$D270&lt;&gt;"",COUNTIF(Tables2!$B$73:$B$152,$C270)&gt;0,
$D270&gt;=IFERROR(INDEX(Tables2!$C$73:$C$152,MATCH($C270,Tables2!$B$73:$B$152,0)),-1)),
Error!$B$44,
IF(AND(_xlpm.baseRow,OR($E270="Tier 2",$E270="Tier 2 Grove"),$C270&lt;&gt;"",$D270&gt;=12,COUNTIF(Tables2!$B$153:$B$162,$C270)&gt;0),
Error!$B$45,
IF(AND(_xlpm.baseRow,$E270="Tier 2 Grove",$D270&lt;12),
Error!$B$41,
IF(AND(_xlpm.baseRow,$E270="Tier 2",$D270&lt;5.88),
Error!$B$40,
IF(AND(_xlpm.baseRow,OR($E270="Tier 2",$E270="Tier 2 Grove"),$C270&lt;&gt;"",$D270&lt;12,$D270&gt;=6,COUNTIF(Tables2!$B$153:$B$162,$C270)&gt;0),
Error!$B$54,
IF(AND(_xlpm.baseRow,$E270="Tier 2",COUNTIF(Tables2!$B$166:$B$674,$C270)&gt;0,$D270&lt;24),
Error!$B$54,
IF(AND(_xlpm.baseRow,$E270="Tier 3",ISNA(MATCH($C270,Tables2!$B$153:$B$162,0)),OR($D270&lt;12,$D270&gt;=24)),
Error!$B$9,
IF(AND(_xlpm.baseRow,$E270="Tier 3",COUNTIF(Tables2!$B$153:$B$162,$C270)&gt;0,$D270&lt;12),
Error!$B$46,
IF(AND(_xlpm.baseRow,$E270="Tier 4",OR($D270&lt;6,$D270&gt;=12)),
Error!$B$10,
IF(AND(_xlpm.baseRow,$E270="&lt;6in DSH for Tree Points",OR($D270&gt;=6,$D270="")),
Error!$B$8,
IF(AND(_xlpm.baseRow,$E270="Street Tree for Green Factor",$F270&lt;&gt;"",$F270&lt;&gt;"Retain"),
Error!$B$14,
IF(AND($E270="&lt;6in DSH for Tree Points",$F270="Retain",$H270&lt;&gt;"",ISNA(MATCH($H270,Tables!$B$174:$B$174,0))),
Error!$B$15,
IF(AND($E270="Street Tree for Green Factor",$F270="Retain",$H270&lt;&gt;"",$H270&lt;&gt;"Zoning: Green Factor"),
Error!$B$15,
IF(AND($E270="ECA / Shoreline Tree",$F270="Remove",$H270&lt;&gt;"",ISNA(MATCH($H270,Tables!$B$189:$B$190,0))),
Error!$B$15,
IF(AND($E270="ECA / Shoreline Tree",$F270="Retain",$H270&lt;&gt;"",ISNA(MATCH($H270,Tables!$B$184:$B$186,0))),
Error!$B$15,
IF(AND($E270="Tier 4",$F270="Remove",$H270&lt;&gt;"",ISNA(MATCH($H270,Tables!$B$171,0))),
Error!$B$15,
IF(AND($E270="Tier 4",$F270="Retain",$H270&lt;&gt;"",ISNA(MATCH($H270,Tables!$B$166:$B$168,0))),
Error!$B$15,
IF(AND($E270="Tier 3",$F270="Retain",$H270&lt;&gt;"",ISNA(MATCH($H270,Tables!$B$158:$B$160,0))),
Error!$B$15,
IF(AND($E270="Tier 3",$F270="Remove",$H270&lt;&gt;"",ISNA(MATCH($H270,Tables!$B$163,0))),
Error!$B$15,
IF(AND(OR($E270="Tier 2",$E270="Tier 2 Grove"),$F270="Remove",$H270&lt;&gt;"",ISNA(MATCH($H270,Tables!$B$153:$B$155,0))),
Error!$B$15,
IF(AND(OR($E270="Tier 2",$E270="Tier 2 Grove"),$F270="Retain",$H270&lt;&gt;"",ISNA(MATCH($H270,Tables!$B$147:$B$150,0))),
Error!$B$15,
IF(AND($E270="Tier 1",$F270="Remove",$H270&lt;&gt;"",ISNA(MATCH($H270,Tables!$B$143:$B$144,0))),
Error!$B$15,
IF(AND($E270="Tier 1",$F270="Retain",$H270&lt;&gt;"",ISNA(MATCH($H270,Tables!$B$137:$B$140,0))),
Error!$B$15,
IF(AND($E270&lt;&gt;"Tier 2",$E270&lt;&gt;"Tier 2 Grove",$E270&lt;&gt;"Tier 3",$E270&lt;&gt;"Tier 4",$H270="Zoning: Green Factor",OR($D270="",$D270&lt;6)),
Error!$B$11,
IF(AND(_xlpm.baseRow,$D270&lt;6,$E270="&lt;6in DSH for Tree Points",_xlpm.TreePoints_H=0),
Error!$B$21,
IF(AND(_xlpm.baseRow,$E270&lt;&gt;"",$D270&lt;&gt;"",$F270=""),
Error!$B$4,
IF(AND(_xlpm.baseRow,$F270="Remove",OR($E270="Tier 1",$E270="Tier 2",$E270="Tier 2 Grove"),COUNTBLANK(_xlpm.HRange)&lt;3,_xlpm.uniqueH&gt;=2),
Error!$B$48,
IF(AND(_xlpm.baseRow,$F270="Retain",OR($E270="Tier 1",$E270="Tier 2",$E270="Tier 2 Grove"),COUNTIF(_xlpm.HRange,"Tree Code: Required to Retain Tier 1-2 Tree")=0),
Error!$B$47,
IF(AND(_xlpm.baseRow,$E270&lt;&gt;"",$D270&lt;&gt;"",$F270&lt;&gt;"",COUNTBLANK(_xlpm.HRange)=4),
Error!$B$5,
IF(AND($F270="Remove",$H270&lt;&gt;"",$I270=""),
Error!$B$18,
IF(AND($E270="Tier 4",$F270="Remove",$H270="Tree Protection Code: Tier 3 or Tier 4 Allowance",$H270&lt;&gt;"",ISNA(MATCH($I270,Tables!$B$200,0))),
Error!$B$17,
IF(AND($E270="Tier 3",$F270="Remove",$H270&lt;&gt;"",$H270="Tree Protection Code: Tier 3 or Tier 4 Allowance",OR($I270="",ISNA(MATCH($I270,Tables!$B$193:$B$197,0)))),
Error!$B$17,
IF(AND(OR($E270="Tier 2",$E270="Tier 2 Grove"),$F270="Remove",$H270="Tree Protection Code: Other removal allowance or exemption",$I270&lt;&gt;"",ISNA(MATCH($I270,Tables!$B$215:$B$218,0))),
Error!$B$17,
IF(AND(OR($E270="Tier 2",$E270="Tier 2 Grove"),$F270="Remove",$H270="Tree Protection Code: Development Capacity",$I270&lt;&gt;"",ISNA(MATCH($I270,Tables!$B$193:$B$197,0))),
Error!$B$17,
IF(AND(OR($E270="Tier 2",$E270="Tier 2 Grove"),$F270="Remove",$H270="Tree Protection Code: Necessary for Construction",$I270&lt;&gt;"",ISNA(MATCH($I270,Tables!$B$193:$B$197,0))),
Error!$B$17,
IF(AND($E270="Tier 1",$F270="Remove",$H270="Tree Protection Code: Special Exception",$I270&lt;&gt;"",ISNA(MATCH($I270,Tables!$B$215:$B$218,0))),
Error!$B$17,
IF(AND($E270="Tier 1",$F270="Remove",$H270="Tree Protection Code: Other removal allowance or exemption",$I270&lt;&gt;"",ISNA(MATCH($I270,Tables!$B$215:$B$218,0))),
Error!$B$17,
IF(AND($E270="ECA / Shoreline Tree",$F270="Remove",$H270&lt;&gt;"",OR($H270="Shoreline",$H270="Environmental Critical Area (ECA)"),ISNA(MATCH($I270,Tables!$B$209:$B$212,0))),
Error!$B$17,
IF(AND(_xlpm.baseRow,$F270="Retain",$E270="ECA / Shoreline Tree",_xlpm.ECA_Short=0),
Error!$B$61,
IF(AND($F270="Remove",ISNUMBER(MATCH($E270,{"Tier 1","Tier 2","Tier 3","Tier 4","Tier 2 Grove"},0)),ISNUMBER(MATCH($I270,{"On-site replacement","Off-site replacement"},0)),$J270="",$H270&lt;&gt;""),
Error!$B$19,
IF(AND(_xlpm.baseRow,$E270&lt;&gt;"",$D270&lt;&gt;"",$F270&lt;&gt;"",COUNTBLANK($B270:$C270)&gt;0,COUNTBLANK(_xlpm.HRange)&lt;&gt;4),
Error!$B$22,
IF(AND($H270="Zoning: Tree Points",$K270&lt;&gt;"",ISNA(MATCH($K270,Tables!$B$242:$B$253,0))),
Error!$B$58,
IF(AND($H270="Zoning: Tree Points",$K270="Small",$L270&lt;&gt;"",ISNA(MATCH($L270,Tables!$C$243:$C$244,0))),
Error!$B$59,
IF(AND($H270="Zoning: Tree Points",$K270="Small/Medium",$L270&lt;&gt;"",ISNA(MATCH($L270,Tables!$C$246:$C$247,0))),
Error!$B$59,
IF(AND($H270="Zoning: Tree Points",$K270="Medium/Large",$L270&lt;&gt;"",ISNA(MATCH($L270,Tables!$C$249:$C$250,0))),
Error!$B$59,
IF(AND($H270="Zoning: Tree Points",$K270="Large",$L270&lt;&gt;"",ISNA(MATCH($L270,Tables!$C$252:$C$253,0))),
Error!$B$59,
IF(AND($F270="Retain",$H270="Zoning: Tree Points",$C270&lt;&gt;"",$D270&lt;&gt;"",OR($K270="",$L270="",$M270="")),
Error!$B$20,
""
)))))))))))))))))))))))))))))))))))))))))))))))))))))))),
Error!$B$23))</f>
        <v/>
      </c>
      <c r="O270" s="343" t="str" cm="1">
        <f t="array" aca="1" ref="O270" ca="1">IFERROR(_xlfn.LET(
    _xlpm.txt, $C270,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71" spans="1:15" ht="15" thickBot="1" x14ac:dyDescent="0.35">
      <c r="A271" s="311">
        <v>66</v>
      </c>
      <c r="B271" s="312"/>
      <c r="C271" s="313"/>
      <c r="D271" s="478"/>
      <c r="E271" s="314"/>
      <c r="F271" s="314"/>
      <c r="G271" s="315" t="str">
        <f>IF(Tree_Table1[[#This Row],[Tree Status  &amp;]]="Retain", Tables!$B$237, IF(Tree_Table1[[#This Row],[Tree Status  &amp;]]="Remove", Tables!$B$238, ""))</f>
        <v/>
      </c>
      <c r="H271" s="316"/>
      <c r="I271" s="317"/>
      <c r="J271" s="452"/>
      <c r="K271" s="318" t="str">
        <f>IFERROR(
    IF(
        AND($H271="Zoning: Tree Points", NOT(ISNUMBER(SEARCH("sp.", $C271)))),
        VLOOKUP($C271, 'Tree List'!$C$3:$F$601, 4, FALSE),
        ""
    ),
"")</f>
        <v/>
      </c>
      <c r="L271" s="319" t="str" cm="1">
        <f t="array" ref="L271">IFERROR(
IF(
    AND($H271="Zoning: Tree Points", NOT(ISNUMBER(SEARCH("sp.", $C271)))),
    _xlfn.IFS(
        (COUNTIFS('Tree List'!$C$3:$C$601,$C271,'Tree List'!$D$3:$D$601,"Coniferous")
        + COUNTIFS('Tree List'!$C$3:$C$601,$C271,'Tree List'!$D$3:$D$601,"Deciduous Conifer")) &gt; 0,
            _xlfn.IFS($K271="Small",0.5,$K271="Small/Medium",1,$K271="Medium/Large",1.4,$K271="Large",1.8),
        (COUNTIFS('Tree List'!$C$3:$C$601,$C271,'Tree List'!$D$3:$D$601,"Deciduous")
        + COUNTIFS('Tree List'!$C$3:$C$601,$C271,'Tree List'!$D$3:$D$601,"Broadleaf Evergreen")) &gt; 0,
            _xlfn.IFS($K271="Small",0.4,$K271="Small/Medium",0.8,$K271="Medium/Large",1.2,$K271="Large",1.6)
    ),
    ""
),
"")</f>
        <v/>
      </c>
      <c r="M271" s="474" t="str">
        <f t="shared" si="249"/>
        <v/>
      </c>
      <c r="N271" s="620" t="str" cm="1">
        <f t="array" aca="1" ref="N27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IF(AND(_xlpm.baseRow,ISNA(MATCH($C271,'Tree List'!$C$3:$C$601,0)),SUMPRODUCT(--ISNUMBER(SEARCH(Tables2!$C$677:$C$772,$O271)))&gt;0),
Error!$B$57,
IF(AND(_xlpm.hasDM,$F271="Remove",$H271&lt;&gt;"",OR($I271="On-site replacement",$I271="Off-site replacement",$I271="Payment In Lieu")),
Error!$B$56,
IF(AND(_xlpm.hasDM,$F271="Remove",$H271&lt;&gt;"",$I271="Relocation"),
Error!$B$66,
IF(AND(OR(_xlpm.hasCN,_xlpm.hasPH,_xlpm.hasGR),$H271&lt;&gt;"",COUNTIF(Tables!$B$132:$B$134,$H271)&gt;0,$I271="N/A (No replacement required)"),
Error!$B$62,
IF(AND(_xlpm.baseRow,$E271&lt;&gt;"",ISNA(MATCH($E271,Tables!$B$225:$B$232,0))),
Error!$B$2,
IF(AND(_xlpm.baseRow,$F271&lt;&gt;"",ISNA(MATCH($F271,Tables!$B$234:$B$235,0))),
Error!$B$24,
IF(AND(_xlpm.baseRow,_xlpm.ECA_H&gt;0,_xlpm.Shore_H&gt;0),
Error!$B$16,
IF(AND(_xlpm.baseRow,$E271&lt;&gt;"",$D271=""),
Error!$B$3,
IF(AND(_xlpm.baseRow,OR($E271="Tier 3",$E271="Tier 4"),$C271&lt;&gt;"",$D271&gt;=24,COUNTIF(Tables2!$B$166:$B$674,$C271)&gt;0),
Error!$B$44,
IF(AND(_xlpm.baseRow,OR($E271="Tier 3",$E271="Tier 4"),$C271&lt;&gt;"",$D271&lt;&gt;"",COUNTIF(Tables2!$B$73:$B$152,$C271)&gt;0,
$D271&gt;=IFERROR(INDEX(Tables2!$C$73:$C$152,MATCH($C271,Tables2!$B$73:$B$152,0)),-1)),
Error!$B$44,
IF(AND(_xlpm.baseRow,OR($E271="Tier 2",$E271="Tier 2 Grove"),$C271&lt;&gt;"",$D271&gt;=12,COUNTIF(Tables2!$B$153:$B$162,$C271)&gt;0),
Error!$B$45,
IF(AND(_xlpm.baseRow,$E271="Tier 2 Grove",$D271&lt;12),
Error!$B$41,
IF(AND(_xlpm.baseRow,$E271="Tier 2",$D271&lt;5.88),
Error!$B$40,
IF(AND(_xlpm.baseRow,OR($E271="Tier 2",$E271="Tier 2 Grove"),$C271&lt;&gt;"",$D271&lt;12,$D271&gt;=6,COUNTIF(Tables2!$B$153:$B$162,$C271)&gt;0),
Error!$B$54,
IF(AND(_xlpm.baseRow,$E271="Tier 2",COUNTIF(Tables2!$B$166:$B$674,$C271)&gt;0,$D271&lt;24),
Error!$B$54,
IF(AND(_xlpm.baseRow,$E271="Tier 3",ISNA(MATCH($C271,Tables2!$B$153:$B$162,0)),OR($D271&lt;12,$D271&gt;=24)),
Error!$B$9,
IF(AND(_xlpm.baseRow,$E271="Tier 3",COUNTIF(Tables2!$B$153:$B$162,$C271)&gt;0,$D271&lt;12),
Error!$B$46,
IF(AND(_xlpm.baseRow,$E271="Tier 4",OR($D271&lt;6,$D271&gt;=12)),
Error!$B$10,
IF(AND(_xlpm.baseRow,$E271="&lt;6in DSH for Tree Points",OR($D271&gt;=6,$D271="")),
Error!$B$8,
IF(AND(_xlpm.baseRow,$E271="Street Tree for Green Factor",$F271&lt;&gt;"",$F271&lt;&gt;"Retain"),
Error!$B$14,
IF(AND($E271="&lt;6in DSH for Tree Points",$F271="Retain",$H271&lt;&gt;"",ISNA(MATCH($H271,Tables!$B$174:$B$174,0))),
Error!$B$15,
IF(AND($E271="Street Tree for Green Factor",$F271="Retain",$H271&lt;&gt;"",$H271&lt;&gt;"Zoning: Green Factor"),
Error!$B$15,
IF(AND($E271="ECA / Shoreline Tree",$F271="Remove",$H271&lt;&gt;"",ISNA(MATCH($H271,Tables!$B$189:$B$190,0))),
Error!$B$15,
IF(AND($E271="ECA / Shoreline Tree",$F271="Retain",$H271&lt;&gt;"",ISNA(MATCH($H271,Tables!$B$184:$B$186,0))),
Error!$B$15,
IF(AND($E271="Tier 4",$F271="Remove",$H271&lt;&gt;"",ISNA(MATCH($H271,Tables!$B$171,0))),
Error!$B$15,
IF(AND($E271="Tier 4",$F271="Retain",$H271&lt;&gt;"",ISNA(MATCH($H271,Tables!$B$166:$B$168,0))),
Error!$B$15,
IF(AND($E271="Tier 3",$F271="Retain",$H271&lt;&gt;"",ISNA(MATCH($H271,Tables!$B$158:$B$160,0))),
Error!$B$15,
IF(AND($E271="Tier 3",$F271="Remove",$H271&lt;&gt;"",ISNA(MATCH($H271,Tables!$B$163,0))),
Error!$B$15,
IF(AND(OR($E271="Tier 2",$E271="Tier 2 Grove"),$F271="Remove",$H271&lt;&gt;"",ISNA(MATCH($H271,Tables!$B$153:$B$155,0))),
Error!$B$15,
IF(AND(OR($E271="Tier 2",$E271="Tier 2 Grove"),$F271="Retain",$H271&lt;&gt;"",ISNA(MATCH($H271,Tables!$B$147:$B$150,0))),
Error!$B$15,
IF(AND($E271="Tier 1",$F271="Remove",$H271&lt;&gt;"",ISNA(MATCH($H271,Tables!$B$143:$B$144,0))),
Error!$B$15,
IF(AND($E271="Tier 1",$F271="Retain",$H271&lt;&gt;"",ISNA(MATCH($H271,Tables!$B$137:$B$140,0))),
Error!$B$15,
IF(AND($E271&lt;&gt;"Tier 2",$E271&lt;&gt;"Tier 2 Grove",$E271&lt;&gt;"Tier 3",$E271&lt;&gt;"Tier 4",$H271="Zoning: Green Factor",OR($D271="",$D271&lt;6)),
Error!$B$11,
IF(AND(_xlpm.baseRow,$D271&lt;6,$E271="&lt;6in DSH for Tree Points",_xlpm.TreePoints_H=0),
Error!$B$21,
IF(AND(_xlpm.baseRow,$E271&lt;&gt;"",$D271&lt;&gt;"",$F271=""),
Error!$B$4,
IF(AND(_xlpm.baseRow,$F271="Remove",OR($E271="Tier 1",$E271="Tier 2",$E271="Tier 2 Grove"),COUNTBLANK(_xlpm.HRange)&lt;3,_xlpm.uniqueH&gt;=2),
Error!$B$48,
IF(AND(_xlpm.baseRow,$F271="Retain",OR($E271="Tier 1",$E271="Tier 2",$E271="Tier 2 Grove"),COUNTIF(_xlpm.HRange,"Tree Code: Required to Retain Tier 1-2 Tree")=0),
Error!$B$47,
IF(AND(_xlpm.baseRow,$E271&lt;&gt;"",$D271&lt;&gt;"",$F271&lt;&gt;"",COUNTBLANK(_xlpm.HRange)=4),
Error!$B$5,
IF(AND($F271="Remove",$H271&lt;&gt;"",$I271=""),
Error!$B$18,
IF(AND($E271="Tier 4",$F271="Remove",$H271="Tree Protection Code: Tier 3 or Tier 4 Allowance",$H271&lt;&gt;"",ISNA(MATCH($I271,Tables!$B$200,0))),
Error!$B$17,
IF(AND($E271="Tier 3",$F271="Remove",$H271&lt;&gt;"",$H271="Tree Protection Code: Tier 3 or Tier 4 Allowance",OR($I271="",ISNA(MATCH($I271,Tables!$B$193:$B$197,0)))),
Error!$B$17,
IF(AND(OR($E271="Tier 2",$E271="Tier 2 Grove"),$F271="Remove",$H271="Tree Protection Code: Other removal allowance or exemption",$I271&lt;&gt;"",ISNA(MATCH($I271,Tables!$B$215:$B$218,0))),
Error!$B$17,
IF(AND(OR($E271="Tier 2",$E271="Tier 2 Grove"),$F271="Remove",$H271="Tree Protection Code: Development Capacity",$I271&lt;&gt;"",ISNA(MATCH($I271,Tables!$B$193:$B$197,0))),
Error!$B$17,
IF(AND(OR($E271="Tier 2",$E271="Tier 2 Grove"),$F271="Remove",$H271="Tree Protection Code: Necessary for Construction",$I271&lt;&gt;"",ISNA(MATCH($I271,Tables!$B$193:$B$197,0))),
Error!$B$17,
IF(AND($E271="Tier 1",$F271="Remove",$H271="Tree Protection Code: Special Exception",$I271&lt;&gt;"",ISNA(MATCH($I271,Tables!$B$215:$B$218,0))),
Error!$B$17,
IF(AND($E271="Tier 1",$F271="Remove",$H271="Tree Protection Code: Other removal allowance or exemption",$I271&lt;&gt;"",ISNA(MATCH($I271,Tables!$B$215:$B$218,0))),
Error!$B$17,
IF(AND($E271="ECA / Shoreline Tree",$F271="Remove",$H271&lt;&gt;"",OR($H271="Shoreline",$H271="Environmental Critical Area (ECA)"),ISNA(MATCH($I271,Tables!$B$209:$B$212,0))),
Error!$B$17,
IF(AND(_xlpm.baseRow,$F271="Retain",$E271="ECA / Shoreline Tree",_xlpm.ECA_Short=0),
Error!$B$61,
IF(AND($F271="Remove",ISNUMBER(MATCH($E271,{"Tier 1","Tier 2","Tier 3","Tier 4","Tier 2 Grove"},0)),ISNUMBER(MATCH($I271,{"On-site replacement","Off-site replacement"},0)),$J271="",$H271&lt;&gt;""),
Error!$B$19,
IF(AND(_xlpm.baseRow,$E271&lt;&gt;"",$D271&lt;&gt;"",$F271&lt;&gt;"",COUNTBLANK($B271:$C271)&gt;0,COUNTBLANK(_xlpm.HRange)&lt;&gt;4),
Error!$B$22,
IF(AND($H271="Zoning: Tree Points",$K271&lt;&gt;"",ISNA(MATCH($K271,Tables!$B$242:$B$253,0))),
Error!$B$58,
IF(AND($H271="Zoning: Tree Points",$K271="Small",$L271&lt;&gt;"",ISNA(MATCH($L271,Tables!$C$243:$C$244,0))),
Error!$B$59,
IF(AND($H271="Zoning: Tree Points",$K271="Small/Medium",$L271&lt;&gt;"",ISNA(MATCH($L271,Tables!$C$246:$C$247,0))),
Error!$B$59,
IF(AND($H271="Zoning: Tree Points",$K271="Medium/Large",$L271&lt;&gt;"",ISNA(MATCH($L271,Tables!$C$249:$C$250,0))),
Error!$B$59,
IF(AND($H271="Zoning: Tree Points",$K271="Large",$L271&lt;&gt;"",ISNA(MATCH($L271,Tables!$C$252:$C$253,0))),
Error!$B$59,
IF(AND($F271="Retain",$H271="Zoning: Tree Points",$C271&lt;&gt;"",$D271&lt;&gt;"",OR($K271="",$L271="",$M271="")),
Error!$B$20,
""
)))))))))))))))))))))))))))))))))))))))))))))))))))))))),
Error!$B$23))</f>
        <v/>
      </c>
      <c r="O271" s="343" t="str" cm="1">
        <f t="array" aca="1" ref="O271" ca="1">IFERROR(_xlfn.LET(
    _xlpm.txt, $C271,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72" spans="1:15" x14ac:dyDescent="0.3">
      <c r="A272" s="320"/>
      <c r="B272" s="616" t="str">
        <f t="shared" ref="B272:B274" si="285">IF($B271="", "", $B271)</f>
        <v/>
      </c>
      <c r="C272" s="617" t="str">
        <f t="shared" ref="C272:C274" si="286">IF($C271="", "", $C271)</f>
        <v/>
      </c>
      <c r="D272" s="618" t="str">
        <f t="shared" ref="D272:D274" si="287">IF($D271="", "", $D271)</f>
        <v/>
      </c>
      <c r="E272" s="616" t="str">
        <f t="shared" ref="E272:E274" si="288">IF($E271="", "", $E271)</f>
        <v/>
      </c>
      <c r="F272" s="616" t="str">
        <f t="shared" ref="F272:F274" si="289">IF($F271="", "", $F271)</f>
        <v/>
      </c>
      <c r="G272" s="619" t="str">
        <f>IF(Tree_Table1[[#This Row],[Tree Status  &amp;]]="Retain", Tables!$B$237, IF(Tree_Table1[[#This Row],[Tree Status  &amp;]]="Remove", Tables!$B$238, ""))</f>
        <v/>
      </c>
      <c r="H272" s="321"/>
      <c r="I272" s="322"/>
      <c r="J272" s="453"/>
      <c r="K272" s="323" t="str">
        <f>IFERROR(
    IF(
        AND($H272="Zoning: Tree Points", NOT(ISNUMBER(SEARCH("sp.", $C272)))),
        VLOOKUP($C272, 'Tree List'!$C$3:$F$601, 4, FALSE),
        ""
    ),
"")</f>
        <v/>
      </c>
      <c r="L272" s="324" t="str" cm="1">
        <f t="array" ref="L272">IFERROR(
IF(
    AND($H272="Zoning: Tree Points", NOT(ISNUMBER(SEARCH("sp.", $C272)))),
    _xlfn.IFS(
        (COUNTIFS('Tree List'!$C$3:$C$601,$C272,'Tree List'!$D$3:$D$601,"Coniferous")
        + COUNTIFS('Tree List'!$C$3:$C$601,$C272,'Tree List'!$D$3:$D$601,"Deciduous Conifer")) &gt; 0,
            _xlfn.IFS($K272="Small",0.5,$K272="Small/Medium",1,$K272="Medium/Large",1.4,$K272="Large",1.8),
        (COUNTIFS('Tree List'!$C$3:$C$601,$C272,'Tree List'!$D$3:$D$601,"Deciduous")
        + COUNTIFS('Tree List'!$C$3:$C$601,$C272,'Tree List'!$D$3:$D$601,"Broadleaf Evergreen")) &gt; 0,
            _xlfn.IFS($K272="Small",0.4,$K272="Small/Medium",0.8,$K272="Medium/Large",1.2,$K272="Large",1.6)
    ),
    ""
),
"")</f>
        <v/>
      </c>
      <c r="M272" s="475" t="str">
        <f t="shared" si="249"/>
        <v/>
      </c>
      <c r="N272" s="346" t="str" cm="1">
        <f t="array" aca="1" ref="N27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IF(AND(_xlpm.baseRow,ISNA(MATCH($C272,'Tree List'!$C$3:$C$601,0)),SUMPRODUCT(--ISNUMBER(SEARCH(Tables2!$C$677:$C$772,$O272)))&gt;0),
Error!$B$57,
IF(AND(_xlpm.hasDM,$F272="Remove",$H272&lt;&gt;"",OR($I272="On-site replacement",$I272="Off-site replacement",$I272="Payment In Lieu")),
Error!$B$56,
IF(AND(_xlpm.hasDM,$F272="Remove",$H272&lt;&gt;"",$I272="Relocation"),
Error!$B$66,
IF(AND(OR(_xlpm.hasCN,_xlpm.hasPH,_xlpm.hasGR),$H272&lt;&gt;"",COUNTIF(Tables!$B$132:$B$134,$H272)&gt;0,$I272="N/A (No replacement required)"),
Error!$B$62,
IF(AND(_xlpm.baseRow,$E272&lt;&gt;"",ISNA(MATCH($E272,Tables!$B$225:$B$232,0))),
Error!$B$2,
IF(AND(_xlpm.baseRow,$F272&lt;&gt;"",ISNA(MATCH($F272,Tables!$B$234:$B$235,0))),
Error!$B$24,
IF(AND(_xlpm.baseRow,_xlpm.ECA_H&gt;0,_xlpm.Shore_H&gt;0),
Error!$B$16,
IF(AND(_xlpm.baseRow,$E272&lt;&gt;"",$D272=""),
Error!$B$3,
IF(AND(_xlpm.baseRow,OR($E272="Tier 3",$E272="Tier 4"),$C272&lt;&gt;"",$D272&gt;=24,COUNTIF(Tables2!$B$166:$B$674,$C272)&gt;0),
Error!$B$44,
IF(AND(_xlpm.baseRow,OR($E272="Tier 3",$E272="Tier 4"),$C272&lt;&gt;"",$D272&lt;&gt;"",COUNTIF(Tables2!$B$73:$B$152,$C272)&gt;0,
$D272&gt;=IFERROR(INDEX(Tables2!$C$73:$C$152,MATCH($C272,Tables2!$B$73:$B$152,0)),-1)),
Error!$B$44,
IF(AND(_xlpm.baseRow,OR($E272="Tier 2",$E272="Tier 2 Grove"),$C272&lt;&gt;"",$D272&gt;=12,COUNTIF(Tables2!$B$153:$B$162,$C272)&gt;0),
Error!$B$45,
IF(AND(_xlpm.baseRow,$E272="Tier 2 Grove",$D272&lt;12),
Error!$B$41,
IF(AND(_xlpm.baseRow,$E272="Tier 2",$D272&lt;5.88),
Error!$B$40,
IF(AND(_xlpm.baseRow,OR($E272="Tier 2",$E272="Tier 2 Grove"),$C272&lt;&gt;"",$D272&lt;12,$D272&gt;=6,COUNTIF(Tables2!$B$153:$B$162,$C272)&gt;0),
Error!$B$54,
IF(AND(_xlpm.baseRow,$E272="Tier 2",COUNTIF(Tables2!$B$166:$B$674,$C272)&gt;0,$D272&lt;24),
Error!$B$54,
IF(AND(_xlpm.baseRow,$E272="Tier 3",ISNA(MATCH($C272,Tables2!$B$153:$B$162,0)),OR($D272&lt;12,$D272&gt;=24)),
Error!$B$9,
IF(AND(_xlpm.baseRow,$E272="Tier 3",COUNTIF(Tables2!$B$153:$B$162,$C272)&gt;0,$D272&lt;12),
Error!$B$46,
IF(AND(_xlpm.baseRow,$E272="Tier 4",OR($D272&lt;6,$D272&gt;=12)),
Error!$B$10,
IF(AND(_xlpm.baseRow,$E272="&lt;6in DSH for Tree Points",OR($D272&gt;=6,$D272="")),
Error!$B$8,
IF(AND(_xlpm.baseRow,$E272="Street Tree for Green Factor",$F272&lt;&gt;"",$F272&lt;&gt;"Retain"),
Error!$B$14,
IF(AND($E272="&lt;6in DSH for Tree Points",$F272="Retain",$H272&lt;&gt;"",ISNA(MATCH($H272,Tables!$B$174:$B$174,0))),
Error!$B$15,
IF(AND($E272="Street Tree for Green Factor",$F272="Retain",$H272&lt;&gt;"",$H272&lt;&gt;"Zoning: Green Factor"),
Error!$B$15,
IF(AND($E272="ECA / Shoreline Tree",$F272="Remove",$H272&lt;&gt;"",ISNA(MATCH($H272,Tables!$B$189:$B$190,0))),
Error!$B$15,
IF(AND($E272="ECA / Shoreline Tree",$F272="Retain",$H272&lt;&gt;"",ISNA(MATCH($H272,Tables!$B$184:$B$186,0))),
Error!$B$15,
IF(AND($E272="Tier 4",$F272="Remove",$H272&lt;&gt;"",ISNA(MATCH($H272,Tables!$B$171,0))),
Error!$B$15,
IF(AND($E272="Tier 4",$F272="Retain",$H272&lt;&gt;"",ISNA(MATCH($H272,Tables!$B$166:$B$168,0))),
Error!$B$15,
IF(AND($E272="Tier 3",$F272="Retain",$H272&lt;&gt;"",ISNA(MATCH($H272,Tables!$B$158:$B$160,0))),
Error!$B$15,
IF(AND($E272="Tier 3",$F272="Remove",$H272&lt;&gt;"",ISNA(MATCH($H272,Tables!$B$163,0))),
Error!$B$15,
IF(AND(OR($E272="Tier 2",$E272="Tier 2 Grove"),$F272="Remove",$H272&lt;&gt;"",ISNA(MATCH($H272,Tables!$B$153:$B$155,0))),
Error!$B$15,
IF(AND(OR($E272="Tier 2",$E272="Tier 2 Grove"),$F272="Retain",$H272&lt;&gt;"",ISNA(MATCH($H272,Tables!$B$147:$B$150,0))),
Error!$B$15,
IF(AND($E272="Tier 1",$F272="Remove",$H272&lt;&gt;"",ISNA(MATCH($H272,Tables!$B$143:$B$144,0))),
Error!$B$15,
IF(AND($E272="Tier 1",$F272="Retain",$H272&lt;&gt;"",ISNA(MATCH($H272,Tables!$B$137:$B$140,0))),
Error!$B$15,
IF(AND($E272&lt;&gt;"Tier 2",$E272&lt;&gt;"Tier 2 Grove",$E272&lt;&gt;"Tier 3",$E272&lt;&gt;"Tier 4",$H272="Zoning: Green Factor",OR($D272="",$D272&lt;6)),
Error!$B$11,
IF(AND(_xlpm.baseRow,$D272&lt;6,$E272="&lt;6in DSH for Tree Points",_xlpm.TreePoints_H=0),
Error!$B$21,
IF(AND(_xlpm.baseRow,$E272&lt;&gt;"",$D272&lt;&gt;"",$F272=""),
Error!$B$4,
IF(AND(_xlpm.baseRow,$F272="Remove",OR($E272="Tier 1",$E272="Tier 2",$E272="Tier 2 Grove"),COUNTBLANK(_xlpm.HRange)&lt;3,_xlpm.uniqueH&gt;=2),
Error!$B$48,
IF(AND(_xlpm.baseRow,$F272="Retain",OR($E272="Tier 1",$E272="Tier 2",$E272="Tier 2 Grove"),COUNTIF(_xlpm.HRange,"Tree Code: Required to Retain Tier 1-2 Tree")=0),
Error!$B$47,
IF(AND(_xlpm.baseRow,$E272&lt;&gt;"",$D272&lt;&gt;"",$F272&lt;&gt;"",COUNTBLANK(_xlpm.HRange)=4),
Error!$B$5,
IF(AND($F272="Remove",$H272&lt;&gt;"",$I272=""),
Error!$B$18,
IF(AND($E272="Tier 4",$F272="Remove",$H272="Tree Protection Code: Tier 3 or Tier 4 Allowance",$H272&lt;&gt;"",ISNA(MATCH($I272,Tables!$B$200,0))),
Error!$B$17,
IF(AND($E272="Tier 3",$F272="Remove",$H272&lt;&gt;"",$H272="Tree Protection Code: Tier 3 or Tier 4 Allowance",OR($I272="",ISNA(MATCH($I272,Tables!$B$193:$B$197,0)))),
Error!$B$17,
IF(AND(OR($E272="Tier 2",$E272="Tier 2 Grove"),$F272="Remove",$H272="Tree Protection Code: Other removal allowance or exemption",$I272&lt;&gt;"",ISNA(MATCH($I272,Tables!$B$215:$B$218,0))),
Error!$B$17,
IF(AND(OR($E272="Tier 2",$E272="Tier 2 Grove"),$F272="Remove",$H272="Tree Protection Code: Development Capacity",$I272&lt;&gt;"",ISNA(MATCH($I272,Tables!$B$193:$B$197,0))),
Error!$B$17,
IF(AND(OR($E272="Tier 2",$E272="Tier 2 Grove"),$F272="Remove",$H272="Tree Protection Code: Necessary for Construction",$I272&lt;&gt;"",ISNA(MATCH($I272,Tables!$B$193:$B$197,0))),
Error!$B$17,
IF(AND($E272="Tier 1",$F272="Remove",$H272="Tree Protection Code: Special Exception",$I272&lt;&gt;"",ISNA(MATCH($I272,Tables!$B$215:$B$218,0))),
Error!$B$17,
IF(AND($E272="Tier 1",$F272="Remove",$H272="Tree Protection Code: Other removal allowance or exemption",$I272&lt;&gt;"",ISNA(MATCH($I272,Tables!$B$215:$B$218,0))),
Error!$B$17,
IF(AND($E272="ECA / Shoreline Tree",$F272="Remove",$H272&lt;&gt;"",OR($H272="Shoreline",$H272="Environmental Critical Area (ECA)"),ISNA(MATCH($I272,Tables!$B$209:$B$212,0))),
Error!$B$17,
IF(AND(_xlpm.baseRow,$F272="Retain",$E272="ECA / Shoreline Tree",_xlpm.ECA_Short=0),
Error!$B$61,
IF(AND($F272="Remove",ISNUMBER(MATCH($E272,{"Tier 1","Tier 2","Tier 3","Tier 4","Tier 2 Grove"},0)),ISNUMBER(MATCH($I272,{"On-site replacement","Off-site replacement"},0)),$J272="",$H272&lt;&gt;""),
Error!$B$19,
IF(AND(_xlpm.baseRow,$E272&lt;&gt;"",$D272&lt;&gt;"",$F272&lt;&gt;"",COUNTBLANK($B272:$C272)&gt;0,COUNTBLANK(_xlpm.HRange)&lt;&gt;4),
Error!$B$22,
IF(AND($H272="Zoning: Tree Points",$K272&lt;&gt;"",ISNA(MATCH($K272,Tables!$B$242:$B$253,0))),
Error!$B$58,
IF(AND($H272="Zoning: Tree Points",$K272="Small",$L272&lt;&gt;"",ISNA(MATCH($L272,Tables!$C$243:$C$244,0))),
Error!$B$59,
IF(AND($H272="Zoning: Tree Points",$K272="Small/Medium",$L272&lt;&gt;"",ISNA(MATCH($L272,Tables!$C$246:$C$247,0))),
Error!$B$59,
IF(AND($H272="Zoning: Tree Points",$K272="Medium/Large",$L272&lt;&gt;"",ISNA(MATCH($L272,Tables!$C$249:$C$250,0))),
Error!$B$59,
IF(AND($H272="Zoning: Tree Points",$K272="Large",$L272&lt;&gt;"",ISNA(MATCH($L272,Tables!$C$252:$C$253,0))),
Error!$B$59,
IF(AND($F272="Retain",$H272="Zoning: Tree Points",$C272&lt;&gt;"",$D272&lt;&gt;"",OR($K272="",$L272="",$M272="")),
Error!$B$20,
""
)))))))))))))))))))))))))))))))))))))))))))))))))))))))),
Error!$B$23))</f>
        <v/>
      </c>
      <c r="O272" s="343" t="str" cm="1">
        <f t="array" aca="1" ref="O272" ca="1">IFERROR(_xlfn.LET(
    _xlpm.txt, $C272,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73" spans="1:15" x14ac:dyDescent="0.3">
      <c r="A273" s="320"/>
      <c r="B273" s="616" t="str">
        <f t="shared" si="285"/>
        <v/>
      </c>
      <c r="C273" s="617" t="str">
        <f t="shared" si="286"/>
        <v/>
      </c>
      <c r="D273" s="618" t="str">
        <f t="shared" si="287"/>
        <v/>
      </c>
      <c r="E273" s="616" t="str">
        <f t="shared" si="288"/>
        <v/>
      </c>
      <c r="F273" s="616" t="str">
        <f t="shared" si="289"/>
        <v/>
      </c>
      <c r="G273" s="619" t="str">
        <f>IF(Tree_Table1[[#This Row],[Tree Status  &amp;]]="Retain", Tables!$B$237, IF(Tree_Table1[[#This Row],[Tree Status  &amp;]]="Remove", Tables!$B$238, ""))</f>
        <v/>
      </c>
      <c r="H273" s="321"/>
      <c r="I273" s="322"/>
      <c r="J273" s="453"/>
      <c r="K273" s="323" t="str">
        <f>IFERROR(
    IF(
        AND($H273="Zoning: Tree Points", NOT(ISNUMBER(SEARCH("sp.", $C273)))),
        VLOOKUP($C273, 'Tree List'!$C$3:$F$601, 4, FALSE),
        ""
    ),
"")</f>
        <v/>
      </c>
      <c r="L273" s="324" t="str" cm="1">
        <f t="array" ref="L273">IFERROR(
IF(
    AND($H273="Zoning: Tree Points", NOT(ISNUMBER(SEARCH("sp.", $C273)))),
    _xlfn.IFS(
        (COUNTIFS('Tree List'!$C$3:$C$601,$C273,'Tree List'!$D$3:$D$601,"Coniferous")
        + COUNTIFS('Tree List'!$C$3:$C$601,$C273,'Tree List'!$D$3:$D$601,"Deciduous Conifer")) &gt; 0,
            _xlfn.IFS($K273="Small",0.5,$K273="Small/Medium",1,$K273="Medium/Large",1.4,$K273="Large",1.8),
        (COUNTIFS('Tree List'!$C$3:$C$601,$C273,'Tree List'!$D$3:$D$601,"Deciduous")
        + COUNTIFS('Tree List'!$C$3:$C$601,$C273,'Tree List'!$D$3:$D$601,"Broadleaf Evergreen")) &gt; 0,
            _xlfn.IFS($K273="Small",0.4,$K273="Small/Medium",0.8,$K273="Medium/Large",1.2,$K273="Large",1.6)
    ),
    ""
),
"")</f>
        <v/>
      </c>
      <c r="M273" s="475" t="str">
        <f t="shared" si="249"/>
        <v/>
      </c>
      <c r="N273" s="346" t="str" cm="1">
        <f t="array" aca="1" ref="N27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IF(AND(_xlpm.baseRow,ISNA(MATCH($C273,'Tree List'!$C$3:$C$601,0)),SUMPRODUCT(--ISNUMBER(SEARCH(Tables2!$C$677:$C$772,$O273)))&gt;0),
Error!$B$57,
IF(AND(_xlpm.hasDM,$F273="Remove",$H273&lt;&gt;"",OR($I273="On-site replacement",$I273="Off-site replacement",$I273="Payment In Lieu")),
Error!$B$56,
IF(AND(_xlpm.hasDM,$F273="Remove",$H273&lt;&gt;"",$I273="Relocation"),
Error!$B$66,
IF(AND(OR(_xlpm.hasCN,_xlpm.hasPH,_xlpm.hasGR),$H273&lt;&gt;"",COUNTIF(Tables!$B$132:$B$134,$H273)&gt;0,$I273="N/A (No replacement required)"),
Error!$B$62,
IF(AND(_xlpm.baseRow,$E273&lt;&gt;"",ISNA(MATCH($E273,Tables!$B$225:$B$232,0))),
Error!$B$2,
IF(AND(_xlpm.baseRow,$F273&lt;&gt;"",ISNA(MATCH($F273,Tables!$B$234:$B$235,0))),
Error!$B$24,
IF(AND(_xlpm.baseRow,_xlpm.ECA_H&gt;0,_xlpm.Shore_H&gt;0),
Error!$B$16,
IF(AND(_xlpm.baseRow,$E273&lt;&gt;"",$D273=""),
Error!$B$3,
IF(AND(_xlpm.baseRow,OR($E273="Tier 3",$E273="Tier 4"),$C273&lt;&gt;"",$D273&gt;=24,COUNTIF(Tables2!$B$166:$B$674,$C273)&gt;0),
Error!$B$44,
IF(AND(_xlpm.baseRow,OR($E273="Tier 3",$E273="Tier 4"),$C273&lt;&gt;"",$D273&lt;&gt;"",COUNTIF(Tables2!$B$73:$B$152,$C273)&gt;0,
$D273&gt;=IFERROR(INDEX(Tables2!$C$73:$C$152,MATCH($C273,Tables2!$B$73:$B$152,0)),-1)),
Error!$B$44,
IF(AND(_xlpm.baseRow,OR($E273="Tier 2",$E273="Tier 2 Grove"),$C273&lt;&gt;"",$D273&gt;=12,COUNTIF(Tables2!$B$153:$B$162,$C273)&gt;0),
Error!$B$45,
IF(AND(_xlpm.baseRow,$E273="Tier 2 Grove",$D273&lt;12),
Error!$B$41,
IF(AND(_xlpm.baseRow,$E273="Tier 2",$D273&lt;5.88),
Error!$B$40,
IF(AND(_xlpm.baseRow,OR($E273="Tier 2",$E273="Tier 2 Grove"),$C273&lt;&gt;"",$D273&lt;12,$D273&gt;=6,COUNTIF(Tables2!$B$153:$B$162,$C273)&gt;0),
Error!$B$54,
IF(AND(_xlpm.baseRow,$E273="Tier 2",COUNTIF(Tables2!$B$166:$B$674,$C273)&gt;0,$D273&lt;24),
Error!$B$54,
IF(AND(_xlpm.baseRow,$E273="Tier 3",ISNA(MATCH($C273,Tables2!$B$153:$B$162,0)),OR($D273&lt;12,$D273&gt;=24)),
Error!$B$9,
IF(AND(_xlpm.baseRow,$E273="Tier 3",COUNTIF(Tables2!$B$153:$B$162,$C273)&gt;0,$D273&lt;12),
Error!$B$46,
IF(AND(_xlpm.baseRow,$E273="Tier 4",OR($D273&lt;6,$D273&gt;=12)),
Error!$B$10,
IF(AND(_xlpm.baseRow,$E273="&lt;6in DSH for Tree Points",OR($D273&gt;=6,$D273="")),
Error!$B$8,
IF(AND(_xlpm.baseRow,$E273="Street Tree for Green Factor",$F273&lt;&gt;"",$F273&lt;&gt;"Retain"),
Error!$B$14,
IF(AND($E273="&lt;6in DSH for Tree Points",$F273="Retain",$H273&lt;&gt;"",ISNA(MATCH($H273,Tables!$B$174:$B$174,0))),
Error!$B$15,
IF(AND($E273="Street Tree for Green Factor",$F273="Retain",$H273&lt;&gt;"",$H273&lt;&gt;"Zoning: Green Factor"),
Error!$B$15,
IF(AND($E273="ECA / Shoreline Tree",$F273="Remove",$H273&lt;&gt;"",ISNA(MATCH($H273,Tables!$B$189:$B$190,0))),
Error!$B$15,
IF(AND($E273="ECA / Shoreline Tree",$F273="Retain",$H273&lt;&gt;"",ISNA(MATCH($H273,Tables!$B$184:$B$186,0))),
Error!$B$15,
IF(AND($E273="Tier 4",$F273="Remove",$H273&lt;&gt;"",ISNA(MATCH($H273,Tables!$B$171,0))),
Error!$B$15,
IF(AND($E273="Tier 4",$F273="Retain",$H273&lt;&gt;"",ISNA(MATCH($H273,Tables!$B$166:$B$168,0))),
Error!$B$15,
IF(AND($E273="Tier 3",$F273="Retain",$H273&lt;&gt;"",ISNA(MATCH($H273,Tables!$B$158:$B$160,0))),
Error!$B$15,
IF(AND($E273="Tier 3",$F273="Remove",$H273&lt;&gt;"",ISNA(MATCH($H273,Tables!$B$163,0))),
Error!$B$15,
IF(AND(OR($E273="Tier 2",$E273="Tier 2 Grove"),$F273="Remove",$H273&lt;&gt;"",ISNA(MATCH($H273,Tables!$B$153:$B$155,0))),
Error!$B$15,
IF(AND(OR($E273="Tier 2",$E273="Tier 2 Grove"),$F273="Retain",$H273&lt;&gt;"",ISNA(MATCH($H273,Tables!$B$147:$B$150,0))),
Error!$B$15,
IF(AND($E273="Tier 1",$F273="Remove",$H273&lt;&gt;"",ISNA(MATCH($H273,Tables!$B$143:$B$144,0))),
Error!$B$15,
IF(AND($E273="Tier 1",$F273="Retain",$H273&lt;&gt;"",ISNA(MATCH($H273,Tables!$B$137:$B$140,0))),
Error!$B$15,
IF(AND($E273&lt;&gt;"Tier 2",$E273&lt;&gt;"Tier 2 Grove",$E273&lt;&gt;"Tier 3",$E273&lt;&gt;"Tier 4",$H273="Zoning: Green Factor",OR($D273="",$D273&lt;6)),
Error!$B$11,
IF(AND(_xlpm.baseRow,$D273&lt;6,$E273="&lt;6in DSH for Tree Points",_xlpm.TreePoints_H=0),
Error!$B$21,
IF(AND(_xlpm.baseRow,$E273&lt;&gt;"",$D273&lt;&gt;"",$F273=""),
Error!$B$4,
IF(AND(_xlpm.baseRow,$F273="Remove",OR($E273="Tier 1",$E273="Tier 2",$E273="Tier 2 Grove"),COUNTBLANK(_xlpm.HRange)&lt;3,_xlpm.uniqueH&gt;=2),
Error!$B$48,
IF(AND(_xlpm.baseRow,$F273="Retain",OR($E273="Tier 1",$E273="Tier 2",$E273="Tier 2 Grove"),COUNTIF(_xlpm.HRange,"Tree Code: Required to Retain Tier 1-2 Tree")=0),
Error!$B$47,
IF(AND(_xlpm.baseRow,$E273&lt;&gt;"",$D273&lt;&gt;"",$F273&lt;&gt;"",COUNTBLANK(_xlpm.HRange)=4),
Error!$B$5,
IF(AND($F273="Remove",$H273&lt;&gt;"",$I273=""),
Error!$B$18,
IF(AND($E273="Tier 4",$F273="Remove",$H273="Tree Protection Code: Tier 3 or Tier 4 Allowance",$H273&lt;&gt;"",ISNA(MATCH($I273,Tables!$B$200,0))),
Error!$B$17,
IF(AND($E273="Tier 3",$F273="Remove",$H273&lt;&gt;"",$H273="Tree Protection Code: Tier 3 or Tier 4 Allowance",OR($I273="",ISNA(MATCH($I273,Tables!$B$193:$B$197,0)))),
Error!$B$17,
IF(AND(OR($E273="Tier 2",$E273="Tier 2 Grove"),$F273="Remove",$H273="Tree Protection Code: Other removal allowance or exemption",$I273&lt;&gt;"",ISNA(MATCH($I273,Tables!$B$215:$B$218,0))),
Error!$B$17,
IF(AND(OR($E273="Tier 2",$E273="Tier 2 Grove"),$F273="Remove",$H273="Tree Protection Code: Development Capacity",$I273&lt;&gt;"",ISNA(MATCH($I273,Tables!$B$193:$B$197,0))),
Error!$B$17,
IF(AND(OR($E273="Tier 2",$E273="Tier 2 Grove"),$F273="Remove",$H273="Tree Protection Code: Necessary for Construction",$I273&lt;&gt;"",ISNA(MATCH($I273,Tables!$B$193:$B$197,0))),
Error!$B$17,
IF(AND($E273="Tier 1",$F273="Remove",$H273="Tree Protection Code: Special Exception",$I273&lt;&gt;"",ISNA(MATCH($I273,Tables!$B$215:$B$218,0))),
Error!$B$17,
IF(AND($E273="Tier 1",$F273="Remove",$H273="Tree Protection Code: Other removal allowance or exemption",$I273&lt;&gt;"",ISNA(MATCH($I273,Tables!$B$215:$B$218,0))),
Error!$B$17,
IF(AND($E273="ECA / Shoreline Tree",$F273="Remove",$H273&lt;&gt;"",OR($H273="Shoreline",$H273="Environmental Critical Area (ECA)"),ISNA(MATCH($I273,Tables!$B$209:$B$212,0))),
Error!$B$17,
IF(AND(_xlpm.baseRow,$F273="Retain",$E273="ECA / Shoreline Tree",_xlpm.ECA_Short=0),
Error!$B$61,
IF(AND($F273="Remove",ISNUMBER(MATCH($E273,{"Tier 1","Tier 2","Tier 3","Tier 4","Tier 2 Grove"},0)),ISNUMBER(MATCH($I273,{"On-site replacement","Off-site replacement"},0)),$J273="",$H273&lt;&gt;""),
Error!$B$19,
IF(AND(_xlpm.baseRow,$E273&lt;&gt;"",$D273&lt;&gt;"",$F273&lt;&gt;"",COUNTBLANK($B273:$C273)&gt;0,COUNTBLANK(_xlpm.HRange)&lt;&gt;4),
Error!$B$22,
IF(AND($H273="Zoning: Tree Points",$K273&lt;&gt;"",ISNA(MATCH($K273,Tables!$B$242:$B$253,0))),
Error!$B$58,
IF(AND($H273="Zoning: Tree Points",$K273="Small",$L273&lt;&gt;"",ISNA(MATCH($L273,Tables!$C$243:$C$244,0))),
Error!$B$59,
IF(AND($H273="Zoning: Tree Points",$K273="Small/Medium",$L273&lt;&gt;"",ISNA(MATCH($L273,Tables!$C$246:$C$247,0))),
Error!$B$59,
IF(AND($H273="Zoning: Tree Points",$K273="Medium/Large",$L273&lt;&gt;"",ISNA(MATCH($L273,Tables!$C$249:$C$250,0))),
Error!$B$59,
IF(AND($H273="Zoning: Tree Points",$K273="Large",$L273&lt;&gt;"",ISNA(MATCH($L273,Tables!$C$252:$C$253,0))),
Error!$B$59,
IF(AND($F273="Retain",$H273="Zoning: Tree Points",$C273&lt;&gt;"",$D273&lt;&gt;"",OR($K273="",$L273="",$M273="")),
Error!$B$20,
""
)))))))))))))))))))))))))))))))))))))))))))))))))))))))),
Error!$B$23))</f>
        <v/>
      </c>
      <c r="O273" s="343" t="str" cm="1">
        <f t="array" aca="1" ref="O273" ca="1">IFERROR(_xlfn.LET(
    _xlpm.txt, $C273,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74" spans="1:15" ht="15" thickBot="1" x14ac:dyDescent="0.35">
      <c r="A274" s="331"/>
      <c r="B274" s="616" t="str">
        <f t="shared" si="285"/>
        <v/>
      </c>
      <c r="C274" s="617" t="str">
        <f t="shared" si="286"/>
        <v/>
      </c>
      <c r="D274" s="618" t="str">
        <f t="shared" si="287"/>
        <v/>
      </c>
      <c r="E274" s="616" t="str">
        <f t="shared" si="288"/>
        <v/>
      </c>
      <c r="F274" s="616" t="str">
        <f t="shared" si="289"/>
        <v/>
      </c>
      <c r="G274" s="619" t="str">
        <f>IF(Tree_Table1[[#This Row],[Tree Status  &amp;]]="Retain", Tables!$B$237, IF(Tree_Table1[[#This Row],[Tree Status  &amp;]]="Remove", Tables!$B$238, ""))</f>
        <v/>
      </c>
      <c r="H274" s="329"/>
      <c r="I274" s="330"/>
      <c r="J274" s="455"/>
      <c r="K274" s="327" t="str">
        <f>IFERROR(
    IF(
        AND($H274="Zoning: Tree Points", NOT(ISNUMBER(SEARCH("sp.", $C274)))),
        VLOOKUP($C274, 'Tree List'!$C$3:$F$601, 4, FALSE),
        ""
    ),
"")</f>
        <v/>
      </c>
      <c r="L274" s="328" t="str" cm="1">
        <f t="array" ref="L274">IFERROR(
IF(
    AND($H274="Zoning: Tree Points", NOT(ISNUMBER(SEARCH("sp.", $C274)))),
    _xlfn.IFS(
        (COUNTIFS('Tree List'!$C$3:$C$601,$C274,'Tree List'!$D$3:$D$601,"Coniferous")
        + COUNTIFS('Tree List'!$C$3:$C$601,$C274,'Tree List'!$D$3:$D$601,"Deciduous Conifer")) &gt; 0,
            _xlfn.IFS($K274="Small",0.5,$K274="Small/Medium",1,$K274="Medium/Large",1.4,$K274="Large",1.8),
        (COUNTIFS('Tree List'!$C$3:$C$601,$C274,'Tree List'!$D$3:$D$601,"Deciduous")
        + COUNTIFS('Tree List'!$C$3:$C$601,$C274,'Tree List'!$D$3:$D$601,"Broadleaf Evergreen")) &gt; 0,
            _xlfn.IFS($K274="Small",0.4,$K274="Small/Medium",0.8,$K274="Medium/Large",1.2,$K274="Large",1.6)
    ),
    ""
),
"")</f>
        <v/>
      </c>
      <c r="M274" s="476" t="str">
        <f t="shared" si="249"/>
        <v/>
      </c>
      <c r="N274" s="347" t="str" cm="1">
        <f t="array" aca="1" ref="N27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IF(AND(_xlpm.baseRow,ISNA(MATCH($C274,'Tree List'!$C$3:$C$601,0)),SUMPRODUCT(--ISNUMBER(SEARCH(Tables2!$C$677:$C$772,$O274)))&gt;0),
Error!$B$57,
IF(AND(_xlpm.hasDM,$F274="Remove",$H274&lt;&gt;"",OR($I274="On-site replacement",$I274="Off-site replacement",$I274="Payment In Lieu")),
Error!$B$56,
IF(AND(_xlpm.hasDM,$F274="Remove",$H274&lt;&gt;"",$I274="Relocation"),
Error!$B$66,
IF(AND(OR(_xlpm.hasCN,_xlpm.hasPH,_xlpm.hasGR),$H274&lt;&gt;"",COUNTIF(Tables!$B$132:$B$134,$H274)&gt;0,$I274="N/A (No replacement required)"),
Error!$B$62,
IF(AND(_xlpm.baseRow,$E274&lt;&gt;"",ISNA(MATCH($E274,Tables!$B$225:$B$232,0))),
Error!$B$2,
IF(AND(_xlpm.baseRow,$F274&lt;&gt;"",ISNA(MATCH($F274,Tables!$B$234:$B$235,0))),
Error!$B$24,
IF(AND(_xlpm.baseRow,_xlpm.ECA_H&gt;0,_xlpm.Shore_H&gt;0),
Error!$B$16,
IF(AND(_xlpm.baseRow,$E274&lt;&gt;"",$D274=""),
Error!$B$3,
IF(AND(_xlpm.baseRow,OR($E274="Tier 3",$E274="Tier 4"),$C274&lt;&gt;"",$D274&gt;=24,COUNTIF(Tables2!$B$166:$B$674,$C274)&gt;0),
Error!$B$44,
IF(AND(_xlpm.baseRow,OR($E274="Tier 3",$E274="Tier 4"),$C274&lt;&gt;"",$D274&lt;&gt;"",COUNTIF(Tables2!$B$73:$B$152,$C274)&gt;0,
$D274&gt;=IFERROR(INDEX(Tables2!$C$73:$C$152,MATCH($C274,Tables2!$B$73:$B$152,0)),-1)),
Error!$B$44,
IF(AND(_xlpm.baseRow,OR($E274="Tier 2",$E274="Tier 2 Grove"),$C274&lt;&gt;"",$D274&gt;=12,COUNTIF(Tables2!$B$153:$B$162,$C274)&gt;0),
Error!$B$45,
IF(AND(_xlpm.baseRow,$E274="Tier 2 Grove",$D274&lt;12),
Error!$B$41,
IF(AND(_xlpm.baseRow,$E274="Tier 2",$D274&lt;5.88),
Error!$B$40,
IF(AND(_xlpm.baseRow,OR($E274="Tier 2",$E274="Tier 2 Grove"),$C274&lt;&gt;"",$D274&lt;12,$D274&gt;=6,COUNTIF(Tables2!$B$153:$B$162,$C274)&gt;0),
Error!$B$54,
IF(AND(_xlpm.baseRow,$E274="Tier 2",COUNTIF(Tables2!$B$166:$B$674,$C274)&gt;0,$D274&lt;24),
Error!$B$54,
IF(AND(_xlpm.baseRow,$E274="Tier 3",ISNA(MATCH($C274,Tables2!$B$153:$B$162,0)),OR($D274&lt;12,$D274&gt;=24)),
Error!$B$9,
IF(AND(_xlpm.baseRow,$E274="Tier 3",COUNTIF(Tables2!$B$153:$B$162,$C274)&gt;0,$D274&lt;12),
Error!$B$46,
IF(AND(_xlpm.baseRow,$E274="Tier 4",OR($D274&lt;6,$D274&gt;=12)),
Error!$B$10,
IF(AND(_xlpm.baseRow,$E274="&lt;6in DSH for Tree Points",OR($D274&gt;=6,$D274="")),
Error!$B$8,
IF(AND(_xlpm.baseRow,$E274="Street Tree for Green Factor",$F274&lt;&gt;"",$F274&lt;&gt;"Retain"),
Error!$B$14,
IF(AND($E274="&lt;6in DSH for Tree Points",$F274="Retain",$H274&lt;&gt;"",ISNA(MATCH($H274,Tables!$B$174:$B$174,0))),
Error!$B$15,
IF(AND($E274="Street Tree for Green Factor",$F274="Retain",$H274&lt;&gt;"",$H274&lt;&gt;"Zoning: Green Factor"),
Error!$B$15,
IF(AND($E274="ECA / Shoreline Tree",$F274="Remove",$H274&lt;&gt;"",ISNA(MATCH($H274,Tables!$B$189:$B$190,0))),
Error!$B$15,
IF(AND($E274="ECA / Shoreline Tree",$F274="Retain",$H274&lt;&gt;"",ISNA(MATCH($H274,Tables!$B$184:$B$186,0))),
Error!$B$15,
IF(AND($E274="Tier 4",$F274="Remove",$H274&lt;&gt;"",ISNA(MATCH($H274,Tables!$B$171,0))),
Error!$B$15,
IF(AND($E274="Tier 4",$F274="Retain",$H274&lt;&gt;"",ISNA(MATCH($H274,Tables!$B$166:$B$168,0))),
Error!$B$15,
IF(AND($E274="Tier 3",$F274="Retain",$H274&lt;&gt;"",ISNA(MATCH($H274,Tables!$B$158:$B$160,0))),
Error!$B$15,
IF(AND($E274="Tier 3",$F274="Remove",$H274&lt;&gt;"",ISNA(MATCH($H274,Tables!$B$163,0))),
Error!$B$15,
IF(AND(OR($E274="Tier 2",$E274="Tier 2 Grove"),$F274="Remove",$H274&lt;&gt;"",ISNA(MATCH($H274,Tables!$B$153:$B$155,0))),
Error!$B$15,
IF(AND(OR($E274="Tier 2",$E274="Tier 2 Grove"),$F274="Retain",$H274&lt;&gt;"",ISNA(MATCH($H274,Tables!$B$147:$B$150,0))),
Error!$B$15,
IF(AND($E274="Tier 1",$F274="Remove",$H274&lt;&gt;"",ISNA(MATCH($H274,Tables!$B$143:$B$144,0))),
Error!$B$15,
IF(AND($E274="Tier 1",$F274="Retain",$H274&lt;&gt;"",ISNA(MATCH($H274,Tables!$B$137:$B$140,0))),
Error!$B$15,
IF(AND($E274&lt;&gt;"Tier 2",$E274&lt;&gt;"Tier 2 Grove",$E274&lt;&gt;"Tier 3",$E274&lt;&gt;"Tier 4",$H274="Zoning: Green Factor",OR($D274="",$D274&lt;6)),
Error!$B$11,
IF(AND(_xlpm.baseRow,$D274&lt;6,$E274="&lt;6in DSH for Tree Points",_xlpm.TreePoints_H=0),
Error!$B$21,
IF(AND(_xlpm.baseRow,$E274&lt;&gt;"",$D274&lt;&gt;"",$F274=""),
Error!$B$4,
IF(AND(_xlpm.baseRow,$F274="Remove",OR($E274="Tier 1",$E274="Tier 2",$E274="Tier 2 Grove"),COUNTBLANK(_xlpm.HRange)&lt;3,_xlpm.uniqueH&gt;=2),
Error!$B$48,
IF(AND(_xlpm.baseRow,$F274="Retain",OR($E274="Tier 1",$E274="Tier 2",$E274="Tier 2 Grove"),COUNTIF(_xlpm.HRange,"Tree Code: Required to Retain Tier 1-2 Tree")=0),
Error!$B$47,
IF(AND(_xlpm.baseRow,$E274&lt;&gt;"",$D274&lt;&gt;"",$F274&lt;&gt;"",COUNTBLANK(_xlpm.HRange)=4),
Error!$B$5,
IF(AND($F274="Remove",$H274&lt;&gt;"",$I274=""),
Error!$B$18,
IF(AND($E274="Tier 4",$F274="Remove",$H274="Tree Protection Code: Tier 3 or Tier 4 Allowance",$H274&lt;&gt;"",ISNA(MATCH($I274,Tables!$B$200,0))),
Error!$B$17,
IF(AND($E274="Tier 3",$F274="Remove",$H274&lt;&gt;"",$H274="Tree Protection Code: Tier 3 or Tier 4 Allowance",OR($I274="",ISNA(MATCH($I274,Tables!$B$193:$B$197,0)))),
Error!$B$17,
IF(AND(OR($E274="Tier 2",$E274="Tier 2 Grove"),$F274="Remove",$H274="Tree Protection Code: Other removal allowance or exemption",$I274&lt;&gt;"",ISNA(MATCH($I274,Tables!$B$215:$B$218,0))),
Error!$B$17,
IF(AND(OR($E274="Tier 2",$E274="Tier 2 Grove"),$F274="Remove",$H274="Tree Protection Code: Development Capacity",$I274&lt;&gt;"",ISNA(MATCH($I274,Tables!$B$193:$B$197,0))),
Error!$B$17,
IF(AND(OR($E274="Tier 2",$E274="Tier 2 Grove"),$F274="Remove",$H274="Tree Protection Code: Necessary for Construction",$I274&lt;&gt;"",ISNA(MATCH($I274,Tables!$B$193:$B$197,0))),
Error!$B$17,
IF(AND($E274="Tier 1",$F274="Remove",$H274="Tree Protection Code: Special Exception",$I274&lt;&gt;"",ISNA(MATCH($I274,Tables!$B$215:$B$218,0))),
Error!$B$17,
IF(AND($E274="Tier 1",$F274="Remove",$H274="Tree Protection Code: Other removal allowance or exemption",$I274&lt;&gt;"",ISNA(MATCH($I274,Tables!$B$215:$B$218,0))),
Error!$B$17,
IF(AND($E274="ECA / Shoreline Tree",$F274="Remove",$H274&lt;&gt;"",OR($H274="Shoreline",$H274="Environmental Critical Area (ECA)"),ISNA(MATCH($I274,Tables!$B$209:$B$212,0))),
Error!$B$17,
IF(AND(_xlpm.baseRow,$F274="Retain",$E274="ECA / Shoreline Tree",_xlpm.ECA_Short=0),
Error!$B$61,
IF(AND($F274="Remove",ISNUMBER(MATCH($E274,{"Tier 1","Tier 2","Tier 3","Tier 4","Tier 2 Grove"},0)),ISNUMBER(MATCH($I274,{"On-site replacement","Off-site replacement"},0)),$J274="",$H274&lt;&gt;""),
Error!$B$19,
IF(AND(_xlpm.baseRow,$E274&lt;&gt;"",$D274&lt;&gt;"",$F274&lt;&gt;"",COUNTBLANK($B274:$C274)&gt;0,COUNTBLANK(_xlpm.HRange)&lt;&gt;4),
Error!$B$22,
IF(AND($H274="Zoning: Tree Points",$K274&lt;&gt;"",ISNA(MATCH($K274,Tables!$B$242:$B$253,0))),
Error!$B$58,
IF(AND($H274="Zoning: Tree Points",$K274="Small",$L274&lt;&gt;"",ISNA(MATCH($L274,Tables!$C$243:$C$244,0))),
Error!$B$59,
IF(AND($H274="Zoning: Tree Points",$K274="Small/Medium",$L274&lt;&gt;"",ISNA(MATCH($L274,Tables!$C$246:$C$247,0))),
Error!$B$59,
IF(AND($H274="Zoning: Tree Points",$K274="Medium/Large",$L274&lt;&gt;"",ISNA(MATCH($L274,Tables!$C$249:$C$250,0))),
Error!$B$59,
IF(AND($H274="Zoning: Tree Points",$K274="Large",$L274&lt;&gt;"",ISNA(MATCH($L274,Tables!$C$252:$C$253,0))),
Error!$B$59,
IF(AND($F274="Retain",$H274="Zoning: Tree Points",$C274&lt;&gt;"",$D274&lt;&gt;"",OR($K274="",$L274="",$M274="")),
Error!$B$20,
""
)))))))))))))))))))))))))))))))))))))))))))))))))))))))),
Error!$B$23))</f>
        <v/>
      </c>
      <c r="O274" s="343" t="str" cm="1">
        <f t="array" aca="1" ref="O274" ca="1">IFERROR(_xlfn.LET(
    _xlpm.txt, $C274,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75" spans="1:15" ht="15" thickBot="1" x14ac:dyDescent="0.35">
      <c r="A275" s="311">
        <v>67</v>
      </c>
      <c r="B275" s="312"/>
      <c r="C275" s="313"/>
      <c r="D275" s="478"/>
      <c r="E275" s="314"/>
      <c r="F275" s="314"/>
      <c r="G275" s="315" t="str">
        <f>IF(Tree_Table1[[#This Row],[Tree Status  &amp;]]="Retain", Tables!$B$237, IF(Tree_Table1[[#This Row],[Tree Status  &amp;]]="Remove", Tables!$B$238, ""))</f>
        <v/>
      </c>
      <c r="H275" s="316"/>
      <c r="I275" s="317"/>
      <c r="J275" s="452"/>
      <c r="K275" s="318" t="str">
        <f>IFERROR(
    IF(
        AND($H275="Zoning: Tree Points", NOT(ISNUMBER(SEARCH("sp.", $C275)))),
        VLOOKUP($C275, 'Tree List'!$C$3:$F$601, 4, FALSE),
        ""
    ),
"")</f>
        <v/>
      </c>
      <c r="L275" s="319" t="str" cm="1">
        <f t="array" ref="L275">IFERROR(
IF(
    AND($H275="Zoning: Tree Points", NOT(ISNUMBER(SEARCH("sp.", $C275)))),
    _xlfn.IFS(
        (COUNTIFS('Tree List'!$C$3:$C$601,$C275,'Tree List'!$D$3:$D$601,"Coniferous")
        + COUNTIFS('Tree List'!$C$3:$C$601,$C275,'Tree List'!$D$3:$D$601,"Deciduous Conifer")) &gt; 0,
            _xlfn.IFS($K275="Small",0.5,$K275="Small/Medium",1,$K275="Medium/Large",1.4,$K275="Large",1.8),
        (COUNTIFS('Tree List'!$C$3:$C$601,$C275,'Tree List'!$D$3:$D$601,"Deciduous")
        + COUNTIFS('Tree List'!$C$3:$C$601,$C275,'Tree List'!$D$3:$D$601,"Broadleaf Evergreen")) &gt; 0,
            _xlfn.IFS($K275="Small",0.4,$K275="Small/Medium",0.8,$K275="Medium/Large",1.2,$K275="Large",1.6)
    ),
    ""
),
"")</f>
        <v/>
      </c>
      <c r="M275" s="474" t="str">
        <f t="shared" si="249"/>
        <v/>
      </c>
      <c r="N275" s="620" t="str" cm="1">
        <f t="array" aca="1" ref="N27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IF(AND(_xlpm.baseRow,ISNA(MATCH($C275,'Tree List'!$C$3:$C$601,0)),SUMPRODUCT(--ISNUMBER(SEARCH(Tables2!$C$677:$C$772,$O275)))&gt;0),
Error!$B$57,
IF(AND(_xlpm.hasDM,$F275="Remove",$H275&lt;&gt;"",OR($I275="On-site replacement",$I275="Off-site replacement",$I275="Payment In Lieu")),
Error!$B$56,
IF(AND(_xlpm.hasDM,$F275="Remove",$H275&lt;&gt;"",$I275="Relocation"),
Error!$B$66,
IF(AND(OR(_xlpm.hasCN,_xlpm.hasPH,_xlpm.hasGR),$H275&lt;&gt;"",COUNTIF(Tables!$B$132:$B$134,$H275)&gt;0,$I275="N/A (No replacement required)"),
Error!$B$62,
IF(AND(_xlpm.baseRow,$E275&lt;&gt;"",ISNA(MATCH($E275,Tables!$B$225:$B$232,0))),
Error!$B$2,
IF(AND(_xlpm.baseRow,$F275&lt;&gt;"",ISNA(MATCH($F275,Tables!$B$234:$B$235,0))),
Error!$B$24,
IF(AND(_xlpm.baseRow,_xlpm.ECA_H&gt;0,_xlpm.Shore_H&gt;0),
Error!$B$16,
IF(AND(_xlpm.baseRow,$E275&lt;&gt;"",$D275=""),
Error!$B$3,
IF(AND(_xlpm.baseRow,OR($E275="Tier 3",$E275="Tier 4"),$C275&lt;&gt;"",$D275&gt;=24,COUNTIF(Tables2!$B$166:$B$674,$C275)&gt;0),
Error!$B$44,
IF(AND(_xlpm.baseRow,OR($E275="Tier 3",$E275="Tier 4"),$C275&lt;&gt;"",$D275&lt;&gt;"",COUNTIF(Tables2!$B$73:$B$152,$C275)&gt;0,
$D275&gt;=IFERROR(INDEX(Tables2!$C$73:$C$152,MATCH($C275,Tables2!$B$73:$B$152,0)),-1)),
Error!$B$44,
IF(AND(_xlpm.baseRow,OR($E275="Tier 2",$E275="Tier 2 Grove"),$C275&lt;&gt;"",$D275&gt;=12,COUNTIF(Tables2!$B$153:$B$162,$C275)&gt;0),
Error!$B$45,
IF(AND(_xlpm.baseRow,$E275="Tier 2 Grove",$D275&lt;12),
Error!$B$41,
IF(AND(_xlpm.baseRow,$E275="Tier 2",$D275&lt;5.88),
Error!$B$40,
IF(AND(_xlpm.baseRow,OR($E275="Tier 2",$E275="Tier 2 Grove"),$C275&lt;&gt;"",$D275&lt;12,$D275&gt;=6,COUNTIF(Tables2!$B$153:$B$162,$C275)&gt;0),
Error!$B$54,
IF(AND(_xlpm.baseRow,$E275="Tier 2",COUNTIF(Tables2!$B$166:$B$674,$C275)&gt;0,$D275&lt;24),
Error!$B$54,
IF(AND(_xlpm.baseRow,$E275="Tier 3",ISNA(MATCH($C275,Tables2!$B$153:$B$162,0)),OR($D275&lt;12,$D275&gt;=24)),
Error!$B$9,
IF(AND(_xlpm.baseRow,$E275="Tier 3",COUNTIF(Tables2!$B$153:$B$162,$C275)&gt;0,$D275&lt;12),
Error!$B$46,
IF(AND(_xlpm.baseRow,$E275="Tier 4",OR($D275&lt;6,$D275&gt;=12)),
Error!$B$10,
IF(AND(_xlpm.baseRow,$E275="&lt;6in DSH for Tree Points",OR($D275&gt;=6,$D275="")),
Error!$B$8,
IF(AND(_xlpm.baseRow,$E275="Street Tree for Green Factor",$F275&lt;&gt;"",$F275&lt;&gt;"Retain"),
Error!$B$14,
IF(AND($E275="&lt;6in DSH for Tree Points",$F275="Retain",$H275&lt;&gt;"",ISNA(MATCH($H275,Tables!$B$174:$B$174,0))),
Error!$B$15,
IF(AND($E275="Street Tree for Green Factor",$F275="Retain",$H275&lt;&gt;"",$H275&lt;&gt;"Zoning: Green Factor"),
Error!$B$15,
IF(AND($E275="ECA / Shoreline Tree",$F275="Remove",$H275&lt;&gt;"",ISNA(MATCH($H275,Tables!$B$189:$B$190,0))),
Error!$B$15,
IF(AND($E275="ECA / Shoreline Tree",$F275="Retain",$H275&lt;&gt;"",ISNA(MATCH($H275,Tables!$B$184:$B$186,0))),
Error!$B$15,
IF(AND($E275="Tier 4",$F275="Remove",$H275&lt;&gt;"",ISNA(MATCH($H275,Tables!$B$171,0))),
Error!$B$15,
IF(AND($E275="Tier 4",$F275="Retain",$H275&lt;&gt;"",ISNA(MATCH($H275,Tables!$B$166:$B$168,0))),
Error!$B$15,
IF(AND($E275="Tier 3",$F275="Retain",$H275&lt;&gt;"",ISNA(MATCH($H275,Tables!$B$158:$B$160,0))),
Error!$B$15,
IF(AND($E275="Tier 3",$F275="Remove",$H275&lt;&gt;"",ISNA(MATCH($H275,Tables!$B$163,0))),
Error!$B$15,
IF(AND(OR($E275="Tier 2",$E275="Tier 2 Grove"),$F275="Remove",$H275&lt;&gt;"",ISNA(MATCH($H275,Tables!$B$153:$B$155,0))),
Error!$B$15,
IF(AND(OR($E275="Tier 2",$E275="Tier 2 Grove"),$F275="Retain",$H275&lt;&gt;"",ISNA(MATCH($H275,Tables!$B$147:$B$150,0))),
Error!$B$15,
IF(AND($E275="Tier 1",$F275="Remove",$H275&lt;&gt;"",ISNA(MATCH($H275,Tables!$B$143:$B$144,0))),
Error!$B$15,
IF(AND($E275="Tier 1",$F275="Retain",$H275&lt;&gt;"",ISNA(MATCH($H275,Tables!$B$137:$B$140,0))),
Error!$B$15,
IF(AND($E275&lt;&gt;"Tier 2",$E275&lt;&gt;"Tier 2 Grove",$E275&lt;&gt;"Tier 3",$E275&lt;&gt;"Tier 4",$H275="Zoning: Green Factor",OR($D275="",$D275&lt;6)),
Error!$B$11,
IF(AND(_xlpm.baseRow,$D275&lt;6,$E275="&lt;6in DSH for Tree Points",_xlpm.TreePoints_H=0),
Error!$B$21,
IF(AND(_xlpm.baseRow,$E275&lt;&gt;"",$D275&lt;&gt;"",$F275=""),
Error!$B$4,
IF(AND(_xlpm.baseRow,$F275="Remove",OR($E275="Tier 1",$E275="Tier 2",$E275="Tier 2 Grove"),COUNTBLANK(_xlpm.HRange)&lt;3,_xlpm.uniqueH&gt;=2),
Error!$B$48,
IF(AND(_xlpm.baseRow,$F275="Retain",OR($E275="Tier 1",$E275="Tier 2",$E275="Tier 2 Grove"),COUNTIF(_xlpm.HRange,"Tree Code: Required to Retain Tier 1-2 Tree")=0),
Error!$B$47,
IF(AND(_xlpm.baseRow,$E275&lt;&gt;"",$D275&lt;&gt;"",$F275&lt;&gt;"",COUNTBLANK(_xlpm.HRange)=4),
Error!$B$5,
IF(AND($F275="Remove",$H275&lt;&gt;"",$I275=""),
Error!$B$18,
IF(AND($E275="Tier 4",$F275="Remove",$H275="Tree Protection Code: Tier 3 or Tier 4 Allowance",$H275&lt;&gt;"",ISNA(MATCH($I275,Tables!$B$200,0))),
Error!$B$17,
IF(AND($E275="Tier 3",$F275="Remove",$H275&lt;&gt;"",$H275="Tree Protection Code: Tier 3 or Tier 4 Allowance",OR($I275="",ISNA(MATCH($I275,Tables!$B$193:$B$197,0)))),
Error!$B$17,
IF(AND(OR($E275="Tier 2",$E275="Tier 2 Grove"),$F275="Remove",$H275="Tree Protection Code: Other removal allowance or exemption",$I275&lt;&gt;"",ISNA(MATCH($I275,Tables!$B$215:$B$218,0))),
Error!$B$17,
IF(AND(OR($E275="Tier 2",$E275="Tier 2 Grove"),$F275="Remove",$H275="Tree Protection Code: Development Capacity",$I275&lt;&gt;"",ISNA(MATCH($I275,Tables!$B$193:$B$197,0))),
Error!$B$17,
IF(AND(OR($E275="Tier 2",$E275="Tier 2 Grove"),$F275="Remove",$H275="Tree Protection Code: Necessary for Construction",$I275&lt;&gt;"",ISNA(MATCH($I275,Tables!$B$193:$B$197,0))),
Error!$B$17,
IF(AND($E275="Tier 1",$F275="Remove",$H275="Tree Protection Code: Special Exception",$I275&lt;&gt;"",ISNA(MATCH($I275,Tables!$B$215:$B$218,0))),
Error!$B$17,
IF(AND($E275="Tier 1",$F275="Remove",$H275="Tree Protection Code: Other removal allowance or exemption",$I275&lt;&gt;"",ISNA(MATCH($I275,Tables!$B$215:$B$218,0))),
Error!$B$17,
IF(AND($E275="ECA / Shoreline Tree",$F275="Remove",$H275&lt;&gt;"",OR($H275="Shoreline",$H275="Environmental Critical Area (ECA)"),ISNA(MATCH($I275,Tables!$B$209:$B$212,0))),
Error!$B$17,
IF(AND(_xlpm.baseRow,$F275="Retain",$E275="ECA / Shoreline Tree",_xlpm.ECA_Short=0),
Error!$B$61,
IF(AND($F275="Remove",ISNUMBER(MATCH($E275,{"Tier 1","Tier 2","Tier 3","Tier 4","Tier 2 Grove"},0)),ISNUMBER(MATCH($I275,{"On-site replacement","Off-site replacement"},0)),$J275="",$H275&lt;&gt;""),
Error!$B$19,
IF(AND(_xlpm.baseRow,$E275&lt;&gt;"",$D275&lt;&gt;"",$F275&lt;&gt;"",COUNTBLANK($B275:$C275)&gt;0,COUNTBLANK(_xlpm.HRange)&lt;&gt;4),
Error!$B$22,
IF(AND($H275="Zoning: Tree Points",$K275&lt;&gt;"",ISNA(MATCH($K275,Tables!$B$242:$B$253,0))),
Error!$B$58,
IF(AND($H275="Zoning: Tree Points",$K275="Small",$L275&lt;&gt;"",ISNA(MATCH($L275,Tables!$C$243:$C$244,0))),
Error!$B$59,
IF(AND($H275="Zoning: Tree Points",$K275="Small/Medium",$L275&lt;&gt;"",ISNA(MATCH($L275,Tables!$C$246:$C$247,0))),
Error!$B$59,
IF(AND($H275="Zoning: Tree Points",$K275="Medium/Large",$L275&lt;&gt;"",ISNA(MATCH($L275,Tables!$C$249:$C$250,0))),
Error!$B$59,
IF(AND($H275="Zoning: Tree Points",$K275="Large",$L275&lt;&gt;"",ISNA(MATCH($L275,Tables!$C$252:$C$253,0))),
Error!$B$59,
IF(AND($F275="Retain",$H275="Zoning: Tree Points",$C275&lt;&gt;"",$D275&lt;&gt;"",OR($K275="",$L275="",$M275="")),
Error!$B$20,
""
)))))))))))))))))))))))))))))))))))))))))))))))))))))))),
Error!$B$23))</f>
        <v/>
      </c>
      <c r="O275" s="343" t="str" cm="1">
        <f t="array" aca="1" ref="O275" ca="1">IFERROR(_xlfn.LET(
    _xlpm.txt, $C275,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76" spans="1:15" x14ac:dyDescent="0.3">
      <c r="A276" s="320"/>
      <c r="B276" s="616" t="str">
        <f t="shared" ref="B276:B278" si="290">IF($B275="", "", $B275)</f>
        <v/>
      </c>
      <c r="C276" s="617" t="str">
        <f t="shared" ref="C276:C278" si="291">IF($C275="", "", $C275)</f>
        <v/>
      </c>
      <c r="D276" s="618" t="str">
        <f t="shared" ref="D276:D278" si="292">IF($D275="", "", $D275)</f>
        <v/>
      </c>
      <c r="E276" s="616" t="str">
        <f t="shared" ref="E276:E278" si="293">IF($E275="", "", $E275)</f>
        <v/>
      </c>
      <c r="F276" s="616" t="str">
        <f t="shared" ref="F276:F278" si="294">IF($F275="", "", $F275)</f>
        <v/>
      </c>
      <c r="G276" s="619" t="str">
        <f>IF(Tree_Table1[[#This Row],[Tree Status  &amp;]]="Retain", Tables!$B$237, IF(Tree_Table1[[#This Row],[Tree Status  &amp;]]="Remove", Tables!$B$238, ""))</f>
        <v/>
      </c>
      <c r="H276" s="321"/>
      <c r="I276" s="322"/>
      <c r="J276" s="453"/>
      <c r="K276" s="323" t="str">
        <f>IFERROR(
    IF(
        AND($H276="Zoning: Tree Points", NOT(ISNUMBER(SEARCH("sp.", $C276)))),
        VLOOKUP($C276, 'Tree List'!$C$3:$F$601, 4, FALSE),
        ""
    ),
"")</f>
        <v/>
      </c>
      <c r="L276" s="324" t="str" cm="1">
        <f t="array" ref="L276">IFERROR(
IF(
    AND($H276="Zoning: Tree Points", NOT(ISNUMBER(SEARCH("sp.", $C276)))),
    _xlfn.IFS(
        (COUNTIFS('Tree List'!$C$3:$C$601,$C276,'Tree List'!$D$3:$D$601,"Coniferous")
        + COUNTIFS('Tree List'!$C$3:$C$601,$C276,'Tree List'!$D$3:$D$601,"Deciduous Conifer")) &gt; 0,
            _xlfn.IFS($K276="Small",0.5,$K276="Small/Medium",1,$K276="Medium/Large",1.4,$K276="Large",1.8),
        (COUNTIFS('Tree List'!$C$3:$C$601,$C276,'Tree List'!$D$3:$D$601,"Deciduous")
        + COUNTIFS('Tree List'!$C$3:$C$601,$C276,'Tree List'!$D$3:$D$601,"Broadleaf Evergreen")) &gt; 0,
            _xlfn.IFS($K276="Small",0.4,$K276="Small/Medium",0.8,$K276="Medium/Large",1.2,$K276="Large",1.6)
    ),
    ""
),
"")</f>
        <v/>
      </c>
      <c r="M276" s="475" t="str">
        <f t="shared" si="249"/>
        <v/>
      </c>
      <c r="N276" s="346" t="str" cm="1">
        <f t="array" aca="1" ref="N27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IF(AND(_xlpm.baseRow,ISNA(MATCH($C276,'Tree List'!$C$3:$C$601,0)),SUMPRODUCT(--ISNUMBER(SEARCH(Tables2!$C$677:$C$772,$O276)))&gt;0),
Error!$B$57,
IF(AND(_xlpm.hasDM,$F276="Remove",$H276&lt;&gt;"",OR($I276="On-site replacement",$I276="Off-site replacement",$I276="Payment In Lieu")),
Error!$B$56,
IF(AND(_xlpm.hasDM,$F276="Remove",$H276&lt;&gt;"",$I276="Relocation"),
Error!$B$66,
IF(AND(OR(_xlpm.hasCN,_xlpm.hasPH,_xlpm.hasGR),$H276&lt;&gt;"",COUNTIF(Tables!$B$132:$B$134,$H276)&gt;0,$I276="N/A (No replacement required)"),
Error!$B$62,
IF(AND(_xlpm.baseRow,$E276&lt;&gt;"",ISNA(MATCH($E276,Tables!$B$225:$B$232,0))),
Error!$B$2,
IF(AND(_xlpm.baseRow,$F276&lt;&gt;"",ISNA(MATCH($F276,Tables!$B$234:$B$235,0))),
Error!$B$24,
IF(AND(_xlpm.baseRow,_xlpm.ECA_H&gt;0,_xlpm.Shore_H&gt;0),
Error!$B$16,
IF(AND(_xlpm.baseRow,$E276&lt;&gt;"",$D276=""),
Error!$B$3,
IF(AND(_xlpm.baseRow,OR($E276="Tier 3",$E276="Tier 4"),$C276&lt;&gt;"",$D276&gt;=24,COUNTIF(Tables2!$B$166:$B$674,$C276)&gt;0),
Error!$B$44,
IF(AND(_xlpm.baseRow,OR($E276="Tier 3",$E276="Tier 4"),$C276&lt;&gt;"",$D276&lt;&gt;"",COUNTIF(Tables2!$B$73:$B$152,$C276)&gt;0,
$D276&gt;=IFERROR(INDEX(Tables2!$C$73:$C$152,MATCH($C276,Tables2!$B$73:$B$152,0)),-1)),
Error!$B$44,
IF(AND(_xlpm.baseRow,OR($E276="Tier 2",$E276="Tier 2 Grove"),$C276&lt;&gt;"",$D276&gt;=12,COUNTIF(Tables2!$B$153:$B$162,$C276)&gt;0),
Error!$B$45,
IF(AND(_xlpm.baseRow,$E276="Tier 2 Grove",$D276&lt;12),
Error!$B$41,
IF(AND(_xlpm.baseRow,$E276="Tier 2",$D276&lt;5.88),
Error!$B$40,
IF(AND(_xlpm.baseRow,OR($E276="Tier 2",$E276="Tier 2 Grove"),$C276&lt;&gt;"",$D276&lt;12,$D276&gt;=6,COUNTIF(Tables2!$B$153:$B$162,$C276)&gt;0),
Error!$B$54,
IF(AND(_xlpm.baseRow,$E276="Tier 2",COUNTIF(Tables2!$B$166:$B$674,$C276)&gt;0,$D276&lt;24),
Error!$B$54,
IF(AND(_xlpm.baseRow,$E276="Tier 3",ISNA(MATCH($C276,Tables2!$B$153:$B$162,0)),OR($D276&lt;12,$D276&gt;=24)),
Error!$B$9,
IF(AND(_xlpm.baseRow,$E276="Tier 3",COUNTIF(Tables2!$B$153:$B$162,$C276)&gt;0,$D276&lt;12),
Error!$B$46,
IF(AND(_xlpm.baseRow,$E276="Tier 4",OR($D276&lt;6,$D276&gt;=12)),
Error!$B$10,
IF(AND(_xlpm.baseRow,$E276="&lt;6in DSH for Tree Points",OR($D276&gt;=6,$D276="")),
Error!$B$8,
IF(AND(_xlpm.baseRow,$E276="Street Tree for Green Factor",$F276&lt;&gt;"",$F276&lt;&gt;"Retain"),
Error!$B$14,
IF(AND($E276="&lt;6in DSH for Tree Points",$F276="Retain",$H276&lt;&gt;"",ISNA(MATCH($H276,Tables!$B$174:$B$174,0))),
Error!$B$15,
IF(AND($E276="Street Tree for Green Factor",$F276="Retain",$H276&lt;&gt;"",$H276&lt;&gt;"Zoning: Green Factor"),
Error!$B$15,
IF(AND($E276="ECA / Shoreline Tree",$F276="Remove",$H276&lt;&gt;"",ISNA(MATCH($H276,Tables!$B$189:$B$190,0))),
Error!$B$15,
IF(AND($E276="ECA / Shoreline Tree",$F276="Retain",$H276&lt;&gt;"",ISNA(MATCH($H276,Tables!$B$184:$B$186,0))),
Error!$B$15,
IF(AND($E276="Tier 4",$F276="Remove",$H276&lt;&gt;"",ISNA(MATCH($H276,Tables!$B$171,0))),
Error!$B$15,
IF(AND($E276="Tier 4",$F276="Retain",$H276&lt;&gt;"",ISNA(MATCH($H276,Tables!$B$166:$B$168,0))),
Error!$B$15,
IF(AND($E276="Tier 3",$F276="Retain",$H276&lt;&gt;"",ISNA(MATCH($H276,Tables!$B$158:$B$160,0))),
Error!$B$15,
IF(AND($E276="Tier 3",$F276="Remove",$H276&lt;&gt;"",ISNA(MATCH($H276,Tables!$B$163,0))),
Error!$B$15,
IF(AND(OR($E276="Tier 2",$E276="Tier 2 Grove"),$F276="Remove",$H276&lt;&gt;"",ISNA(MATCH($H276,Tables!$B$153:$B$155,0))),
Error!$B$15,
IF(AND(OR($E276="Tier 2",$E276="Tier 2 Grove"),$F276="Retain",$H276&lt;&gt;"",ISNA(MATCH($H276,Tables!$B$147:$B$150,0))),
Error!$B$15,
IF(AND($E276="Tier 1",$F276="Remove",$H276&lt;&gt;"",ISNA(MATCH($H276,Tables!$B$143:$B$144,0))),
Error!$B$15,
IF(AND($E276="Tier 1",$F276="Retain",$H276&lt;&gt;"",ISNA(MATCH($H276,Tables!$B$137:$B$140,0))),
Error!$B$15,
IF(AND($E276&lt;&gt;"Tier 2",$E276&lt;&gt;"Tier 2 Grove",$E276&lt;&gt;"Tier 3",$E276&lt;&gt;"Tier 4",$H276="Zoning: Green Factor",OR($D276="",$D276&lt;6)),
Error!$B$11,
IF(AND(_xlpm.baseRow,$D276&lt;6,$E276="&lt;6in DSH for Tree Points",_xlpm.TreePoints_H=0),
Error!$B$21,
IF(AND(_xlpm.baseRow,$E276&lt;&gt;"",$D276&lt;&gt;"",$F276=""),
Error!$B$4,
IF(AND(_xlpm.baseRow,$F276="Remove",OR($E276="Tier 1",$E276="Tier 2",$E276="Tier 2 Grove"),COUNTBLANK(_xlpm.HRange)&lt;3,_xlpm.uniqueH&gt;=2),
Error!$B$48,
IF(AND(_xlpm.baseRow,$F276="Retain",OR($E276="Tier 1",$E276="Tier 2",$E276="Tier 2 Grove"),COUNTIF(_xlpm.HRange,"Tree Code: Required to Retain Tier 1-2 Tree")=0),
Error!$B$47,
IF(AND(_xlpm.baseRow,$E276&lt;&gt;"",$D276&lt;&gt;"",$F276&lt;&gt;"",COUNTBLANK(_xlpm.HRange)=4),
Error!$B$5,
IF(AND($F276="Remove",$H276&lt;&gt;"",$I276=""),
Error!$B$18,
IF(AND($E276="Tier 4",$F276="Remove",$H276="Tree Protection Code: Tier 3 or Tier 4 Allowance",$H276&lt;&gt;"",ISNA(MATCH($I276,Tables!$B$200,0))),
Error!$B$17,
IF(AND($E276="Tier 3",$F276="Remove",$H276&lt;&gt;"",$H276="Tree Protection Code: Tier 3 or Tier 4 Allowance",OR($I276="",ISNA(MATCH($I276,Tables!$B$193:$B$197,0)))),
Error!$B$17,
IF(AND(OR($E276="Tier 2",$E276="Tier 2 Grove"),$F276="Remove",$H276="Tree Protection Code: Other removal allowance or exemption",$I276&lt;&gt;"",ISNA(MATCH($I276,Tables!$B$215:$B$218,0))),
Error!$B$17,
IF(AND(OR($E276="Tier 2",$E276="Tier 2 Grove"),$F276="Remove",$H276="Tree Protection Code: Development Capacity",$I276&lt;&gt;"",ISNA(MATCH($I276,Tables!$B$193:$B$197,0))),
Error!$B$17,
IF(AND(OR($E276="Tier 2",$E276="Tier 2 Grove"),$F276="Remove",$H276="Tree Protection Code: Necessary for Construction",$I276&lt;&gt;"",ISNA(MATCH($I276,Tables!$B$193:$B$197,0))),
Error!$B$17,
IF(AND($E276="Tier 1",$F276="Remove",$H276="Tree Protection Code: Special Exception",$I276&lt;&gt;"",ISNA(MATCH($I276,Tables!$B$215:$B$218,0))),
Error!$B$17,
IF(AND($E276="Tier 1",$F276="Remove",$H276="Tree Protection Code: Other removal allowance or exemption",$I276&lt;&gt;"",ISNA(MATCH($I276,Tables!$B$215:$B$218,0))),
Error!$B$17,
IF(AND($E276="ECA / Shoreline Tree",$F276="Remove",$H276&lt;&gt;"",OR($H276="Shoreline",$H276="Environmental Critical Area (ECA)"),ISNA(MATCH($I276,Tables!$B$209:$B$212,0))),
Error!$B$17,
IF(AND(_xlpm.baseRow,$F276="Retain",$E276="ECA / Shoreline Tree",_xlpm.ECA_Short=0),
Error!$B$61,
IF(AND($F276="Remove",ISNUMBER(MATCH($E276,{"Tier 1","Tier 2","Tier 3","Tier 4","Tier 2 Grove"},0)),ISNUMBER(MATCH($I276,{"On-site replacement","Off-site replacement"},0)),$J276="",$H276&lt;&gt;""),
Error!$B$19,
IF(AND(_xlpm.baseRow,$E276&lt;&gt;"",$D276&lt;&gt;"",$F276&lt;&gt;"",COUNTBLANK($B276:$C276)&gt;0,COUNTBLANK(_xlpm.HRange)&lt;&gt;4),
Error!$B$22,
IF(AND($H276="Zoning: Tree Points",$K276&lt;&gt;"",ISNA(MATCH($K276,Tables!$B$242:$B$253,0))),
Error!$B$58,
IF(AND($H276="Zoning: Tree Points",$K276="Small",$L276&lt;&gt;"",ISNA(MATCH($L276,Tables!$C$243:$C$244,0))),
Error!$B$59,
IF(AND($H276="Zoning: Tree Points",$K276="Small/Medium",$L276&lt;&gt;"",ISNA(MATCH($L276,Tables!$C$246:$C$247,0))),
Error!$B$59,
IF(AND($H276="Zoning: Tree Points",$K276="Medium/Large",$L276&lt;&gt;"",ISNA(MATCH($L276,Tables!$C$249:$C$250,0))),
Error!$B$59,
IF(AND($H276="Zoning: Tree Points",$K276="Large",$L276&lt;&gt;"",ISNA(MATCH($L276,Tables!$C$252:$C$253,0))),
Error!$B$59,
IF(AND($F276="Retain",$H276="Zoning: Tree Points",$C276&lt;&gt;"",$D276&lt;&gt;"",OR($K276="",$L276="",$M276="")),
Error!$B$20,
""
)))))))))))))))))))))))))))))))))))))))))))))))))))))))),
Error!$B$23))</f>
        <v/>
      </c>
      <c r="O276" s="343" t="str" cm="1">
        <f t="array" aca="1" ref="O276" ca="1">IFERROR(_xlfn.LET(
    _xlpm.txt, $C276,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77" spans="1:15" x14ac:dyDescent="0.3">
      <c r="A277" s="320"/>
      <c r="B277" s="616" t="str">
        <f t="shared" si="290"/>
        <v/>
      </c>
      <c r="C277" s="617" t="str">
        <f t="shared" si="291"/>
        <v/>
      </c>
      <c r="D277" s="618" t="str">
        <f t="shared" si="292"/>
        <v/>
      </c>
      <c r="E277" s="616" t="str">
        <f t="shared" si="293"/>
        <v/>
      </c>
      <c r="F277" s="616" t="str">
        <f t="shared" si="294"/>
        <v/>
      </c>
      <c r="G277" s="619" t="str">
        <f>IF(Tree_Table1[[#This Row],[Tree Status  &amp;]]="Retain", Tables!$B$237, IF(Tree_Table1[[#This Row],[Tree Status  &amp;]]="Remove", Tables!$B$238, ""))</f>
        <v/>
      </c>
      <c r="H277" s="321"/>
      <c r="I277" s="322"/>
      <c r="J277" s="453"/>
      <c r="K277" s="323" t="str">
        <f>IFERROR(
    IF(
        AND($H277="Zoning: Tree Points", NOT(ISNUMBER(SEARCH("sp.", $C277)))),
        VLOOKUP($C277, 'Tree List'!$C$3:$F$601, 4, FALSE),
        ""
    ),
"")</f>
        <v/>
      </c>
      <c r="L277" s="324" t="str" cm="1">
        <f t="array" ref="L277">IFERROR(
IF(
    AND($H277="Zoning: Tree Points", NOT(ISNUMBER(SEARCH("sp.", $C277)))),
    _xlfn.IFS(
        (COUNTIFS('Tree List'!$C$3:$C$601,$C277,'Tree List'!$D$3:$D$601,"Coniferous")
        + COUNTIFS('Tree List'!$C$3:$C$601,$C277,'Tree List'!$D$3:$D$601,"Deciduous Conifer")) &gt; 0,
            _xlfn.IFS($K277="Small",0.5,$K277="Small/Medium",1,$K277="Medium/Large",1.4,$K277="Large",1.8),
        (COUNTIFS('Tree List'!$C$3:$C$601,$C277,'Tree List'!$D$3:$D$601,"Deciduous")
        + COUNTIFS('Tree List'!$C$3:$C$601,$C277,'Tree List'!$D$3:$D$601,"Broadleaf Evergreen")) &gt; 0,
            _xlfn.IFS($K277="Small",0.4,$K277="Small/Medium",0.8,$K277="Medium/Large",1.2,$K277="Large",1.6)
    ),
    ""
),
"")</f>
        <v/>
      </c>
      <c r="M277" s="475" t="str">
        <f t="shared" si="249"/>
        <v/>
      </c>
      <c r="N277" s="346" t="str" cm="1">
        <f t="array" aca="1" ref="N27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IF(AND(_xlpm.baseRow,ISNA(MATCH($C277,'Tree List'!$C$3:$C$601,0)),SUMPRODUCT(--ISNUMBER(SEARCH(Tables2!$C$677:$C$772,$O277)))&gt;0),
Error!$B$57,
IF(AND(_xlpm.hasDM,$F277="Remove",$H277&lt;&gt;"",OR($I277="On-site replacement",$I277="Off-site replacement",$I277="Payment In Lieu")),
Error!$B$56,
IF(AND(_xlpm.hasDM,$F277="Remove",$H277&lt;&gt;"",$I277="Relocation"),
Error!$B$66,
IF(AND(OR(_xlpm.hasCN,_xlpm.hasPH,_xlpm.hasGR),$H277&lt;&gt;"",COUNTIF(Tables!$B$132:$B$134,$H277)&gt;0,$I277="N/A (No replacement required)"),
Error!$B$62,
IF(AND(_xlpm.baseRow,$E277&lt;&gt;"",ISNA(MATCH($E277,Tables!$B$225:$B$232,0))),
Error!$B$2,
IF(AND(_xlpm.baseRow,$F277&lt;&gt;"",ISNA(MATCH($F277,Tables!$B$234:$B$235,0))),
Error!$B$24,
IF(AND(_xlpm.baseRow,_xlpm.ECA_H&gt;0,_xlpm.Shore_H&gt;0),
Error!$B$16,
IF(AND(_xlpm.baseRow,$E277&lt;&gt;"",$D277=""),
Error!$B$3,
IF(AND(_xlpm.baseRow,OR($E277="Tier 3",$E277="Tier 4"),$C277&lt;&gt;"",$D277&gt;=24,COUNTIF(Tables2!$B$166:$B$674,$C277)&gt;0),
Error!$B$44,
IF(AND(_xlpm.baseRow,OR($E277="Tier 3",$E277="Tier 4"),$C277&lt;&gt;"",$D277&lt;&gt;"",COUNTIF(Tables2!$B$73:$B$152,$C277)&gt;0,
$D277&gt;=IFERROR(INDEX(Tables2!$C$73:$C$152,MATCH($C277,Tables2!$B$73:$B$152,0)),-1)),
Error!$B$44,
IF(AND(_xlpm.baseRow,OR($E277="Tier 2",$E277="Tier 2 Grove"),$C277&lt;&gt;"",$D277&gt;=12,COUNTIF(Tables2!$B$153:$B$162,$C277)&gt;0),
Error!$B$45,
IF(AND(_xlpm.baseRow,$E277="Tier 2 Grove",$D277&lt;12),
Error!$B$41,
IF(AND(_xlpm.baseRow,$E277="Tier 2",$D277&lt;5.88),
Error!$B$40,
IF(AND(_xlpm.baseRow,OR($E277="Tier 2",$E277="Tier 2 Grove"),$C277&lt;&gt;"",$D277&lt;12,$D277&gt;=6,COUNTIF(Tables2!$B$153:$B$162,$C277)&gt;0),
Error!$B$54,
IF(AND(_xlpm.baseRow,$E277="Tier 2",COUNTIF(Tables2!$B$166:$B$674,$C277)&gt;0,$D277&lt;24),
Error!$B$54,
IF(AND(_xlpm.baseRow,$E277="Tier 3",ISNA(MATCH($C277,Tables2!$B$153:$B$162,0)),OR($D277&lt;12,$D277&gt;=24)),
Error!$B$9,
IF(AND(_xlpm.baseRow,$E277="Tier 3",COUNTIF(Tables2!$B$153:$B$162,$C277)&gt;0,$D277&lt;12),
Error!$B$46,
IF(AND(_xlpm.baseRow,$E277="Tier 4",OR($D277&lt;6,$D277&gt;=12)),
Error!$B$10,
IF(AND(_xlpm.baseRow,$E277="&lt;6in DSH for Tree Points",OR($D277&gt;=6,$D277="")),
Error!$B$8,
IF(AND(_xlpm.baseRow,$E277="Street Tree for Green Factor",$F277&lt;&gt;"",$F277&lt;&gt;"Retain"),
Error!$B$14,
IF(AND($E277="&lt;6in DSH for Tree Points",$F277="Retain",$H277&lt;&gt;"",ISNA(MATCH($H277,Tables!$B$174:$B$174,0))),
Error!$B$15,
IF(AND($E277="Street Tree for Green Factor",$F277="Retain",$H277&lt;&gt;"",$H277&lt;&gt;"Zoning: Green Factor"),
Error!$B$15,
IF(AND($E277="ECA / Shoreline Tree",$F277="Remove",$H277&lt;&gt;"",ISNA(MATCH($H277,Tables!$B$189:$B$190,0))),
Error!$B$15,
IF(AND($E277="ECA / Shoreline Tree",$F277="Retain",$H277&lt;&gt;"",ISNA(MATCH($H277,Tables!$B$184:$B$186,0))),
Error!$B$15,
IF(AND($E277="Tier 4",$F277="Remove",$H277&lt;&gt;"",ISNA(MATCH($H277,Tables!$B$171,0))),
Error!$B$15,
IF(AND($E277="Tier 4",$F277="Retain",$H277&lt;&gt;"",ISNA(MATCH($H277,Tables!$B$166:$B$168,0))),
Error!$B$15,
IF(AND($E277="Tier 3",$F277="Retain",$H277&lt;&gt;"",ISNA(MATCH($H277,Tables!$B$158:$B$160,0))),
Error!$B$15,
IF(AND($E277="Tier 3",$F277="Remove",$H277&lt;&gt;"",ISNA(MATCH($H277,Tables!$B$163,0))),
Error!$B$15,
IF(AND(OR($E277="Tier 2",$E277="Tier 2 Grove"),$F277="Remove",$H277&lt;&gt;"",ISNA(MATCH($H277,Tables!$B$153:$B$155,0))),
Error!$B$15,
IF(AND(OR($E277="Tier 2",$E277="Tier 2 Grove"),$F277="Retain",$H277&lt;&gt;"",ISNA(MATCH($H277,Tables!$B$147:$B$150,0))),
Error!$B$15,
IF(AND($E277="Tier 1",$F277="Remove",$H277&lt;&gt;"",ISNA(MATCH($H277,Tables!$B$143:$B$144,0))),
Error!$B$15,
IF(AND($E277="Tier 1",$F277="Retain",$H277&lt;&gt;"",ISNA(MATCH($H277,Tables!$B$137:$B$140,0))),
Error!$B$15,
IF(AND($E277&lt;&gt;"Tier 2",$E277&lt;&gt;"Tier 2 Grove",$E277&lt;&gt;"Tier 3",$E277&lt;&gt;"Tier 4",$H277="Zoning: Green Factor",OR($D277="",$D277&lt;6)),
Error!$B$11,
IF(AND(_xlpm.baseRow,$D277&lt;6,$E277="&lt;6in DSH for Tree Points",_xlpm.TreePoints_H=0),
Error!$B$21,
IF(AND(_xlpm.baseRow,$E277&lt;&gt;"",$D277&lt;&gt;"",$F277=""),
Error!$B$4,
IF(AND(_xlpm.baseRow,$F277="Remove",OR($E277="Tier 1",$E277="Tier 2",$E277="Tier 2 Grove"),COUNTBLANK(_xlpm.HRange)&lt;3,_xlpm.uniqueH&gt;=2),
Error!$B$48,
IF(AND(_xlpm.baseRow,$F277="Retain",OR($E277="Tier 1",$E277="Tier 2",$E277="Tier 2 Grove"),COUNTIF(_xlpm.HRange,"Tree Code: Required to Retain Tier 1-2 Tree")=0),
Error!$B$47,
IF(AND(_xlpm.baseRow,$E277&lt;&gt;"",$D277&lt;&gt;"",$F277&lt;&gt;"",COUNTBLANK(_xlpm.HRange)=4),
Error!$B$5,
IF(AND($F277="Remove",$H277&lt;&gt;"",$I277=""),
Error!$B$18,
IF(AND($E277="Tier 4",$F277="Remove",$H277="Tree Protection Code: Tier 3 or Tier 4 Allowance",$H277&lt;&gt;"",ISNA(MATCH($I277,Tables!$B$200,0))),
Error!$B$17,
IF(AND($E277="Tier 3",$F277="Remove",$H277&lt;&gt;"",$H277="Tree Protection Code: Tier 3 or Tier 4 Allowance",OR($I277="",ISNA(MATCH($I277,Tables!$B$193:$B$197,0)))),
Error!$B$17,
IF(AND(OR($E277="Tier 2",$E277="Tier 2 Grove"),$F277="Remove",$H277="Tree Protection Code: Other removal allowance or exemption",$I277&lt;&gt;"",ISNA(MATCH($I277,Tables!$B$215:$B$218,0))),
Error!$B$17,
IF(AND(OR($E277="Tier 2",$E277="Tier 2 Grove"),$F277="Remove",$H277="Tree Protection Code: Development Capacity",$I277&lt;&gt;"",ISNA(MATCH($I277,Tables!$B$193:$B$197,0))),
Error!$B$17,
IF(AND(OR($E277="Tier 2",$E277="Tier 2 Grove"),$F277="Remove",$H277="Tree Protection Code: Necessary for Construction",$I277&lt;&gt;"",ISNA(MATCH($I277,Tables!$B$193:$B$197,0))),
Error!$B$17,
IF(AND($E277="Tier 1",$F277="Remove",$H277="Tree Protection Code: Special Exception",$I277&lt;&gt;"",ISNA(MATCH($I277,Tables!$B$215:$B$218,0))),
Error!$B$17,
IF(AND($E277="Tier 1",$F277="Remove",$H277="Tree Protection Code: Other removal allowance or exemption",$I277&lt;&gt;"",ISNA(MATCH($I277,Tables!$B$215:$B$218,0))),
Error!$B$17,
IF(AND($E277="ECA / Shoreline Tree",$F277="Remove",$H277&lt;&gt;"",OR($H277="Shoreline",$H277="Environmental Critical Area (ECA)"),ISNA(MATCH($I277,Tables!$B$209:$B$212,0))),
Error!$B$17,
IF(AND(_xlpm.baseRow,$F277="Retain",$E277="ECA / Shoreline Tree",_xlpm.ECA_Short=0),
Error!$B$61,
IF(AND($F277="Remove",ISNUMBER(MATCH($E277,{"Tier 1","Tier 2","Tier 3","Tier 4","Tier 2 Grove"},0)),ISNUMBER(MATCH($I277,{"On-site replacement","Off-site replacement"},0)),$J277="",$H277&lt;&gt;""),
Error!$B$19,
IF(AND(_xlpm.baseRow,$E277&lt;&gt;"",$D277&lt;&gt;"",$F277&lt;&gt;"",COUNTBLANK($B277:$C277)&gt;0,COUNTBLANK(_xlpm.HRange)&lt;&gt;4),
Error!$B$22,
IF(AND($H277="Zoning: Tree Points",$K277&lt;&gt;"",ISNA(MATCH($K277,Tables!$B$242:$B$253,0))),
Error!$B$58,
IF(AND($H277="Zoning: Tree Points",$K277="Small",$L277&lt;&gt;"",ISNA(MATCH($L277,Tables!$C$243:$C$244,0))),
Error!$B$59,
IF(AND($H277="Zoning: Tree Points",$K277="Small/Medium",$L277&lt;&gt;"",ISNA(MATCH($L277,Tables!$C$246:$C$247,0))),
Error!$B$59,
IF(AND($H277="Zoning: Tree Points",$K277="Medium/Large",$L277&lt;&gt;"",ISNA(MATCH($L277,Tables!$C$249:$C$250,0))),
Error!$B$59,
IF(AND($H277="Zoning: Tree Points",$K277="Large",$L277&lt;&gt;"",ISNA(MATCH($L277,Tables!$C$252:$C$253,0))),
Error!$B$59,
IF(AND($F277="Retain",$H277="Zoning: Tree Points",$C277&lt;&gt;"",$D277&lt;&gt;"",OR($K277="",$L277="",$M277="")),
Error!$B$20,
""
)))))))))))))))))))))))))))))))))))))))))))))))))))))))),
Error!$B$23))</f>
        <v/>
      </c>
      <c r="O277" s="343" t="str" cm="1">
        <f t="array" aca="1" ref="O277" ca="1">IFERROR(_xlfn.LET(
    _xlpm.txt, $C277,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78" spans="1:15" ht="15" thickBot="1" x14ac:dyDescent="0.35">
      <c r="A278" s="331"/>
      <c r="B278" s="616" t="str">
        <f t="shared" si="290"/>
        <v/>
      </c>
      <c r="C278" s="617" t="str">
        <f t="shared" si="291"/>
        <v/>
      </c>
      <c r="D278" s="618" t="str">
        <f t="shared" si="292"/>
        <v/>
      </c>
      <c r="E278" s="616" t="str">
        <f t="shared" si="293"/>
        <v/>
      </c>
      <c r="F278" s="616" t="str">
        <f t="shared" si="294"/>
        <v/>
      </c>
      <c r="G278" s="619" t="str">
        <f>IF(Tree_Table1[[#This Row],[Tree Status  &amp;]]="Retain", Tables!$B$237, IF(Tree_Table1[[#This Row],[Tree Status  &amp;]]="Remove", Tables!$B$238, ""))</f>
        <v/>
      </c>
      <c r="H278" s="329"/>
      <c r="I278" s="330"/>
      <c r="J278" s="455"/>
      <c r="K278" s="327" t="str">
        <f>IFERROR(
    IF(
        AND($H278="Zoning: Tree Points", NOT(ISNUMBER(SEARCH("sp.", $C278)))),
        VLOOKUP($C278, 'Tree List'!$C$3:$F$601, 4, FALSE),
        ""
    ),
"")</f>
        <v/>
      </c>
      <c r="L278" s="328" t="str" cm="1">
        <f t="array" ref="L278">IFERROR(
IF(
    AND($H278="Zoning: Tree Points", NOT(ISNUMBER(SEARCH("sp.", $C278)))),
    _xlfn.IFS(
        (COUNTIFS('Tree List'!$C$3:$C$601,$C278,'Tree List'!$D$3:$D$601,"Coniferous")
        + COUNTIFS('Tree List'!$C$3:$C$601,$C278,'Tree List'!$D$3:$D$601,"Deciduous Conifer")) &gt; 0,
            _xlfn.IFS($K278="Small",0.5,$K278="Small/Medium",1,$K278="Medium/Large",1.4,$K278="Large",1.8),
        (COUNTIFS('Tree List'!$C$3:$C$601,$C278,'Tree List'!$D$3:$D$601,"Deciduous")
        + COUNTIFS('Tree List'!$C$3:$C$601,$C278,'Tree List'!$D$3:$D$601,"Broadleaf Evergreen")) &gt; 0,
            _xlfn.IFS($K278="Small",0.4,$K278="Small/Medium",0.8,$K278="Medium/Large",1.2,$K278="Large",1.6)
    ),
    ""
),
"")</f>
        <v/>
      </c>
      <c r="M278" s="476" t="str">
        <f t="shared" si="249"/>
        <v/>
      </c>
      <c r="N278" s="347" t="str" cm="1">
        <f t="array" aca="1" ref="N27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IF(AND(_xlpm.baseRow,ISNA(MATCH($C278,'Tree List'!$C$3:$C$601,0)),SUMPRODUCT(--ISNUMBER(SEARCH(Tables2!$C$677:$C$772,$O278)))&gt;0),
Error!$B$57,
IF(AND(_xlpm.hasDM,$F278="Remove",$H278&lt;&gt;"",OR($I278="On-site replacement",$I278="Off-site replacement",$I278="Payment In Lieu")),
Error!$B$56,
IF(AND(_xlpm.hasDM,$F278="Remove",$H278&lt;&gt;"",$I278="Relocation"),
Error!$B$66,
IF(AND(OR(_xlpm.hasCN,_xlpm.hasPH,_xlpm.hasGR),$H278&lt;&gt;"",COUNTIF(Tables!$B$132:$B$134,$H278)&gt;0,$I278="N/A (No replacement required)"),
Error!$B$62,
IF(AND(_xlpm.baseRow,$E278&lt;&gt;"",ISNA(MATCH($E278,Tables!$B$225:$B$232,0))),
Error!$B$2,
IF(AND(_xlpm.baseRow,$F278&lt;&gt;"",ISNA(MATCH($F278,Tables!$B$234:$B$235,0))),
Error!$B$24,
IF(AND(_xlpm.baseRow,_xlpm.ECA_H&gt;0,_xlpm.Shore_H&gt;0),
Error!$B$16,
IF(AND(_xlpm.baseRow,$E278&lt;&gt;"",$D278=""),
Error!$B$3,
IF(AND(_xlpm.baseRow,OR($E278="Tier 3",$E278="Tier 4"),$C278&lt;&gt;"",$D278&gt;=24,COUNTIF(Tables2!$B$166:$B$674,$C278)&gt;0),
Error!$B$44,
IF(AND(_xlpm.baseRow,OR($E278="Tier 3",$E278="Tier 4"),$C278&lt;&gt;"",$D278&lt;&gt;"",COUNTIF(Tables2!$B$73:$B$152,$C278)&gt;0,
$D278&gt;=IFERROR(INDEX(Tables2!$C$73:$C$152,MATCH($C278,Tables2!$B$73:$B$152,0)),-1)),
Error!$B$44,
IF(AND(_xlpm.baseRow,OR($E278="Tier 2",$E278="Tier 2 Grove"),$C278&lt;&gt;"",$D278&gt;=12,COUNTIF(Tables2!$B$153:$B$162,$C278)&gt;0),
Error!$B$45,
IF(AND(_xlpm.baseRow,$E278="Tier 2 Grove",$D278&lt;12),
Error!$B$41,
IF(AND(_xlpm.baseRow,$E278="Tier 2",$D278&lt;5.88),
Error!$B$40,
IF(AND(_xlpm.baseRow,OR($E278="Tier 2",$E278="Tier 2 Grove"),$C278&lt;&gt;"",$D278&lt;12,$D278&gt;=6,COUNTIF(Tables2!$B$153:$B$162,$C278)&gt;0),
Error!$B$54,
IF(AND(_xlpm.baseRow,$E278="Tier 2",COUNTIF(Tables2!$B$166:$B$674,$C278)&gt;0,$D278&lt;24),
Error!$B$54,
IF(AND(_xlpm.baseRow,$E278="Tier 3",ISNA(MATCH($C278,Tables2!$B$153:$B$162,0)),OR($D278&lt;12,$D278&gt;=24)),
Error!$B$9,
IF(AND(_xlpm.baseRow,$E278="Tier 3",COUNTIF(Tables2!$B$153:$B$162,$C278)&gt;0,$D278&lt;12),
Error!$B$46,
IF(AND(_xlpm.baseRow,$E278="Tier 4",OR($D278&lt;6,$D278&gt;=12)),
Error!$B$10,
IF(AND(_xlpm.baseRow,$E278="&lt;6in DSH for Tree Points",OR($D278&gt;=6,$D278="")),
Error!$B$8,
IF(AND(_xlpm.baseRow,$E278="Street Tree for Green Factor",$F278&lt;&gt;"",$F278&lt;&gt;"Retain"),
Error!$B$14,
IF(AND($E278="&lt;6in DSH for Tree Points",$F278="Retain",$H278&lt;&gt;"",ISNA(MATCH($H278,Tables!$B$174:$B$174,0))),
Error!$B$15,
IF(AND($E278="Street Tree for Green Factor",$F278="Retain",$H278&lt;&gt;"",$H278&lt;&gt;"Zoning: Green Factor"),
Error!$B$15,
IF(AND($E278="ECA / Shoreline Tree",$F278="Remove",$H278&lt;&gt;"",ISNA(MATCH($H278,Tables!$B$189:$B$190,0))),
Error!$B$15,
IF(AND($E278="ECA / Shoreline Tree",$F278="Retain",$H278&lt;&gt;"",ISNA(MATCH($H278,Tables!$B$184:$B$186,0))),
Error!$B$15,
IF(AND($E278="Tier 4",$F278="Remove",$H278&lt;&gt;"",ISNA(MATCH($H278,Tables!$B$171,0))),
Error!$B$15,
IF(AND($E278="Tier 4",$F278="Retain",$H278&lt;&gt;"",ISNA(MATCH($H278,Tables!$B$166:$B$168,0))),
Error!$B$15,
IF(AND($E278="Tier 3",$F278="Retain",$H278&lt;&gt;"",ISNA(MATCH($H278,Tables!$B$158:$B$160,0))),
Error!$B$15,
IF(AND($E278="Tier 3",$F278="Remove",$H278&lt;&gt;"",ISNA(MATCH($H278,Tables!$B$163,0))),
Error!$B$15,
IF(AND(OR($E278="Tier 2",$E278="Tier 2 Grove"),$F278="Remove",$H278&lt;&gt;"",ISNA(MATCH($H278,Tables!$B$153:$B$155,0))),
Error!$B$15,
IF(AND(OR($E278="Tier 2",$E278="Tier 2 Grove"),$F278="Retain",$H278&lt;&gt;"",ISNA(MATCH($H278,Tables!$B$147:$B$150,0))),
Error!$B$15,
IF(AND($E278="Tier 1",$F278="Remove",$H278&lt;&gt;"",ISNA(MATCH($H278,Tables!$B$143:$B$144,0))),
Error!$B$15,
IF(AND($E278="Tier 1",$F278="Retain",$H278&lt;&gt;"",ISNA(MATCH($H278,Tables!$B$137:$B$140,0))),
Error!$B$15,
IF(AND($E278&lt;&gt;"Tier 2",$E278&lt;&gt;"Tier 2 Grove",$E278&lt;&gt;"Tier 3",$E278&lt;&gt;"Tier 4",$H278="Zoning: Green Factor",OR($D278="",$D278&lt;6)),
Error!$B$11,
IF(AND(_xlpm.baseRow,$D278&lt;6,$E278="&lt;6in DSH for Tree Points",_xlpm.TreePoints_H=0),
Error!$B$21,
IF(AND(_xlpm.baseRow,$E278&lt;&gt;"",$D278&lt;&gt;"",$F278=""),
Error!$B$4,
IF(AND(_xlpm.baseRow,$F278="Remove",OR($E278="Tier 1",$E278="Tier 2",$E278="Tier 2 Grove"),COUNTBLANK(_xlpm.HRange)&lt;3,_xlpm.uniqueH&gt;=2),
Error!$B$48,
IF(AND(_xlpm.baseRow,$F278="Retain",OR($E278="Tier 1",$E278="Tier 2",$E278="Tier 2 Grove"),COUNTIF(_xlpm.HRange,"Tree Code: Required to Retain Tier 1-2 Tree")=0),
Error!$B$47,
IF(AND(_xlpm.baseRow,$E278&lt;&gt;"",$D278&lt;&gt;"",$F278&lt;&gt;"",COUNTBLANK(_xlpm.HRange)=4),
Error!$B$5,
IF(AND($F278="Remove",$H278&lt;&gt;"",$I278=""),
Error!$B$18,
IF(AND($E278="Tier 4",$F278="Remove",$H278="Tree Protection Code: Tier 3 or Tier 4 Allowance",$H278&lt;&gt;"",ISNA(MATCH($I278,Tables!$B$200,0))),
Error!$B$17,
IF(AND($E278="Tier 3",$F278="Remove",$H278&lt;&gt;"",$H278="Tree Protection Code: Tier 3 or Tier 4 Allowance",OR($I278="",ISNA(MATCH($I278,Tables!$B$193:$B$197,0)))),
Error!$B$17,
IF(AND(OR($E278="Tier 2",$E278="Tier 2 Grove"),$F278="Remove",$H278="Tree Protection Code: Other removal allowance or exemption",$I278&lt;&gt;"",ISNA(MATCH($I278,Tables!$B$215:$B$218,0))),
Error!$B$17,
IF(AND(OR($E278="Tier 2",$E278="Tier 2 Grove"),$F278="Remove",$H278="Tree Protection Code: Development Capacity",$I278&lt;&gt;"",ISNA(MATCH($I278,Tables!$B$193:$B$197,0))),
Error!$B$17,
IF(AND(OR($E278="Tier 2",$E278="Tier 2 Grove"),$F278="Remove",$H278="Tree Protection Code: Necessary for Construction",$I278&lt;&gt;"",ISNA(MATCH($I278,Tables!$B$193:$B$197,0))),
Error!$B$17,
IF(AND($E278="Tier 1",$F278="Remove",$H278="Tree Protection Code: Special Exception",$I278&lt;&gt;"",ISNA(MATCH($I278,Tables!$B$215:$B$218,0))),
Error!$B$17,
IF(AND($E278="Tier 1",$F278="Remove",$H278="Tree Protection Code: Other removal allowance or exemption",$I278&lt;&gt;"",ISNA(MATCH($I278,Tables!$B$215:$B$218,0))),
Error!$B$17,
IF(AND($E278="ECA / Shoreline Tree",$F278="Remove",$H278&lt;&gt;"",OR($H278="Shoreline",$H278="Environmental Critical Area (ECA)"),ISNA(MATCH($I278,Tables!$B$209:$B$212,0))),
Error!$B$17,
IF(AND(_xlpm.baseRow,$F278="Retain",$E278="ECA / Shoreline Tree",_xlpm.ECA_Short=0),
Error!$B$61,
IF(AND($F278="Remove",ISNUMBER(MATCH($E278,{"Tier 1","Tier 2","Tier 3","Tier 4","Tier 2 Grove"},0)),ISNUMBER(MATCH($I278,{"On-site replacement","Off-site replacement"},0)),$J278="",$H278&lt;&gt;""),
Error!$B$19,
IF(AND(_xlpm.baseRow,$E278&lt;&gt;"",$D278&lt;&gt;"",$F278&lt;&gt;"",COUNTBLANK($B278:$C278)&gt;0,COUNTBLANK(_xlpm.HRange)&lt;&gt;4),
Error!$B$22,
IF(AND($H278="Zoning: Tree Points",$K278&lt;&gt;"",ISNA(MATCH($K278,Tables!$B$242:$B$253,0))),
Error!$B$58,
IF(AND($H278="Zoning: Tree Points",$K278="Small",$L278&lt;&gt;"",ISNA(MATCH($L278,Tables!$C$243:$C$244,0))),
Error!$B$59,
IF(AND($H278="Zoning: Tree Points",$K278="Small/Medium",$L278&lt;&gt;"",ISNA(MATCH($L278,Tables!$C$246:$C$247,0))),
Error!$B$59,
IF(AND($H278="Zoning: Tree Points",$K278="Medium/Large",$L278&lt;&gt;"",ISNA(MATCH($L278,Tables!$C$249:$C$250,0))),
Error!$B$59,
IF(AND($H278="Zoning: Tree Points",$K278="Large",$L278&lt;&gt;"",ISNA(MATCH($L278,Tables!$C$252:$C$253,0))),
Error!$B$59,
IF(AND($F278="Retain",$H278="Zoning: Tree Points",$C278&lt;&gt;"",$D278&lt;&gt;"",OR($K278="",$L278="",$M278="")),
Error!$B$20,
""
)))))))))))))))))))))))))))))))))))))))))))))))))))))))),
Error!$B$23))</f>
        <v/>
      </c>
      <c r="O278" s="343" t="str" cm="1">
        <f t="array" aca="1" ref="O278" ca="1">IFERROR(_xlfn.LET(
    _xlpm.txt, $C278,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79" spans="1:15" ht="15" thickBot="1" x14ac:dyDescent="0.35">
      <c r="A279" s="311">
        <v>68</v>
      </c>
      <c r="B279" s="312"/>
      <c r="C279" s="313"/>
      <c r="D279" s="478"/>
      <c r="E279" s="314"/>
      <c r="F279" s="314"/>
      <c r="G279" s="315" t="str">
        <f>IF(Tree_Table1[[#This Row],[Tree Status  &amp;]]="Retain", Tables!$B$237, IF(Tree_Table1[[#This Row],[Tree Status  &amp;]]="Remove", Tables!$B$238, ""))</f>
        <v/>
      </c>
      <c r="H279" s="316"/>
      <c r="I279" s="317"/>
      <c r="J279" s="452"/>
      <c r="K279" s="318" t="str">
        <f>IFERROR(
    IF(
        AND($H279="Zoning: Tree Points", NOT(ISNUMBER(SEARCH("sp.", $C279)))),
        VLOOKUP($C279, 'Tree List'!$C$3:$F$601, 4, FALSE),
        ""
    ),
"")</f>
        <v/>
      </c>
      <c r="L279" s="319" t="str" cm="1">
        <f t="array" ref="L279">IFERROR(
IF(
    AND($H279="Zoning: Tree Points", NOT(ISNUMBER(SEARCH("sp.", $C279)))),
    _xlfn.IFS(
        (COUNTIFS('Tree List'!$C$3:$C$601,$C279,'Tree List'!$D$3:$D$601,"Coniferous")
        + COUNTIFS('Tree List'!$C$3:$C$601,$C279,'Tree List'!$D$3:$D$601,"Deciduous Conifer")) &gt; 0,
            _xlfn.IFS($K279="Small",0.5,$K279="Small/Medium",1,$K279="Medium/Large",1.4,$K279="Large",1.8),
        (COUNTIFS('Tree List'!$C$3:$C$601,$C279,'Tree List'!$D$3:$D$601,"Deciduous")
        + COUNTIFS('Tree List'!$C$3:$C$601,$C279,'Tree List'!$D$3:$D$601,"Broadleaf Evergreen")) &gt; 0,
            _xlfn.IFS($K279="Small",0.4,$K279="Small/Medium",0.8,$K279="Medium/Large",1.2,$K279="Large",1.6)
    ),
    ""
),
"")</f>
        <v/>
      </c>
      <c r="M279" s="474" t="str">
        <f t="shared" si="249"/>
        <v/>
      </c>
      <c r="N279" s="620" t="str" cm="1">
        <f t="array" aca="1" ref="N27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IF(AND(_xlpm.baseRow,ISNA(MATCH($C279,'Tree List'!$C$3:$C$601,0)),SUMPRODUCT(--ISNUMBER(SEARCH(Tables2!$C$677:$C$772,$O279)))&gt;0),
Error!$B$57,
IF(AND(_xlpm.hasDM,$F279="Remove",$H279&lt;&gt;"",OR($I279="On-site replacement",$I279="Off-site replacement",$I279="Payment In Lieu")),
Error!$B$56,
IF(AND(_xlpm.hasDM,$F279="Remove",$H279&lt;&gt;"",$I279="Relocation"),
Error!$B$66,
IF(AND(OR(_xlpm.hasCN,_xlpm.hasPH,_xlpm.hasGR),$H279&lt;&gt;"",COUNTIF(Tables!$B$132:$B$134,$H279)&gt;0,$I279="N/A (No replacement required)"),
Error!$B$62,
IF(AND(_xlpm.baseRow,$E279&lt;&gt;"",ISNA(MATCH($E279,Tables!$B$225:$B$232,0))),
Error!$B$2,
IF(AND(_xlpm.baseRow,$F279&lt;&gt;"",ISNA(MATCH($F279,Tables!$B$234:$B$235,0))),
Error!$B$24,
IF(AND(_xlpm.baseRow,_xlpm.ECA_H&gt;0,_xlpm.Shore_H&gt;0),
Error!$B$16,
IF(AND(_xlpm.baseRow,$E279&lt;&gt;"",$D279=""),
Error!$B$3,
IF(AND(_xlpm.baseRow,OR($E279="Tier 3",$E279="Tier 4"),$C279&lt;&gt;"",$D279&gt;=24,COUNTIF(Tables2!$B$166:$B$674,$C279)&gt;0),
Error!$B$44,
IF(AND(_xlpm.baseRow,OR($E279="Tier 3",$E279="Tier 4"),$C279&lt;&gt;"",$D279&lt;&gt;"",COUNTIF(Tables2!$B$73:$B$152,$C279)&gt;0,
$D279&gt;=IFERROR(INDEX(Tables2!$C$73:$C$152,MATCH($C279,Tables2!$B$73:$B$152,0)),-1)),
Error!$B$44,
IF(AND(_xlpm.baseRow,OR($E279="Tier 2",$E279="Tier 2 Grove"),$C279&lt;&gt;"",$D279&gt;=12,COUNTIF(Tables2!$B$153:$B$162,$C279)&gt;0),
Error!$B$45,
IF(AND(_xlpm.baseRow,$E279="Tier 2 Grove",$D279&lt;12),
Error!$B$41,
IF(AND(_xlpm.baseRow,$E279="Tier 2",$D279&lt;5.88),
Error!$B$40,
IF(AND(_xlpm.baseRow,OR($E279="Tier 2",$E279="Tier 2 Grove"),$C279&lt;&gt;"",$D279&lt;12,$D279&gt;=6,COUNTIF(Tables2!$B$153:$B$162,$C279)&gt;0),
Error!$B$54,
IF(AND(_xlpm.baseRow,$E279="Tier 2",COUNTIF(Tables2!$B$166:$B$674,$C279)&gt;0,$D279&lt;24),
Error!$B$54,
IF(AND(_xlpm.baseRow,$E279="Tier 3",ISNA(MATCH($C279,Tables2!$B$153:$B$162,0)),OR($D279&lt;12,$D279&gt;=24)),
Error!$B$9,
IF(AND(_xlpm.baseRow,$E279="Tier 3",COUNTIF(Tables2!$B$153:$B$162,$C279)&gt;0,$D279&lt;12),
Error!$B$46,
IF(AND(_xlpm.baseRow,$E279="Tier 4",OR($D279&lt;6,$D279&gt;=12)),
Error!$B$10,
IF(AND(_xlpm.baseRow,$E279="&lt;6in DSH for Tree Points",OR($D279&gt;=6,$D279="")),
Error!$B$8,
IF(AND(_xlpm.baseRow,$E279="Street Tree for Green Factor",$F279&lt;&gt;"",$F279&lt;&gt;"Retain"),
Error!$B$14,
IF(AND($E279="&lt;6in DSH for Tree Points",$F279="Retain",$H279&lt;&gt;"",ISNA(MATCH($H279,Tables!$B$174:$B$174,0))),
Error!$B$15,
IF(AND($E279="Street Tree for Green Factor",$F279="Retain",$H279&lt;&gt;"",$H279&lt;&gt;"Zoning: Green Factor"),
Error!$B$15,
IF(AND($E279="ECA / Shoreline Tree",$F279="Remove",$H279&lt;&gt;"",ISNA(MATCH($H279,Tables!$B$189:$B$190,0))),
Error!$B$15,
IF(AND($E279="ECA / Shoreline Tree",$F279="Retain",$H279&lt;&gt;"",ISNA(MATCH($H279,Tables!$B$184:$B$186,0))),
Error!$B$15,
IF(AND($E279="Tier 4",$F279="Remove",$H279&lt;&gt;"",ISNA(MATCH($H279,Tables!$B$171,0))),
Error!$B$15,
IF(AND($E279="Tier 4",$F279="Retain",$H279&lt;&gt;"",ISNA(MATCH($H279,Tables!$B$166:$B$168,0))),
Error!$B$15,
IF(AND($E279="Tier 3",$F279="Retain",$H279&lt;&gt;"",ISNA(MATCH($H279,Tables!$B$158:$B$160,0))),
Error!$B$15,
IF(AND($E279="Tier 3",$F279="Remove",$H279&lt;&gt;"",ISNA(MATCH($H279,Tables!$B$163,0))),
Error!$B$15,
IF(AND(OR($E279="Tier 2",$E279="Tier 2 Grove"),$F279="Remove",$H279&lt;&gt;"",ISNA(MATCH($H279,Tables!$B$153:$B$155,0))),
Error!$B$15,
IF(AND(OR($E279="Tier 2",$E279="Tier 2 Grove"),$F279="Retain",$H279&lt;&gt;"",ISNA(MATCH($H279,Tables!$B$147:$B$150,0))),
Error!$B$15,
IF(AND($E279="Tier 1",$F279="Remove",$H279&lt;&gt;"",ISNA(MATCH($H279,Tables!$B$143:$B$144,0))),
Error!$B$15,
IF(AND($E279="Tier 1",$F279="Retain",$H279&lt;&gt;"",ISNA(MATCH($H279,Tables!$B$137:$B$140,0))),
Error!$B$15,
IF(AND($E279&lt;&gt;"Tier 2",$E279&lt;&gt;"Tier 2 Grove",$E279&lt;&gt;"Tier 3",$E279&lt;&gt;"Tier 4",$H279="Zoning: Green Factor",OR($D279="",$D279&lt;6)),
Error!$B$11,
IF(AND(_xlpm.baseRow,$D279&lt;6,$E279="&lt;6in DSH for Tree Points",_xlpm.TreePoints_H=0),
Error!$B$21,
IF(AND(_xlpm.baseRow,$E279&lt;&gt;"",$D279&lt;&gt;"",$F279=""),
Error!$B$4,
IF(AND(_xlpm.baseRow,$F279="Remove",OR($E279="Tier 1",$E279="Tier 2",$E279="Tier 2 Grove"),COUNTBLANK(_xlpm.HRange)&lt;3,_xlpm.uniqueH&gt;=2),
Error!$B$48,
IF(AND(_xlpm.baseRow,$F279="Retain",OR($E279="Tier 1",$E279="Tier 2",$E279="Tier 2 Grove"),COUNTIF(_xlpm.HRange,"Tree Code: Required to Retain Tier 1-2 Tree")=0),
Error!$B$47,
IF(AND(_xlpm.baseRow,$E279&lt;&gt;"",$D279&lt;&gt;"",$F279&lt;&gt;"",COUNTBLANK(_xlpm.HRange)=4),
Error!$B$5,
IF(AND($F279="Remove",$H279&lt;&gt;"",$I279=""),
Error!$B$18,
IF(AND($E279="Tier 4",$F279="Remove",$H279="Tree Protection Code: Tier 3 or Tier 4 Allowance",$H279&lt;&gt;"",ISNA(MATCH($I279,Tables!$B$200,0))),
Error!$B$17,
IF(AND($E279="Tier 3",$F279="Remove",$H279&lt;&gt;"",$H279="Tree Protection Code: Tier 3 or Tier 4 Allowance",OR($I279="",ISNA(MATCH($I279,Tables!$B$193:$B$197,0)))),
Error!$B$17,
IF(AND(OR($E279="Tier 2",$E279="Tier 2 Grove"),$F279="Remove",$H279="Tree Protection Code: Other removal allowance or exemption",$I279&lt;&gt;"",ISNA(MATCH($I279,Tables!$B$215:$B$218,0))),
Error!$B$17,
IF(AND(OR($E279="Tier 2",$E279="Tier 2 Grove"),$F279="Remove",$H279="Tree Protection Code: Development Capacity",$I279&lt;&gt;"",ISNA(MATCH($I279,Tables!$B$193:$B$197,0))),
Error!$B$17,
IF(AND(OR($E279="Tier 2",$E279="Tier 2 Grove"),$F279="Remove",$H279="Tree Protection Code: Necessary for Construction",$I279&lt;&gt;"",ISNA(MATCH($I279,Tables!$B$193:$B$197,0))),
Error!$B$17,
IF(AND($E279="Tier 1",$F279="Remove",$H279="Tree Protection Code: Special Exception",$I279&lt;&gt;"",ISNA(MATCH($I279,Tables!$B$215:$B$218,0))),
Error!$B$17,
IF(AND($E279="Tier 1",$F279="Remove",$H279="Tree Protection Code: Other removal allowance or exemption",$I279&lt;&gt;"",ISNA(MATCH($I279,Tables!$B$215:$B$218,0))),
Error!$B$17,
IF(AND($E279="ECA / Shoreline Tree",$F279="Remove",$H279&lt;&gt;"",OR($H279="Shoreline",$H279="Environmental Critical Area (ECA)"),ISNA(MATCH($I279,Tables!$B$209:$B$212,0))),
Error!$B$17,
IF(AND(_xlpm.baseRow,$F279="Retain",$E279="ECA / Shoreline Tree",_xlpm.ECA_Short=0),
Error!$B$61,
IF(AND($F279="Remove",ISNUMBER(MATCH($E279,{"Tier 1","Tier 2","Tier 3","Tier 4","Tier 2 Grove"},0)),ISNUMBER(MATCH($I279,{"On-site replacement","Off-site replacement"},0)),$J279="",$H279&lt;&gt;""),
Error!$B$19,
IF(AND(_xlpm.baseRow,$E279&lt;&gt;"",$D279&lt;&gt;"",$F279&lt;&gt;"",COUNTBLANK($B279:$C279)&gt;0,COUNTBLANK(_xlpm.HRange)&lt;&gt;4),
Error!$B$22,
IF(AND($H279="Zoning: Tree Points",$K279&lt;&gt;"",ISNA(MATCH($K279,Tables!$B$242:$B$253,0))),
Error!$B$58,
IF(AND($H279="Zoning: Tree Points",$K279="Small",$L279&lt;&gt;"",ISNA(MATCH($L279,Tables!$C$243:$C$244,0))),
Error!$B$59,
IF(AND($H279="Zoning: Tree Points",$K279="Small/Medium",$L279&lt;&gt;"",ISNA(MATCH($L279,Tables!$C$246:$C$247,0))),
Error!$B$59,
IF(AND($H279="Zoning: Tree Points",$K279="Medium/Large",$L279&lt;&gt;"",ISNA(MATCH($L279,Tables!$C$249:$C$250,0))),
Error!$B$59,
IF(AND($H279="Zoning: Tree Points",$K279="Large",$L279&lt;&gt;"",ISNA(MATCH($L279,Tables!$C$252:$C$253,0))),
Error!$B$59,
IF(AND($F279="Retain",$H279="Zoning: Tree Points",$C279&lt;&gt;"",$D279&lt;&gt;"",OR($K279="",$L279="",$M279="")),
Error!$B$20,
""
)))))))))))))))))))))))))))))))))))))))))))))))))))))))),
Error!$B$23))</f>
        <v/>
      </c>
      <c r="O279" s="343" t="str" cm="1">
        <f t="array" aca="1" ref="O279" ca="1">IFERROR(_xlfn.LET(
    _xlpm.txt, $C279,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80" spans="1:15" x14ac:dyDescent="0.3">
      <c r="A280" s="320"/>
      <c r="B280" s="616" t="str">
        <f t="shared" ref="B280:B282" si="295">IF($B279="", "", $B279)</f>
        <v/>
      </c>
      <c r="C280" s="617" t="str">
        <f t="shared" ref="C280:C282" si="296">IF($C279="", "", $C279)</f>
        <v/>
      </c>
      <c r="D280" s="618" t="str">
        <f t="shared" ref="D280:D282" si="297">IF($D279="", "", $D279)</f>
        <v/>
      </c>
      <c r="E280" s="616" t="str">
        <f t="shared" ref="E280:E282" si="298">IF($E279="", "", $E279)</f>
        <v/>
      </c>
      <c r="F280" s="616" t="str">
        <f t="shared" ref="F280:F282" si="299">IF($F279="", "", $F279)</f>
        <v/>
      </c>
      <c r="G280" s="619" t="str">
        <f>IF(Tree_Table1[[#This Row],[Tree Status  &amp;]]="Retain", Tables!$B$237, IF(Tree_Table1[[#This Row],[Tree Status  &amp;]]="Remove", Tables!$B$238, ""))</f>
        <v/>
      </c>
      <c r="H280" s="321"/>
      <c r="I280" s="322"/>
      <c r="J280" s="453"/>
      <c r="K280" s="323" t="str">
        <f>IFERROR(
    IF(
        AND($H280="Zoning: Tree Points", NOT(ISNUMBER(SEARCH("sp.", $C280)))),
        VLOOKUP($C280, 'Tree List'!$C$3:$F$601, 4, FALSE),
        ""
    ),
"")</f>
        <v/>
      </c>
      <c r="L280" s="324" t="str" cm="1">
        <f t="array" ref="L280">IFERROR(
IF(
    AND($H280="Zoning: Tree Points", NOT(ISNUMBER(SEARCH("sp.", $C280)))),
    _xlfn.IFS(
        (COUNTIFS('Tree List'!$C$3:$C$601,$C280,'Tree List'!$D$3:$D$601,"Coniferous")
        + COUNTIFS('Tree List'!$C$3:$C$601,$C280,'Tree List'!$D$3:$D$601,"Deciduous Conifer")) &gt; 0,
            _xlfn.IFS($K280="Small",0.5,$K280="Small/Medium",1,$K280="Medium/Large",1.4,$K280="Large",1.8),
        (COUNTIFS('Tree List'!$C$3:$C$601,$C280,'Tree List'!$D$3:$D$601,"Deciduous")
        + COUNTIFS('Tree List'!$C$3:$C$601,$C280,'Tree List'!$D$3:$D$601,"Broadleaf Evergreen")) &gt; 0,
            _xlfn.IFS($K280="Small",0.4,$K280="Small/Medium",0.8,$K280="Medium/Large",1.2,$K280="Large",1.6)
    ),
    ""
),
"")</f>
        <v/>
      </c>
      <c r="M280" s="475" t="str">
        <f t="shared" si="249"/>
        <v/>
      </c>
      <c r="N280" s="346" t="str" cm="1">
        <f t="array" aca="1" ref="N28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IF(AND(_xlpm.baseRow,ISNA(MATCH($C280,'Tree List'!$C$3:$C$601,0)),SUMPRODUCT(--ISNUMBER(SEARCH(Tables2!$C$677:$C$772,$O280)))&gt;0),
Error!$B$57,
IF(AND(_xlpm.hasDM,$F280="Remove",$H280&lt;&gt;"",OR($I280="On-site replacement",$I280="Off-site replacement",$I280="Payment In Lieu")),
Error!$B$56,
IF(AND(_xlpm.hasDM,$F280="Remove",$H280&lt;&gt;"",$I280="Relocation"),
Error!$B$66,
IF(AND(OR(_xlpm.hasCN,_xlpm.hasPH,_xlpm.hasGR),$H280&lt;&gt;"",COUNTIF(Tables!$B$132:$B$134,$H280)&gt;0,$I280="N/A (No replacement required)"),
Error!$B$62,
IF(AND(_xlpm.baseRow,$E280&lt;&gt;"",ISNA(MATCH($E280,Tables!$B$225:$B$232,0))),
Error!$B$2,
IF(AND(_xlpm.baseRow,$F280&lt;&gt;"",ISNA(MATCH($F280,Tables!$B$234:$B$235,0))),
Error!$B$24,
IF(AND(_xlpm.baseRow,_xlpm.ECA_H&gt;0,_xlpm.Shore_H&gt;0),
Error!$B$16,
IF(AND(_xlpm.baseRow,$E280&lt;&gt;"",$D280=""),
Error!$B$3,
IF(AND(_xlpm.baseRow,OR($E280="Tier 3",$E280="Tier 4"),$C280&lt;&gt;"",$D280&gt;=24,COUNTIF(Tables2!$B$166:$B$674,$C280)&gt;0),
Error!$B$44,
IF(AND(_xlpm.baseRow,OR($E280="Tier 3",$E280="Tier 4"),$C280&lt;&gt;"",$D280&lt;&gt;"",COUNTIF(Tables2!$B$73:$B$152,$C280)&gt;0,
$D280&gt;=IFERROR(INDEX(Tables2!$C$73:$C$152,MATCH($C280,Tables2!$B$73:$B$152,0)),-1)),
Error!$B$44,
IF(AND(_xlpm.baseRow,OR($E280="Tier 2",$E280="Tier 2 Grove"),$C280&lt;&gt;"",$D280&gt;=12,COUNTIF(Tables2!$B$153:$B$162,$C280)&gt;0),
Error!$B$45,
IF(AND(_xlpm.baseRow,$E280="Tier 2 Grove",$D280&lt;12),
Error!$B$41,
IF(AND(_xlpm.baseRow,$E280="Tier 2",$D280&lt;5.88),
Error!$B$40,
IF(AND(_xlpm.baseRow,OR($E280="Tier 2",$E280="Tier 2 Grove"),$C280&lt;&gt;"",$D280&lt;12,$D280&gt;=6,COUNTIF(Tables2!$B$153:$B$162,$C280)&gt;0),
Error!$B$54,
IF(AND(_xlpm.baseRow,$E280="Tier 2",COUNTIF(Tables2!$B$166:$B$674,$C280)&gt;0,$D280&lt;24),
Error!$B$54,
IF(AND(_xlpm.baseRow,$E280="Tier 3",ISNA(MATCH($C280,Tables2!$B$153:$B$162,0)),OR($D280&lt;12,$D280&gt;=24)),
Error!$B$9,
IF(AND(_xlpm.baseRow,$E280="Tier 3",COUNTIF(Tables2!$B$153:$B$162,$C280)&gt;0,$D280&lt;12),
Error!$B$46,
IF(AND(_xlpm.baseRow,$E280="Tier 4",OR($D280&lt;6,$D280&gt;=12)),
Error!$B$10,
IF(AND(_xlpm.baseRow,$E280="&lt;6in DSH for Tree Points",OR($D280&gt;=6,$D280="")),
Error!$B$8,
IF(AND(_xlpm.baseRow,$E280="Street Tree for Green Factor",$F280&lt;&gt;"",$F280&lt;&gt;"Retain"),
Error!$B$14,
IF(AND($E280="&lt;6in DSH for Tree Points",$F280="Retain",$H280&lt;&gt;"",ISNA(MATCH($H280,Tables!$B$174:$B$174,0))),
Error!$B$15,
IF(AND($E280="Street Tree for Green Factor",$F280="Retain",$H280&lt;&gt;"",$H280&lt;&gt;"Zoning: Green Factor"),
Error!$B$15,
IF(AND($E280="ECA / Shoreline Tree",$F280="Remove",$H280&lt;&gt;"",ISNA(MATCH($H280,Tables!$B$189:$B$190,0))),
Error!$B$15,
IF(AND($E280="ECA / Shoreline Tree",$F280="Retain",$H280&lt;&gt;"",ISNA(MATCH($H280,Tables!$B$184:$B$186,0))),
Error!$B$15,
IF(AND($E280="Tier 4",$F280="Remove",$H280&lt;&gt;"",ISNA(MATCH($H280,Tables!$B$171,0))),
Error!$B$15,
IF(AND($E280="Tier 4",$F280="Retain",$H280&lt;&gt;"",ISNA(MATCH($H280,Tables!$B$166:$B$168,0))),
Error!$B$15,
IF(AND($E280="Tier 3",$F280="Retain",$H280&lt;&gt;"",ISNA(MATCH($H280,Tables!$B$158:$B$160,0))),
Error!$B$15,
IF(AND($E280="Tier 3",$F280="Remove",$H280&lt;&gt;"",ISNA(MATCH($H280,Tables!$B$163,0))),
Error!$B$15,
IF(AND(OR($E280="Tier 2",$E280="Tier 2 Grove"),$F280="Remove",$H280&lt;&gt;"",ISNA(MATCH($H280,Tables!$B$153:$B$155,0))),
Error!$B$15,
IF(AND(OR($E280="Tier 2",$E280="Tier 2 Grove"),$F280="Retain",$H280&lt;&gt;"",ISNA(MATCH($H280,Tables!$B$147:$B$150,0))),
Error!$B$15,
IF(AND($E280="Tier 1",$F280="Remove",$H280&lt;&gt;"",ISNA(MATCH($H280,Tables!$B$143:$B$144,0))),
Error!$B$15,
IF(AND($E280="Tier 1",$F280="Retain",$H280&lt;&gt;"",ISNA(MATCH($H280,Tables!$B$137:$B$140,0))),
Error!$B$15,
IF(AND($E280&lt;&gt;"Tier 2",$E280&lt;&gt;"Tier 2 Grove",$E280&lt;&gt;"Tier 3",$E280&lt;&gt;"Tier 4",$H280="Zoning: Green Factor",OR($D280="",$D280&lt;6)),
Error!$B$11,
IF(AND(_xlpm.baseRow,$D280&lt;6,$E280="&lt;6in DSH for Tree Points",_xlpm.TreePoints_H=0),
Error!$B$21,
IF(AND(_xlpm.baseRow,$E280&lt;&gt;"",$D280&lt;&gt;"",$F280=""),
Error!$B$4,
IF(AND(_xlpm.baseRow,$F280="Remove",OR($E280="Tier 1",$E280="Tier 2",$E280="Tier 2 Grove"),COUNTBLANK(_xlpm.HRange)&lt;3,_xlpm.uniqueH&gt;=2),
Error!$B$48,
IF(AND(_xlpm.baseRow,$F280="Retain",OR($E280="Tier 1",$E280="Tier 2",$E280="Tier 2 Grove"),COUNTIF(_xlpm.HRange,"Tree Code: Required to Retain Tier 1-2 Tree")=0),
Error!$B$47,
IF(AND(_xlpm.baseRow,$E280&lt;&gt;"",$D280&lt;&gt;"",$F280&lt;&gt;"",COUNTBLANK(_xlpm.HRange)=4),
Error!$B$5,
IF(AND($F280="Remove",$H280&lt;&gt;"",$I280=""),
Error!$B$18,
IF(AND($E280="Tier 4",$F280="Remove",$H280="Tree Protection Code: Tier 3 or Tier 4 Allowance",$H280&lt;&gt;"",ISNA(MATCH($I280,Tables!$B$200,0))),
Error!$B$17,
IF(AND($E280="Tier 3",$F280="Remove",$H280&lt;&gt;"",$H280="Tree Protection Code: Tier 3 or Tier 4 Allowance",OR($I280="",ISNA(MATCH($I280,Tables!$B$193:$B$197,0)))),
Error!$B$17,
IF(AND(OR($E280="Tier 2",$E280="Tier 2 Grove"),$F280="Remove",$H280="Tree Protection Code: Other removal allowance or exemption",$I280&lt;&gt;"",ISNA(MATCH($I280,Tables!$B$215:$B$218,0))),
Error!$B$17,
IF(AND(OR($E280="Tier 2",$E280="Tier 2 Grove"),$F280="Remove",$H280="Tree Protection Code: Development Capacity",$I280&lt;&gt;"",ISNA(MATCH($I280,Tables!$B$193:$B$197,0))),
Error!$B$17,
IF(AND(OR($E280="Tier 2",$E280="Tier 2 Grove"),$F280="Remove",$H280="Tree Protection Code: Necessary for Construction",$I280&lt;&gt;"",ISNA(MATCH($I280,Tables!$B$193:$B$197,0))),
Error!$B$17,
IF(AND($E280="Tier 1",$F280="Remove",$H280="Tree Protection Code: Special Exception",$I280&lt;&gt;"",ISNA(MATCH($I280,Tables!$B$215:$B$218,0))),
Error!$B$17,
IF(AND($E280="Tier 1",$F280="Remove",$H280="Tree Protection Code: Other removal allowance or exemption",$I280&lt;&gt;"",ISNA(MATCH($I280,Tables!$B$215:$B$218,0))),
Error!$B$17,
IF(AND($E280="ECA / Shoreline Tree",$F280="Remove",$H280&lt;&gt;"",OR($H280="Shoreline",$H280="Environmental Critical Area (ECA)"),ISNA(MATCH($I280,Tables!$B$209:$B$212,0))),
Error!$B$17,
IF(AND(_xlpm.baseRow,$F280="Retain",$E280="ECA / Shoreline Tree",_xlpm.ECA_Short=0),
Error!$B$61,
IF(AND($F280="Remove",ISNUMBER(MATCH($E280,{"Tier 1","Tier 2","Tier 3","Tier 4","Tier 2 Grove"},0)),ISNUMBER(MATCH($I280,{"On-site replacement","Off-site replacement"},0)),$J280="",$H280&lt;&gt;""),
Error!$B$19,
IF(AND(_xlpm.baseRow,$E280&lt;&gt;"",$D280&lt;&gt;"",$F280&lt;&gt;"",COUNTBLANK($B280:$C280)&gt;0,COUNTBLANK(_xlpm.HRange)&lt;&gt;4),
Error!$B$22,
IF(AND($H280="Zoning: Tree Points",$K280&lt;&gt;"",ISNA(MATCH($K280,Tables!$B$242:$B$253,0))),
Error!$B$58,
IF(AND($H280="Zoning: Tree Points",$K280="Small",$L280&lt;&gt;"",ISNA(MATCH($L280,Tables!$C$243:$C$244,0))),
Error!$B$59,
IF(AND($H280="Zoning: Tree Points",$K280="Small/Medium",$L280&lt;&gt;"",ISNA(MATCH($L280,Tables!$C$246:$C$247,0))),
Error!$B$59,
IF(AND($H280="Zoning: Tree Points",$K280="Medium/Large",$L280&lt;&gt;"",ISNA(MATCH($L280,Tables!$C$249:$C$250,0))),
Error!$B$59,
IF(AND($H280="Zoning: Tree Points",$K280="Large",$L280&lt;&gt;"",ISNA(MATCH($L280,Tables!$C$252:$C$253,0))),
Error!$B$59,
IF(AND($F280="Retain",$H280="Zoning: Tree Points",$C280&lt;&gt;"",$D280&lt;&gt;"",OR($K280="",$L280="",$M280="")),
Error!$B$20,
""
)))))))))))))))))))))))))))))))))))))))))))))))))))))))),
Error!$B$23))</f>
        <v/>
      </c>
      <c r="O280" s="343" t="str" cm="1">
        <f t="array" aca="1" ref="O280" ca="1">IFERROR(_xlfn.LET(
    _xlpm.txt, $C280,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81" spans="1:15" x14ac:dyDescent="0.3">
      <c r="A281" s="320"/>
      <c r="B281" s="616" t="str">
        <f t="shared" si="295"/>
        <v/>
      </c>
      <c r="C281" s="617" t="str">
        <f t="shared" si="296"/>
        <v/>
      </c>
      <c r="D281" s="618" t="str">
        <f t="shared" si="297"/>
        <v/>
      </c>
      <c r="E281" s="616" t="str">
        <f t="shared" si="298"/>
        <v/>
      </c>
      <c r="F281" s="616" t="str">
        <f t="shared" si="299"/>
        <v/>
      </c>
      <c r="G281" s="619" t="str">
        <f>IF(Tree_Table1[[#This Row],[Tree Status  &amp;]]="Retain", Tables!$B$237, IF(Tree_Table1[[#This Row],[Tree Status  &amp;]]="Remove", Tables!$B$238, ""))</f>
        <v/>
      </c>
      <c r="H281" s="321"/>
      <c r="I281" s="322"/>
      <c r="J281" s="453"/>
      <c r="K281" s="323" t="str">
        <f>IFERROR(
    IF(
        AND($H281="Zoning: Tree Points", NOT(ISNUMBER(SEARCH("sp.", $C281)))),
        VLOOKUP($C281, 'Tree List'!$C$3:$F$601, 4, FALSE),
        ""
    ),
"")</f>
        <v/>
      </c>
      <c r="L281" s="324" t="str" cm="1">
        <f t="array" ref="L281">IFERROR(
IF(
    AND($H281="Zoning: Tree Points", NOT(ISNUMBER(SEARCH("sp.", $C281)))),
    _xlfn.IFS(
        (COUNTIFS('Tree List'!$C$3:$C$601,$C281,'Tree List'!$D$3:$D$601,"Coniferous")
        + COUNTIFS('Tree List'!$C$3:$C$601,$C281,'Tree List'!$D$3:$D$601,"Deciduous Conifer")) &gt; 0,
            _xlfn.IFS($K281="Small",0.5,$K281="Small/Medium",1,$K281="Medium/Large",1.4,$K281="Large",1.8),
        (COUNTIFS('Tree List'!$C$3:$C$601,$C281,'Tree List'!$D$3:$D$601,"Deciduous")
        + COUNTIFS('Tree List'!$C$3:$C$601,$C281,'Tree List'!$D$3:$D$601,"Broadleaf Evergreen")) &gt; 0,
            _xlfn.IFS($K281="Small",0.4,$K281="Small/Medium",0.8,$K281="Medium/Large",1.2,$K281="Large",1.6)
    ),
    ""
),
"")</f>
        <v/>
      </c>
      <c r="M281" s="475" t="str">
        <f t="shared" si="249"/>
        <v/>
      </c>
      <c r="N281" s="346" t="str" cm="1">
        <f t="array" aca="1" ref="N28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IF(AND(_xlpm.baseRow,ISNA(MATCH($C281,'Tree List'!$C$3:$C$601,0)),SUMPRODUCT(--ISNUMBER(SEARCH(Tables2!$C$677:$C$772,$O281)))&gt;0),
Error!$B$57,
IF(AND(_xlpm.hasDM,$F281="Remove",$H281&lt;&gt;"",OR($I281="On-site replacement",$I281="Off-site replacement",$I281="Payment In Lieu")),
Error!$B$56,
IF(AND(_xlpm.hasDM,$F281="Remove",$H281&lt;&gt;"",$I281="Relocation"),
Error!$B$66,
IF(AND(OR(_xlpm.hasCN,_xlpm.hasPH,_xlpm.hasGR),$H281&lt;&gt;"",COUNTIF(Tables!$B$132:$B$134,$H281)&gt;0,$I281="N/A (No replacement required)"),
Error!$B$62,
IF(AND(_xlpm.baseRow,$E281&lt;&gt;"",ISNA(MATCH($E281,Tables!$B$225:$B$232,0))),
Error!$B$2,
IF(AND(_xlpm.baseRow,$F281&lt;&gt;"",ISNA(MATCH($F281,Tables!$B$234:$B$235,0))),
Error!$B$24,
IF(AND(_xlpm.baseRow,_xlpm.ECA_H&gt;0,_xlpm.Shore_H&gt;0),
Error!$B$16,
IF(AND(_xlpm.baseRow,$E281&lt;&gt;"",$D281=""),
Error!$B$3,
IF(AND(_xlpm.baseRow,OR($E281="Tier 3",$E281="Tier 4"),$C281&lt;&gt;"",$D281&gt;=24,COUNTIF(Tables2!$B$166:$B$674,$C281)&gt;0),
Error!$B$44,
IF(AND(_xlpm.baseRow,OR($E281="Tier 3",$E281="Tier 4"),$C281&lt;&gt;"",$D281&lt;&gt;"",COUNTIF(Tables2!$B$73:$B$152,$C281)&gt;0,
$D281&gt;=IFERROR(INDEX(Tables2!$C$73:$C$152,MATCH($C281,Tables2!$B$73:$B$152,0)),-1)),
Error!$B$44,
IF(AND(_xlpm.baseRow,OR($E281="Tier 2",$E281="Tier 2 Grove"),$C281&lt;&gt;"",$D281&gt;=12,COUNTIF(Tables2!$B$153:$B$162,$C281)&gt;0),
Error!$B$45,
IF(AND(_xlpm.baseRow,$E281="Tier 2 Grove",$D281&lt;12),
Error!$B$41,
IF(AND(_xlpm.baseRow,$E281="Tier 2",$D281&lt;5.88),
Error!$B$40,
IF(AND(_xlpm.baseRow,OR($E281="Tier 2",$E281="Tier 2 Grove"),$C281&lt;&gt;"",$D281&lt;12,$D281&gt;=6,COUNTIF(Tables2!$B$153:$B$162,$C281)&gt;0),
Error!$B$54,
IF(AND(_xlpm.baseRow,$E281="Tier 2",COUNTIF(Tables2!$B$166:$B$674,$C281)&gt;0,$D281&lt;24),
Error!$B$54,
IF(AND(_xlpm.baseRow,$E281="Tier 3",ISNA(MATCH($C281,Tables2!$B$153:$B$162,0)),OR($D281&lt;12,$D281&gt;=24)),
Error!$B$9,
IF(AND(_xlpm.baseRow,$E281="Tier 3",COUNTIF(Tables2!$B$153:$B$162,$C281)&gt;0,$D281&lt;12),
Error!$B$46,
IF(AND(_xlpm.baseRow,$E281="Tier 4",OR($D281&lt;6,$D281&gt;=12)),
Error!$B$10,
IF(AND(_xlpm.baseRow,$E281="&lt;6in DSH for Tree Points",OR($D281&gt;=6,$D281="")),
Error!$B$8,
IF(AND(_xlpm.baseRow,$E281="Street Tree for Green Factor",$F281&lt;&gt;"",$F281&lt;&gt;"Retain"),
Error!$B$14,
IF(AND($E281="&lt;6in DSH for Tree Points",$F281="Retain",$H281&lt;&gt;"",ISNA(MATCH($H281,Tables!$B$174:$B$174,0))),
Error!$B$15,
IF(AND($E281="Street Tree for Green Factor",$F281="Retain",$H281&lt;&gt;"",$H281&lt;&gt;"Zoning: Green Factor"),
Error!$B$15,
IF(AND($E281="ECA / Shoreline Tree",$F281="Remove",$H281&lt;&gt;"",ISNA(MATCH($H281,Tables!$B$189:$B$190,0))),
Error!$B$15,
IF(AND($E281="ECA / Shoreline Tree",$F281="Retain",$H281&lt;&gt;"",ISNA(MATCH($H281,Tables!$B$184:$B$186,0))),
Error!$B$15,
IF(AND($E281="Tier 4",$F281="Remove",$H281&lt;&gt;"",ISNA(MATCH($H281,Tables!$B$171,0))),
Error!$B$15,
IF(AND($E281="Tier 4",$F281="Retain",$H281&lt;&gt;"",ISNA(MATCH($H281,Tables!$B$166:$B$168,0))),
Error!$B$15,
IF(AND($E281="Tier 3",$F281="Retain",$H281&lt;&gt;"",ISNA(MATCH($H281,Tables!$B$158:$B$160,0))),
Error!$B$15,
IF(AND($E281="Tier 3",$F281="Remove",$H281&lt;&gt;"",ISNA(MATCH($H281,Tables!$B$163,0))),
Error!$B$15,
IF(AND(OR($E281="Tier 2",$E281="Tier 2 Grove"),$F281="Remove",$H281&lt;&gt;"",ISNA(MATCH($H281,Tables!$B$153:$B$155,0))),
Error!$B$15,
IF(AND(OR($E281="Tier 2",$E281="Tier 2 Grove"),$F281="Retain",$H281&lt;&gt;"",ISNA(MATCH($H281,Tables!$B$147:$B$150,0))),
Error!$B$15,
IF(AND($E281="Tier 1",$F281="Remove",$H281&lt;&gt;"",ISNA(MATCH($H281,Tables!$B$143:$B$144,0))),
Error!$B$15,
IF(AND($E281="Tier 1",$F281="Retain",$H281&lt;&gt;"",ISNA(MATCH($H281,Tables!$B$137:$B$140,0))),
Error!$B$15,
IF(AND($E281&lt;&gt;"Tier 2",$E281&lt;&gt;"Tier 2 Grove",$E281&lt;&gt;"Tier 3",$E281&lt;&gt;"Tier 4",$H281="Zoning: Green Factor",OR($D281="",$D281&lt;6)),
Error!$B$11,
IF(AND(_xlpm.baseRow,$D281&lt;6,$E281="&lt;6in DSH for Tree Points",_xlpm.TreePoints_H=0),
Error!$B$21,
IF(AND(_xlpm.baseRow,$E281&lt;&gt;"",$D281&lt;&gt;"",$F281=""),
Error!$B$4,
IF(AND(_xlpm.baseRow,$F281="Remove",OR($E281="Tier 1",$E281="Tier 2",$E281="Tier 2 Grove"),COUNTBLANK(_xlpm.HRange)&lt;3,_xlpm.uniqueH&gt;=2),
Error!$B$48,
IF(AND(_xlpm.baseRow,$F281="Retain",OR($E281="Tier 1",$E281="Tier 2",$E281="Tier 2 Grove"),COUNTIF(_xlpm.HRange,"Tree Code: Required to Retain Tier 1-2 Tree")=0),
Error!$B$47,
IF(AND(_xlpm.baseRow,$E281&lt;&gt;"",$D281&lt;&gt;"",$F281&lt;&gt;"",COUNTBLANK(_xlpm.HRange)=4),
Error!$B$5,
IF(AND($F281="Remove",$H281&lt;&gt;"",$I281=""),
Error!$B$18,
IF(AND($E281="Tier 4",$F281="Remove",$H281="Tree Protection Code: Tier 3 or Tier 4 Allowance",$H281&lt;&gt;"",ISNA(MATCH($I281,Tables!$B$200,0))),
Error!$B$17,
IF(AND($E281="Tier 3",$F281="Remove",$H281&lt;&gt;"",$H281="Tree Protection Code: Tier 3 or Tier 4 Allowance",OR($I281="",ISNA(MATCH($I281,Tables!$B$193:$B$197,0)))),
Error!$B$17,
IF(AND(OR($E281="Tier 2",$E281="Tier 2 Grove"),$F281="Remove",$H281="Tree Protection Code: Other removal allowance or exemption",$I281&lt;&gt;"",ISNA(MATCH($I281,Tables!$B$215:$B$218,0))),
Error!$B$17,
IF(AND(OR($E281="Tier 2",$E281="Tier 2 Grove"),$F281="Remove",$H281="Tree Protection Code: Development Capacity",$I281&lt;&gt;"",ISNA(MATCH($I281,Tables!$B$193:$B$197,0))),
Error!$B$17,
IF(AND(OR($E281="Tier 2",$E281="Tier 2 Grove"),$F281="Remove",$H281="Tree Protection Code: Necessary for Construction",$I281&lt;&gt;"",ISNA(MATCH($I281,Tables!$B$193:$B$197,0))),
Error!$B$17,
IF(AND($E281="Tier 1",$F281="Remove",$H281="Tree Protection Code: Special Exception",$I281&lt;&gt;"",ISNA(MATCH($I281,Tables!$B$215:$B$218,0))),
Error!$B$17,
IF(AND($E281="Tier 1",$F281="Remove",$H281="Tree Protection Code: Other removal allowance or exemption",$I281&lt;&gt;"",ISNA(MATCH($I281,Tables!$B$215:$B$218,0))),
Error!$B$17,
IF(AND($E281="ECA / Shoreline Tree",$F281="Remove",$H281&lt;&gt;"",OR($H281="Shoreline",$H281="Environmental Critical Area (ECA)"),ISNA(MATCH($I281,Tables!$B$209:$B$212,0))),
Error!$B$17,
IF(AND(_xlpm.baseRow,$F281="Retain",$E281="ECA / Shoreline Tree",_xlpm.ECA_Short=0),
Error!$B$61,
IF(AND($F281="Remove",ISNUMBER(MATCH($E281,{"Tier 1","Tier 2","Tier 3","Tier 4","Tier 2 Grove"},0)),ISNUMBER(MATCH($I281,{"On-site replacement","Off-site replacement"},0)),$J281="",$H281&lt;&gt;""),
Error!$B$19,
IF(AND(_xlpm.baseRow,$E281&lt;&gt;"",$D281&lt;&gt;"",$F281&lt;&gt;"",COUNTBLANK($B281:$C281)&gt;0,COUNTBLANK(_xlpm.HRange)&lt;&gt;4),
Error!$B$22,
IF(AND($H281="Zoning: Tree Points",$K281&lt;&gt;"",ISNA(MATCH($K281,Tables!$B$242:$B$253,0))),
Error!$B$58,
IF(AND($H281="Zoning: Tree Points",$K281="Small",$L281&lt;&gt;"",ISNA(MATCH($L281,Tables!$C$243:$C$244,0))),
Error!$B$59,
IF(AND($H281="Zoning: Tree Points",$K281="Small/Medium",$L281&lt;&gt;"",ISNA(MATCH($L281,Tables!$C$246:$C$247,0))),
Error!$B$59,
IF(AND($H281="Zoning: Tree Points",$K281="Medium/Large",$L281&lt;&gt;"",ISNA(MATCH($L281,Tables!$C$249:$C$250,0))),
Error!$B$59,
IF(AND($H281="Zoning: Tree Points",$K281="Large",$L281&lt;&gt;"",ISNA(MATCH($L281,Tables!$C$252:$C$253,0))),
Error!$B$59,
IF(AND($F281="Retain",$H281="Zoning: Tree Points",$C281&lt;&gt;"",$D281&lt;&gt;"",OR($K281="",$L281="",$M281="")),
Error!$B$20,
""
)))))))))))))))))))))))))))))))))))))))))))))))))))))))),
Error!$B$23))</f>
        <v/>
      </c>
      <c r="O281" s="343" t="str" cm="1">
        <f t="array" aca="1" ref="O281" ca="1">IFERROR(_xlfn.LET(
    _xlpm.txt, $C281,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82" spans="1:15" ht="15" thickBot="1" x14ac:dyDescent="0.35">
      <c r="A282" s="331"/>
      <c r="B282" s="616" t="str">
        <f t="shared" si="295"/>
        <v/>
      </c>
      <c r="C282" s="617" t="str">
        <f t="shared" si="296"/>
        <v/>
      </c>
      <c r="D282" s="618" t="str">
        <f t="shared" si="297"/>
        <v/>
      </c>
      <c r="E282" s="616" t="str">
        <f t="shared" si="298"/>
        <v/>
      </c>
      <c r="F282" s="616" t="str">
        <f t="shared" si="299"/>
        <v/>
      </c>
      <c r="G282" s="619" t="str">
        <f>IF(Tree_Table1[[#This Row],[Tree Status  &amp;]]="Retain", Tables!$B$237, IF(Tree_Table1[[#This Row],[Tree Status  &amp;]]="Remove", Tables!$B$238, ""))</f>
        <v/>
      </c>
      <c r="H282" s="329"/>
      <c r="I282" s="330"/>
      <c r="J282" s="455"/>
      <c r="K282" s="327" t="str">
        <f>IFERROR(
    IF(
        AND($H282="Zoning: Tree Points", NOT(ISNUMBER(SEARCH("sp.", $C282)))),
        VLOOKUP($C282, 'Tree List'!$C$3:$F$601, 4, FALSE),
        ""
    ),
"")</f>
        <v/>
      </c>
      <c r="L282" s="328" t="str" cm="1">
        <f t="array" ref="L282">IFERROR(
IF(
    AND($H282="Zoning: Tree Points", NOT(ISNUMBER(SEARCH("sp.", $C282)))),
    _xlfn.IFS(
        (COUNTIFS('Tree List'!$C$3:$C$601,$C282,'Tree List'!$D$3:$D$601,"Coniferous")
        + COUNTIFS('Tree List'!$C$3:$C$601,$C282,'Tree List'!$D$3:$D$601,"Deciduous Conifer")) &gt; 0,
            _xlfn.IFS($K282="Small",0.5,$K282="Small/Medium",1,$K282="Medium/Large",1.4,$K282="Large",1.8),
        (COUNTIFS('Tree List'!$C$3:$C$601,$C282,'Tree List'!$D$3:$D$601,"Deciduous")
        + COUNTIFS('Tree List'!$C$3:$C$601,$C282,'Tree List'!$D$3:$D$601,"Broadleaf Evergreen")) &gt; 0,
            _xlfn.IFS($K282="Small",0.4,$K282="Small/Medium",0.8,$K282="Medium/Large",1.2,$K282="Large",1.6)
    ),
    ""
),
"")</f>
        <v/>
      </c>
      <c r="M282" s="476" t="str">
        <f t="shared" si="249"/>
        <v/>
      </c>
      <c r="N282" s="347" t="str" cm="1">
        <f t="array" aca="1" ref="N28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IF(AND(_xlpm.baseRow,ISNA(MATCH($C282,'Tree List'!$C$3:$C$601,0)),SUMPRODUCT(--ISNUMBER(SEARCH(Tables2!$C$677:$C$772,$O282)))&gt;0),
Error!$B$57,
IF(AND(_xlpm.hasDM,$F282="Remove",$H282&lt;&gt;"",OR($I282="On-site replacement",$I282="Off-site replacement",$I282="Payment In Lieu")),
Error!$B$56,
IF(AND(_xlpm.hasDM,$F282="Remove",$H282&lt;&gt;"",$I282="Relocation"),
Error!$B$66,
IF(AND(OR(_xlpm.hasCN,_xlpm.hasPH,_xlpm.hasGR),$H282&lt;&gt;"",COUNTIF(Tables!$B$132:$B$134,$H282)&gt;0,$I282="N/A (No replacement required)"),
Error!$B$62,
IF(AND(_xlpm.baseRow,$E282&lt;&gt;"",ISNA(MATCH($E282,Tables!$B$225:$B$232,0))),
Error!$B$2,
IF(AND(_xlpm.baseRow,$F282&lt;&gt;"",ISNA(MATCH($F282,Tables!$B$234:$B$235,0))),
Error!$B$24,
IF(AND(_xlpm.baseRow,_xlpm.ECA_H&gt;0,_xlpm.Shore_H&gt;0),
Error!$B$16,
IF(AND(_xlpm.baseRow,$E282&lt;&gt;"",$D282=""),
Error!$B$3,
IF(AND(_xlpm.baseRow,OR($E282="Tier 3",$E282="Tier 4"),$C282&lt;&gt;"",$D282&gt;=24,COUNTIF(Tables2!$B$166:$B$674,$C282)&gt;0),
Error!$B$44,
IF(AND(_xlpm.baseRow,OR($E282="Tier 3",$E282="Tier 4"),$C282&lt;&gt;"",$D282&lt;&gt;"",COUNTIF(Tables2!$B$73:$B$152,$C282)&gt;0,
$D282&gt;=IFERROR(INDEX(Tables2!$C$73:$C$152,MATCH($C282,Tables2!$B$73:$B$152,0)),-1)),
Error!$B$44,
IF(AND(_xlpm.baseRow,OR($E282="Tier 2",$E282="Tier 2 Grove"),$C282&lt;&gt;"",$D282&gt;=12,COUNTIF(Tables2!$B$153:$B$162,$C282)&gt;0),
Error!$B$45,
IF(AND(_xlpm.baseRow,$E282="Tier 2 Grove",$D282&lt;12),
Error!$B$41,
IF(AND(_xlpm.baseRow,$E282="Tier 2",$D282&lt;5.88),
Error!$B$40,
IF(AND(_xlpm.baseRow,OR($E282="Tier 2",$E282="Tier 2 Grove"),$C282&lt;&gt;"",$D282&lt;12,$D282&gt;=6,COUNTIF(Tables2!$B$153:$B$162,$C282)&gt;0),
Error!$B$54,
IF(AND(_xlpm.baseRow,$E282="Tier 2",COUNTIF(Tables2!$B$166:$B$674,$C282)&gt;0,$D282&lt;24),
Error!$B$54,
IF(AND(_xlpm.baseRow,$E282="Tier 3",ISNA(MATCH($C282,Tables2!$B$153:$B$162,0)),OR($D282&lt;12,$D282&gt;=24)),
Error!$B$9,
IF(AND(_xlpm.baseRow,$E282="Tier 3",COUNTIF(Tables2!$B$153:$B$162,$C282)&gt;0,$D282&lt;12),
Error!$B$46,
IF(AND(_xlpm.baseRow,$E282="Tier 4",OR($D282&lt;6,$D282&gt;=12)),
Error!$B$10,
IF(AND(_xlpm.baseRow,$E282="&lt;6in DSH for Tree Points",OR($D282&gt;=6,$D282="")),
Error!$B$8,
IF(AND(_xlpm.baseRow,$E282="Street Tree for Green Factor",$F282&lt;&gt;"",$F282&lt;&gt;"Retain"),
Error!$B$14,
IF(AND($E282="&lt;6in DSH for Tree Points",$F282="Retain",$H282&lt;&gt;"",ISNA(MATCH($H282,Tables!$B$174:$B$174,0))),
Error!$B$15,
IF(AND($E282="Street Tree for Green Factor",$F282="Retain",$H282&lt;&gt;"",$H282&lt;&gt;"Zoning: Green Factor"),
Error!$B$15,
IF(AND($E282="ECA / Shoreline Tree",$F282="Remove",$H282&lt;&gt;"",ISNA(MATCH($H282,Tables!$B$189:$B$190,0))),
Error!$B$15,
IF(AND($E282="ECA / Shoreline Tree",$F282="Retain",$H282&lt;&gt;"",ISNA(MATCH($H282,Tables!$B$184:$B$186,0))),
Error!$B$15,
IF(AND($E282="Tier 4",$F282="Remove",$H282&lt;&gt;"",ISNA(MATCH($H282,Tables!$B$171,0))),
Error!$B$15,
IF(AND($E282="Tier 4",$F282="Retain",$H282&lt;&gt;"",ISNA(MATCH($H282,Tables!$B$166:$B$168,0))),
Error!$B$15,
IF(AND($E282="Tier 3",$F282="Retain",$H282&lt;&gt;"",ISNA(MATCH($H282,Tables!$B$158:$B$160,0))),
Error!$B$15,
IF(AND($E282="Tier 3",$F282="Remove",$H282&lt;&gt;"",ISNA(MATCH($H282,Tables!$B$163,0))),
Error!$B$15,
IF(AND(OR($E282="Tier 2",$E282="Tier 2 Grove"),$F282="Remove",$H282&lt;&gt;"",ISNA(MATCH($H282,Tables!$B$153:$B$155,0))),
Error!$B$15,
IF(AND(OR($E282="Tier 2",$E282="Tier 2 Grove"),$F282="Retain",$H282&lt;&gt;"",ISNA(MATCH($H282,Tables!$B$147:$B$150,0))),
Error!$B$15,
IF(AND($E282="Tier 1",$F282="Remove",$H282&lt;&gt;"",ISNA(MATCH($H282,Tables!$B$143:$B$144,0))),
Error!$B$15,
IF(AND($E282="Tier 1",$F282="Retain",$H282&lt;&gt;"",ISNA(MATCH($H282,Tables!$B$137:$B$140,0))),
Error!$B$15,
IF(AND($E282&lt;&gt;"Tier 2",$E282&lt;&gt;"Tier 2 Grove",$E282&lt;&gt;"Tier 3",$E282&lt;&gt;"Tier 4",$H282="Zoning: Green Factor",OR($D282="",$D282&lt;6)),
Error!$B$11,
IF(AND(_xlpm.baseRow,$D282&lt;6,$E282="&lt;6in DSH for Tree Points",_xlpm.TreePoints_H=0),
Error!$B$21,
IF(AND(_xlpm.baseRow,$E282&lt;&gt;"",$D282&lt;&gt;"",$F282=""),
Error!$B$4,
IF(AND(_xlpm.baseRow,$F282="Remove",OR($E282="Tier 1",$E282="Tier 2",$E282="Tier 2 Grove"),COUNTBLANK(_xlpm.HRange)&lt;3,_xlpm.uniqueH&gt;=2),
Error!$B$48,
IF(AND(_xlpm.baseRow,$F282="Retain",OR($E282="Tier 1",$E282="Tier 2",$E282="Tier 2 Grove"),COUNTIF(_xlpm.HRange,"Tree Code: Required to Retain Tier 1-2 Tree")=0),
Error!$B$47,
IF(AND(_xlpm.baseRow,$E282&lt;&gt;"",$D282&lt;&gt;"",$F282&lt;&gt;"",COUNTBLANK(_xlpm.HRange)=4),
Error!$B$5,
IF(AND($F282="Remove",$H282&lt;&gt;"",$I282=""),
Error!$B$18,
IF(AND($E282="Tier 4",$F282="Remove",$H282="Tree Protection Code: Tier 3 or Tier 4 Allowance",$H282&lt;&gt;"",ISNA(MATCH($I282,Tables!$B$200,0))),
Error!$B$17,
IF(AND($E282="Tier 3",$F282="Remove",$H282&lt;&gt;"",$H282="Tree Protection Code: Tier 3 or Tier 4 Allowance",OR($I282="",ISNA(MATCH($I282,Tables!$B$193:$B$197,0)))),
Error!$B$17,
IF(AND(OR($E282="Tier 2",$E282="Tier 2 Grove"),$F282="Remove",$H282="Tree Protection Code: Other removal allowance or exemption",$I282&lt;&gt;"",ISNA(MATCH($I282,Tables!$B$215:$B$218,0))),
Error!$B$17,
IF(AND(OR($E282="Tier 2",$E282="Tier 2 Grove"),$F282="Remove",$H282="Tree Protection Code: Development Capacity",$I282&lt;&gt;"",ISNA(MATCH($I282,Tables!$B$193:$B$197,0))),
Error!$B$17,
IF(AND(OR($E282="Tier 2",$E282="Tier 2 Grove"),$F282="Remove",$H282="Tree Protection Code: Necessary for Construction",$I282&lt;&gt;"",ISNA(MATCH($I282,Tables!$B$193:$B$197,0))),
Error!$B$17,
IF(AND($E282="Tier 1",$F282="Remove",$H282="Tree Protection Code: Special Exception",$I282&lt;&gt;"",ISNA(MATCH($I282,Tables!$B$215:$B$218,0))),
Error!$B$17,
IF(AND($E282="Tier 1",$F282="Remove",$H282="Tree Protection Code: Other removal allowance or exemption",$I282&lt;&gt;"",ISNA(MATCH($I282,Tables!$B$215:$B$218,0))),
Error!$B$17,
IF(AND($E282="ECA / Shoreline Tree",$F282="Remove",$H282&lt;&gt;"",OR($H282="Shoreline",$H282="Environmental Critical Area (ECA)"),ISNA(MATCH($I282,Tables!$B$209:$B$212,0))),
Error!$B$17,
IF(AND(_xlpm.baseRow,$F282="Retain",$E282="ECA / Shoreline Tree",_xlpm.ECA_Short=0),
Error!$B$61,
IF(AND($F282="Remove",ISNUMBER(MATCH($E282,{"Tier 1","Tier 2","Tier 3","Tier 4","Tier 2 Grove"},0)),ISNUMBER(MATCH($I282,{"On-site replacement","Off-site replacement"},0)),$J282="",$H282&lt;&gt;""),
Error!$B$19,
IF(AND(_xlpm.baseRow,$E282&lt;&gt;"",$D282&lt;&gt;"",$F282&lt;&gt;"",COUNTBLANK($B282:$C282)&gt;0,COUNTBLANK(_xlpm.HRange)&lt;&gt;4),
Error!$B$22,
IF(AND($H282="Zoning: Tree Points",$K282&lt;&gt;"",ISNA(MATCH($K282,Tables!$B$242:$B$253,0))),
Error!$B$58,
IF(AND($H282="Zoning: Tree Points",$K282="Small",$L282&lt;&gt;"",ISNA(MATCH($L282,Tables!$C$243:$C$244,0))),
Error!$B$59,
IF(AND($H282="Zoning: Tree Points",$K282="Small/Medium",$L282&lt;&gt;"",ISNA(MATCH($L282,Tables!$C$246:$C$247,0))),
Error!$B$59,
IF(AND($H282="Zoning: Tree Points",$K282="Medium/Large",$L282&lt;&gt;"",ISNA(MATCH($L282,Tables!$C$249:$C$250,0))),
Error!$B$59,
IF(AND($H282="Zoning: Tree Points",$K282="Large",$L282&lt;&gt;"",ISNA(MATCH($L282,Tables!$C$252:$C$253,0))),
Error!$B$59,
IF(AND($F282="Retain",$H282="Zoning: Tree Points",$C282&lt;&gt;"",$D282&lt;&gt;"",OR($K282="",$L282="",$M282="")),
Error!$B$20,
""
)))))))))))))))))))))))))))))))))))))))))))))))))))))))),
Error!$B$23))</f>
        <v/>
      </c>
      <c r="O282" s="343" t="str" cm="1">
        <f t="array" aca="1" ref="O282" ca="1">IFERROR(_xlfn.LET(
    _xlpm.txt, $C282,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83" spans="1:15" ht="15" thickBot="1" x14ac:dyDescent="0.35">
      <c r="A283" s="311">
        <v>69</v>
      </c>
      <c r="B283" s="312"/>
      <c r="C283" s="313"/>
      <c r="D283" s="478"/>
      <c r="E283" s="314"/>
      <c r="F283" s="314"/>
      <c r="G283" s="315" t="str">
        <f>IF(Tree_Table1[[#This Row],[Tree Status  &amp;]]="Retain", Tables!$B$237, IF(Tree_Table1[[#This Row],[Tree Status  &amp;]]="Remove", Tables!$B$238, ""))</f>
        <v/>
      </c>
      <c r="H283" s="316"/>
      <c r="I283" s="317"/>
      <c r="J283" s="452"/>
      <c r="K283" s="318" t="str">
        <f>IFERROR(
    IF(
        AND($H283="Zoning: Tree Points", NOT(ISNUMBER(SEARCH("sp.", $C283)))),
        VLOOKUP($C283, 'Tree List'!$C$3:$F$601, 4, FALSE),
        ""
    ),
"")</f>
        <v/>
      </c>
      <c r="L283" s="319" t="str" cm="1">
        <f t="array" ref="L283">IFERROR(
IF(
    AND($H283="Zoning: Tree Points", NOT(ISNUMBER(SEARCH("sp.", $C283)))),
    _xlfn.IFS(
        (COUNTIFS('Tree List'!$C$3:$C$601,$C283,'Tree List'!$D$3:$D$601,"Coniferous")
        + COUNTIFS('Tree List'!$C$3:$C$601,$C283,'Tree List'!$D$3:$D$601,"Deciduous Conifer")) &gt; 0,
            _xlfn.IFS($K283="Small",0.5,$K283="Small/Medium",1,$K283="Medium/Large",1.4,$K283="Large",1.8),
        (COUNTIFS('Tree List'!$C$3:$C$601,$C283,'Tree List'!$D$3:$D$601,"Deciduous")
        + COUNTIFS('Tree List'!$C$3:$C$601,$C283,'Tree List'!$D$3:$D$601,"Broadleaf Evergreen")) &gt; 0,
            _xlfn.IFS($K283="Small",0.4,$K283="Small/Medium",0.8,$K283="Medium/Large",1.2,$K283="Large",1.6)
    ),
    ""
),
"")</f>
        <v/>
      </c>
      <c r="M283" s="474" t="str">
        <f t="shared" si="249"/>
        <v/>
      </c>
      <c r="N283" s="620" t="str" cm="1">
        <f t="array" aca="1" ref="N28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IF(AND(_xlpm.baseRow,ISNA(MATCH($C283,'Tree List'!$C$3:$C$601,0)),SUMPRODUCT(--ISNUMBER(SEARCH(Tables2!$C$677:$C$772,$O283)))&gt;0),
Error!$B$57,
IF(AND(_xlpm.hasDM,$F283="Remove",$H283&lt;&gt;"",OR($I283="On-site replacement",$I283="Off-site replacement",$I283="Payment In Lieu")),
Error!$B$56,
IF(AND(_xlpm.hasDM,$F283="Remove",$H283&lt;&gt;"",$I283="Relocation"),
Error!$B$66,
IF(AND(OR(_xlpm.hasCN,_xlpm.hasPH,_xlpm.hasGR),$H283&lt;&gt;"",COUNTIF(Tables!$B$132:$B$134,$H283)&gt;0,$I283="N/A (No replacement required)"),
Error!$B$62,
IF(AND(_xlpm.baseRow,$E283&lt;&gt;"",ISNA(MATCH($E283,Tables!$B$225:$B$232,0))),
Error!$B$2,
IF(AND(_xlpm.baseRow,$F283&lt;&gt;"",ISNA(MATCH($F283,Tables!$B$234:$B$235,0))),
Error!$B$24,
IF(AND(_xlpm.baseRow,_xlpm.ECA_H&gt;0,_xlpm.Shore_H&gt;0),
Error!$B$16,
IF(AND(_xlpm.baseRow,$E283&lt;&gt;"",$D283=""),
Error!$B$3,
IF(AND(_xlpm.baseRow,OR($E283="Tier 3",$E283="Tier 4"),$C283&lt;&gt;"",$D283&gt;=24,COUNTIF(Tables2!$B$166:$B$674,$C283)&gt;0),
Error!$B$44,
IF(AND(_xlpm.baseRow,OR($E283="Tier 3",$E283="Tier 4"),$C283&lt;&gt;"",$D283&lt;&gt;"",COUNTIF(Tables2!$B$73:$B$152,$C283)&gt;0,
$D283&gt;=IFERROR(INDEX(Tables2!$C$73:$C$152,MATCH($C283,Tables2!$B$73:$B$152,0)),-1)),
Error!$B$44,
IF(AND(_xlpm.baseRow,OR($E283="Tier 2",$E283="Tier 2 Grove"),$C283&lt;&gt;"",$D283&gt;=12,COUNTIF(Tables2!$B$153:$B$162,$C283)&gt;0),
Error!$B$45,
IF(AND(_xlpm.baseRow,$E283="Tier 2 Grove",$D283&lt;12),
Error!$B$41,
IF(AND(_xlpm.baseRow,$E283="Tier 2",$D283&lt;5.88),
Error!$B$40,
IF(AND(_xlpm.baseRow,OR($E283="Tier 2",$E283="Tier 2 Grove"),$C283&lt;&gt;"",$D283&lt;12,$D283&gt;=6,COUNTIF(Tables2!$B$153:$B$162,$C283)&gt;0),
Error!$B$54,
IF(AND(_xlpm.baseRow,$E283="Tier 2",COUNTIF(Tables2!$B$166:$B$674,$C283)&gt;0,$D283&lt;24),
Error!$B$54,
IF(AND(_xlpm.baseRow,$E283="Tier 3",ISNA(MATCH($C283,Tables2!$B$153:$B$162,0)),OR($D283&lt;12,$D283&gt;=24)),
Error!$B$9,
IF(AND(_xlpm.baseRow,$E283="Tier 3",COUNTIF(Tables2!$B$153:$B$162,$C283)&gt;0,$D283&lt;12),
Error!$B$46,
IF(AND(_xlpm.baseRow,$E283="Tier 4",OR($D283&lt;6,$D283&gt;=12)),
Error!$B$10,
IF(AND(_xlpm.baseRow,$E283="&lt;6in DSH for Tree Points",OR($D283&gt;=6,$D283="")),
Error!$B$8,
IF(AND(_xlpm.baseRow,$E283="Street Tree for Green Factor",$F283&lt;&gt;"",$F283&lt;&gt;"Retain"),
Error!$B$14,
IF(AND($E283="&lt;6in DSH for Tree Points",$F283="Retain",$H283&lt;&gt;"",ISNA(MATCH($H283,Tables!$B$174:$B$174,0))),
Error!$B$15,
IF(AND($E283="Street Tree for Green Factor",$F283="Retain",$H283&lt;&gt;"",$H283&lt;&gt;"Zoning: Green Factor"),
Error!$B$15,
IF(AND($E283="ECA / Shoreline Tree",$F283="Remove",$H283&lt;&gt;"",ISNA(MATCH($H283,Tables!$B$189:$B$190,0))),
Error!$B$15,
IF(AND($E283="ECA / Shoreline Tree",$F283="Retain",$H283&lt;&gt;"",ISNA(MATCH($H283,Tables!$B$184:$B$186,0))),
Error!$B$15,
IF(AND($E283="Tier 4",$F283="Remove",$H283&lt;&gt;"",ISNA(MATCH($H283,Tables!$B$171,0))),
Error!$B$15,
IF(AND($E283="Tier 4",$F283="Retain",$H283&lt;&gt;"",ISNA(MATCH($H283,Tables!$B$166:$B$168,0))),
Error!$B$15,
IF(AND($E283="Tier 3",$F283="Retain",$H283&lt;&gt;"",ISNA(MATCH($H283,Tables!$B$158:$B$160,0))),
Error!$B$15,
IF(AND($E283="Tier 3",$F283="Remove",$H283&lt;&gt;"",ISNA(MATCH($H283,Tables!$B$163,0))),
Error!$B$15,
IF(AND(OR($E283="Tier 2",$E283="Tier 2 Grove"),$F283="Remove",$H283&lt;&gt;"",ISNA(MATCH($H283,Tables!$B$153:$B$155,0))),
Error!$B$15,
IF(AND(OR($E283="Tier 2",$E283="Tier 2 Grove"),$F283="Retain",$H283&lt;&gt;"",ISNA(MATCH($H283,Tables!$B$147:$B$150,0))),
Error!$B$15,
IF(AND($E283="Tier 1",$F283="Remove",$H283&lt;&gt;"",ISNA(MATCH($H283,Tables!$B$143:$B$144,0))),
Error!$B$15,
IF(AND($E283="Tier 1",$F283="Retain",$H283&lt;&gt;"",ISNA(MATCH($H283,Tables!$B$137:$B$140,0))),
Error!$B$15,
IF(AND($E283&lt;&gt;"Tier 2",$E283&lt;&gt;"Tier 2 Grove",$E283&lt;&gt;"Tier 3",$E283&lt;&gt;"Tier 4",$H283="Zoning: Green Factor",OR($D283="",$D283&lt;6)),
Error!$B$11,
IF(AND(_xlpm.baseRow,$D283&lt;6,$E283="&lt;6in DSH for Tree Points",_xlpm.TreePoints_H=0),
Error!$B$21,
IF(AND(_xlpm.baseRow,$E283&lt;&gt;"",$D283&lt;&gt;"",$F283=""),
Error!$B$4,
IF(AND(_xlpm.baseRow,$F283="Remove",OR($E283="Tier 1",$E283="Tier 2",$E283="Tier 2 Grove"),COUNTBLANK(_xlpm.HRange)&lt;3,_xlpm.uniqueH&gt;=2),
Error!$B$48,
IF(AND(_xlpm.baseRow,$F283="Retain",OR($E283="Tier 1",$E283="Tier 2",$E283="Tier 2 Grove"),COUNTIF(_xlpm.HRange,"Tree Code: Required to Retain Tier 1-2 Tree")=0),
Error!$B$47,
IF(AND(_xlpm.baseRow,$E283&lt;&gt;"",$D283&lt;&gt;"",$F283&lt;&gt;"",COUNTBLANK(_xlpm.HRange)=4),
Error!$B$5,
IF(AND($F283="Remove",$H283&lt;&gt;"",$I283=""),
Error!$B$18,
IF(AND($E283="Tier 4",$F283="Remove",$H283="Tree Protection Code: Tier 3 or Tier 4 Allowance",$H283&lt;&gt;"",ISNA(MATCH($I283,Tables!$B$200,0))),
Error!$B$17,
IF(AND($E283="Tier 3",$F283="Remove",$H283&lt;&gt;"",$H283="Tree Protection Code: Tier 3 or Tier 4 Allowance",OR($I283="",ISNA(MATCH($I283,Tables!$B$193:$B$197,0)))),
Error!$B$17,
IF(AND(OR($E283="Tier 2",$E283="Tier 2 Grove"),$F283="Remove",$H283="Tree Protection Code: Other removal allowance or exemption",$I283&lt;&gt;"",ISNA(MATCH($I283,Tables!$B$215:$B$218,0))),
Error!$B$17,
IF(AND(OR($E283="Tier 2",$E283="Tier 2 Grove"),$F283="Remove",$H283="Tree Protection Code: Development Capacity",$I283&lt;&gt;"",ISNA(MATCH($I283,Tables!$B$193:$B$197,0))),
Error!$B$17,
IF(AND(OR($E283="Tier 2",$E283="Tier 2 Grove"),$F283="Remove",$H283="Tree Protection Code: Necessary for Construction",$I283&lt;&gt;"",ISNA(MATCH($I283,Tables!$B$193:$B$197,0))),
Error!$B$17,
IF(AND($E283="Tier 1",$F283="Remove",$H283="Tree Protection Code: Special Exception",$I283&lt;&gt;"",ISNA(MATCH($I283,Tables!$B$215:$B$218,0))),
Error!$B$17,
IF(AND($E283="Tier 1",$F283="Remove",$H283="Tree Protection Code: Other removal allowance or exemption",$I283&lt;&gt;"",ISNA(MATCH($I283,Tables!$B$215:$B$218,0))),
Error!$B$17,
IF(AND($E283="ECA / Shoreline Tree",$F283="Remove",$H283&lt;&gt;"",OR($H283="Shoreline",$H283="Environmental Critical Area (ECA)"),ISNA(MATCH($I283,Tables!$B$209:$B$212,0))),
Error!$B$17,
IF(AND(_xlpm.baseRow,$F283="Retain",$E283="ECA / Shoreline Tree",_xlpm.ECA_Short=0),
Error!$B$61,
IF(AND($F283="Remove",ISNUMBER(MATCH($E283,{"Tier 1","Tier 2","Tier 3","Tier 4","Tier 2 Grove"},0)),ISNUMBER(MATCH($I283,{"On-site replacement","Off-site replacement"},0)),$J283="",$H283&lt;&gt;""),
Error!$B$19,
IF(AND(_xlpm.baseRow,$E283&lt;&gt;"",$D283&lt;&gt;"",$F283&lt;&gt;"",COUNTBLANK($B283:$C283)&gt;0,COUNTBLANK(_xlpm.HRange)&lt;&gt;4),
Error!$B$22,
IF(AND($H283="Zoning: Tree Points",$K283&lt;&gt;"",ISNA(MATCH($K283,Tables!$B$242:$B$253,0))),
Error!$B$58,
IF(AND($H283="Zoning: Tree Points",$K283="Small",$L283&lt;&gt;"",ISNA(MATCH($L283,Tables!$C$243:$C$244,0))),
Error!$B$59,
IF(AND($H283="Zoning: Tree Points",$K283="Small/Medium",$L283&lt;&gt;"",ISNA(MATCH($L283,Tables!$C$246:$C$247,0))),
Error!$B$59,
IF(AND($H283="Zoning: Tree Points",$K283="Medium/Large",$L283&lt;&gt;"",ISNA(MATCH($L283,Tables!$C$249:$C$250,0))),
Error!$B$59,
IF(AND($H283="Zoning: Tree Points",$K283="Large",$L283&lt;&gt;"",ISNA(MATCH($L283,Tables!$C$252:$C$253,0))),
Error!$B$59,
IF(AND($F283="Retain",$H283="Zoning: Tree Points",$C283&lt;&gt;"",$D283&lt;&gt;"",OR($K283="",$L283="",$M283="")),
Error!$B$20,
""
)))))))))))))))))))))))))))))))))))))))))))))))))))))))),
Error!$B$23))</f>
        <v/>
      </c>
      <c r="O283" s="343" t="str" cm="1">
        <f t="array" aca="1" ref="O283" ca="1">IFERROR(_xlfn.LET(
    _xlpm.txt, $C283,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84" spans="1:15" x14ac:dyDescent="0.3">
      <c r="A284" s="320"/>
      <c r="B284" s="616" t="str">
        <f t="shared" ref="B284:B286" si="300">IF($B283="", "", $B283)</f>
        <v/>
      </c>
      <c r="C284" s="617" t="str">
        <f t="shared" ref="C284:C286" si="301">IF($C283="", "", $C283)</f>
        <v/>
      </c>
      <c r="D284" s="618" t="str">
        <f t="shared" ref="D284:D286" si="302">IF($D283="", "", $D283)</f>
        <v/>
      </c>
      <c r="E284" s="616" t="str">
        <f t="shared" ref="E284:E286" si="303">IF($E283="", "", $E283)</f>
        <v/>
      </c>
      <c r="F284" s="616" t="str">
        <f t="shared" ref="F284:F286" si="304">IF($F283="", "", $F283)</f>
        <v/>
      </c>
      <c r="G284" s="619" t="str">
        <f>IF(Tree_Table1[[#This Row],[Tree Status  &amp;]]="Retain", Tables!$B$237, IF(Tree_Table1[[#This Row],[Tree Status  &amp;]]="Remove", Tables!$B$238, ""))</f>
        <v/>
      </c>
      <c r="H284" s="321"/>
      <c r="I284" s="322"/>
      <c r="J284" s="453"/>
      <c r="K284" s="323" t="str">
        <f>IFERROR(
    IF(
        AND($H284="Zoning: Tree Points", NOT(ISNUMBER(SEARCH("sp.", $C284)))),
        VLOOKUP($C284, 'Tree List'!$C$3:$F$601, 4, FALSE),
        ""
    ),
"")</f>
        <v/>
      </c>
      <c r="L284" s="324" t="str" cm="1">
        <f t="array" ref="L284">IFERROR(
IF(
    AND($H284="Zoning: Tree Points", NOT(ISNUMBER(SEARCH("sp.", $C284)))),
    _xlfn.IFS(
        (COUNTIFS('Tree List'!$C$3:$C$601,$C284,'Tree List'!$D$3:$D$601,"Coniferous")
        + COUNTIFS('Tree List'!$C$3:$C$601,$C284,'Tree List'!$D$3:$D$601,"Deciduous Conifer")) &gt; 0,
            _xlfn.IFS($K284="Small",0.5,$K284="Small/Medium",1,$K284="Medium/Large",1.4,$K284="Large",1.8),
        (COUNTIFS('Tree List'!$C$3:$C$601,$C284,'Tree List'!$D$3:$D$601,"Deciduous")
        + COUNTIFS('Tree List'!$C$3:$C$601,$C284,'Tree List'!$D$3:$D$601,"Broadleaf Evergreen")) &gt; 0,
            _xlfn.IFS($K284="Small",0.4,$K284="Small/Medium",0.8,$K284="Medium/Large",1.2,$K284="Large",1.6)
    ),
    ""
),
"")</f>
        <v/>
      </c>
      <c r="M284" s="475" t="str">
        <f t="shared" si="249"/>
        <v/>
      </c>
      <c r="N284" s="346" t="str" cm="1">
        <f t="array" aca="1" ref="N28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IF(AND(_xlpm.baseRow,ISNA(MATCH($C284,'Tree List'!$C$3:$C$601,0)),SUMPRODUCT(--ISNUMBER(SEARCH(Tables2!$C$677:$C$772,$O284)))&gt;0),
Error!$B$57,
IF(AND(_xlpm.hasDM,$F284="Remove",$H284&lt;&gt;"",OR($I284="On-site replacement",$I284="Off-site replacement",$I284="Payment In Lieu")),
Error!$B$56,
IF(AND(_xlpm.hasDM,$F284="Remove",$H284&lt;&gt;"",$I284="Relocation"),
Error!$B$66,
IF(AND(OR(_xlpm.hasCN,_xlpm.hasPH,_xlpm.hasGR),$H284&lt;&gt;"",COUNTIF(Tables!$B$132:$B$134,$H284)&gt;0,$I284="N/A (No replacement required)"),
Error!$B$62,
IF(AND(_xlpm.baseRow,$E284&lt;&gt;"",ISNA(MATCH($E284,Tables!$B$225:$B$232,0))),
Error!$B$2,
IF(AND(_xlpm.baseRow,$F284&lt;&gt;"",ISNA(MATCH($F284,Tables!$B$234:$B$235,0))),
Error!$B$24,
IF(AND(_xlpm.baseRow,_xlpm.ECA_H&gt;0,_xlpm.Shore_H&gt;0),
Error!$B$16,
IF(AND(_xlpm.baseRow,$E284&lt;&gt;"",$D284=""),
Error!$B$3,
IF(AND(_xlpm.baseRow,OR($E284="Tier 3",$E284="Tier 4"),$C284&lt;&gt;"",$D284&gt;=24,COUNTIF(Tables2!$B$166:$B$674,$C284)&gt;0),
Error!$B$44,
IF(AND(_xlpm.baseRow,OR($E284="Tier 3",$E284="Tier 4"),$C284&lt;&gt;"",$D284&lt;&gt;"",COUNTIF(Tables2!$B$73:$B$152,$C284)&gt;0,
$D284&gt;=IFERROR(INDEX(Tables2!$C$73:$C$152,MATCH($C284,Tables2!$B$73:$B$152,0)),-1)),
Error!$B$44,
IF(AND(_xlpm.baseRow,OR($E284="Tier 2",$E284="Tier 2 Grove"),$C284&lt;&gt;"",$D284&gt;=12,COUNTIF(Tables2!$B$153:$B$162,$C284)&gt;0),
Error!$B$45,
IF(AND(_xlpm.baseRow,$E284="Tier 2 Grove",$D284&lt;12),
Error!$B$41,
IF(AND(_xlpm.baseRow,$E284="Tier 2",$D284&lt;5.88),
Error!$B$40,
IF(AND(_xlpm.baseRow,OR($E284="Tier 2",$E284="Tier 2 Grove"),$C284&lt;&gt;"",$D284&lt;12,$D284&gt;=6,COUNTIF(Tables2!$B$153:$B$162,$C284)&gt;0),
Error!$B$54,
IF(AND(_xlpm.baseRow,$E284="Tier 2",COUNTIF(Tables2!$B$166:$B$674,$C284)&gt;0,$D284&lt;24),
Error!$B$54,
IF(AND(_xlpm.baseRow,$E284="Tier 3",ISNA(MATCH($C284,Tables2!$B$153:$B$162,0)),OR($D284&lt;12,$D284&gt;=24)),
Error!$B$9,
IF(AND(_xlpm.baseRow,$E284="Tier 3",COUNTIF(Tables2!$B$153:$B$162,$C284)&gt;0,$D284&lt;12),
Error!$B$46,
IF(AND(_xlpm.baseRow,$E284="Tier 4",OR($D284&lt;6,$D284&gt;=12)),
Error!$B$10,
IF(AND(_xlpm.baseRow,$E284="&lt;6in DSH for Tree Points",OR($D284&gt;=6,$D284="")),
Error!$B$8,
IF(AND(_xlpm.baseRow,$E284="Street Tree for Green Factor",$F284&lt;&gt;"",$F284&lt;&gt;"Retain"),
Error!$B$14,
IF(AND($E284="&lt;6in DSH for Tree Points",$F284="Retain",$H284&lt;&gt;"",ISNA(MATCH($H284,Tables!$B$174:$B$174,0))),
Error!$B$15,
IF(AND($E284="Street Tree for Green Factor",$F284="Retain",$H284&lt;&gt;"",$H284&lt;&gt;"Zoning: Green Factor"),
Error!$B$15,
IF(AND($E284="ECA / Shoreline Tree",$F284="Remove",$H284&lt;&gt;"",ISNA(MATCH($H284,Tables!$B$189:$B$190,0))),
Error!$B$15,
IF(AND($E284="ECA / Shoreline Tree",$F284="Retain",$H284&lt;&gt;"",ISNA(MATCH($H284,Tables!$B$184:$B$186,0))),
Error!$B$15,
IF(AND($E284="Tier 4",$F284="Remove",$H284&lt;&gt;"",ISNA(MATCH($H284,Tables!$B$171,0))),
Error!$B$15,
IF(AND($E284="Tier 4",$F284="Retain",$H284&lt;&gt;"",ISNA(MATCH($H284,Tables!$B$166:$B$168,0))),
Error!$B$15,
IF(AND($E284="Tier 3",$F284="Retain",$H284&lt;&gt;"",ISNA(MATCH($H284,Tables!$B$158:$B$160,0))),
Error!$B$15,
IF(AND($E284="Tier 3",$F284="Remove",$H284&lt;&gt;"",ISNA(MATCH($H284,Tables!$B$163,0))),
Error!$B$15,
IF(AND(OR($E284="Tier 2",$E284="Tier 2 Grove"),$F284="Remove",$H284&lt;&gt;"",ISNA(MATCH($H284,Tables!$B$153:$B$155,0))),
Error!$B$15,
IF(AND(OR($E284="Tier 2",$E284="Tier 2 Grove"),$F284="Retain",$H284&lt;&gt;"",ISNA(MATCH($H284,Tables!$B$147:$B$150,0))),
Error!$B$15,
IF(AND($E284="Tier 1",$F284="Remove",$H284&lt;&gt;"",ISNA(MATCH($H284,Tables!$B$143:$B$144,0))),
Error!$B$15,
IF(AND($E284="Tier 1",$F284="Retain",$H284&lt;&gt;"",ISNA(MATCH($H284,Tables!$B$137:$B$140,0))),
Error!$B$15,
IF(AND($E284&lt;&gt;"Tier 2",$E284&lt;&gt;"Tier 2 Grove",$E284&lt;&gt;"Tier 3",$E284&lt;&gt;"Tier 4",$H284="Zoning: Green Factor",OR($D284="",$D284&lt;6)),
Error!$B$11,
IF(AND(_xlpm.baseRow,$D284&lt;6,$E284="&lt;6in DSH for Tree Points",_xlpm.TreePoints_H=0),
Error!$B$21,
IF(AND(_xlpm.baseRow,$E284&lt;&gt;"",$D284&lt;&gt;"",$F284=""),
Error!$B$4,
IF(AND(_xlpm.baseRow,$F284="Remove",OR($E284="Tier 1",$E284="Tier 2",$E284="Tier 2 Grove"),COUNTBLANK(_xlpm.HRange)&lt;3,_xlpm.uniqueH&gt;=2),
Error!$B$48,
IF(AND(_xlpm.baseRow,$F284="Retain",OR($E284="Tier 1",$E284="Tier 2",$E284="Tier 2 Grove"),COUNTIF(_xlpm.HRange,"Tree Code: Required to Retain Tier 1-2 Tree")=0),
Error!$B$47,
IF(AND(_xlpm.baseRow,$E284&lt;&gt;"",$D284&lt;&gt;"",$F284&lt;&gt;"",COUNTBLANK(_xlpm.HRange)=4),
Error!$B$5,
IF(AND($F284="Remove",$H284&lt;&gt;"",$I284=""),
Error!$B$18,
IF(AND($E284="Tier 4",$F284="Remove",$H284="Tree Protection Code: Tier 3 or Tier 4 Allowance",$H284&lt;&gt;"",ISNA(MATCH($I284,Tables!$B$200,0))),
Error!$B$17,
IF(AND($E284="Tier 3",$F284="Remove",$H284&lt;&gt;"",$H284="Tree Protection Code: Tier 3 or Tier 4 Allowance",OR($I284="",ISNA(MATCH($I284,Tables!$B$193:$B$197,0)))),
Error!$B$17,
IF(AND(OR($E284="Tier 2",$E284="Tier 2 Grove"),$F284="Remove",$H284="Tree Protection Code: Other removal allowance or exemption",$I284&lt;&gt;"",ISNA(MATCH($I284,Tables!$B$215:$B$218,0))),
Error!$B$17,
IF(AND(OR($E284="Tier 2",$E284="Tier 2 Grove"),$F284="Remove",$H284="Tree Protection Code: Development Capacity",$I284&lt;&gt;"",ISNA(MATCH($I284,Tables!$B$193:$B$197,0))),
Error!$B$17,
IF(AND(OR($E284="Tier 2",$E284="Tier 2 Grove"),$F284="Remove",$H284="Tree Protection Code: Necessary for Construction",$I284&lt;&gt;"",ISNA(MATCH($I284,Tables!$B$193:$B$197,0))),
Error!$B$17,
IF(AND($E284="Tier 1",$F284="Remove",$H284="Tree Protection Code: Special Exception",$I284&lt;&gt;"",ISNA(MATCH($I284,Tables!$B$215:$B$218,0))),
Error!$B$17,
IF(AND($E284="Tier 1",$F284="Remove",$H284="Tree Protection Code: Other removal allowance or exemption",$I284&lt;&gt;"",ISNA(MATCH($I284,Tables!$B$215:$B$218,0))),
Error!$B$17,
IF(AND($E284="ECA / Shoreline Tree",$F284="Remove",$H284&lt;&gt;"",OR($H284="Shoreline",$H284="Environmental Critical Area (ECA)"),ISNA(MATCH($I284,Tables!$B$209:$B$212,0))),
Error!$B$17,
IF(AND(_xlpm.baseRow,$F284="Retain",$E284="ECA / Shoreline Tree",_xlpm.ECA_Short=0),
Error!$B$61,
IF(AND($F284="Remove",ISNUMBER(MATCH($E284,{"Tier 1","Tier 2","Tier 3","Tier 4","Tier 2 Grove"},0)),ISNUMBER(MATCH($I284,{"On-site replacement","Off-site replacement"},0)),$J284="",$H284&lt;&gt;""),
Error!$B$19,
IF(AND(_xlpm.baseRow,$E284&lt;&gt;"",$D284&lt;&gt;"",$F284&lt;&gt;"",COUNTBLANK($B284:$C284)&gt;0,COUNTBLANK(_xlpm.HRange)&lt;&gt;4),
Error!$B$22,
IF(AND($H284="Zoning: Tree Points",$K284&lt;&gt;"",ISNA(MATCH($K284,Tables!$B$242:$B$253,0))),
Error!$B$58,
IF(AND($H284="Zoning: Tree Points",$K284="Small",$L284&lt;&gt;"",ISNA(MATCH($L284,Tables!$C$243:$C$244,0))),
Error!$B$59,
IF(AND($H284="Zoning: Tree Points",$K284="Small/Medium",$L284&lt;&gt;"",ISNA(MATCH($L284,Tables!$C$246:$C$247,0))),
Error!$B$59,
IF(AND($H284="Zoning: Tree Points",$K284="Medium/Large",$L284&lt;&gt;"",ISNA(MATCH($L284,Tables!$C$249:$C$250,0))),
Error!$B$59,
IF(AND($H284="Zoning: Tree Points",$K284="Large",$L284&lt;&gt;"",ISNA(MATCH($L284,Tables!$C$252:$C$253,0))),
Error!$B$59,
IF(AND($F284="Retain",$H284="Zoning: Tree Points",$C284&lt;&gt;"",$D284&lt;&gt;"",OR($K284="",$L284="",$M284="")),
Error!$B$20,
""
)))))))))))))))))))))))))))))))))))))))))))))))))))))))),
Error!$B$23))</f>
        <v/>
      </c>
      <c r="O284" s="343" t="str" cm="1">
        <f t="array" aca="1" ref="O284" ca="1">IFERROR(_xlfn.LET(
    _xlpm.txt, $C284,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85" spans="1:15" x14ac:dyDescent="0.3">
      <c r="A285" s="320"/>
      <c r="B285" s="616" t="str">
        <f t="shared" si="300"/>
        <v/>
      </c>
      <c r="C285" s="617" t="str">
        <f t="shared" si="301"/>
        <v/>
      </c>
      <c r="D285" s="618" t="str">
        <f t="shared" si="302"/>
        <v/>
      </c>
      <c r="E285" s="616" t="str">
        <f t="shared" si="303"/>
        <v/>
      </c>
      <c r="F285" s="616" t="str">
        <f t="shared" si="304"/>
        <v/>
      </c>
      <c r="G285" s="619" t="str">
        <f>IF(Tree_Table1[[#This Row],[Tree Status  &amp;]]="Retain", Tables!$B$237, IF(Tree_Table1[[#This Row],[Tree Status  &amp;]]="Remove", Tables!$B$238, ""))</f>
        <v/>
      </c>
      <c r="H285" s="321"/>
      <c r="I285" s="322"/>
      <c r="J285" s="453"/>
      <c r="K285" s="323" t="str">
        <f>IFERROR(
    IF(
        AND($H285="Zoning: Tree Points", NOT(ISNUMBER(SEARCH("sp.", $C285)))),
        VLOOKUP($C285, 'Tree List'!$C$3:$F$601, 4, FALSE),
        ""
    ),
"")</f>
        <v/>
      </c>
      <c r="L285" s="324" t="str" cm="1">
        <f t="array" ref="L285">IFERROR(
IF(
    AND($H285="Zoning: Tree Points", NOT(ISNUMBER(SEARCH("sp.", $C285)))),
    _xlfn.IFS(
        (COUNTIFS('Tree List'!$C$3:$C$601,$C285,'Tree List'!$D$3:$D$601,"Coniferous")
        + COUNTIFS('Tree List'!$C$3:$C$601,$C285,'Tree List'!$D$3:$D$601,"Deciduous Conifer")) &gt; 0,
            _xlfn.IFS($K285="Small",0.5,$K285="Small/Medium",1,$K285="Medium/Large",1.4,$K285="Large",1.8),
        (COUNTIFS('Tree List'!$C$3:$C$601,$C285,'Tree List'!$D$3:$D$601,"Deciduous")
        + COUNTIFS('Tree List'!$C$3:$C$601,$C285,'Tree List'!$D$3:$D$601,"Broadleaf Evergreen")) &gt; 0,
            _xlfn.IFS($K285="Small",0.4,$K285="Small/Medium",0.8,$K285="Medium/Large",1.2,$K285="Large",1.6)
    ),
    ""
),
"")</f>
        <v/>
      </c>
      <c r="M285" s="475" t="str">
        <f t="shared" si="249"/>
        <v/>
      </c>
      <c r="N285" s="346" t="str" cm="1">
        <f t="array" aca="1" ref="N28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IF(AND(_xlpm.baseRow,ISNA(MATCH($C285,'Tree List'!$C$3:$C$601,0)),SUMPRODUCT(--ISNUMBER(SEARCH(Tables2!$C$677:$C$772,$O285)))&gt;0),
Error!$B$57,
IF(AND(_xlpm.hasDM,$F285="Remove",$H285&lt;&gt;"",OR($I285="On-site replacement",$I285="Off-site replacement",$I285="Payment In Lieu")),
Error!$B$56,
IF(AND(_xlpm.hasDM,$F285="Remove",$H285&lt;&gt;"",$I285="Relocation"),
Error!$B$66,
IF(AND(OR(_xlpm.hasCN,_xlpm.hasPH,_xlpm.hasGR),$H285&lt;&gt;"",COUNTIF(Tables!$B$132:$B$134,$H285)&gt;0,$I285="N/A (No replacement required)"),
Error!$B$62,
IF(AND(_xlpm.baseRow,$E285&lt;&gt;"",ISNA(MATCH($E285,Tables!$B$225:$B$232,0))),
Error!$B$2,
IF(AND(_xlpm.baseRow,$F285&lt;&gt;"",ISNA(MATCH($F285,Tables!$B$234:$B$235,0))),
Error!$B$24,
IF(AND(_xlpm.baseRow,_xlpm.ECA_H&gt;0,_xlpm.Shore_H&gt;0),
Error!$B$16,
IF(AND(_xlpm.baseRow,$E285&lt;&gt;"",$D285=""),
Error!$B$3,
IF(AND(_xlpm.baseRow,OR($E285="Tier 3",$E285="Tier 4"),$C285&lt;&gt;"",$D285&gt;=24,COUNTIF(Tables2!$B$166:$B$674,$C285)&gt;0),
Error!$B$44,
IF(AND(_xlpm.baseRow,OR($E285="Tier 3",$E285="Tier 4"),$C285&lt;&gt;"",$D285&lt;&gt;"",COUNTIF(Tables2!$B$73:$B$152,$C285)&gt;0,
$D285&gt;=IFERROR(INDEX(Tables2!$C$73:$C$152,MATCH($C285,Tables2!$B$73:$B$152,0)),-1)),
Error!$B$44,
IF(AND(_xlpm.baseRow,OR($E285="Tier 2",$E285="Tier 2 Grove"),$C285&lt;&gt;"",$D285&gt;=12,COUNTIF(Tables2!$B$153:$B$162,$C285)&gt;0),
Error!$B$45,
IF(AND(_xlpm.baseRow,$E285="Tier 2 Grove",$D285&lt;12),
Error!$B$41,
IF(AND(_xlpm.baseRow,$E285="Tier 2",$D285&lt;5.88),
Error!$B$40,
IF(AND(_xlpm.baseRow,OR($E285="Tier 2",$E285="Tier 2 Grove"),$C285&lt;&gt;"",$D285&lt;12,$D285&gt;=6,COUNTIF(Tables2!$B$153:$B$162,$C285)&gt;0),
Error!$B$54,
IF(AND(_xlpm.baseRow,$E285="Tier 2",COUNTIF(Tables2!$B$166:$B$674,$C285)&gt;0,$D285&lt;24),
Error!$B$54,
IF(AND(_xlpm.baseRow,$E285="Tier 3",ISNA(MATCH($C285,Tables2!$B$153:$B$162,0)),OR($D285&lt;12,$D285&gt;=24)),
Error!$B$9,
IF(AND(_xlpm.baseRow,$E285="Tier 3",COUNTIF(Tables2!$B$153:$B$162,$C285)&gt;0,$D285&lt;12),
Error!$B$46,
IF(AND(_xlpm.baseRow,$E285="Tier 4",OR($D285&lt;6,$D285&gt;=12)),
Error!$B$10,
IF(AND(_xlpm.baseRow,$E285="&lt;6in DSH for Tree Points",OR($D285&gt;=6,$D285="")),
Error!$B$8,
IF(AND(_xlpm.baseRow,$E285="Street Tree for Green Factor",$F285&lt;&gt;"",$F285&lt;&gt;"Retain"),
Error!$B$14,
IF(AND($E285="&lt;6in DSH for Tree Points",$F285="Retain",$H285&lt;&gt;"",ISNA(MATCH($H285,Tables!$B$174:$B$174,0))),
Error!$B$15,
IF(AND($E285="Street Tree for Green Factor",$F285="Retain",$H285&lt;&gt;"",$H285&lt;&gt;"Zoning: Green Factor"),
Error!$B$15,
IF(AND($E285="ECA / Shoreline Tree",$F285="Remove",$H285&lt;&gt;"",ISNA(MATCH($H285,Tables!$B$189:$B$190,0))),
Error!$B$15,
IF(AND($E285="ECA / Shoreline Tree",$F285="Retain",$H285&lt;&gt;"",ISNA(MATCH($H285,Tables!$B$184:$B$186,0))),
Error!$B$15,
IF(AND($E285="Tier 4",$F285="Remove",$H285&lt;&gt;"",ISNA(MATCH($H285,Tables!$B$171,0))),
Error!$B$15,
IF(AND($E285="Tier 4",$F285="Retain",$H285&lt;&gt;"",ISNA(MATCH($H285,Tables!$B$166:$B$168,0))),
Error!$B$15,
IF(AND($E285="Tier 3",$F285="Retain",$H285&lt;&gt;"",ISNA(MATCH($H285,Tables!$B$158:$B$160,0))),
Error!$B$15,
IF(AND($E285="Tier 3",$F285="Remove",$H285&lt;&gt;"",ISNA(MATCH($H285,Tables!$B$163,0))),
Error!$B$15,
IF(AND(OR($E285="Tier 2",$E285="Tier 2 Grove"),$F285="Remove",$H285&lt;&gt;"",ISNA(MATCH($H285,Tables!$B$153:$B$155,0))),
Error!$B$15,
IF(AND(OR($E285="Tier 2",$E285="Tier 2 Grove"),$F285="Retain",$H285&lt;&gt;"",ISNA(MATCH($H285,Tables!$B$147:$B$150,0))),
Error!$B$15,
IF(AND($E285="Tier 1",$F285="Remove",$H285&lt;&gt;"",ISNA(MATCH($H285,Tables!$B$143:$B$144,0))),
Error!$B$15,
IF(AND($E285="Tier 1",$F285="Retain",$H285&lt;&gt;"",ISNA(MATCH($H285,Tables!$B$137:$B$140,0))),
Error!$B$15,
IF(AND($E285&lt;&gt;"Tier 2",$E285&lt;&gt;"Tier 2 Grove",$E285&lt;&gt;"Tier 3",$E285&lt;&gt;"Tier 4",$H285="Zoning: Green Factor",OR($D285="",$D285&lt;6)),
Error!$B$11,
IF(AND(_xlpm.baseRow,$D285&lt;6,$E285="&lt;6in DSH for Tree Points",_xlpm.TreePoints_H=0),
Error!$B$21,
IF(AND(_xlpm.baseRow,$E285&lt;&gt;"",$D285&lt;&gt;"",$F285=""),
Error!$B$4,
IF(AND(_xlpm.baseRow,$F285="Remove",OR($E285="Tier 1",$E285="Tier 2",$E285="Tier 2 Grove"),COUNTBLANK(_xlpm.HRange)&lt;3,_xlpm.uniqueH&gt;=2),
Error!$B$48,
IF(AND(_xlpm.baseRow,$F285="Retain",OR($E285="Tier 1",$E285="Tier 2",$E285="Tier 2 Grove"),COUNTIF(_xlpm.HRange,"Tree Code: Required to Retain Tier 1-2 Tree")=0),
Error!$B$47,
IF(AND(_xlpm.baseRow,$E285&lt;&gt;"",$D285&lt;&gt;"",$F285&lt;&gt;"",COUNTBLANK(_xlpm.HRange)=4),
Error!$B$5,
IF(AND($F285="Remove",$H285&lt;&gt;"",$I285=""),
Error!$B$18,
IF(AND($E285="Tier 4",$F285="Remove",$H285="Tree Protection Code: Tier 3 or Tier 4 Allowance",$H285&lt;&gt;"",ISNA(MATCH($I285,Tables!$B$200,0))),
Error!$B$17,
IF(AND($E285="Tier 3",$F285="Remove",$H285&lt;&gt;"",$H285="Tree Protection Code: Tier 3 or Tier 4 Allowance",OR($I285="",ISNA(MATCH($I285,Tables!$B$193:$B$197,0)))),
Error!$B$17,
IF(AND(OR($E285="Tier 2",$E285="Tier 2 Grove"),$F285="Remove",$H285="Tree Protection Code: Other removal allowance or exemption",$I285&lt;&gt;"",ISNA(MATCH($I285,Tables!$B$215:$B$218,0))),
Error!$B$17,
IF(AND(OR($E285="Tier 2",$E285="Tier 2 Grove"),$F285="Remove",$H285="Tree Protection Code: Development Capacity",$I285&lt;&gt;"",ISNA(MATCH($I285,Tables!$B$193:$B$197,0))),
Error!$B$17,
IF(AND(OR($E285="Tier 2",$E285="Tier 2 Grove"),$F285="Remove",$H285="Tree Protection Code: Necessary for Construction",$I285&lt;&gt;"",ISNA(MATCH($I285,Tables!$B$193:$B$197,0))),
Error!$B$17,
IF(AND($E285="Tier 1",$F285="Remove",$H285="Tree Protection Code: Special Exception",$I285&lt;&gt;"",ISNA(MATCH($I285,Tables!$B$215:$B$218,0))),
Error!$B$17,
IF(AND($E285="Tier 1",$F285="Remove",$H285="Tree Protection Code: Other removal allowance or exemption",$I285&lt;&gt;"",ISNA(MATCH($I285,Tables!$B$215:$B$218,0))),
Error!$B$17,
IF(AND($E285="ECA / Shoreline Tree",$F285="Remove",$H285&lt;&gt;"",OR($H285="Shoreline",$H285="Environmental Critical Area (ECA)"),ISNA(MATCH($I285,Tables!$B$209:$B$212,0))),
Error!$B$17,
IF(AND(_xlpm.baseRow,$F285="Retain",$E285="ECA / Shoreline Tree",_xlpm.ECA_Short=0),
Error!$B$61,
IF(AND($F285="Remove",ISNUMBER(MATCH($E285,{"Tier 1","Tier 2","Tier 3","Tier 4","Tier 2 Grove"},0)),ISNUMBER(MATCH($I285,{"On-site replacement","Off-site replacement"},0)),$J285="",$H285&lt;&gt;""),
Error!$B$19,
IF(AND(_xlpm.baseRow,$E285&lt;&gt;"",$D285&lt;&gt;"",$F285&lt;&gt;"",COUNTBLANK($B285:$C285)&gt;0,COUNTBLANK(_xlpm.HRange)&lt;&gt;4),
Error!$B$22,
IF(AND($H285="Zoning: Tree Points",$K285&lt;&gt;"",ISNA(MATCH($K285,Tables!$B$242:$B$253,0))),
Error!$B$58,
IF(AND($H285="Zoning: Tree Points",$K285="Small",$L285&lt;&gt;"",ISNA(MATCH($L285,Tables!$C$243:$C$244,0))),
Error!$B$59,
IF(AND($H285="Zoning: Tree Points",$K285="Small/Medium",$L285&lt;&gt;"",ISNA(MATCH($L285,Tables!$C$246:$C$247,0))),
Error!$B$59,
IF(AND($H285="Zoning: Tree Points",$K285="Medium/Large",$L285&lt;&gt;"",ISNA(MATCH($L285,Tables!$C$249:$C$250,0))),
Error!$B$59,
IF(AND($H285="Zoning: Tree Points",$K285="Large",$L285&lt;&gt;"",ISNA(MATCH($L285,Tables!$C$252:$C$253,0))),
Error!$B$59,
IF(AND($F285="Retain",$H285="Zoning: Tree Points",$C285&lt;&gt;"",$D285&lt;&gt;"",OR($K285="",$L285="",$M285="")),
Error!$B$20,
""
)))))))))))))))))))))))))))))))))))))))))))))))))))))))),
Error!$B$23))</f>
        <v/>
      </c>
      <c r="O285" s="343" t="str" cm="1">
        <f t="array" aca="1" ref="O285" ca="1">IFERROR(_xlfn.LET(
    _xlpm.txt, $C285,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86" spans="1:15" ht="15" thickBot="1" x14ac:dyDescent="0.35">
      <c r="A286" s="331"/>
      <c r="B286" s="616" t="str">
        <f t="shared" si="300"/>
        <v/>
      </c>
      <c r="C286" s="617" t="str">
        <f t="shared" si="301"/>
        <v/>
      </c>
      <c r="D286" s="618" t="str">
        <f t="shared" si="302"/>
        <v/>
      </c>
      <c r="E286" s="616" t="str">
        <f t="shared" si="303"/>
        <v/>
      </c>
      <c r="F286" s="616" t="str">
        <f t="shared" si="304"/>
        <v/>
      </c>
      <c r="G286" s="619" t="str">
        <f>IF(Tree_Table1[[#This Row],[Tree Status  &amp;]]="Retain", Tables!$B$237, IF(Tree_Table1[[#This Row],[Tree Status  &amp;]]="Remove", Tables!$B$238, ""))</f>
        <v/>
      </c>
      <c r="H286" s="329"/>
      <c r="I286" s="330"/>
      <c r="J286" s="455"/>
      <c r="K286" s="327" t="str">
        <f>IFERROR(
    IF(
        AND($H286="Zoning: Tree Points", NOT(ISNUMBER(SEARCH("sp.", $C286)))),
        VLOOKUP($C286, 'Tree List'!$C$3:$F$601, 4, FALSE),
        ""
    ),
"")</f>
        <v/>
      </c>
      <c r="L286" s="328" t="str" cm="1">
        <f t="array" ref="L286">IFERROR(
IF(
    AND($H286="Zoning: Tree Points", NOT(ISNUMBER(SEARCH("sp.", $C286)))),
    _xlfn.IFS(
        (COUNTIFS('Tree List'!$C$3:$C$601,$C286,'Tree List'!$D$3:$D$601,"Coniferous")
        + COUNTIFS('Tree List'!$C$3:$C$601,$C286,'Tree List'!$D$3:$D$601,"Deciduous Conifer")) &gt; 0,
            _xlfn.IFS($K286="Small",0.5,$K286="Small/Medium",1,$K286="Medium/Large",1.4,$K286="Large",1.8),
        (COUNTIFS('Tree List'!$C$3:$C$601,$C286,'Tree List'!$D$3:$D$601,"Deciduous")
        + COUNTIFS('Tree List'!$C$3:$C$601,$C286,'Tree List'!$D$3:$D$601,"Broadleaf Evergreen")) &gt; 0,
            _xlfn.IFS($K286="Small",0.4,$K286="Small/Medium",0.8,$K286="Medium/Large",1.2,$K286="Large",1.6)
    ),
    ""
),
"")</f>
        <v/>
      </c>
      <c r="M286" s="476" t="str">
        <f t="shared" si="249"/>
        <v/>
      </c>
      <c r="N286" s="347" t="str" cm="1">
        <f t="array" aca="1" ref="N28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IF(AND(_xlpm.baseRow,ISNA(MATCH($C286,'Tree List'!$C$3:$C$601,0)),SUMPRODUCT(--ISNUMBER(SEARCH(Tables2!$C$677:$C$772,$O286)))&gt;0),
Error!$B$57,
IF(AND(_xlpm.hasDM,$F286="Remove",$H286&lt;&gt;"",OR($I286="On-site replacement",$I286="Off-site replacement",$I286="Payment In Lieu")),
Error!$B$56,
IF(AND(_xlpm.hasDM,$F286="Remove",$H286&lt;&gt;"",$I286="Relocation"),
Error!$B$66,
IF(AND(OR(_xlpm.hasCN,_xlpm.hasPH,_xlpm.hasGR),$H286&lt;&gt;"",COUNTIF(Tables!$B$132:$B$134,$H286)&gt;0,$I286="N/A (No replacement required)"),
Error!$B$62,
IF(AND(_xlpm.baseRow,$E286&lt;&gt;"",ISNA(MATCH($E286,Tables!$B$225:$B$232,0))),
Error!$B$2,
IF(AND(_xlpm.baseRow,$F286&lt;&gt;"",ISNA(MATCH($F286,Tables!$B$234:$B$235,0))),
Error!$B$24,
IF(AND(_xlpm.baseRow,_xlpm.ECA_H&gt;0,_xlpm.Shore_H&gt;0),
Error!$B$16,
IF(AND(_xlpm.baseRow,$E286&lt;&gt;"",$D286=""),
Error!$B$3,
IF(AND(_xlpm.baseRow,OR($E286="Tier 3",$E286="Tier 4"),$C286&lt;&gt;"",$D286&gt;=24,COUNTIF(Tables2!$B$166:$B$674,$C286)&gt;0),
Error!$B$44,
IF(AND(_xlpm.baseRow,OR($E286="Tier 3",$E286="Tier 4"),$C286&lt;&gt;"",$D286&lt;&gt;"",COUNTIF(Tables2!$B$73:$B$152,$C286)&gt;0,
$D286&gt;=IFERROR(INDEX(Tables2!$C$73:$C$152,MATCH($C286,Tables2!$B$73:$B$152,0)),-1)),
Error!$B$44,
IF(AND(_xlpm.baseRow,OR($E286="Tier 2",$E286="Tier 2 Grove"),$C286&lt;&gt;"",$D286&gt;=12,COUNTIF(Tables2!$B$153:$B$162,$C286)&gt;0),
Error!$B$45,
IF(AND(_xlpm.baseRow,$E286="Tier 2 Grove",$D286&lt;12),
Error!$B$41,
IF(AND(_xlpm.baseRow,$E286="Tier 2",$D286&lt;5.88),
Error!$B$40,
IF(AND(_xlpm.baseRow,OR($E286="Tier 2",$E286="Tier 2 Grove"),$C286&lt;&gt;"",$D286&lt;12,$D286&gt;=6,COUNTIF(Tables2!$B$153:$B$162,$C286)&gt;0),
Error!$B$54,
IF(AND(_xlpm.baseRow,$E286="Tier 2",COUNTIF(Tables2!$B$166:$B$674,$C286)&gt;0,$D286&lt;24),
Error!$B$54,
IF(AND(_xlpm.baseRow,$E286="Tier 3",ISNA(MATCH($C286,Tables2!$B$153:$B$162,0)),OR($D286&lt;12,$D286&gt;=24)),
Error!$B$9,
IF(AND(_xlpm.baseRow,$E286="Tier 3",COUNTIF(Tables2!$B$153:$B$162,$C286)&gt;0,$D286&lt;12),
Error!$B$46,
IF(AND(_xlpm.baseRow,$E286="Tier 4",OR($D286&lt;6,$D286&gt;=12)),
Error!$B$10,
IF(AND(_xlpm.baseRow,$E286="&lt;6in DSH for Tree Points",OR($D286&gt;=6,$D286="")),
Error!$B$8,
IF(AND(_xlpm.baseRow,$E286="Street Tree for Green Factor",$F286&lt;&gt;"",$F286&lt;&gt;"Retain"),
Error!$B$14,
IF(AND($E286="&lt;6in DSH for Tree Points",$F286="Retain",$H286&lt;&gt;"",ISNA(MATCH($H286,Tables!$B$174:$B$174,0))),
Error!$B$15,
IF(AND($E286="Street Tree for Green Factor",$F286="Retain",$H286&lt;&gt;"",$H286&lt;&gt;"Zoning: Green Factor"),
Error!$B$15,
IF(AND($E286="ECA / Shoreline Tree",$F286="Remove",$H286&lt;&gt;"",ISNA(MATCH($H286,Tables!$B$189:$B$190,0))),
Error!$B$15,
IF(AND($E286="ECA / Shoreline Tree",$F286="Retain",$H286&lt;&gt;"",ISNA(MATCH($H286,Tables!$B$184:$B$186,0))),
Error!$B$15,
IF(AND($E286="Tier 4",$F286="Remove",$H286&lt;&gt;"",ISNA(MATCH($H286,Tables!$B$171,0))),
Error!$B$15,
IF(AND($E286="Tier 4",$F286="Retain",$H286&lt;&gt;"",ISNA(MATCH($H286,Tables!$B$166:$B$168,0))),
Error!$B$15,
IF(AND($E286="Tier 3",$F286="Retain",$H286&lt;&gt;"",ISNA(MATCH($H286,Tables!$B$158:$B$160,0))),
Error!$B$15,
IF(AND($E286="Tier 3",$F286="Remove",$H286&lt;&gt;"",ISNA(MATCH($H286,Tables!$B$163,0))),
Error!$B$15,
IF(AND(OR($E286="Tier 2",$E286="Tier 2 Grove"),$F286="Remove",$H286&lt;&gt;"",ISNA(MATCH($H286,Tables!$B$153:$B$155,0))),
Error!$B$15,
IF(AND(OR($E286="Tier 2",$E286="Tier 2 Grove"),$F286="Retain",$H286&lt;&gt;"",ISNA(MATCH($H286,Tables!$B$147:$B$150,0))),
Error!$B$15,
IF(AND($E286="Tier 1",$F286="Remove",$H286&lt;&gt;"",ISNA(MATCH($H286,Tables!$B$143:$B$144,0))),
Error!$B$15,
IF(AND($E286="Tier 1",$F286="Retain",$H286&lt;&gt;"",ISNA(MATCH($H286,Tables!$B$137:$B$140,0))),
Error!$B$15,
IF(AND($E286&lt;&gt;"Tier 2",$E286&lt;&gt;"Tier 2 Grove",$E286&lt;&gt;"Tier 3",$E286&lt;&gt;"Tier 4",$H286="Zoning: Green Factor",OR($D286="",$D286&lt;6)),
Error!$B$11,
IF(AND(_xlpm.baseRow,$D286&lt;6,$E286="&lt;6in DSH for Tree Points",_xlpm.TreePoints_H=0),
Error!$B$21,
IF(AND(_xlpm.baseRow,$E286&lt;&gt;"",$D286&lt;&gt;"",$F286=""),
Error!$B$4,
IF(AND(_xlpm.baseRow,$F286="Remove",OR($E286="Tier 1",$E286="Tier 2",$E286="Tier 2 Grove"),COUNTBLANK(_xlpm.HRange)&lt;3,_xlpm.uniqueH&gt;=2),
Error!$B$48,
IF(AND(_xlpm.baseRow,$F286="Retain",OR($E286="Tier 1",$E286="Tier 2",$E286="Tier 2 Grove"),COUNTIF(_xlpm.HRange,"Tree Code: Required to Retain Tier 1-2 Tree")=0),
Error!$B$47,
IF(AND(_xlpm.baseRow,$E286&lt;&gt;"",$D286&lt;&gt;"",$F286&lt;&gt;"",COUNTBLANK(_xlpm.HRange)=4),
Error!$B$5,
IF(AND($F286="Remove",$H286&lt;&gt;"",$I286=""),
Error!$B$18,
IF(AND($E286="Tier 4",$F286="Remove",$H286="Tree Protection Code: Tier 3 or Tier 4 Allowance",$H286&lt;&gt;"",ISNA(MATCH($I286,Tables!$B$200,0))),
Error!$B$17,
IF(AND($E286="Tier 3",$F286="Remove",$H286&lt;&gt;"",$H286="Tree Protection Code: Tier 3 or Tier 4 Allowance",OR($I286="",ISNA(MATCH($I286,Tables!$B$193:$B$197,0)))),
Error!$B$17,
IF(AND(OR($E286="Tier 2",$E286="Tier 2 Grove"),$F286="Remove",$H286="Tree Protection Code: Other removal allowance or exemption",$I286&lt;&gt;"",ISNA(MATCH($I286,Tables!$B$215:$B$218,0))),
Error!$B$17,
IF(AND(OR($E286="Tier 2",$E286="Tier 2 Grove"),$F286="Remove",$H286="Tree Protection Code: Development Capacity",$I286&lt;&gt;"",ISNA(MATCH($I286,Tables!$B$193:$B$197,0))),
Error!$B$17,
IF(AND(OR($E286="Tier 2",$E286="Tier 2 Grove"),$F286="Remove",$H286="Tree Protection Code: Necessary for Construction",$I286&lt;&gt;"",ISNA(MATCH($I286,Tables!$B$193:$B$197,0))),
Error!$B$17,
IF(AND($E286="Tier 1",$F286="Remove",$H286="Tree Protection Code: Special Exception",$I286&lt;&gt;"",ISNA(MATCH($I286,Tables!$B$215:$B$218,0))),
Error!$B$17,
IF(AND($E286="Tier 1",$F286="Remove",$H286="Tree Protection Code: Other removal allowance or exemption",$I286&lt;&gt;"",ISNA(MATCH($I286,Tables!$B$215:$B$218,0))),
Error!$B$17,
IF(AND($E286="ECA / Shoreline Tree",$F286="Remove",$H286&lt;&gt;"",OR($H286="Shoreline",$H286="Environmental Critical Area (ECA)"),ISNA(MATCH($I286,Tables!$B$209:$B$212,0))),
Error!$B$17,
IF(AND(_xlpm.baseRow,$F286="Retain",$E286="ECA / Shoreline Tree",_xlpm.ECA_Short=0),
Error!$B$61,
IF(AND($F286="Remove",ISNUMBER(MATCH($E286,{"Tier 1","Tier 2","Tier 3","Tier 4","Tier 2 Grove"},0)),ISNUMBER(MATCH($I286,{"On-site replacement","Off-site replacement"},0)),$J286="",$H286&lt;&gt;""),
Error!$B$19,
IF(AND(_xlpm.baseRow,$E286&lt;&gt;"",$D286&lt;&gt;"",$F286&lt;&gt;"",COUNTBLANK($B286:$C286)&gt;0,COUNTBLANK(_xlpm.HRange)&lt;&gt;4),
Error!$B$22,
IF(AND($H286="Zoning: Tree Points",$K286&lt;&gt;"",ISNA(MATCH($K286,Tables!$B$242:$B$253,0))),
Error!$B$58,
IF(AND($H286="Zoning: Tree Points",$K286="Small",$L286&lt;&gt;"",ISNA(MATCH($L286,Tables!$C$243:$C$244,0))),
Error!$B$59,
IF(AND($H286="Zoning: Tree Points",$K286="Small/Medium",$L286&lt;&gt;"",ISNA(MATCH($L286,Tables!$C$246:$C$247,0))),
Error!$B$59,
IF(AND($H286="Zoning: Tree Points",$K286="Medium/Large",$L286&lt;&gt;"",ISNA(MATCH($L286,Tables!$C$249:$C$250,0))),
Error!$B$59,
IF(AND($H286="Zoning: Tree Points",$K286="Large",$L286&lt;&gt;"",ISNA(MATCH($L286,Tables!$C$252:$C$253,0))),
Error!$B$59,
IF(AND($F286="Retain",$H286="Zoning: Tree Points",$C286&lt;&gt;"",$D286&lt;&gt;"",OR($K286="",$L286="",$M286="")),
Error!$B$20,
""
)))))))))))))))))))))))))))))))))))))))))))))))))))))))),
Error!$B$23))</f>
        <v/>
      </c>
      <c r="O286" s="343" t="str" cm="1">
        <f t="array" aca="1" ref="O286" ca="1">IFERROR(_xlfn.LET(
    _xlpm.txt, $C286,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87" spans="1:15" ht="15" thickBot="1" x14ac:dyDescent="0.35">
      <c r="A287" s="311">
        <v>70</v>
      </c>
      <c r="B287" s="312"/>
      <c r="C287" s="313"/>
      <c r="D287" s="478"/>
      <c r="E287" s="314"/>
      <c r="F287" s="314"/>
      <c r="G287" s="315" t="str">
        <f>IF(Tree_Table1[[#This Row],[Tree Status  &amp;]]="Retain", Tables!$B$237, IF(Tree_Table1[[#This Row],[Tree Status  &amp;]]="Remove", Tables!$B$238, ""))</f>
        <v/>
      </c>
      <c r="H287" s="316"/>
      <c r="I287" s="317"/>
      <c r="J287" s="452"/>
      <c r="K287" s="318" t="str">
        <f>IFERROR(
    IF(
        AND($H287="Zoning: Tree Points", NOT(ISNUMBER(SEARCH("sp.", $C287)))),
        VLOOKUP($C287, 'Tree List'!$C$3:$F$601, 4, FALSE),
        ""
    ),
"")</f>
        <v/>
      </c>
      <c r="L287" s="319" t="str" cm="1">
        <f t="array" ref="L287">IFERROR(
IF(
    AND($H287="Zoning: Tree Points", NOT(ISNUMBER(SEARCH("sp.", $C287)))),
    _xlfn.IFS(
        (COUNTIFS('Tree List'!$C$3:$C$601,$C287,'Tree List'!$D$3:$D$601,"Coniferous")
        + COUNTIFS('Tree List'!$C$3:$C$601,$C287,'Tree List'!$D$3:$D$601,"Deciduous Conifer")) &gt; 0,
            _xlfn.IFS($K287="Small",0.5,$K287="Small/Medium",1,$K287="Medium/Large",1.4,$K287="Large",1.8),
        (COUNTIFS('Tree List'!$C$3:$C$601,$C287,'Tree List'!$D$3:$D$601,"Deciduous")
        + COUNTIFS('Tree List'!$C$3:$C$601,$C287,'Tree List'!$D$3:$D$601,"Broadleaf Evergreen")) &gt; 0,
            _xlfn.IFS($K287="Small",0.4,$K287="Small/Medium",0.8,$K287="Medium/Large",1.2,$K287="Large",1.6)
    ),
    ""
),
"")</f>
        <v/>
      </c>
      <c r="M287" s="474" t="str">
        <f t="shared" si="249"/>
        <v/>
      </c>
      <c r="N287" s="620" t="str" cm="1">
        <f t="array" aca="1" ref="N28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IF(AND(_xlpm.baseRow,ISNA(MATCH($C287,'Tree List'!$C$3:$C$601,0)),SUMPRODUCT(--ISNUMBER(SEARCH(Tables2!$C$677:$C$772,$O287)))&gt;0),
Error!$B$57,
IF(AND(_xlpm.hasDM,$F287="Remove",$H287&lt;&gt;"",OR($I287="On-site replacement",$I287="Off-site replacement",$I287="Payment In Lieu")),
Error!$B$56,
IF(AND(_xlpm.hasDM,$F287="Remove",$H287&lt;&gt;"",$I287="Relocation"),
Error!$B$66,
IF(AND(OR(_xlpm.hasCN,_xlpm.hasPH,_xlpm.hasGR),$H287&lt;&gt;"",COUNTIF(Tables!$B$132:$B$134,$H287)&gt;0,$I287="N/A (No replacement required)"),
Error!$B$62,
IF(AND(_xlpm.baseRow,$E287&lt;&gt;"",ISNA(MATCH($E287,Tables!$B$225:$B$232,0))),
Error!$B$2,
IF(AND(_xlpm.baseRow,$F287&lt;&gt;"",ISNA(MATCH($F287,Tables!$B$234:$B$235,0))),
Error!$B$24,
IF(AND(_xlpm.baseRow,_xlpm.ECA_H&gt;0,_xlpm.Shore_H&gt;0),
Error!$B$16,
IF(AND(_xlpm.baseRow,$E287&lt;&gt;"",$D287=""),
Error!$B$3,
IF(AND(_xlpm.baseRow,OR($E287="Tier 3",$E287="Tier 4"),$C287&lt;&gt;"",$D287&gt;=24,COUNTIF(Tables2!$B$166:$B$674,$C287)&gt;0),
Error!$B$44,
IF(AND(_xlpm.baseRow,OR($E287="Tier 3",$E287="Tier 4"),$C287&lt;&gt;"",$D287&lt;&gt;"",COUNTIF(Tables2!$B$73:$B$152,$C287)&gt;0,
$D287&gt;=IFERROR(INDEX(Tables2!$C$73:$C$152,MATCH($C287,Tables2!$B$73:$B$152,0)),-1)),
Error!$B$44,
IF(AND(_xlpm.baseRow,OR($E287="Tier 2",$E287="Tier 2 Grove"),$C287&lt;&gt;"",$D287&gt;=12,COUNTIF(Tables2!$B$153:$B$162,$C287)&gt;0),
Error!$B$45,
IF(AND(_xlpm.baseRow,$E287="Tier 2 Grove",$D287&lt;12),
Error!$B$41,
IF(AND(_xlpm.baseRow,$E287="Tier 2",$D287&lt;5.88),
Error!$B$40,
IF(AND(_xlpm.baseRow,OR($E287="Tier 2",$E287="Tier 2 Grove"),$C287&lt;&gt;"",$D287&lt;12,$D287&gt;=6,COUNTIF(Tables2!$B$153:$B$162,$C287)&gt;0),
Error!$B$54,
IF(AND(_xlpm.baseRow,$E287="Tier 2",COUNTIF(Tables2!$B$166:$B$674,$C287)&gt;0,$D287&lt;24),
Error!$B$54,
IF(AND(_xlpm.baseRow,$E287="Tier 3",ISNA(MATCH($C287,Tables2!$B$153:$B$162,0)),OR($D287&lt;12,$D287&gt;=24)),
Error!$B$9,
IF(AND(_xlpm.baseRow,$E287="Tier 3",COUNTIF(Tables2!$B$153:$B$162,$C287)&gt;0,$D287&lt;12),
Error!$B$46,
IF(AND(_xlpm.baseRow,$E287="Tier 4",OR($D287&lt;6,$D287&gt;=12)),
Error!$B$10,
IF(AND(_xlpm.baseRow,$E287="&lt;6in DSH for Tree Points",OR($D287&gt;=6,$D287="")),
Error!$B$8,
IF(AND(_xlpm.baseRow,$E287="Street Tree for Green Factor",$F287&lt;&gt;"",$F287&lt;&gt;"Retain"),
Error!$B$14,
IF(AND($E287="&lt;6in DSH for Tree Points",$F287="Retain",$H287&lt;&gt;"",ISNA(MATCH($H287,Tables!$B$174:$B$174,0))),
Error!$B$15,
IF(AND($E287="Street Tree for Green Factor",$F287="Retain",$H287&lt;&gt;"",$H287&lt;&gt;"Zoning: Green Factor"),
Error!$B$15,
IF(AND($E287="ECA / Shoreline Tree",$F287="Remove",$H287&lt;&gt;"",ISNA(MATCH($H287,Tables!$B$189:$B$190,0))),
Error!$B$15,
IF(AND($E287="ECA / Shoreline Tree",$F287="Retain",$H287&lt;&gt;"",ISNA(MATCH($H287,Tables!$B$184:$B$186,0))),
Error!$B$15,
IF(AND($E287="Tier 4",$F287="Remove",$H287&lt;&gt;"",ISNA(MATCH($H287,Tables!$B$171,0))),
Error!$B$15,
IF(AND($E287="Tier 4",$F287="Retain",$H287&lt;&gt;"",ISNA(MATCH($H287,Tables!$B$166:$B$168,0))),
Error!$B$15,
IF(AND($E287="Tier 3",$F287="Retain",$H287&lt;&gt;"",ISNA(MATCH($H287,Tables!$B$158:$B$160,0))),
Error!$B$15,
IF(AND($E287="Tier 3",$F287="Remove",$H287&lt;&gt;"",ISNA(MATCH($H287,Tables!$B$163,0))),
Error!$B$15,
IF(AND(OR($E287="Tier 2",$E287="Tier 2 Grove"),$F287="Remove",$H287&lt;&gt;"",ISNA(MATCH($H287,Tables!$B$153:$B$155,0))),
Error!$B$15,
IF(AND(OR($E287="Tier 2",$E287="Tier 2 Grove"),$F287="Retain",$H287&lt;&gt;"",ISNA(MATCH($H287,Tables!$B$147:$B$150,0))),
Error!$B$15,
IF(AND($E287="Tier 1",$F287="Remove",$H287&lt;&gt;"",ISNA(MATCH($H287,Tables!$B$143:$B$144,0))),
Error!$B$15,
IF(AND($E287="Tier 1",$F287="Retain",$H287&lt;&gt;"",ISNA(MATCH($H287,Tables!$B$137:$B$140,0))),
Error!$B$15,
IF(AND($E287&lt;&gt;"Tier 2",$E287&lt;&gt;"Tier 2 Grove",$E287&lt;&gt;"Tier 3",$E287&lt;&gt;"Tier 4",$H287="Zoning: Green Factor",OR($D287="",$D287&lt;6)),
Error!$B$11,
IF(AND(_xlpm.baseRow,$D287&lt;6,$E287="&lt;6in DSH for Tree Points",_xlpm.TreePoints_H=0),
Error!$B$21,
IF(AND(_xlpm.baseRow,$E287&lt;&gt;"",$D287&lt;&gt;"",$F287=""),
Error!$B$4,
IF(AND(_xlpm.baseRow,$F287="Remove",OR($E287="Tier 1",$E287="Tier 2",$E287="Tier 2 Grove"),COUNTBLANK(_xlpm.HRange)&lt;3,_xlpm.uniqueH&gt;=2),
Error!$B$48,
IF(AND(_xlpm.baseRow,$F287="Retain",OR($E287="Tier 1",$E287="Tier 2",$E287="Tier 2 Grove"),COUNTIF(_xlpm.HRange,"Tree Code: Required to Retain Tier 1-2 Tree")=0),
Error!$B$47,
IF(AND(_xlpm.baseRow,$E287&lt;&gt;"",$D287&lt;&gt;"",$F287&lt;&gt;"",COUNTBLANK(_xlpm.HRange)=4),
Error!$B$5,
IF(AND($F287="Remove",$H287&lt;&gt;"",$I287=""),
Error!$B$18,
IF(AND($E287="Tier 4",$F287="Remove",$H287="Tree Protection Code: Tier 3 or Tier 4 Allowance",$H287&lt;&gt;"",ISNA(MATCH($I287,Tables!$B$200,0))),
Error!$B$17,
IF(AND($E287="Tier 3",$F287="Remove",$H287&lt;&gt;"",$H287="Tree Protection Code: Tier 3 or Tier 4 Allowance",OR($I287="",ISNA(MATCH($I287,Tables!$B$193:$B$197,0)))),
Error!$B$17,
IF(AND(OR($E287="Tier 2",$E287="Tier 2 Grove"),$F287="Remove",$H287="Tree Protection Code: Other removal allowance or exemption",$I287&lt;&gt;"",ISNA(MATCH($I287,Tables!$B$215:$B$218,0))),
Error!$B$17,
IF(AND(OR($E287="Tier 2",$E287="Tier 2 Grove"),$F287="Remove",$H287="Tree Protection Code: Development Capacity",$I287&lt;&gt;"",ISNA(MATCH($I287,Tables!$B$193:$B$197,0))),
Error!$B$17,
IF(AND(OR($E287="Tier 2",$E287="Tier 2 Grove"),$F287="Remove",$H287="Tree Protection Code: Necessary for Construction",$I287&lt;&gt;"",ISNA(MATCH($I287,Tables!$B$193:$B$197,0))),
Error!$B$17,
IF(AND($E287="Tier 1",$F287="Remove",$H287="Tree Protection Code: Special Exception",$I287&lt;&gt;"",ISNA(MATCH($I287,Tables!$B$215:$B$218,0))),
Error!$B$17,
IF(AND($E287="Tier 1",$F287="Remove",$H287="Tree Protection Code: Other removal allowance or exemption",$I287&lt;&gt;"",ISNA(MATCH($I287,Tables!$B$215:$B$218,0))),
Error!$B$17,
IF(AND($E287="ECA / Shoreline Tree",$F287="Remove",$H287&lt;&gt;"",OR($H287="Shoreline",$H287="Environmental Critical Area (ECA)"),ISNA(MATCH($I287,Tables!$B$209:$B$212,0))),
Error!$B$17,
IF(AND(_xlpm.baseRow,$F287="Retain",$E287="ECA / Shoreline Tree",_xlpm.ECA_Short=0),
Error!$B$61,
IF(AND($F287="Remove",ISNUMBER(MATCH($E287,{"Tier 1","Tier 2","Tier 3","Tier 4","Tier 2 Grove"},0)),ISNUMBER(MATCH($I287,{"On-site replacement","Off-site replacement"},0)),$J287="",$H287&lt;&gt;""),
Error!$B$19,
IF(AND(_xlpm.baseRow,$E287&lt;&gt;"",$D287&lt;&gt;"",$F287&lt;&gt;"",COUNTBLANK($B287:$C287)&gt;0,COUNTBLANK(_xlpm.HRange)&lt;&gt;4),
Error!$B$22,
IF(AND($H287="Zoning: Tree Points",$K287&lt;&gt;"",ISNA(MATCH($K287,Tables!$B$242:$B$253,0))),
Error!$B$58,
IF(AND($H287="Zoning: Tree Points",$K287="Small",$L287&lt;&gt;"",ISNA(MATCH($L287,Tables!$C$243:$C$244,0))),
Error!$B$59,
IF(AND($H287="Zoning: Tree Points",$K287="Small/Medium",$L287&lt;&gt;"",ISNA(MATCH($L287,Tables!$C$246:$C$247,0))),
Error!$B$59,
IF(AND($H287="Zoning: Tree Points",$K287="Medium/Large",$L287&lt;&gt;"",ISNA(MATCH($L287,Tables!$C$249:$C$250,0))),
Error!$B$59,
IF(AND($H287="Zoning: Tree Points",$K287="Large",$L287&lt;&gt;"",ISNA(MATCH($L287,Tables!$C$252:$C$253,0))),
Error!$B$59,
IF(AND($F287="Retain",$H287="Zoning: Tree Points",$C287&lt;&gt;"",$D287&lt;&gt;"",OR($K287="",$L287="",$M287="")),
Error!$B$20,
""
)))))))))))))))))))))))))))))))))))))))))))))))))))))))),
Error!$B$23))</f>
        <v/>
      </c>
      <c r="O287" s="343" t="str" cm="1">
        <f t="array" aca="1" ref="O287" ca="1">IFERROR(_xlfn.LET(
    _xlpm.txt, $C287,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88" spans="1:15" x14ac:dyDescent="0.3">
      <c r="A288" s="320"/>
      <c r="B288" s="616" t="str">
        <f t="shared" ref="B288:B290" si="305">IF($B287="", "", $B287)</f>
        <v/>
      </c>
      <c r="C288" s="617" t="str">
        <f t="shared" ref="C288:C290" si="306">IF($C287="", "", $C287)</f>
        <v/>
      </c>
      <c r="D288" s="618" t="str">
        <f t="shared" ref="D288:D290" si="307">IF($D287="", "", $D287)</f>
        <v/>
      </c>
      <c r="E288" s="616" t="str">
        <f t="shared" ref="E288:E290" si="308">IF($E287="", "", $E287)</f>
        <v/>
      </c>
      <c r="F288" s="616" t="str">
        <f t="shared" ref="F288:F290" si="309">IF($F287="", "", $F287)</f>
        <v/>
      </c>
      <c r="G288" s="619" t="str">
        <f>IF(Tree_Table1[[#This Row],[Tree Status  &amp;]]="Retain", Tables!$B$237, IF(Tree_Table1[[#This Row],[Tree Status  &amp;]]="Remove", Tables!$B$238, ""))</f>
        <v/>
      </c>
      <c r="H288" s="321"/>
      <c r="I288" s="322"/>
      <c r="J288" s="453"/>
      <c r="K288" s="323" t="str">
        <f>IFERROR(
    IF(
        AND($H288="Zoning: Tree Points", NOT(ISNUMBER(SEARCH("sp.", $C288)))),
        VLOOKUP($C288, 'Tree List'!$C$3:$F$601, 4, FALSE),
        ""
    ),
"")</f>
        <v/>
      </c>
      <c r="L288" s="324" t="str" cm="1">
        <f t="array" ref="L288">IFERROR(
IF(
    AND($H288="Zoning: Tree Points", NOT(ISNUMBER(SEARCH("sp.", $C288)))),
    _xlfn.IFS(
        (COUNTIFS('Tree List'!$C$3:$C$601,$C288,'Tree List'!$D$3:$D$601,"Coniferous")
        + COUNTIFS('Tree List'!$C$3:$C$601,$C288,'Tree List'!$D$3:$D$601,"Deciduous Conifer")) &gt; 0,
            _xlfn.IFS($K288="Small",0.5,$K288="Small/Medium",1,$K288="Medium/Large",1.4,$K288="Large",1.8),
        (COUNTIFS('Tree List'!$C$3:$C$601,$C288,'Tree List'!$D$3:$D$601,"Deciduous")
        + COUNTIFS('Tree List'!$C$3:$C$601,$C288,'Tree List'!$D$3:$D$601,"Broadleaf Evergreen")) &gt; 0,
            _xlfn.IFS($K288="Small",0.4,$K288="Small/Medium",0.8,$K288="Medium/Large",1.2,$K288="Large",1.6)
    ),
    ""
),
"")</f>
        <v/>
      </c>
      <c r="M288" s="475" t="str">
        <f t="shared" si="249"/>
        <v/>
      </c>
      <c r="N288" s="346" t="str" cm="1">
        <f t="array" aca="1" ref="N28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IF(AND(_xlpm.baseRow,ISNA(MATCH($C288,'Tree List'!$C$3:$C$601,0)),SUMPRODUCT(--ISNUMBER(SEARCH(Tables2!$C$677:$C$772,$O288)))&gt;0),
Error!$B$57,
IF(AND(_xlpm.hasDM,$F288="Remove",$H288&lt;&gt;"",OR($I288="On-site replacement",$I288="Off-site replacement",$I288="Payment In Lieu")),
Error!$B$56,
IF(AND(_xlpm.hasDM,$F288="Remove",$H288&lt;&gt;"",$I288="Relocation"),
Error!$B$66,
IF(AND(OR(_xlpm.hasCN,_xlpm.hasPH,_xlpm.hasGR),$H288&lt;&gt;"",COUNTIF(Tables!$B$132:$B$134,$H288)&gt;0,$I288="N/A (No replacement required)"),
Error!$B$62,
IF(AND(_xlpm.baseRow,$E288&lt;&gt;"",ISNA(MATCH($E288,Tables!$B$225:$B$232,0))),
Error!$B$2,
IF(AND(_xlpm.baseRow,$F288&lt;&gt;"",ISNA(MATCH($F288,Tables!$B$234:$B$235,0))),
Error!$B$24,
IF(AND(_xlpm.baseRow,_xlpm.ECA_H&gt;0,_xlpm.Shore_H&gt;0),
Error!$B$16,
IF(AND(_xlpm.baseRow,$E288&lt;&gt;"",$D288=""),
Error!$B$3,
IF(AND(_xlpm.baseRow,OR($E288="Tier 3",$E288="Tier 4"),$C288&lt;&gt;"",$D288&gt;=24,COUNTIF(Tables2!$B$166:$B$674,$C288)&gt;0),
Error!$B$44,
IF(AND(_xlpm.baseRow,OR($E288="Tier 3",$E288="Tier 4"),$C288&lt;&gt;"",$D288&lt;&gt;"",COUNTIF(Tables2!$B$73:$B$152,$C288)&gt;0,
$D288&gt;=IFERROR(INDEX(Tables2!$C$73:$C$152,MATCH($C288,Tables2!$B$73:$B$152,0)),-1)),
Error!$B$44,
IF(AND(_xlpm.baseRow,OR($E288="Tier 2",$E288="Tier 2 Grove"),$C288&lt;&gt;"",$D288&gt;=12,COUNTIF(Tables2!$B$153:$B$162,$C288)&gt;0),
Error!$B$45,
IF(AND(_xlpm.baseRow,$E288="Tier 2 Grove",$D288&lt;12),
Error!$B$41,
IF(AND(_xlpm.baseRow,$E288="Tier 2",$D288&lt;5.88),
Error!$B$40,
IF(AND(_xlpm.baseRow,OR($E288="Tier 2",$E288="Tier 2 Grove"),$C288&lt;&gt;"",$D288&lt;12,$D288&gt;=6,COUNTIF(Tables2!$B$153:$B$162,$C288)&gt;0),
Error!$B$54,
IF(AND(_xlpm.baseRow,$E288="Tier 2",COUNTIF(Tables2!$B$166:$B$674,$C288)&gt;0,$D288&lt;24),
Error!$B$54,
IF(AND(_xlpm.baseRow,$E288="Tier 3",ISNA(MATCH($C288,Tables2!$B$153:$B$162,0)),OR($D288&lt;12,$D288&gt;=24)),
Error!$B$9,
IF(AND(_xlpm.baseRow,$E288="Tier 3",COUNTIF(Tables2!$B$153:$B$162,$C288)&gt;0,$D288&lt;12),
Error!$B$46,
IF(AND(_xlpm.baseRow,$E288="Tier 4",OR($D288&lt;6,$D288&gt;=12)),
Error!$B$10,
IF(AND(_xlpm.baseRow,$E288="&lt;6in DSH for Tree Points",OR($D288&gt;=6,$D288="")),
Error!$B$8,
IF(AND(_xlpm.baseRow,$E288="Street Tree for Green Factor",$F288&lt;&gt;"",$F288&lt;&gt;"Retain"),
Error!$B$14,
IF(AND($E288="&lt;6in DSH for Tree Points",$F288="Retain",$H288&lt;&gt;"",ISNA(MATCH($H288,Tables!$B$174:$B$174,0))),
Error!$B$15,
IF(AND($E288="Street Tree for Green Factor",$F288="Retain",$H288&lt;&gt;"",$H288&lt;&gt;"Zoning: Green Factor"),
Error!$B$15,
IF(AND($E288="ECA / Shoreline Tree",$F288="Remove",$H288&lt;&gt;"",ISNA(MATCH($H288,Tables!$B$189:$B$190,0))),
Error!$B$15,
IF(AND($E288="ECA / Shoreline Tree",$F288="Retain",$H288&lt;&gt;"",ISNA(MATCH($H288,Tables!$B$184:$B$186,0))),
Error!$B$15,
IF(AND($E288="Tier 4",$F288="Remove",$H288&lt;&gt;"",ISNA(MATCH($H288,Tables!$B$171,0))),
Error!$B$15,
IF(AND($E288="Tier 4",$F288="Retain",$H288&lt;&gt;"",ISNA(MATCH($H288,Tables!$B$166:$B$168,0))),
Error!$B$15,
IF(AND($E288="Tier 3",$F288="Retain",$H288&lt;&gt;"",ISNA(MATCH($H288,Tables!$B$158:$B$160,0))),
Error!$B$15,
IF(AND($E288="Tier 3",$F288="Remove",$H288&lt;&gt;"",ISNA(MATCH($H288,Tables!$B$163,0))),
Error!$B$15,
IF(AND(OR($E288="Tier 2",$E288="Tier 2 Grove"),$F288="Remove",$H288&lt;&gt;"",ISNA(MATCH($H288,Tables!$B$153:$B$155,0))),
Error!$B$15,
IF(AND(OR($E288="Tier 2",$E288="Tier 2 Grove"),$F288="Retain",$H288&lt;&gt;"",ISNA(MATCH($H288,Tables!$B$147:$B$150,0))),
Error!$B$15,
IF(AND($E288="Tier 1",$F288="Remove",$H288&lt;&gt;"",ISNA(MATCH($H288,Tables!$B$143:$B$144,0))),
Error!$B$15,
IF(AND($E288="Tier 1",$F288="Retain",$H288&lt;&gt;"",ISNA(MATCH($H288,Tables!$B$137:$B$140,0))),
Error!$B$15,
IF(AND($E288&lt;&gt;"Tier 2",$E288&lt;&gt;"Tier 2 Grove",$E288&lt;&gt;"Tier 3",$E288&lt;&gt;"Tier 4",$H288="Zoning: Green Factor",OR($D288="",$D288&lt;6)),
Error!$B$11,
IF(AND(_xlpm.baseRow,$D288&lt;6,$E288="&lt;6in DSH for Tree Points",_xlpm.TreePoints_H=0),
Error!$B$21,
IF(AND(_xlpm.baseRow,$E288&lt;&gt;"",$D288&lt;&gt;"",$F288=""),
Error!$B$4,
IF(AND(_xlpm.baseRow,$F288="Remove",OR($E288="Tier 1",$E288="Tier 2",$E288="Tier 2 Grove"),COUNTBLANK(_xlpm.HRange)&lt;3,_xlpm.uniqueH&gt;=2),
Error!$B$48,
IF(AND(_xlpm.baseRow,$F288="Retain",OR($E288="Tier 1",$E288="Tier 2",$E288="Tier 2 Grove"),COUNTIF(_xlpm.HRange,"Tree Code: Required to Retain Tier 1-2 Tree")=0),
Error!$B$47,
IF(AND(_xlpm.baseRow,$E288&lt;&gt;"",$D288&lt;&gt;"",$F288&lt;&gt;"",COUNTBLANK(_xlpm.HRange)=4),
Error!$B$5,
IF(AND($F288="Remove",$H288&lt;&gt;"",$I288=""),
Error!$B$18,
IF(AND($E288="Tier 4",$F288="Remove",$H288="Tree Protection Code: Tier 3 or Tier 4 Allowance",$H288&lt;&gt;"",ISNA(MATCH($I288,Tables!$B$200,0))),
Error!$B$17,
IF(AND($E288="Tier 3",$F288="Remove",$H288&lt;&gt;"",$H288="Tree Protection Code: Tier 3 or Tier 4 Allowance",OR($I288="",ISNA(MATCH($I288,Tables!$B$193:$B$197,0)))),
Error!$B$17,
IF(AND(OR($E288="Tier 2",$E288="Tier 2 Grove"),$F288="Remove",$H288="Tree Protection Code: Other removal allowance or exemption",$I288&lt;&gt;"",ISNA(MATCH($I288,Tables!$B$215:$B$218,0))),
Error!$B$17,
IF(AND(OR($E288="Tier 2",$E288="Tier 2 Grove"),$F288="Remove",$H288="Tree Protection Code: Development Capacity",$I288&lt;&gt;"",ISNA(MATCH($I288,Tables!$B$193:$B$197,0))),
Error!$B$17,
IF(AND(OR($E288="Tier 2",$E288="Tier 2 Grove"),$F288="Remove",$H288="Tree Protection Code: Necessary for Construction",$I288&lt;&gt;"",ISNA(MATCH($I288,Tables!$B$193:$B$197,0))),
Error!$B$17,
IF(AND($E288="Tier 1",$F288="Remove",$H288="Tree Protection Code: Special Exception",$I288&lt;&gt;"",ISNA(MATCH($I288,Tables!$B$215:$B$218,0))),
Error!$B$17,
IF(AND($E288="Tier 1",$F288="Remove",$H288="Tree Protection Code: Other removal allowance or exemption",$I288&lt;&gt;"",ISNA(MATCH($I288,Tables!$B$215:$B$218,0))),
Error!$B$17,
IF(AND($E288="ECA / Shoreline Tree",$F288="Remove",$H288&lt;&gt;"",OR($H288="Shoreline",$H288="Environmental Critical Area (ECA)"),ISNA(MATCH($I288,Tables!$B$209:$B$212,0))),
Error!$B$17,
IF(AND(_xlpm.baseRow,$F288="Retain",$E288="ECA / Shoreline Tree",_xlpm.ECA_Short=0),
Error!$B$61,
IF(AND($F288="Remove",ISNUMBER(MATCH($E288,{"Tier 1","Tier 2","Tier 3","Tier 4","Tier 2 Grove"},0)),ISNUMBER(MATCH($I288,{"On-site replacement","Off-site replacement"},0)),$J288="",$H288&lt;&gt;""),
Error!$B$19,
IF(AND(_xlpm.baseRow,$E288&lt;&gt;"",$D288&lt;&gt;"",$F288&lt;&gt;"",COUNTBLANK($B288:$C288)&gt;0,COUNTBLANK(_xlpm.HRange)&lt;&gt;4),
Error!$B$22,
IF(AND($H288="Zoning: Tree Points",$K288&lt;&gt;"",ISNA(MATCH($K288,Tables!$B$242:$B$253,0))),
Error!$B$58,
IF(AND($H288="Zoning: Tree Points",$K288="Small",$L288&lt;&gt;"",ISNA(MATCH($L288,Tables!$C$243:$C$244,0))),
Error!$B$59,
IF(AND($H288="Zoning: Tree Points",$K288="Small/Medium",$L288&lt;&gt;"",ISNA(MATCH($L288,Tables!$C$246:$C$247,0))),
Error!$B$59,
IF(AND($H288="Zoning: Tree Points",$K288="Medium/Large",$L288&lt;&gt;"",ISNA(MATCH($L288,Tables!$C$249:$C$250,0))),
Error!$B$59,
IF(AND($H288="Zoning: Tree Points",$K288="Large",$L288&lt;&gt;"",ISNA(MATCH($L288,Tables!$C$252:$C$253,0))),
Error!$B$59,
IF(AND($F288="Retain",$H288="Zoning: Tree Points",$C288&lt;&gt;"",$D288&lt;&gt;"",OR($K288="",$L288="",$M288="")),
Error!$B$20,
""
)))))))))))))))))))))))))))))))))))))))))))))))))))))))),
Error!$B$23))</f>
        <v/>
      </c>
      <c r="O288" s="343" t="str" cm="1">
        <f t="array" aca="1" ref="O288" ca="1">IFERROR(_xlfn.LET(
    _xlpm.txt, $C288,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89" spans="1:15" x14ac:dyDescent="0.3">
      <c r="A289" s="320"/>
      <c r="B289" s="616" t="str">
        <f t="shared" si="305"/>
        <v/>
      </c>
      <c r="C289" s="617" t="str">
        <f t="shared" si="306"/>
        <v/>
      </c>
      <c r="D289" s="618" t="str">
        <f t="shared" si="307"/>
        <v/>
      </c>
      <c r="E289" s="616" t="str">
        <f t="shared" si="308"/>
        <v/>
      </c>
      <c r="F289" s="616" t="str">
        <f t="shared" si="309"/>
        <v/>
      </c>
      <c r="G289" s="619" t="str">
        <f>IF(Tree_Table1[[#This Row],[Tree Status  &amp;]]="Retain", Tables!$B$237, IF(Tree_Table1[[#This Row],[Tree Status  &amp;]]="Remove", Tables!$B$238, ""))</f>
        <v/>
      </c>
      <c r="H289" s="321"/>
      <c r="I289" s="322"/>
      <c r="J289" s="453"/>
      <c r="K289" s="323" t="str">
        <f>IFERROR(
    IF(
        AND($H289="Zoning: Tree Points", NOT(ISNUMBER(SEARCH("sp.", $C289)))),
        VLOOKUP($C289, 'Tree List'!$C$3:$F$601, 4, FALSE),
        ""
    ),
"")</f>
        <v/>
      </c>
      <c r="L289" s="324" t="str" cm="1">
        <f t="array" ref="L289">IFERROR(
IF(
    AND($H289="Zoning: Tree Points", NOT(ISNUMBER(SEARCH("sp.", $C289)))),
    _xlfn.IFS(
        (COUNTIFS('Tree List'!$C$3:$C$601,$C289,'Tree List'!$D$3:$D$601,"Coniferous")
        + COUNTIFS('Tree List'!$C$3:$C$601,$C289,'Tree List'!$D$3:$D$601,"Deciduous Conifer")) &gt; 0,
            _xlfn.IFS($K289="Small",0.5,$K289="Small/Medium",1,$K289="Medium/Large",1.4,$K289="Large",1.8),
        (COUNTIFS('Tree List'!$C$3:$C$601,$C289,'Tree List'!$D$3:$D$601,"Deciduous")
        + COUNTIFS('Tree List'!$C$3:$C$601,$C289,'Tree List'!$D$3:$D$601,"Broadleaf Evergreen")) &gt; 0,
            _xlfn.IFS($K289="Small",0.4,$K289="Small/Medium",0.8,$K289="Medium/Large",1.2,$K289="Large",1.6)
    ),
    ""
),
"")</f>
        <v/>
      </c>
      <c r="M289" s="475" t="str">
        <f t="shared" si="249"/>
        <v/>
      </c>
      <c r="N289" s="346" t="str" cm="1">
        <f t="array" aca="1" ref="N28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IF(AND(_xlpm.baseRow,ISNA(MATCH($C289,'Tree List'!$C$3:$C$601,0)),SUMPRODUCT(--ISNUMBER(SEARCH(Tables2!$C$677:$C$772,$O289)))&gt;0),
Error!$B$57,
IF(AND(_xlpm.hasDM,$F289="Remove",$H289&lt;&gt;"",OR($I289="On-site replacement",$I289="Off-site replacement",$I289="Payment In Lieu")),
Error!$B$56,
IF(AND(_xlpm.hasDM,$F289="Remove",$H289&lt;&gt;"",$I289="Relocation"),
Error!$B$66,
IF(AND(OR(_xlpm.hasCN,_xlpm.hasPH,_xlpm.hasGR),$H289&lt;&gt;"",COUNTIF(Tables!$B$132:$B$134,$H289)&gt;0,$I289="N/A (No replacement required)"),
Error!$B$62,
IF(AND(_xlpm.baseRow,$E289&lt;&gt;"",ISNA(MATCH($E289,Tables!$B$225:$B$232,0))),
Error!$B$2,
IF(AND(_xlpm.baseRow,$F289&lt;&gt;"",ISNA(MATCH($F289,Tables!$B$234:$B$235,0))),
Error!$B$24,
IF(AND(_xlpm.baseRow,_xlpm.ECA_H&gt;0,_xlpm.Shore_H&gt;0),
Error!$B$16,
IF(AND(_xlpm.baseRow,$E289&lt;&gt;"",$D289=""),
Error!$B$3,
IF(AND(_xlpm.baseRow,OR($E289="Tier 3",$E289="Tier 4"),$C289&lt;&gt;"",$D289&gt;=24,COUNTIF(Tables2!$B$166:$B$674,$C289)&gt;0),
Error!$B$44,
IF(AND(_xlpm.baseRow,OR($E289="Tier 3",$E289="Tier 4"),$C289&lt;&gt;"",$D289&lt;&gt;"",COUNTIF(Tables2!$B$73:$B$152,$C289)&gt;0,
$D289&gt;=IFERROR(INDEX(Tables2!$C$73:$C$152,MATCH($C289,Tables2!$B$73:$B$152,0)),-1)),
Error!$B$44,
IF(AND(_xlpm.baseRow,OR($E289="Tier 2",$E289="Tier 2 Grove"),$C289&lt;&gt;"",$D289&gt;=12,COUNTIF(Tables2!$B$153:$B$162,$C289)&gt;0),
Error!$B$45,
IF(AND(_xlpm.baseRow,$E289="Tier 2 Grove",$D289&lt;12),
Error!$B$41,
IF(AND(_xlpm.baseRow,$E289="Tier 2",$D289&lt;5.88),
Error!$B$40,
IF(AND(_xlpm.baseRow,OR($E289="Tier 2",$E289="Tier 2 Grove"),$C289&lt;&gt;"",$D289&lt;12,$D289&gt;=6,COUNTIF(Tables2!$B$153:$B$162,$C289)&gt;0),
Error!$B$54,
IF(AND(_xlpm.baseRow,$E289="Tier 2",COUNTIF(Tables2!$B$166:$B$674,$C289)&gt;0,$D289&lt;24),
Error!$B$54,
IF(AND(_xlpm.baseRow,$E289="Tier 3",ISNA(MATCH($C289,Tables2!$B$153:$B$162,0)),OR($D289&lt;12,$D289&gt;=24)),
Error!$B$9,
IF(AND(_xlpm.baseRow,$E289="Tier 3",COUNTIF(Tables2!$B$153:$B$162,$C289)&gt;0,$D289&lt;12),
Error!$B$46,
IF(AND(_xlpm.baseRow,$E289="Tier 4",OR($D289&lt;6,$D289&gt;=12)),
Error!$B$10,
IF(AND(_xlpm.baseRow,$E289="&lt;6in DSH for Tree Points",OR($D289&gt;=6,$D289="")),
Error!$B$8,
IF(AND(_xlpm.baseRow,$E289="Street Tree for Green Factor",$F289&lt;&gt;"",$F289&lt;&gt;"Retain"),
Error!$B$14,
IF(AND($E289="&lt;6in DSH for Tree Points",$F289="Retain",$H289&lt;&gt;"",ISNA(MATCH($H289,Tables!$B$174:$B$174,0))),
Error!$B$15,
IF(AND($E289="Street Tree for Green Factor",$F289="Retain",$H289&lt;&gt;"",$H289&lt;&gt;"Zoning: Green Factor"),
Error!$B$15,
IF(AND($E289="ECA / Shoreline Tree",$F289="Remove",$H289&lt;&gt;"",ISNA(MATCH($H289,Tables!$B$189:$B$190,0))),
Error!$B$15,
IF(AND($E289="ECA / Shoreline Tree",$F289="Retain",$H289&lt;&gt;"",ISNA(MATCH($H289,Tables!$B$184:$B$186,0))),
Error!$B$15,
IF(AND($E289="Tier 4",$F289="Remove",$H289&lt;&gt;"",ISNA(MATCH($H289,Tables!$B$171,0))),
Error!$B$15,
IF(AND($E289="Tier 4",$F289="Retain",$H289&lt;&gt;"",ISNA(MATCH($H289,Tables!$B$166:$B$168,0))),
Error!$B$15,
IF(AND($E289="Tier 3",$F289="Retain",$H289&lt;&gt;"",ISNA(MATCH($H289,Tables!$B$158:$B$160,0))),
Error!$B$15,
IF(AND($E289="Tier 3",$F289="Remove",$H289&lt;&gt;"",ISNA(MATCH($H289,Tables!$B$163,0))),
Error!$B$15,
IF(AND(OR($E289="Tier 2",$E289="Tier 2 Grove"),$F289="Remove",$H289&lt;&gt;"",ISNA(MATCH($H289,Tables!$B$153:$B$155,0))),
Error!$B$15,
IF(AND(OR($E289="Tier 2",$E289="Tier 2 Grove"),$F289="Retain",$H289&lt;&gt;"",ISNA(MATCH($H289,Tables!$B$147:$B$150,0))),
Error!$B$15,
IF(AND($E289="Tier 1",$F289="Remove",$H289&lt;&gt;"",ISNA(MATCH($H289,Tables!$B$143:$B$144,0))),
Error!$B$15,
IF(AND($E289="Tier 1",$F289="Retain",$H289&lt;&gt;"",ISNA(MATCH($H289,Tables!$B$137:$B$140,0))),
Error!$B$15,
IF(AND($E289&lt;&gt;"Tier 2",$E289&lt;&gt;"Tier 2 Grove",$E289&lt;&gt;"Tier 3",$E289&lt;&gt;"Tier 4",$H289="Zoning: Green Factor",OR($D289="",$D289&lt;6)),
Error!$B$11,
IF(AND(_xlpm.baseRow,$D289&lt;6,$E289="&lt;6in DSH for Tree Points",_xlpm.TreePoints_H=0),
Error!$B$21,
IF(AND(_xlpm.baseRow,$E289&lt;&gt;"",$D289&lt;&gt;"",$F289=""),
Error!$B$4,
IF(AND(_xlpm.baseRow,$F289="Remove",OR($E289="Tier 1",$E289="Tier 2",$E289="Tier 2 Grove"),COUNTBLANK(_xlpm.HRange)&lt;3,_xlpm.uniqueH&gt;=2),
Error!$B$48,
IF(AND(_xlpm.baseRow,$F289="Retain",OR($E289="Tier 1",$E289="Tier 2",$E289="Tier 2 Grove"),COUNTIF(_xlpm.HRange,"Tree Code: Required to Retain Tier 1-2 Tree")=0),
Error!$B$47,
IF(AND(_xlpm.baseRow,$E289&lt;&gt;"",$D289&lt;&gt;"",$F289&lt;&gt;"",COUNTBLANK(_xlpm.HRange)=4),
Error!$B$5,
IF(AND($F289="Remove",$H289&lt;&gt;"",$I289=""),
Error!$B$18,
IF(AND($E289="Tier 4",$F289="Remove",$H289="Tree Protection Code: Tier 3 or Tier 4 Allowance",$H289&lt;&gt;"",ISNA(MATCH($I289,Tables!$B$200,0))),
Error!$B$17,
IF(AND($E289="Tier 3",$F289="Remove",$H289&lt;&gt;"",$H289="Tree Protection Code: Tier 3 or Tier 4 Allowance",OR($I289="",ISNA(MATCH($I289,Tables!$B$193:$B$197,0)))),
Error!$B$17,
IF(AND(OR($E289="Tier 2",$E289="Tier 2 Grove"),$F289="Remove",$H289="Tree Protection Code: Other removal allowance or exemption",$I289&lt;&gt;"",ISNA(MATCH($I289,Tables!$B$215:$B$218,0))),
Error!$B$17,
IF(AND(OR($E289="Tier 2",$E289="Tier 2 Grove"),$F289="Remove",$H289="Tree Protection Code: Development Capacity",$I289&lt;&gt;"",ISNA(MATCH($I289,Tables!$B$193:$B$197,0))),
Error!$B$17,
IF(AND(OR($E289="Tier 2",$E289="Tier 2 Grove"),$F289="Remove",$H289="Tree Protection Code: Necessary for Construction",$I289&lt;&gt;"",ISNA(MATCH($I289,Tables!$B$193:$B$197,0))),
Error!$B$17,
IF(AND($E289="Tier 1",$F289="Remove",$H289="Tree Protection Code: Special Exception",$I289&lt;&gt;"",ISNA(MATCH($I289,Tables!$B$215:$B$218,0))),
Error!$B$17,
IF(AND($E289="Tier 1",$F289="Remove",$H289="Tree Protection Code: Other removal allowance or exemption",$I289&lt;&gt;"",ISNA(MATCH($I289,Tables!$B$215:$B$218,0))),
Error!$B$17,
IF(AND($E289="ECA / Shoreline Tree",$F289="Remove",$H289&lt;&gt;"",OR($H289="Shoreline",$H289="Environmental Critical Area (ECA)"),ISNA(MATCH($I289,Tables!$B$209:$B$212,0))),
Error!$B$17,
IF(AND(_xlpm.baseRow,$F289="Retain",$E289="ECA / Shoreline Tree",_xlpm.ECA_Short=0),
Error!$B$61,
IF(AND($F289="Remove",ISNUMBER(MATCH($E289,{"Tier 1","Tier 2","Tier 3","Tier 4","Tier 2 Grove"},0)),ISNUMBER(MATCH($I289,{"On-site replacement","Off-site replacement"},0)),$J289="",$H289&lt;&gt;""),
Error!$B$19,
IF(AND(_xlpm.baseRow,$E289&lt;&gt;"",$D289&lt;&gt;"",$F289&lt;&gt;"",COUNTBLANK($B289:$C289)&gt;0,COUNTBLANK(_xlpm.HRange)&lt;&gt;4),
Error!$B$22,
IF(AND($H289="Zoning: Tree Points",$K289&lt;&gt;"",ISNA(MATCH($K289,Tables!$B$242:$B$253,0))),
Error!$B$58,
IF(AND($H289="Zoning: Tree Points",$K289="Small",$L289&lt;&gt;"",ISNA(MATCH($L289,Tables!$C$243:$C$244,0))),
Error!$B$59,
IF(AND($H289="Zoning: Tree Points",$K289="Small/Medium",$L289&lt;&gt;"",ISNA(MATCH($L289,Tables!$C$246:$C$247,0))),
Error!$B$59,
IF(AND($H289="Zoning: Tree Points",$K289="Medium/Large",$L289&lt;&gt;"",ISNA(MATCH($L289,Tables!$C$249:$C$250,0))),
Error!$B$59,
IF(AND($H289="Zoning: Tree Points",$K289="Large",$L289&lt;&gt;"",ISNA(MATCH($L289,Tables!$C$252:$C$253,0))),
Error!$B$59,
IF(AND($F289="Retain",$H289="Zoning: Tree Points",$C289&lt;&gt;"",$D289&lt;&gt;"",OR($K289="",$L289="",$M289="")),
Error!$B$20,
""
)))))))))))))))))))))))))))))))))))))))))))))))))))))))),
Error!$B$23))</f>
        <v/>
      </c>
      <c r="O289" s="343" t="str" cm="1">
        <f t="array" aca="1" ref="O289" ca="1">IFERROR(_xlfn.LET(
    _xlpm.txt, $C289,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90" spans="1:15" ht="15" thickBot="1" x14ac:dyDescent="0.35">
      <c r="A290" s="331"/>
      <c r="B290" s="616" t="str">
        <f t="shared" si="305"/>
        <v/>
      </c>
      <c r="C290" s="617" t="str">
        <f t="shared" si="306"/>
        <v/>
      </c>
      <c r="D290" s="618" t="str">
        <f t="shared" si="307"/>
        <v/>
      </c>
      <c r="E290" s="616" t="str">
        <f t="shared" si="308"/>
        <v/>
      </c>
      <c r="F290" s="616" t="str">
        <f t="shared" si="309"/>
        <v/>
      </c>
      <c r="G290" s="619" t="str">
        <f>IF(Tree_Table1[[#This Row],[Tree Status  &amp;]]="Retain", Tables!$B$237, IF(Tree_Table1[[#This Row],[Tree Status  &amp;]]="Remove", Tables!$B$238, ""))</f>
        <v/>
      </c>
      <c r="H290" s="329"/>
      <c r="I290" s="330"/>
      <c r="J290" s="455"/>
      <c r="K290" s="327" t="str">
        <f>IFERROR(
    IF(
        AND($H290="Zoning: Tree Points", NOT(ISNUMBER(SEARCH("sp.", $C290)))),
        VLOOKUP($C290, 'Tree List'!$C$3:$F$601, 4, FALSE),
        ""
    ),
"")</f>
        <v/>
      </c>
      <c r="L290" s="328" t="str" cm="1">
        <f t="array" ref="L290">IFERROR(
IF(
    AND($H290="Zoning: Tree Points", NOT(ISNUMBER(SEARCH("sp.", $C290)))),
    _xlfn.IFS(
        (COUNTIFS('Tree List'!$C$3:$C$601,$C290,'Tree List'!$D$3:$D$601,"Coniferous")
        + COUNTIFS('Tree List'!$C$3:$C$601,$C290,'Tree List'!$D$3:$D$601,"Deciduous Conifer")) &gt; 0,
            _xlfn.IFS($K290="Small",0.5,$K290="Small/Medium",1,$K290="Medium/Large",1.4,$K290="Large",1.8),
        (COUNTIFS('Tree List'!$C$3:$C$601,$C290,'Tree List'!$D$3:$D$601,"Deciduous")
        + COUNTIFS('Tree List'!$C$3:$C$601,$C290,'Tree List'!$D$3:$D$601,"Broadleaf Evergreen")) &gt; 0,
            _xlfn.IFS($K290="Small",0.4,$K290="Small/Medium",0.8,$K290="Medium/Large",1.2,$K290="Large",1.6)
    ),
    ""
),
"")</f>
        <v/>
      </c>
      <c r="M290" s="476" t="str">
        <f t="shared" si="249"/>
        <v/>
      </c>
      <c r="N290" s="347" t="str" cm="1">
        <f t="array" aca="1" ref="N29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IF(AND(_xlpm.baseRow,ISNA(MATCH($C290,'Tree List'!$C$3:$C$601,0)),SUMPRODUCT(--ISNUMBER(SEARCH(Tables2!$C$677:$C$772,$O290)))&gt;0),
Error!$B$57,
IF(AND(_xlpm.hasDM,$F290="Remove",$H290&lt;&gt;"",OR($I290="On-site replacement",$I290="Off-site replacement",$I290="Payment In Lieu")),
Error!$B$56,
IF(AND(_xlpm.hasDM,$F290="Remove",$H290&lt;&gt;"",$I290="Relocation"),
Error!$B$66,
IF(AND(OR(_xlpm.hasCN,_xlpm.hasPH,_xlpm.hasGR),$H290&lt;&gt;"",COUNTIF(Tables!$B$132:$B$134,$H290)&gt;0,$I290="N/A (No replacement required)"),
Error!$B$62,
IF(AND(_xlpm.baseRow,$E290&lt;&gt;"",ISNA(MATCH($E290,Tables!$B$225:$B$232,0))),
Error!$B$2,
IF(AND(_xlpm.baseRow,$F290&lt;&gt;"",ISNA(MATCH($F290,Tables!$B$234:$B$235,0))),
Error!$B$24,
IF(AND(_xlpm.baseRow,_xlpm.ECA_H&gt;0,_xlpm.Shore_H&gt;0),
Error!$B$16,
IF(AND(_xlpm.baseRow,$E290&lt;&gt;"",$D290=""),
Error!$B$3,
IF(AND(_xlpm.baseRow,OR($E290="Tier 3",$E290="Tier 4"),$C290&lt;&gt;"",$D290&gt;=24,COUNTIF(Tables2!$B$166:$B$674,$C290)&gt;0),
Error!$B$44,
IF(AND(_xlpm.baseRow,OR($E290="Tier 3",$E290="Tier 4"),$C290&lt;&gt;"",$D290&lt;&gt;"",COUNTIF(Tables2!$B$73:$B$152,$C290)&gt;0,
$D290&gt;=IFERROR(INDEX(Tables2!$C$73:$C$152,MATCH($C290,Tables2!$B$73:$B$152,0)),-1)),
Error!$B$44,
IF(AND(_xlpm.baseRow,OR($E290="Tier 2",$E290="Tier 2 Grove"),$C290&lt;&gt;"",$D290&gt;=12,COUNTIF(Tables2!$B$153:$B$162,$C290)&gt;0),
Error!$B$45,
IF(AND(_xlpm.baseRow,$E290="Tier 2 Grove",$D290&lt;12),
Error!$B$41,
IF(AND(_xlpm.baseRow,$E290="Tier 2",$D290&lt;5.88),
Error!$B$40,
IF(AND(_xlpm.baseRow,OR($E290="Tier 2",$E290="Tier 2 Grove"),$C290&lt;&gt;"",$D290&lt;12,$D290&gt;=6,COUNTIF(Tables2!$B$153:$B$162,$C290)&gt;0),
Error!$B$54,
IF(AND(_xlpm.baseRow,$E290="Tier 2",COUNTIF(Tables2!$B$166:$B$674,$C290)&gt;0,$D290&lt;24),
Error!$B$54,
IF(AND(_xlpm.baseRow,$E290="Tier 3",ISNA(MATCH($C290,Tables2!$B$153:$B$162,0)),OR($D290&lt;12,$D290&gt;=24)),
Error!$B$9,
IF(AND(_xlpm.baseRow,$E290="Tier 3",COUNTIF(Tables2!$B$153:$B$162,$C290)&gt;0,$D290&lt;12),
Error!$B$46,
IF(AND(_xlpm.baseRow,$E290="Tier 4",OR($D290&lt;6,$D290&gt;=12)),
Error!$B$10,
IF(AND(_xlpm.baseRow,$E290="&lt;6in DSH for Tree Points",OR($D290&gt;=6,$D290="")),
Error!$B$8,
IF(AND(_xlpm.baseRow,$E290="Street Tree for Green Factor",$F290&lt;&gt;"",$F290&lt;&gt;"Retain"),
Error!$B$14,
IF(AND($E290="&lt;6in DSH for Tree Points",$F290="Retain",$H290&lt;&gt;"",ISNA(MATCH($H290,Tables!$B$174:$B$174,0))),
Error!$B$15,
IF(AND($E290="Street Tree for Green Factor",$F290="Retain",$H290&lt;&gt;"",$H290&lt;&gt;"Zoning: Green Factor"),
Error!$B$15,
IF(AND($E290="ECA / Shoreline Tree",$F290="Remove",$H290&lt;&gt;"",ISNA(MATCH($H290,Tables!$B$189:$B$190,0))),
Error!$B$15,
IF(AND($E290="ECA / Shoreline Tree",$F290="Retain",$H290&lt;&gt;"",ISNA(MATCH($H290,Tables!$B$184:$B$186,0))),
Error!$B$15,
IF(AND($E290="Tier 4",$F290="Remove",$H290&lt;&gt;"",ISNA(MATCH($H290,Tables!$B$171,0))),
Error!$B$15,
IF(AND($E290="Tier 4",$F290="Retain",$H290&lt;&gt;"",ISNA(MATCH($H290,Tables!$B$166:$B$168,0))),
Error!$B$15,
IF(AND($E290="Tier 3",$F290="Retain",$H290&lt;&gt;"",ISNA(MATCH($H290,Tables!$B$158:$B$160,0))),
Error!$B$15,
IF(AND($E290="Tier 3",$F290="Remove",$H290&lt;&gt;"",ISNA(MATCH($H290,Tables!$B$163,0))),
Error!$B$15,
IF(AND(OR($E290="Tier 2",$E290="Tier 2 Grove"),$F290="Remove",$H290&lt;&gt;"",ISNA(MATCH($H290,Tables!$B$153:$B$155,0))),
Error!$B$15,
IF(AND(OR($E290="Tier 2",$E290="Tier 2 Grove"),$F290="Retain",$H290&lt;&gt;"",ISNA(MATCH($H290,Tables!$B$147:$B$150,0))),
Error!$B$15,
IF(AND($E290="Tier 1",$F290="Remove",$H290&lt;&gt;"",ISNA(MATCH($H290,Tables!$B$143:$B$144,0))),
Error!$B$15,
IF(AND($E290="Tier 1",$F290="Retain",$H290&lt;&gt;"",ISNA(MATCH($H290,Tables!$B$137:$B$140,0))),
Error!$B$15,
IF(AND($E290&lt;&gt;"Tier 2",$E290&lt;&gt;"Tier 2 Grove",$E290&lt;&gt;"Tier 3",$E290&lt;&gt;"Tier 4",$H290="Zoning: Green Factor",OR($D290="",$D290&lt;6)),
Error!$B$11,
IF(AND(_xlpm.baseRow,$D290&lt;6,$E290="&lt;6in DSH for Tree Points",_xlpm.TreePoints_H=0),
Error!$B$21,
IF(AND(_xlpm.baseRow,$E290&lt;&gt;"",$D290&lt;&gt;"",$F290=""),
Error!$B$4,
IF(AND(_xlpm.baseRow,$F290="Remove",OR($E290="Tier 1",$E290="Tier 2",$E290="Tier 2 Grove"),COUNTBLANK(_xlpm.HRange)&lt;3,_xlpm.uniqueH&gt;=2),
Error!$B$48,
IF(AND(_xlpm.baseRow,$F290="Retain",OR($E290="Tier 1",$E290="Tier 2",$E290="Tier 2 Grove"),COUNTIF(_xlpm.HRange,"Tree Code: Required to Retain Tier 1-2 Tree")=0),
Error!$B$47,
IF(AND(_xlpm.baseRow,$E290&lt;&gt;"",$D290&lt;&gt;"",$F290&lt;&gt;"",COUNTBLANK(_xlpm.HRange)=4),
Error!$B$5,
IF(AND($F290="Remove",$H290&lt;&gt;"",$I290=""),
Error!$B$18,
IF(AND($E290="Tier 4",$F290="Remove",$H290="Tree Protection Code: Tier 3 or Tier 4 Allowance",$H290&lt;&gt;"",ISNA(MATCH($I290,Tables!$B$200,0))),
Error!$B$17,
IF(AND($E290="Tier 3",$F290="Remove",$H290&lt;&gt;"",$H290="Tree Protection Code: Tier 3 or Tier 4 Allowance",OR($I290="",ISNA(MATCH($I290,Tables!$B$193:$B$197,0)))),
Error!$B$17,
IF(AND(OR($E290="Tier 2",$E290="Tier 2 Grove"),$F290="Remove",$H290="Tree Protection Code: Other removal allowance or exemption",$I290&lt;&gt;"",ISNA(MATCH($I290,Tables!$B$215:$B$218,0))),
Error!$B$17,
IF(AND(OR($E290="Tier 2",$E290="Tier 2 Grove"),$F290="Remove",$H290="Tree Protection Code: Development Capacity",$I290&lt;&gt;"",ISNA(MATCH($I290,Tables!$B$193:$B$197,0))),
Error!$B$17,
IF(AND(OR($E290="Tier 2",$E290="Tier 2 Grove"),$F290="Remove",$H290="Tree Protection Code: Necessary for Construction",$I290&lt;&gt;"",ISNA(MATCH($I290,Tables!$B$193:$B$197,0))),
Error!$B$17,
IF(AND($E290="Tier 1",$F290="Remove",$H290="Tree Protection Code: Special Exception",$I290&lt;&gt;"",ISNA(MATCH($I290,Tables!$B$215:$B$218,0))),
Error!$B$17,
IF(AND($E290="Tier 1",$F290="Remove",$H290="Tree Protection Code: Other removal allowance or exemption",$I290&lt;&gt;"",ISNA(MATCH($I290,Tables!$B$215:$B$218,0))),
Error!$B$17,
IF(AND($E290="ECA / Shoreline Tree",$F290="Remove",$H290&lt;&gt;"",OR($H290="Shoreline",$H290="Environmental Critical Area (ECA)"),ISNA(MATCH($I290,Tables!$B$209:$B$212,0))),
Error!$B$17,
IF(AND(_xlpm.baseRow,$F290="Retain",$E290="ECA / Shoreline Tree",_xlpm.ECA_Short=0),
Error!$B$61,
IF(AND($F290="Remove",ISNUMBER(MATCH($E290,{"Tier 1","Tier 2","Tier 3","Tier 4","Tier 2 Grove"},0)),ISNUMBER(MATCH($I290,{"On-site replacement","Off-site replacement"},0)),$J290="",$H290&lt;&gt;""),
Error!$B$19,
IF(AND(_xlpm.baseRow,$E290&lt;&gt;"",$D290&lt;&gt;"",$F290&lt;&gt;"",COUNTBLANK($B290:$C290)&gt;0,COUNTBLANK(_xlpm.HRange)&lt;&gt;4),
Error!$B$22,
IF(AND($H290="Zoning: Tree Points",$K290&lt;&gt;"",ISNA(MATCH($K290,Tables!$B$242:$B$253,0))),
Error!$B$58,
IF(AND($H290="Zoning: Tree Points",$K290="Small",$L290&lt;&gt;"",ISNA(MATCH($L290,Tables!$C$243:$C$244,0))),
Error!$B$59,
IF(AND($H290="Zoning: Tree Points",$K290="Small/Medium",$L290&lt;&gt;"",ISNA(MATCH($L290,Tables!$C$246:$C$247,0))),
Error!$B$59,
IF(AND($H290="Zoning: Tree Points",$K290="Medium/Large",$L290&lt;&gt;"",ISNA(MATCH($L290,Tables!$C$249:$C$250,0))),
Error!$B$59,
IF(AND($H290="Zoning: Tree Points",$K290="Large",$L290&lt;&gt;"",ISNA(MATCH($L290,Tables!$C$252:$C$253,0))),
Error!$B$59,
IF(AND($F290="Retain",$H290="Zoning: Tree Points",$C290&lt;&gt;"",$D290&lt;&gt;"",OR($K290="",$L290="",$M290="")),
Error!$B$20,
""
)))))))))))))))))))))))))))))))))))))))))))))))))))))))),
Error!$B$23))</f>
        <v/>
      </c>
      <c r="O290" s="343" t="str" cm="1">
        <f t="array" aca="1" ref="O290" ca="1">IFERROR(_xlfn.LET(
    _xlpm.txt, $C290,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91" spans="1:15" ht="15" thickBot="1" x14ac:dyDescent="0.35">
      <c r="A291" s="311">
        <v>71</v>
      </c>
      <c r="B291" s="312"/>
      <c r="C291" s="313"/>
      <c r="D291" s="478"/>
      <c r="E291" s="314"/>
      <c r="F291" s="314"/>
      <c r="G291" s="315" t="str">
        <f>IF(Tree_Table1[[#This Row],[Tree Status  &amp;]]="Retain", Tables!$B$237, IF(Tree_Table1[[#This Row],[Tree Status  &amp;]]="Remove", Tables!$B$238, ""))</f>
        <v/>
      </c>
      <c r="H291" s="316"/>
      <c r="I291" s="317"/>
      <c r="J291" s="452"/>
      <c r="K291" s="318" t="str">
        <f>IFERROR(
    IF(
        AND($H291="Zoning: Tree Points", NOT(ISNUMBER(SEARCH("sp.", $C291)))),
        VLOOKUP($C291, 'Tree List'!$C$3:$F$601, 4, FALSE),
        ""
    ),
"")</f>
        <v/>
      </c>
      <c r="L291" s="319" t="str" cm="1">
        <f t="array" ref="L291">IFERROR(
IF(
    AND($H291="Zoning: Tree Points", NOT(ISNUMBER(SEARCH("sp.", $C291)))),
    _xlfn.IFS(
        (COUNTIFS('Tree List'!$C$3:$C$601,$C291,'Tree List'!$D$3:$D$601,"Coniferous")
        + COUNTIFS('Tree List'!$C$3:$C$601,$C291,'Tree List'!$D$3:$D$601,"Deciduous Conifer")) &gt; 0,
            _xlfn.IFS($K291="Small",0.5,$K291="Small/Medium",1,$K291="Medium/Large",1.4,$K291="Large",1.8),
        (COUNTIFS('Tree List'!$C$3:$C$601,$C291,'Tree List'!$D$3:$D$601,"Deciduous")
        + COUNTIFS('Tree List'!$C$3:$C$601,$C291,'Tree List'!$D$3:$D$601,"Broadleaf Evergreen")) &gt; 0,
            _xlfn.IFS($K291="Small",0.4,$K291="Small/Medium",0.8,$K291="Medium/Large",1.2,$K291="Large",1.6)
    ),
    ""
),
"")</f>
        <v/>
      </c>
      <c r="M291" s="474" t="str">
        <f t="shared" si="249"/>
        <v/>
      </c>
      <c r="N291" s="620" t="str" cm="1">
        <f t="array" aca="1" ref="N29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IF(AND(_xlpm.baseRow,ISNA(MATCH($C291,'Tree List'!$C$3:$C$601,0)),SUMPRODUCT(--ISNUMBER(SEARCH(Tables2!$C$677:$C$772,$O291)))&gt;0),
Error!$B$57,
IF(AND(_xlpm.hasDM,$F291="Remove",$H291&lt;&gt;"",OR($I291="On-site replacement",$I291="Off-site replacement",$I291="Payment In Lieu")),
Error!$B$56,
IF(AND(_xlpm.hasDM,$F291="Remove",$H291&lt;&gt;"",$I291="Relocation"),
Error!$B$66,
IF(AND(OR(_xlpm.hasCN,_xlpm.hasPH,_xlpm.hasGR),$H291&lt;&gt;"",COUNTIF(Tables!$B$132:$B$134,$H291)&gt;0,$I291="N/A (No replacement required)"),
Error!$B$62,
IF(AND(_xlpm.baseRow,$E291&lt;&gt;"",ISNA(MATCH($E291,Tables!$B$225:$B$232,0))),
Error!$B$2,
IF(AND(_xlpm.baseRow,$F291&lt;&gt;"",ISNA(MATCH($F291,Tables!$B$234:$B$235,0))),
Error!$B$24,
IF(AND(_xlpm.baseRow,_xlpm.ECA_H&gt;0,_xlpm.Shore_H&gt;0),
Error!$B$16,
IF(AND(_xlpm.baseRow,$E291&lt;&gt;"",$D291=""),
Error!$B$3,
IF(AND(_xlpm.baseRow,OR($E291="Tier 3",$E291="Tier 4"),$C291&lt;&gt;"",$D291&gt;=24,COUNTIF(Tables2!$B$166:$B$674,$C291)&gt;0),
Error!$B$44,
IF(AND(_xlpm.baseRow,OR($E291="Tier 3",$E291="Tier 4"),$C291&lt;&gt;"",$D291&lt;&gt;"",COUNTIF(Tables2!$B$73:$B$152,$C291)&gt;0,
$D291&gt;=IFERROR(INDEX(Tables2!$C$73:$C$152,MATCH($C291,Tables2!$B$73:$B$152,0)),-1)),
Error!$B$44,
IF(AND(_xlpm.baseRow,OR($E291="Tier 2",$E291="Tier 2 Grove"),$C291&lt;&gt;"",$D291&gt;=12,COUNTIF(Tables2!$B$153:$B$162,$C291)&gt;0),
Error!$B$45,
IF(AND(_xlpm.baseRow,$E291="Tier 2 Grove",$D291&lt;12),
Error!$B$41,
IF(AND(_xlpm.baseRow,$E291="Tier 2",$D291&lt;5.88),
Error!$B$40,
IF(AND(_xlpm.baseRow,OR($E291="Tier 2",$E291="Tier 2 Grove"),$C291&lt;&gt;"",$D291&lt;12,$D291&gt;=6,COUNTIF(Tables2!$B$153:$B$162,$C291)&gt;0),
Error!$B$54,
IF(AND(_xlpm.baseRow,$E291="Tier 2",COUNTIF(Tables2!$B$166:$B$674,$C291)&gt;0,$D291&lt;24),
Error!$B$54,
IF(AND(_xlpm.baseRow,$E291="Tier 3",ISNA(MATCH($C291,Tables2!$B$153:$B$162,0)),OR($D291&lt;12,$D291&gt;=24)),
Error!$B$9,
IF(AND(_xlpm.baseRow,$E291="Tier 3",COUNTIF(Tables2!$B$153:$B$162,$C291)&gt;0,$D291&lt;12),
Error!$B$46,
IF(AND(_xlpm.baseRow,$E291="Tier 4",OR($D291&lt;6,$D291&gt;=12)),
Error!$B$10,
IF(AND(_xlpm.baseRow,$E291="&lt;6in DSH for Tree Points",OR($D291&gt;=6,$D291="")),
Error!$B$8,
IF(AND(_xlpm.baseRow,$E291="Street Tree for Green Factor",$F291&lt;&gt;"",$F291&lt;&gt;"Retain"),
Error!$B$14,
IF(AND($E291="&lt;6in DSH for Tree Points",$F291="Retain",$H291&lt;&gt;"",ISNA(MATCH($H291,Tables!$B$174:$B$174,0))),
Error!$B$15,
IF(AND($E291="Street Tree for Green Factor",$F291="Retain",$H291&lt;&gt;"",$H291&lt;&gt;"Zoning: Green Factor"),
Error!$B$15,
IF(AND($E291="ECA / Shoreline Tree",$F291="Remove",$H291&lt;&gt;"",ISNA(MATCH($H291,Tables!$B$189:$B$190,0))),
Error!$B$15,
IF(AND($E291="ECA / Shoreline Tree",$F291="Retain",$H291&lt;&gt;"",ISNA(MATCH($H291,Tables!$B$184:$B$186,0))),
Error!$B$15,
IF(AND($E291="Tier 4",$F291="Remove",$H291&lt;&gt;"",ISNA(MATCH($H291,Tables!$B$171,0))),
Error!$B$15,
IF(AND($E291="Tier 4",$F291="Retain",$H291&lt;&gt;"",ISNA(MATCH($H291,Tables!$B$166:$B$168,0))),
Error!$B$15,
IF(AND($E291="Tier 3",$F291="Retain",$H291&lt;&gt;"",ISNA(MATCH($H291,Tables!$B$158:$B$160,0))),
Error!$B$15,
IF(AND($E291="Tier 3",$F291="Remove",$H291&lt;&gt;"",ISNA(MATCH($H291,Tables!$B$163,0))),
Error!$B$15,
IF(AND(OR($E291="Tier 2",$E291="Tier 2 Grove"),$F291="Remove",$H291&lt;&gt;"",ISNA(MATCH($H291,Tables!$B$153:$B$155,0))),
Error!$B$15,
IF(AND(OR($E291="Tier 2",$E291="Tier 2 Grove"),$F291="Retain",$H291&lt;&gt;"",ISNA(MATCH($H291,Tables!$B$147:$B$150,0))),
Error!$B$15,
IF(AND($E291="Tier 1",$F291="Remove",$H291&lt;&gt;"",ISNA(MATCH($H291,Tables!$B$143:$B$144,0))),
Error!$B$15,
IF(AND($E291="Tier 1",$F291="Retain",$H291&lt;&gt;"",ISNA(MATCH($H291,Tables!$B$137:$B$140,0))),
Error!$B$15,
IF(AND($E291&lt;&gt;"Tier 2",$E291&lt;&gt;"Tier 2 Grove",$E291&lt;&gt;"Tier 3",$E291&lt;&gt;"Tier 4",$H291="Zoning: Green Factor",OR($D291="",$D291&lt;6)),
Error!$B$11,
IF(AND(_xlpm.baseRow,$D291&lt;6,$E291="&lt;6in DSH for Tree Points",_xlpm.TreePoints_H=0),
Error!$B$21,
IF(AND(_xlpm.baseRow,$E291&lt;&gt;"",$D291&lt;&gt;"",$F291=""),
Error!$B$4,
IF(AND(_xlpm.baseRow,$F291="Remove",OR($E291="Tier 1",$E291="Tier 2",$E291="Tier 2 Grove"),COUNTBLANK(_xlpm.HRange)&lt;3,_xlpm.uniqueH&gt;=2),
Error!$B$48,
IF(AND(_xlpm.baseRow,$F291="Retain",OR($E291="Tier 1",$E291="Tier 2",$E291="Tier 2 Grove"),COUNTIF(_xlpm.HRange,"Tree Code: Required to Retain Tier 1-2 Tree")=0),
Error!$B$47,
IF(AND(_xlpm.baseRow,$E291&lt;&gt;"",$D291&lt;&gt;"",$F291&lt;&gt;"",COUNTBLANK(_xlpm.HRange)=4),
Error!$B$5,
IF(AND($F291="Remove",$H291&lt;&gt;"",$I291=""),
Error!$B$18,
IF(AND($E291="Tier 4",$F291="Remove",$H291="Tree Protection Code: Tier 3 or Tier 4 Allowance",$H291&lt;&gt;"",ISNA(MATCH($I291,Tables!$B$200,0))),
Error!$B$17,
IF(AND($E291="Tier 3",$F291="Remove",$H291&lt;&gt;"",$H291="Tree Protection Code: Tier 3 or Tier 4 Allowance",OR($I291="",ISNA(MATCH($I291,Tables!$B$193:$B$197,0)))),
Error!$B$17,
IF(AND(OR($E291="Tier 2",$E291="Tier 2 Grove"),$F291="Remove",$H291="Tree Protection Code: Other removal allowance or exemption",$I291&lt;&gt;"",ISNA(MATCH($I291,Tables!$B$215:$B$218,0))),
Error!$B$17,
IF(AND(OR($E291="Tier 2",$E291="Tier 2 Grove"),$F291="Remove",$H291="Tree Protection Code: Development Capacity",$I291&lt;&gt;"",ISNA(MATCH($I291,Tables!$B$193:$B$197,0))),
Error!$B$17,
IF(AND(OR($E291="Tier 2",$E291="Tier 2 Grove"),$F291="Remove",$H291="Tree Protection Code: Necessary for Construction",$I291&lt;&gt;"",ISNA(MATCH($I291,Tables!$B$193:$B$197,0))),
Error!$B$17,
IF(AND($E291="Tier 1",$F291="Remove",$H291="Tree Protection Code: Special Exception",$I291&lt;&gt;"",ISNA(MATCH($I291,Tables!$B$215:$B$218,0))),
Error!$B$17,
IF(AND($E291="Tier 1",$F291="Remove",$H291="Tree Protection Code: Other removal allowance or exemption",$I291&lt;&gt;"",ISNA(MATCH($I291,Tables!$B$215:$B$218,0))),
Error!$B$17,
IF(AND($E291="ECA / Shoreline Tree",$F291="Remove",$H291&lt;&gt;"",OR($H291="Shoreline",$H291="Environmental Critical Area (ECA)"),ISNA(MATCH($I291,Tables!$B$209:$B$212,0))),
Error!$B$17,
IF(AND(_xlpm.baseRow,$F291="Retain",$E291="ECA / Shoreline Tree",_xlpm.ECA_Short=0),
Error!$B$61,
IF(AND($F291="Remove",ISNUMBER(MATCH($E291,{"Tier 1","Tier 2","Tier 3","Tier 4","Tier 2 Grove"},0)),ISNUMBER(MATCH($I291,{"On-site replacement","Off-site replacement"},0)),$J291="",$H291&lt;&gt;""),
Error!$B$19,
IF(AND(_xlpm.baseRow,$E291&lt;&gt;"",$D291&lt;&gt;"",$F291&lt;&gt;"",COUNTBLANK($B291:$C291)&gt;0,COUNTBLANK(_xlpm.HRange)&lt;&gt;4),
Error!$B$22,
IF(AND($H291="Zoning: Tree Points",$K291&lt;&gt;"",ISNA(MATCH($K291,Tables!$B$242:$B$253,0))),
Error!$B$58,
IF(AND($H291="Zoning: Tree Points",$K291="Small",$L291&lt;&gt;"",ISNA(MATCH($L291,Tables!$C$243:$C$244,0))),
Error!$B$59,
IF(AND($H291="Zoning: Tree Points",$K291="Small/Medium",$L291&lt;&gt;"",ISNA(MATCH($L291,Tables!$C$246:$C$247,0))),
Error!$B$59,
IF(AND($H291="Zoning: Tree Points",$K291="Medium/Large",$L291&lt;&gt;"",ISNA(MATCH($L291,Tables!$C$249:$C$250,0))),
Error!$B$59,
IF(AND($H291="Zoning: Tree Points",$K291="Large",$L291&lt;&gt;"",ISNA(MATCH($L291,Tables!$C$252:$C$253,0))),
Error!$B$59,
IF(AND($F291="Retain",$H291="Zoning: Tree Points",$C291&lt;&gt;"",$D291&lt;&gt;"",OR($K291="",$L291="",$M291="")),
Error!$B$20,
""
)))))))))))))))))))))))))))))))))))))))))))))))))))))))),
Error!$B$23))</f>
        <v/>
      </c>
      <c r="O291" s="343" t="str" cm="1">
        <f t="array" aca="1" ref="O291" ca="1">IFERROR(_xlfn.LET(
    _xlpm.txt, $C291,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92" spans="1:15" x14ac:dyDescent="0.3">
      <c r="A292" s="320"/>
      <c r="B292" s="616" t="str">
        <f t="shared" ref="B292:B294" si="310">IF($B291="", "", $B291)</f>
        <v/>
      </c>
      <c r="C292" s="617" t="str">
        <f t="shared" ref="C292:C294" si="311">IF($C291="", "", $C291)</f>
        <v/>
      </c>
      <c r="D292" s="618" t="str">
        <f t="shared" ref="D292:D294" si="312">IF($D291="", "", $D291)</f>
        <v/>
      </c>
      <c r="E292" s="616" t="str">
        <f t="shared" ref="E292:E294" si="313">IF($E291="", "", $E291)</f>
        <v/>
      </c>
      <c r="F292" s="616" t="str">
        <f t="shared" ref="F292:F294" si="314">IF($F291="", "", $F291)</f>
        <v/>
      </c>
      <c r="G292" s="619" t="str">
        <f>IF(Tree_Table1[[#This Row],[Tree Status  &amp;]]="Retain", Tables!$B$237, IF(Tree_Table1[[#This Row],[Tree Status  &amp;]]="Remove", Tables!$B$238, ""))</f>
        <v/>
      </c>
      <c r="H292" s="321"/>
      <c r="I292" s="322"/>
      <c r="J292" s="453"/>
      <c r="K292" s="323" t="str">
        <f>IFERROR(
    IF(
        AND($H292="Zoning: Tree Points", NOT(ISNUMBER(SEARCH("sp.", $C292)))),
        VLOOKUP($C292, 'Tree List'!$C$3:$F$601, 4, FALSE),
        ""
    ),
"")</f>
        <v/>
      </c>
      <c r="L292" s="324" t="str" cm="1">
        <f t="array" ref="L292">IFERROR(
IF(
    AND($H292="Zoning: Tree Points", NOT(ISNUMBER(SEARCH("sp.", $C292)))),
    _xlfn.IFS(
        (COUNTIFS('Tree List'!$C$3:$C$601,$C292,'Tree List'!$D$3:$D$601,"Coniferous")
        + COUNTIFS('Tree List'!$C$3:$C$601,$C292,'Tree List'!$D$3:$D$601,"Deciduous Conifer")) &gt; 0,
            _xlfn.IFS($K292="Small",0.5,$K292="Small/Medium",1,$K292="Medium/Large",1.4,$K292="Large",1.8),
        (COUNTIFS('Tree List'!$C$3:$C$601,$C292,'Tree List'!$D$3:$D$601,"Deciduous")
        + COUNTIFS('Tree List'!$C$3:$C$601,$C292,'Tree List'!$D$3:$D$601,"Broadleaf Evergreen")) &gt; 0,
            _xlfn.IFS($K292="Small",0.4,$K292="Small/Medium",0.8,$K292="Medium/Large",1.2,$K292="Large",1.6)
    ),
    ""
),
"")</f>
        <v/>
      </c>
      <c r="M292" s="475" t="str">
        <f t="shared" si="249"/>
        <v/>
      </c>
      <c r="N292" s="346" t="str" cm="1">
        <f t="array" aca="1" ref="N29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IF(AND(_xlpm.baseRow,ISNA(MATCH($C292,'Tree List'!$C$3:$C$601,0)),SUMPRODUCT(--ISNUMBER(SEARCH(Tables2!$C$677:$C$772,$O292)))&gt;0),
Error!$B$57,
IF(AND(_xlpm.hasDM,$F292="Remove",$H292&lt;&gt;"",OR($I292="On-site replacement",$I292="Off-site replacement",$I292="Payment In Lieu")),
Error!$B$56,
IF(AND(_xlpm.hasDM,$F292="Remove",$H292&lt;&gt;"",$I292="Relocation"),
Error!$B$66,
IF(AND(OR(_xlpm.hasCN,_xlpm.hasPH,_xlpm.hasGR),$H292&lt;&gt;"",COUNTIF(Tables!$B$132:$B$134,$H292)&gt;0,$I292="N/A (No replacement required)"),
Error!$B$62,
IF(AND(_xlpm.baseRow,$E292&lt;&gt;"",ISNA(MATCH($E292,Tables!$B$225:$B$232,0))),
Error!$B$2,
IF(AND(_xlpm.baseRow,$F292&lt;&gt;"",ISNA(MATCH($F292,Tables!$B$234:$B$235,0))),
Error!$B$24,
IF(AND(_xlpm.baseRow,_xlpm.ECA_H&gt;0,_xlpm.Shore_H&gt;0),
Error!$B$16,
IF(AND(_xlpm.baseRow,$E292&lt;&gt;"",$D292=""),
Error!$B$3,
IF(AND(_xlpm.baseRow,OR($E292="Tier 3",$E292="Tier 4"),$C292&lt;&gt;"",$D292&gt;=24,COUNTIF(Tables2!$B$166:$B$674,$C292)&gt;0),
Error!$B$44,
IF(AND(_xlpm.baseRow,OR($E292="Tier 3",$E292="Tier 4"),$C292&lt;&gt;"",$D292&lt;&gt;"",COUNTIF(Tables2!$B$73:$B$152,$C292)&gt;0,
$D292&gt;=IFERROR(INDEX(Tables2!$C$73:$C$152,MATCH($C292,Tables2!$B$73:$B$152,0)),-1)),
Error!$B$44,
IF(AND(_xlpm.baseRow,OR($E292="Tier 2",$E292="Tier 2 Grove"),$C292&lt;&gt;"",$D292&gt;=12,COUNTIF(Tables2!$B$153:$B$162,$C292)&gt;0),
Error!$B$45,
IF(AND(_xlpm.baseRow,$E292="Tier 2 Grove",$D292&lt;12),
Error!$B$41,
IF(AND(_xlpm.baseRow,$E292="Tier 2",$D292&lt;5.88),
Error!$B$40,
IF(AND(_xlpm.baseRow,OR($E292="Tier 2",$E292="Tier 2 Grove"),$C292&lt;&gt;"",$D292&lt;12,$D292&gt;=6,COUNTIF(Tables2!$B$153:$B$162,$C292)&gt;0),
Error!$B$54,
IF(AND(_xlpm.baseRow,$E292="Tier 2",COUNTIF(Tables2!$B$166:$B$674,$C292)&gt;0,$D292&lt;24),
Error!$B$54,
IF(AND(_xlpm.baseRow,$E292="Tier 3",ISNA(MATCH($C292,Tables2!$B$153:$B$162,0)),OR($D292&lt;12,$D292&gt;=24)),
Error!$B$9,
IF(AND(_xlpm.baseRow,$E292="Tier 3",COUNTIF(Tables2!$B$153:$B$162,$C292)&gt;0,$D292&lt;12),
Error!$B$46,
IF(AND(_xlpm.baseRow,$E292="Tier 4",OR($D292&lt;6,$D292&gt;=12)),
Error!$B$10,
IF(AND(_xlpm.baseRow,$E292="&lt;6in DSH for Tree Points",OR($D292&gt;=6,$D292="")),
Error!$B$8,
IF(AND(_xlpm.baseRow,$E292="Street Tree for Green Factor",$F292&lt;&gt;"",$F292&lt;&gt;"Retain"),
Error!$B$14,
IF(AND($E292="&lt;6in DSH for Tree Points",$F292="Retain",$H292&lt;&gt;"",ISNA(MATCH($H292,Tables!$B$174:$B$174,0))),
Error!$B$15,
IF(AND($E292="Street Tree for Green Factor",$F292="Retain",$H292&lt;&gt;"",$H292&lt;&gt;"Zoning: Green Factor"),
Error!$B$15,
IF(AND($E292="ECA / Shoreline Tree",$F292="Remove",$H292&lt;&gt;"",ISNA(MATCH($H292,Tables!$B$189:$B$190,0))),
Error!$B$15,
IF(AND($E292="ECA / Shoreline Tree",$F292="Retain",$H292&lt;&gt;"",ISNA(MATCH($H292,Tables!$B$184:$B$186,0))),
Error!$B$15,
IF(AND($E292="Tier 4",$F292="Remove",$H292&lt;&gt;"",ISNA(MATCH($H292,Tables!$B$171,0))),
Error!$B$15,
IF(AND($E292="Tier 4",$F292="Retain",$H292&lt;&gt;"",ISNA(MATCH($H292,Tables!$B$166:$B$168,0))),
Error!$B$15,
IF(AND($E292="Tier 3",$F292="Retain",$H292&lt;&gt;"",ISNA(MATCH($H292,Tables!$B$158:$B$160,0))),
Error!$B$15,
IF(AND($E292="Tier 3",$F292="Remove",$H292&lt;&gt;"",ISNA(MATCH($H292,Tables!$B$163,0))),
Error!$B$15,
IF(AND(OR($E292="Tier 2",$E292="Tier 2 Grove"),$F292="Remove",$H292&lt;&gt;"",ISNA(MATCH($H292,Tables!$B$153:$B$155,0))),
Error!$B$15,
IF(AND(OR($E292="Tier 2",$E292="Tier 2 Grove"),$F292="Retain",$H292&lt;&gt;"",ISNA(MATCH($H292,Tables!$B$147:$B$150,0))),
Error!$B$15,
IF(AND($E292="Tier 1",$F292="Remove",$H292&lt;&gt;"",ISNA(MATCH($H292,Tables!$B$143:$B$144,0))),
Error!$B$15,
IF(AND($E292="Tier 1",$F292="Retain",$H292&lt;&gt;"",ISNA(MATCH($H292,Tables!$B$137:$B$140,0))),
Error!$B$15,
IF(AND($E292&lt;&gt;"Tier 2",$E292&lt;&gt;"Tier 2 Grove",$E292&lt;&gt;"Tier 3",$E292&lt;&gt;"Tier 4",$H292="Zoning: Green Factor",OR($D292="",$D292&lt;6)),
Error!$B$11,
IF(AND(_xlpm.baseRow,$D292&lt;6,$E292="&lt;6in DSH for Tree Points",_xlpm.TreePoints_H=0),
Error!$B$21,
IF(AND(_xlpm.baseRow,$E292&lt;&gt;"",$D292&lt;&gt;"",$F292=""),
Error!$B$4,
IF(AND(_xlpm.baseRow,$F292="Remove",OR($E292="Tier 1",$E292="Tier 2",$E292="Tier 2 Grove"),COUNTBLANK(_xlpm.HRange)&lt;3,_xlpm.uniqueH&gt;=2),
Error!$B$48,
IF(AND(_xlpm.baseRow,$F292="Retain",OR($E292="Tier 1",$E292="Tier 2",$E292="Tier 2 Grove"),COUNTIF(_xlpm.HRange,"Tree Code: Required to Retain Tier 1-2 Tree")=0),
Error!$B$47,
IF(AND(_xlpm.baseRow,$E292&lt;&gt;"",$D292&lt;&gt;"",$F292&lt;&gt;"",COUNTBLANK(_xlpm.HRange)=4),
Error!$B$5,
IF(AND($F292="Remove",$H292&lt;&gt;"",$I292=""),
Error!$B$18,
IF(AND($E292="Tier 4",$F292="Remove",$H292="Tree Protection Code: Tier 3 or Tier 4 Allowance",$H292&lt;&gt;"",ISNA(MATCH($I292,Tables!$B$200,0))),
Error!$B$17,
IF(AND($E292="Tier 3",$F292="Remove",$H292&lt;&gt;"",$H292="Tree Protection Code: Tier 3 or Tier 4 Allowance",OR($I292="",ISNA(MATCH($I292,Tables!$B$193:$B$197,0)))),
Error!$B$17,
IF(AND(OR($E292="Tier 2",$E292="Tier 2 Grove"),$F292="Remove",$H292="Tree Protection Code: Other removal allowance or exemption",$I292&lt;&gt;"",ISNA(MATCH($I292,Tables!$B$215:$B$218,0))),
Error!$B$17,
IF(AND(OR($E292="Tier 2",$E292="Tier 2 Grove"),$F292="Remove",$H292="Tree Protection Code: Development Capacity",$I292&lt;&gt;"",ISNA(MATCH($I292,Tables!$B$193:$B$197,0))),
Error!$B$17,
IF(AND(OR($E292="Tier 2",$E292="Tier 2 Grove"),$F292="Remove",$H292="Tree Protection Code: Necessary for Construction",$I292&lt;&gt;"",ISNA(MATCH($I292,Tables!$B$193:$B$197,0))),
Error!$B$17,
IF(AND($E292="Tier 1",$F292="Remove",$H292="Tree Protection Code: Special Exception",$I292&lt;&gt;"",ISNA(MATCH($I292,Tables!$B$215:$B$218,0))),
Error!$B$17,
IF(AND($E292="Tier 1",$F292="Remove",$H292="Tree Protection Code: Other removal allowance or exemption",$I292&lt;&gt;"",ISNA(MATCH($I292,Tables!$B$215:$B$218,0))),
Error!$B$17,
IF(AND($E292="ECA / Shoreline Tree",$F292="Remove",$H292&lt;&gt;"",OR($H292="Shoreline",$H292="Environmental Critical Area (ECA)"),ISNA(MATCH($I292,Tables!$B$209:$B$212,0))),
Error!$B$17,
IF(AND(_xlpm.baseRow,$F292="Retain",$E292="ECA / Shoreline Tree",_xlpm.ECA_Short=0),
Error!$B$61,
IF(AND($F292="Remove",ISNUMBER(MATCH($E292,{"Tier 1","Tier 2","Tier 3","Tier 4","Tier 2 Grove"},0)),ISNUMBER(MATCH($I292,{"On-site replacement","Off-site replacement"},0)),$J292="",$H292&lt;&gt;""),
Error!$B$19,
IF(AND(_xlpm.baseRow,$E292&lt;&gt;"",$D292&lt;&gt;"",$F292&lt;&gt;"",COUNTBLANK($B292:$C292)&gt;0,COUNTBLANK(_xlpm.HRange)&lt;&gt;4),
Error!$B$22,
IF(AND($H292="Zoning: Tree Points",$K292&lt;&gt;"",ISNA(MATCH($K292,Tables!$B$242:$B$253,0))),
Error!$B$58,
IF(AND($H292="Zoning: Tree Points",$K292="Small",$L292&lt;&gt;"",ISNA(MATCH($L292,Tables!$C$243:$C$244,0))),
Error!$B$59,
IF(AND($H292="Zoning: Tree Points",$K292="Small/Medium",$L292&lt;&gt;"",ISNA(MATCH($L292,Tables!$C$246:$C$247,0))),
Error!$B$59,
IF(AND($H292="Zoning: Tree Points",$K292="Medium/Large",$L292&lt;&gt;"",ISNA(MATCH($L292,Tables!$C$249:$C$250,0))),
Error!$B$59,
IF(AND($H292="Zoning: Tree Points",$K292="Large",$L292&lt;&gt;"",ISNA(MATCH($L292,Tables!$C$252:$C$253,0))),
Error!$B$59,
IF(AND($F292="Retain",$H292="Zoning: Tree Points",$C292&lt;&gt;"",$D292&lt;&gt;"",OR($K292="",$L292="",$M292="")),
Error!$B$20,
""
)))))))))))))))))))))))))))))))))))))))))))))))))))))))),
Error!$B$23))</f>
        <v/>
      </c>
      <c r="O292" s="343" t="str" cm="1">
        <f t="array" aca="1" ref="O292" ca="1">IFERROR(_xlfn.LET(
    _xlpm.txt, $C292,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93" spans="1:15" x14ac:dyDescent="0.3">
      <c r="A293" s="320"/>
      <c r="B293" s="616" t="str">
        <f t="shared" si="310"/>
        <v/>
      </c>
      <c r="C293" s="617" t="str">
        <f t="shared" si="311"/>
        <v/>
      </c>
      <c r="D293" s="618" t="str">
        <f t="shared" si="312"/>
        <v/>
      </c>
      <c r="E293" s="616" t="str">
        <f t="shared" si="313"/>
        <v/>
      </c>
      <c r="F293" s="616" t="str">
        <f t="shared" si="314"/>
        <v/>
      </c>
      <c r="G293" s="619" t="str">
        <f>IF(Tree_Table1[[#This Row],[Tree Status  &amp;]]="Retain", Tables!$B$237, IF(Tree_Table1[[#This Row],[Tree Status  &amp;]]="Remove", Tables!$B$238, ""))</f>
        <v/>
      </c>
      <c r="H293" s="321"/>
      <c r="I293" s="322"/>
      <c r="J293" s="453"/>
      <c r="K293" s="323" t="str">
        <f>IFERROR(
    IF(
        AND($H293="Zoning: Tree Points", NOT(ISNUMBER(SEARCH("sp.", $C293)))),
        VLOOKUP($C293, 'Tree List'!$C$3:$F$601, 4, FALSE),
        ""
    ),
"")</f>
        <v/>
      </c>
      <c r="L293" s="324" t="str" cm="1">
        <f t="array" ref="L293">IFERROR(
IF(
    AND($H293="Zoning: Tree Points", NOT(ISNUMBER(SEARCH("sp.", $C293)))),
    _xlfn.IFS(
        (COUNTIFS('Tree List'!$C$3:$C$601,$C293,'Tree List'!$D$3:$D$601,"Coniferous")
        + COUNTIFS('Tree List'!$C$3:$C$601,$C293,'Tree List'!$D$3:$D$601,"Deciduous Conifer")) &gt; 0,
            _xlfn.IFS($K293="Small",0.5,$K293="Small/Medium",1,$K293="Medium/Large",1.4,$K293="Large",1.8),
        (COUNTIFS('Tree List'!$C$3:$C$601,$C293,'Tree List'!$D$3:$D$601,"Deciduous")
        + COUNTIFS('Tree List'!$C$3:$C$601,$C293,'Tree List'!$D$3:$D$601,"Broadleaf Evergreen")) &gt; 0,
            _xlfn.IFS($K293="Small",0.4,$K293="Small/Medium",0.8,$K293="Medium/Large",1.2,$K293="Large",1.6)
    ),
    ""
),
"")</f>
        <v/>
      </c>
      <c r="M293" s="475" t="str">
        <f t="shared" si="249"/>
        <v/>
      </c>
      <c r="N293" s="346" t="str" cm="1">
        <f t="array" aca="1" ref="N29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IF(AND(_xlpm.baseRow,ISNA(MATCH($C293,'Tree List'!$C$3:$C$601,0)),SUMPRODUCT(--ISNUMBER(SEARCH(Tables2!$C$677:$C$772,$O293)))&gt;0),
Error!$B$57,
IF(AND(_xlpm.hasDM,$F293="Remove",$H293&lt;&gt;"",OR($I293="On-site replacement",$I293="Off-site replacement",$I293="Payment In Lieu")),
Error!$B$56,
IF(AND(_xlpm.hasDM,$F293="Remove",$H293&lt;&gt;"",$I293="Relocation"),
Error!$B$66,
IF(AND(OR(_xlpm.hasCN,_xlpm.hasPH,_xlpm.hasGR),$H293&lt;&gt;"",COUNTIF(Tables!$B$132:$B$134,$H293)&gt;0,$I293="N/A (No replacement required)"),
Error!$B$62,
IF(AND(_xlpm.baseRow,$E293&lt;&gt;"",ISNA(MATCH($E293,Tables!$B$225:$B$232,0))),
Error!$B$2,
IF(AND(_xlpm.baseRow,$F293&lt;&gt;"",ISNA(MATCH($F293,Tables!$B$234:$B$235,0))),
Error!$B$24,
IF(AND(_xlpm.baseRow,_xlpm.ECA_H&gt;0,_xlpm.Shore_H&gt;0),
Error!$B$16,
IF(AND(_xlpm.baseRow,$E293&lt;&gt;"",$D293=""),
Error!$B$3,
IF(AND(_xlpm.baseRow,OR($E293="Tier 3",$E293="Tier 4"),$C293&lt;&gt;"",$D293&gt;=24,COUNTIF(Tables2!$B$166:$B$674,$C293)&gt;0),
Error!$B$44,
IF(AND(_xlpm.baseRow,OR($E293="Tier 3",$E293="Tier 4"),$C293&lt;&gt;"",$D293&lt;&gt;"",COUNTIF(Tables2!$B$73:$B$152,$C293)&gt;0,
$D293&gt;=IFERROR(INDEX(Tables2!$C$73:$C$152,MATCH($C293,Tables2!$B$73:$B$152,0)),-1)),
Error!$B$44,
IF(AND(_xlpm.baseRow,OR($E293="Tier 2",$E293="Tier 2 Grove"),$C293&lt;&gt;"",$D293&gt;=12,COUNTIF(Tables2!$B$153:$B$162,$C293)&gt;0),
Error!$B$45,
IF(AND(_xlpm.baseRow,$E293="Tier 2 Grove",$D293&lt;12),
Error!$B$41,
IF(AND(_xlpm.baseRow,$E293="Tier 2",$D293&lt;5.88),
Error!$B$40,
IF(AND(_xlpm.baseRow,OR($E293="Tier 2",$E293="Tier 2 Grove"),$C293&lt;&gt;"",$D293&lt;12,$D293&gt;=6,COUNTIF(Tables2!$B$153:$B$162,$C293)&gt;0),
Error!$B$54,
IF(AND(_xlpm.baseRow,$E293="Tier 2",COUNTIF(Tables2!$B$166:$B$674,$C293)&gt;0,$D293&lt;24),
Error!$B$54,
IF(AND(_xlpm.baseRow,$E293="Tier 3",ISNA(MATCH($C293,Tables2!$B$153:$B$162,0)),OR($D293&lt;12,$D293&gt;=24)),
Error!$B$9,
IF(AND(_xlpm.baseRow,$E293="Tier 3",COUNTIF(Tables2!$B$153:$B$162,$C293)&gt;0,$D293&lt;12),
Error!$B$46,
IF(AND(_xlpm.baseRow,$E293="Tier 4",OR($D293&lt;6,$D293&gt;=12)),
Error!$B$10,
IF(AND(_xlpm.baseRow,$E293="&lt;6in DSH for Tree Points",OR($D293&gt;=6,$D293="")),
Error!$B$8,
IF(AND(_xlpm.baseRow,$E293="Street Tree for Green Factor",$F293&lt;&gt;"",$F293&lt;&gt;"Retain"),
Error!$B$14,
IF(AND($E293="&lt;6in DSH for Tree Points",$F293="Retain",$H293&lt;&gt;"",ISNA(MATCH($H293,Tables!$B$174:$B$174,0))),
Error!$B$15,
IF(AND($E293="Street Tree for Green Factor",$F293="Retain",$H293&lt;&gt;"",$H293&lt;&gt;"Zoning: Green Factor"),
Error!$B$15,
IF(AND($E293="ECA / Shoreline Tree",$F293="Remove",$H293&lt;&gt;"",ISNA(MATCH($H293,Tables!$B$189:$B$190,0))),
Error!$B$15,
IF(AND($E293="ECA / Shoreline Tree",$F293="Retain",$H293&lt;&gt;"",ISNA(MATCH($H293,Tables!$B$184:$B$186,0))),
Error!$B$15,
IF(AND($E293="Tier 4",$F293="Remove",$H293&lt;&gt;"",ISNA(MATCH($H293,Tables!$B$171,0))),
Error!$B$15,
IF(AND($E293="Tier 4",$F293="Retain",$H293&lt;&gt;"",ISNA(MATCH($H293,Tables!$B$166:$B$168,0))),
Error!$B$15,
IF(AND($E293="Tier 3",$F293="Retain",$H293&lt;&gt;"",ISNA(MATCH($H293,Tables!$B$158:$B$160,0))),
Error!$B$15,
IF(AND($E293="Tier 3",$F293="Remove",$H293&lt;&gt;"",ISNA(MATCH($H293,Tables!$B$163,0))),
Error!$B$15,
IF(AND(OR($E293="Tier 2",$E293="Tier 2 Grove"),$F293="Remove",$H293&lt;&gt;"",ISNA(MATCH($H293,Tables!$B$153:$B$155,0))),
Error!$B$15,
IF(AND(OR($E293="Tier 2",$E293="Tier 2 Grove"),$F293="Retain",$H293&lt;&gt;"",ISNA(MATCH($H293,Tables!$B$147:$B$150,0))),
Error!$B$15,
IF(AND($E293="Tier 1",$F293="Remove",$H293&lt;&gt;"",ISNA(MATCH($H293,Tables!$B$143:$B$144,0))),
Error!$B$15,
IF(AND($E293="Tier 1",$F293="Retain",$H293&lt;&gt;"",ISNA(MATCH($H293,Tables!$B$137:$B$140,0))),
Error!$B$15,
IF(AND($E293&lt;&gt;"Tier 2",$E293&lt;&gt;"Tier 2 Grove",$E293&lt;&gt;"Tier 3",$E293&lt;&gt;"Tier 4",$H293="Zoning: Green Factor",OR($D293="",$D293&lt;6)),
Error!$B$11,
IF(AND(_xlpm.baseRow,$D293&lt;6,$E293="&lt;6in DSH for Tree Points",_xlpm.TreePoints_H=0),
Error!$B$21,
IF(AND(_xlpm.baseRow,$E293&lt;&gt;"",$D293&lt;&gt;"",$F293=""),
Error!$B$4,
IF(AND(_xlpm.baseRow,$F293="Remove",OR($E293="Tier 1",$E293="Tier 2",$E293="Tier 2 Grove"),COUNTBLANK(_xlpm.HRange)&lt;3,_xlpm.uniqueH&gt;=2),
Error!$B$48,
IF(AND(_xlpm.baseRow,$F293="Retain",OR($E293="Tier 1",$E293="Tier 2",$E293="Tier 2 Grove"),COUNTIF(_xlpm.HRange,"Tree Code: Required to Retain Tier 1-2 Tree")=0),
Error!$B$47,
IF(AND(_xlpm.baseRow,$E293&lt;&gt;"",$D293&lt;&gt;"",$F293&lt;&gt;"",COUNTBLANK(_xlpm.HRange)=4),
Error!$B$5,
IF(AND($F293="Remove",$H293&lt;&gt;"",$I293=""),
Error!$B$18,
IF(AND($E293="Tier 4",$F293="Remove",$H293="Tree Protection Code: Tier 3 or Tier 4 Allowance",$H293&lt;&gt;"",ISNA(MATCH($I293,Tables!$B$200,0))),
Error!$B$17,
IF(AND($E293="Tier 3",$F293="Remove",$H293&lt;&gt;"",$H293="Tree Protection Code: Tier 3 or Tier 4 Allowance",OR($I293="",ISNA(MATCH($I293,Tables!$B$193:$B$197,0)))),
Error!$B$17,
IF(AND(OR($E293="Tier 2",$E293="Tier 2 Grove"),$F293="Remove",$H293="Tree Protection Code: Other removal allowance or exemption",$I293&lt;&gt;"",ISNA(MATCH($I293,Tables!$B$215:$B$218,0))),
Error!$B$17,
IF(AND(OR($E293="Tier 2",$E293="Tier 2 Grove"),$F293="Remove",$H293="Tree Protection Code: Development Capacity",$I293&lt;&gt;"",ISNA(MATCH($I293,Tables!$B$193:$B$197,0))),
Error!$B$17,
IF(AND(OR($E293="Tier 2",$E293="Tier 2 Grove"),$F293="Remove",$H293="Tree Protection Code: Necessary for Construction",$I293&lt;&gt;"",ISNA(MATCH($I293,Tables!$B$193:$B$197,0))),
Error!$B$17,
IF(AND($E293="Tier 1",$F293="Remove",$H293="Tree Protection Code: Special Exception",$I293&lt;&gt;"",ISNA(MATCH($I293,Tables!$B$215:$B$218,0))),
Error!$B$17,
IF(AND($E293="Tier 1",$F293="Remove",$H293="Tree Protection Code: Other removal allowance or exemption",$I293&lt;&gt;"",ISNA(MATCH($I293,Tables!$B$215:$B$218,0))),
Error!$B$17,
IF(AND($E293="ECA / Shoreline Tree",$F293="Remove",$H293&lt;&gt;"",OR($H293="Shoreline",$H293="Environmental Critical Area (ECA)"),ISNA(MATCH($I293,Tables!$B$209:$B$212,0))),
Error!$B$17,
IF(AND(_xlpm.baseRow,$F293="Retain",$E293="ECA / Shoreline Tree",_xlpm.ECA_Short=0),
Error!$B$61,
IF(AND($F293="Remove",ISNUMBER(MATCH($E293,{"Tier 1","Tier 2","Tier 3","Tier 4","Tier 2 Grove"},0)),ISNUMBER(MATCH($I293,{"On-site replacement","Off-site replacement"},0)),$J293="",$H293&lt;&gt;""),
Error!$B$19,
IF(AND(_xlpm.baseRow,$E293&lt;&gt;"",$D293&lt;&gt;"",$F293&lt;&gt;"",COUNTBLANK($B293:$C293)&gt;0,COUNTBLANK(_xlpm.HRange)&lt;&gt;4),
Error!$B$22,
IF(AND($H293="Zoning: Tree Points",$K293&lt;&gt;"",ISNA(MATCH($K293,Tables!$B$242:$B$253,0))),
Error!$B$58,
IF(AND($H293="Zoning: Tree Points",$K293="Small",$L293&lt;&gt;"",ISNA(MATCH($L293,Tables!$C$243:$C$244,0))),
Error!$B$59,
IF(AND($H293="Zoning: Tree Points",$K293="Small/Medium",$L293&lt;&gt;"",ISNA(MATCH($L293,Tables!$C$246:$C$247,0))),
Error!$B$59,
IF(AND($H293="Zoning: Tree Points",$K293="Medium/Large",$L293&lt;&gt;"",ISNA(MATCH($L293,Tables!$C$249:$C$250,0))),
Error!$B$59,
IF(AND($H293="Zoning: Tree Points",$K293="Large",$L293&lt;&gt;"",ISNA(MATCH($L293,Tables!$C$252:$C$253,0))),
Error!$B$59,
IF(AND($F293="Retain",$H293="Zoning: Tree Points",$C293&lt;&gt;"",$D293&lt;&gt;"",OR($K293="",$L293="",$M293="")),
Error!$B$20,
""
)))))))))))))))))))))))))))))))))))))))))))))))))))))))),
Error!$B$23))</f>
        <v/>
      </c>
      <c r="O293" s="343" t="str" cm="1">
        <f t="array" aca="1" ref="O293" ca="1">IFERROR(_xlfn.LET(
    _xlpm.txt, $C293,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94" spans="1:15" ht="15" thickBot="1" x14ac:dyDescent="0.35">
      <c r="A294" s="331"/>
      <c r="B294" s="616" t="str">
        <f t="shared" si="310"/>
        <v/>
      </c>
      <c r="C294" s="617" t="str">
        <f t="shared" si="311"/>
        <v/>
      </c>
      <c r="D294" s="618" t="str">
        <f t="shared" si="312"/>
        <v/>
      </c>
      <c r="E294" s="616" t="str">
        <f t="shared" si="313"/>
        <v/>
      </c>
      <c r="F294" s="616" t="str">
        <f t="shared" si="314"/>
        <v/>
      </c>
      <c r="G294" s="619" t="str">
        <f>IF(Tree_Table1[[#This Row],[Tree Status  &amp;]]="Retain", Tables!$B$237, IF(Tree_Table1[[#This Row],[Tree Status  &amp;]]="Remove", Tables!$B$238, ""))</f>
        <v/>
      </c>
      <c r="H294" s="329"/>
      <c r="I294" s="330"/>
      <c r="J294" s="455"/>
      <c r="K294" s="327" t="str">
        <f>IFERROR(
    IF(
        AND($H294="Zoning: Tree Points", NOT(ISNUMBER(SEARCH("sp.", $C294)))),
        VLOOKUP($C294, 'Tree List'!$C$3:$F$601, 4, FALSE),
        ""
    ),
"")</f>
        <v/>
      </c>
      <c r="L294" s="328" t="str" cm="1">
        <f t="array" ref="L294">IFERROR(
IF(
    AND($H294="Zoning: Tree Points", NOT(ISNUMBER(SEARCH("sp.", $C294)))),
    _xlfn.IFS(
        (COUNTIFS('Tree List'!$C$3:$C$601,$C294,'Tree List'!$D$3:$D$601,"Coniferous")
        + COUNTIFS('Tree List'!$C$3:$C$601,$C294,'Tree List'!$D$3:$D$601,"Deciduous Conifer")) &gt; 0,
            _xlfn.IFS($K294="Small",0.5,$K294="Small/Medium",1,$K294="Medium/Large",1.4,$K294="Large",1.8),
        (COUNTIFS('Tree List'!$C$3:$C$601,$C294,'Tree List'!$D$3:$D$601,"Deciduous")
        + COUNTIFS('Tree List'!$C$3:$C$601,$C294,'Tree List'!$D$3:$D$601,"Broadleaf Evergreen")) &gt; 0,
            _xlfn.IFS($K294="Small",0.4,$K294="Small/Medium",0.8,$K294="Medium/Large",1.2,$K294="Large",1.6)
    ),
    ""
),
"")</f>
        <v/>
      </c>
      <c r="M294" s="476" t="str">
        <f t="shared" si="249"/>
        <v/>
      </c>
      <c r="N294" s="347" t="str" cm="1">
        <f t="array" aca="1" ref="N29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IF(AND(_xlpm.baseRow,ISNA(MATCH($C294,'Tree List'!$C$3:$C$601,0)),SUMPRODUCT(--ISNUMBER(SEARCH(Tables2!$C$677:$C$772,$O294)))&gt;0),
Error!$B$57,
IF(AND(_xlpm.hasDM,$F294="Remove",$H294&lt;&gt;"",OR($I294="On-site replacement",$I294="Off-site replacement",$I294="Payment In Lieu")),
Error!$B$56,
IF(AND(_xlpm.hasDM,$F294="Remove",$H294&lt;&gt;"",$I294="Relocation"),
Error!$B$66,
IF(AND(OR(_xlpm.hasCN,_xlpm.hasPH,_xlpm.hasGR),$H294&lt;&gt;"",COUNTIF(Tables!$B$132:$B$134,$H294)&gt;0,$I294="N/A (No replacement required)"),
Error!$B$62,
IF(AND(_xlpm.baseRow,$E294&lt;&gt;"",ISNA(MATCH($E294,Tables!$B$225:$B$232,0))),
Error!$B$2,
IF(AND(_xlpm.baseRow,$F294&lt;&gt;"",ISNA(MATCH($F294,Tables!$B$234:$B$235,0))),
Error!$B$24,
IF(AND(_xlpm.baseRow,_xlpm.ECA_H&gt;0,_xlpm.Shore_H&gt;0),
Error!$B$16,
IF(AND(_xlpm.baseRow,$E294&lt;&gt;"",$D294=""),
Error!$B$3,
IF(AND(_xlpm.baseRow,OR($E294="Tier 3",$E294="Tier 4"),$C294&lt;&gt;"",$D294&gt;=24,COUNTIF(Tables2!$B$166:$B$674,$C294)&gt;0),
Error!$B$44,
IF(AND(_xlpm.baseRow,OR($E294="Tier 3",$E294="Tier 4"),$C294&lt;&gt;"",$D294&lt;&gt;"",COUNTIF(Tables2!$B$73:$B$152,$C294)&gt;0,
$D294&gt;=IFERROR(INDEX(Tables2!$C$73:$C$152,MATCH($C294,Tables2!$B$73:$B$152,0)),-1)),
Error!$B$44,
IF(AND(_xlpm.baseRow,OR($E294="Tier 2",$E294="Tier 2 Grove"),$C294&lt;&gt;"",$D294&gt;=12,COUNTIF(Tables2!$B$153:$B$162,$C294)&gt;0),
Error!$B$45,
IF(AND(_xlpm.baseRow,$E294="Tier 2 Grove",$D294&lt;12),
Error!$B$41,
IF(AND(_xlpm.baseRow,$E294="Tier 2",$D294&lt;5.88),
Error!$B$40,
IF(AND(_xlpm.baseRow,OR($E294="Tier 2",$E294="Tier 2 Grove"),$C294&lt;&gt;"",$D294&lt;12,$D294&gt;=6,COUNTIF(Tables2!$B$153:$B$162,$C294)&gt;0),
Error!$B$54,
IF(AND(_xlpm.baseRow,$E294="Tier 2",COUNTIF(Tables2!$B$166:$B$674,$C294)&gt;0,$D294&lt;24),
Error!$B$54,
IF(AND(_xlpm.baseRow,$E294="Tier 3",ISNA(MATCH($C294,Tables2!$B$153:$B$162,0)),OR($D294&lt;12,$D294&gt;=24)),
Error!$B$9,
IF(AND(_xlpm.baseRow,$E294="Tier 3",COUNTIF(Tables2!$B$153:$B$162,$C294)&gt;0,$D294&lt;12),
Error!$B$46,
IF(AND(_xlpm.baseRow,$E294="Tier 4",OR($D294&lt;6,$D294&gt;=12)),
Error!$B$10,
IF(AND(_xlpm.baseRow,$E294="&lt;6in DSH for Tree Points",OR($D294&gt;=6,$D294="")),
Error!$B$8,
IF(AND(_xlpm.baseRow,$E294="Street Tree for Green Factor",$F294&lt;&gt;"",$F294&lt;&gt;"Retain"),
Error!$B$14,
IF(AND($E294="&lt;6in DSH for Tree Points",$F294="Retain",$H294&lt;&gt;"",ISNA(MATCH($H294,Tables!$B$174:$B$174,0))),
Error!$B$15,
IF(AND($E294="Street Tree for Green Factor",$F294="Retain",$H294&lt;&gt;"",$H294&lt;&gt;"Zoning: Green Factor"),
Error!$B$15,
IF(AND($E294="ECA / Shoreline Tree",$F294="Remove",$H294&lt;&gt;"",ISNA(MATCH($H294,Tables!$B$189:$B$190,0))),
Error!$B$15,
IF(AND($E294="ECA / Shoreline Tree",$F294="Retain",$H294&lt;&gt;"",ISNA(MATCH($H294,Tables!$B$184:$B$186,0))),
Error!$B$15,
IF(AND($E294="Tier 4",$F294="Remove",$H294&lt;&gt;"",ISNA(MATCH($H294,Tables!$B$171,0))),
Error!$B$15,
IF(AND($E294="Tier 4",$F294="Retain",$H294&lt;&gt;"",ISNA(MATCH($H294,Tables!$B$166:$B$168,0))),
Error!$B$15,
IF(AND($E294="Tier 3",$F294="Retain",$H294&lt;&gt;"",ISNA(MATCH($H294,Tables!$B$158:$B$160,0))),
Error!$B$15,
IF(AND($E294="Tier 3",$F294="Remove",$H294&lt;&gt;"",ISNA(MATCH($H294,Tables!$B$163,0))),
Error!$B$15,
IF(AND(OR($E294="Tier 2",$E294="Tier 2 Grove"),$F294="Remove",$H294&lt;&gt;"",ISNA(MATCH($H294,Tables!$B$153:$B$155,0))),
Error!$B$15,
IF(AND(OR($E294="Tier 2",$E294="Tier 2 Grove"),$F294="Retain",$H294&lt;&gt;"",ISNA(MATCH($H294,Tables!$B$147:$B$150,0))),
Error!$B$15,
IF(AND($E294="Tier 1",$F294="Remove",$H294&lt;&gt;"",ISNA(MATCH($H294,Tables!$B$143:$B$144,0))),
Error!$B$15,
IF(AND($E294="Tier 1",$F294="Retain",$H294&lt;&gt;"",ISNA(MATCH($H294,Tables!$B$137:$B$140,0))),
Error!$B$15,
IF(AND($E294&lt;&gt;"Tier 2",$E294&lt;&gt;"Tier 2 Grove",$E294&lt;&gt;"Tier 3",$E294&lt;&gt;"Tier 4",$H294="Zoning: Green Factor",OR($D294="",$D294&lt;6)),
Error!$B$11,
IF(AND(_xlpm.baseRow,$D294&lt;6,$E294="&lt;6in DSH for Tree Points",_xlpm.TreePoints_H=0),
Error!$B$21,
IF(AND(_xlpm.baseRow,$E294&lt;&gt;"",$D294&lt;&gt;"",$F294=""),
Error!$B$4,
IF(AND(_xlpm.baseRow,$F294="Remove",OR($E294="Tier 1",$E294="Tier 2",$E294="Tier 2 Grove"),COUNTBLANK(_xlpm.HRange)&lt;3,_xlpm.uniqueH&gt;=2),
Error!$B$48,
IF(AND(_xlpm.baseRow,$F294="Retain",OR($E294="Tier 1",$E294="Tier 2",$E294="Tier 2 Grove"),COUNTIF(_xlpm.HRange,"Tree Code: Required to Retain Tier 1-2 Tree")=0),
Error!$B$47,
IF(AND(_xlpm.baseRow,$E294&lt;&gt;"",$D294&lt;&gt;"",$F294&lt;&gt;"",COUNTBLANK(_xlpm.HRange)=4),
Error!$B$5,
IF(AND($F294="Remove",$H294&lt;&gt;"",$I294=""),
Error!$B$18,
IF(AND($E294="Tier 4",$F294="Remove",$H294="Tree Protection Code: Tier 3 or Tier 4 Allowance",$H294&lt;&gt;"",ISNA(MATCH($I294,Tables!$B$200,0))),
Error!$B$17,
IF(AND($E294="Tier 3",$F294="Remove",$H294&lt;&gt;"",$H294="Tree Protection Code: Tier 3 or Tier 4 Allowance",OR($I294="",ISNA(MATCH($I294,Tables!$B$193:$B$197,0)))),
Error!$B$17,
IF(AND(OR($E294="Tier 2",$E294="Tier 2 Grove"),$F294="Remove",$H294="Tree Protection Code: Other removal allowance or exemption",$I294&lt;&gt;"",ISNA(MATCH($I294,Tables!$B$215:$B$218,0))),
Error!$B$17,
IF(AND(OR($E294="Tier 2",$E294="Tier 2 Grove"),$F294="Remove",$H294="Tree Protection Code: Development Capacity",$I294&lt;&gt;"",ISNA(MATCH($I294,Tables!$B$193:$B$197,0))),
Error!$B$17,
IF(AND(OR($E294="Tier 2",$E294="Tier 2 Grove"),$F294="Remove",$H294="Tree Protection Code: Necessary for Construction",$I294&lt;&gt;"",ISNA(MATCH($I294,Tables!$B$193:$B$197,0))),
Error!$B$17,
IF(AND($E294="Tier 1",$F294="Remove",$H294="Tree Protection Code: Special Exception",$I294&lt;&gt;"",ISNA(MATCH($I294,Tables!$B$215:$B$218,0))),
Error!$B$17,
IF(AND($E294="Tier 1",$F294="Remove",$H294="Tree Protection Code: Other removal allowance or exemption",$I294&lt;&gt;"",ISNA(MATCH($I294,Tables!$B$215:$B$218,0))),
Error!$B$17,
IF(AND($E294="ECA / Shoreline Tree",$F294="Remove",$H294&lt;&gt;"",OR($H294="Shoreline",$H294="Environmental Critical Area (ECA)"),ISNA(MATCH($I294,Tables!$B$209:$B$212,0))),
Error!$B$17,
IF(AND(_xlpm.baseRow,$F294="Retain",$E294="ECA / Shoreline Tree",_xlpm.ECA_Short=0),
Error!$B$61,
IF(AND($F294="Remove",ISNUMBER(MATCH($E294,{"Tier 1","Tier 2","Tier 3","Tier 4","Tier 2 Grove"},0)),ISNUMBER(MATCH($I294,{"On-site replacement","Off-site replacement"},0)),$J294="",$H294&lt;&gt;""),
Error!$B$19,
IF(AND(_xlpm.baseRow,$E294&lt;&gt;"",$D294&lt;&gt;"",$F294&lt;&gt;"",COUNTBLANK($B294:$C294)&gt;0,COUNTBLANK(_xlpm.HRange)&lt;&gt;4),
Error!$B$22,
IF(AND($H294="Zoning: Tree Points",$K294&lt;&gt;"",ISNA(MATCH($K294,Tables!$B$242:$B$253,0))),
Error!$B$58,
IF(AND($H294="Zoning: Tree Points",$K294="Small",$L294&lt;&gt;"",ISNA(MATCH($L294,Tables!$C$243:$C$244,0))),
Error!$B$59,
IF(AND($H294="Zoning: Tree Points",$K294="Small/Medium",$L294&lt;&gt;"",ISNA(MATCH($L294,Tables!$C$246:$C$247,0))),
Error!$B$59,
IF(AND($H294="Zoning: Tree Points",$K294="Medium/Large",$L294&lt;&gt;"",ISNA(MATCH($L294,Tables!$C$249:$C$250,0))),
Error!$B$59,
IF(AND($H294="Zoning: Tree Points",$K294="Large",$L294&lt;&gt;"",ISNA(MATCH($L294,Tables!$C$252:$C$253,0))),
Error!$B$59,
IF(AND($F294="Retain",$H294="Zoning: Tree Points",$C294&lt;&gt;"",$D294&lt;&gt;"",OR($K294="",$L294="",$M294="")),
Error!$B$20,
""
)))))))))))))))))))))))))))))))))))))))))))))))))))))))),
Error!$B$23))</f>
        <v/>
      </c>
      <c r="O294" s="343" t="str" cm="1">
        <f t="array" aca="1" ref="O294" ca="1">IFERROR(_xlfn.LET(
    _xlpm.txt, $C294,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95" spans="1:15" ht="15" thickBot="1" x14ac:dyDescent="0.35">
      <c r="A295" s="311">
        <v>72</v>
      </c>
      <c r="B295" s="312"/>
      <c r="C295" s="313"/>
      <c r="D295" s="478"/>
      <c r="E295" s="314"/>
      <c r="F295" s="314"/>
      <c r="G295" s="315" t="str">
        <f>IF(Tree_Table1[[#This Row],[Tree Status  &amp;]]="Retain", Tables!$B$237, IF(Tree_Table1[[#This Row],[Tree Status  &amp;]]="Remove", Tables!$B$238, ""))</f>
        <v/>
      </c>
      <c r="H295" s="316"/>
      <c r="I295" s="317"/>
      <c r="J295" s="452"/>
      <c r="K295" s="318" t="str">
        <f>IFERROR(
    IF(
        AND($H295="Zoning: Tree Points", NOT(ISNUMBER(SEARCH("sp.", $C295)))),
        VLOOKUP($C295, 'Tree List'!$C$3:$F$601, 4, FALSE),
        ""
    ),
"")</f>
        <v/>
      </c>
      <c r="L295" s="319" t="str" cm="1">
        <f t="array" ref="L295">IFERROR(
IF(
    AND($H295="Zoning: Tree Points", NOT(ISNUMBER(SEARCH("sp.", $C295)))),
    _xlfn.IFS(
        (COUNTIFS('Tree List'!$C$3:$C$601,$C295,'Tree List'!$D$3:$D$601,"Coniferous")
        + COUNTIFS('Tree List'!$C$3:$C$601,$C295,'Tree List'!$D$3:$D$601,"Deciduous Conifer")) &gt; 0,
            _xlfn.IFS($K295="Small",0.5,$K295="Small/Medium",1,$K295="Medium/Large",1.4,$K295="Large",1.8),
        (COUNTIFS('Tree List'!$C$3:$C$601,$C295,'Tree List'!$D$3:$D$601,"Deciduous")
        + COUNTIFS('Tree List'!$C$3:$C$601,$C295,'Tree List'!$D$3:$D$601,"Broadleaf Evergreen")) &gt; 0,
            _xlfn.IFS($K295="Small",0.4,$K295="Small/Medium",0.8,$K295="Medium/Large",1.2,$K295="Large",1.6)
    ),
    ""
),
"")</f>
        <v/>
      </c>
      <c r="M295" s="474" t="str">
        <f t="shared" si="249"/>
        <v/>
      </c>
      <c r="N295" s="620" t="str" cm="1">
        <f t="array" aca="1" ref="N29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IF(AND(_xlpm.baseRow,ISNA(MATCH($C295,'Tree List'!$C$3:$C$601,0)),SUMPRODUCT(--ISNUMBER(SEARCH(Tables2!$C$677:$C$772,$O295)))&gt;0),
Error!$B$57,
IF(AND(_xlpm.hasDM,$F295="Remove",$H295&lt;&gt;"",OR($I295="On-site replacement",$I295="Off-site replacement",$I295="Payment In Lieu")),
Error!$B$56,
IF(AND(_xlpm.hasDM,$F295="Remove",$H295&lt;&gt;"",$I295="Relocation"),
Error!$B$66,
IF(AND(OR(_xlpm.hasCN,_xlpm.hasPH,_xlpm.hasGR),$H295&lt;&gt;"",COUNTIF(Tables!$B$132:$B$134,$H295)&gt;0,$I295="N/A (No replacement required)"),
Error!$B$62,
IF(AND(_xlpm.baseRow,$E295&lt;&gt;"",ISNA(MATCH($E295,Tables!$B$225:$B$232,0))),
Error!$B$2,
IF(AND(_xlpm.baseRow,$F295&lt;&gt;"",ISNA(MATCH($F295,Tables!$B$234:$B$235,0))),
Error!$B$24,
IF(AND(_xlpm.baseRow,_xlpm.ECA_H&gt;0,_xlpm.Shore_H&gt;0),
Error!$B$16,
IF(AND(_xlpm.baseRow,$E295&lt;&gt;"",$D295=""),
Error!$B$3,
IF(AND(_xlpm.baseRow,OR($E295="Tier 3",$E295="Tier 4"),$C295&lt;&gt;"",$D295&gt;=24,COUNTIF(Tables2!$B$166:$B$674,$C295)&gt;0),
Error!$B$44,
IF(AND(_xlpm.baseRow,OR($E295="Tier 3",$E295="Tier 4"),$C295&lt;&gt;"",$D295&lt;&gt;"",COUNTIF(Tables2!$B$73:$B$152,$C295)&gt;0,
$D295&gt;=IFERROR(INDEX(Tables2!$C$73:$C$152,MATCH($C295,Tables2!$B$73:$B$152,0)),-1)),
Error!$B$44,
IF(AND(_xlpm.baseRow,OR($E295="Tier 2",$E295="Tier 2 Grove"),$C295&lt;&gt;"",$D295&gt;=12,COUNTIF(Tables2!$B$153:$B$162,$C295)&gt;0),
Error!$B$45,
IF(AND(_xlpm.baseRow,$E295="Tier 2 Grove",$D295&lt;12),
Error!$B$41,
IF(AND(_xlpm.baseRow,$E295="Tier 2",$D295&lt;5.88),
Error!$B$40,
IF(AND(_xlpm.baseRow,OR($E295="Tier 2",$E295="Tier 2 Grove"),$C295&lt;&gt;"",$D295&lt;12,$D295&gt;=6,COUNTIF(Tables2!$B$153:$B$162,$C295)&gt;0),
Error!$B$54,
IF(AND(_xlpm.baseRow,$E295="Tier 2",COUNTIF(Tables2!$B$166:$B$674,$C295)&gt;0,$D295&lt;24),
Error!$B$54,
IF(AND(_xlpm.baseRow,$E295="Tier 3",ISNA(MATCH($C295,Tables2!$B$153:$B$162,0)),OR($D295&lt;12,$D295&gt;=24)),
Error!$B$9,
IF(AND(_xlpm.baseRow,$E295="Tier 3",COUNTIF(Tables2!$B$153:$B$162,$C295)&gt;0,$D295&lt;12),
Error!$B$46,
IF(AND(_xlpm.baseRow,$E295="Tier 4",OR($D295&lt;6,$D295&gt;=12)),
Error!$B$10,
IF(AND(_xlpm.baseRow,$E295="&lt;6in DSH for Tree Points",OR($D295&gt;=6,$D295="")),
Error!$B$8,
IF(AND(_xlpm.baseRow,$E295="Street Tree for Green Factor",$F295&lt;&gt;"",$F295&lt;&gt;"Retain"),
Error!$B$14,
IF(AND($E295="&lt;6in DSH for Tree Points",$F295="Retain",$H295&lt;&gt;"",ISNA(MATCH($H295,Tables!$B$174:$B$174,0))),
Error!$B$15,
IF(AND($E295="Street Tree for Green Factor",$F295="Retain",$H295&lt;&gt;"",$H295&lt;&gt;"Zoning: Green Factor"),
Error!$B$15,
IF(AND($E295="ECA / Shoreline Tree",$F295="Remove",$H295&lt;&gt;"",ISNA(MATCH($H295,Tables!$B$189:$B$190,0))),
Error!$B$15,
IF(AND($E295="ECA / Shoreline Tree",$F295="Retain",$H295&lt;&gt;"",ISNA(MATCH($H295,Tables!$B$184:$B$186,0))),
Error!$B$15,
IF(AND($E295="Tier 4",$F295="Remove",$H295&lt;&gt;"",ISNA(MATCH($H295,Tables!$B$171,0))),
Error!$B$15,
IF(AND($E295="Tier 4",$F295="Retain",$H295&lt;&gt;"",ISNA(MATCH($H295,Tables!$B$166:$B$168,0))),
Error!$B$15,
IF(AND($E295="Tier 3",$F295="Retain",$H295&lt;&gt;"",ISNA(MATCH($H295,Tables!$B$158:$B$160,0))),
Error!$B$15,
IF(AND($E295="Tier 3",$F295="Remove",$H295&lt;&gt;"",ISNA(MATCH($H295,Tables!$B$163,0))),
Error!$B$15,
IF(AND(OR($E295="Tier 2",$E295="Tier 2 Grove"),$F295="Remove",$H295&lt;&gt;"",ISNA(MATCH($H295,Tables!$B$153:$B$155,0))),
Error!$B$15,
IF(AND(OR($E295="Tier 2",$E295="Tier 2 Grove"),$F295="Retain",$H295&lt;&gt;"",ISNA(MATCH($H295,Tables!$B$147:$B$150,0))),
Error!$B$15,
IF(AND($E295="Tier 1",$F295="Remove",$H295&lt;&gt;"",ISNA(MATCH($H295,Tables!$B$143:$B$144,0))),
Error!$B$15,
IF(AND($E295="Tier 1",$F295="Retain",$H295&lt;&gt;"",ISNA(MATCH($H295,Tables!$B$137:$B$140,0))),
Error!$B$15,
IF(AND($E295&lt;&gt;"Tier 2",$E295&lt;&gt;"Tier 2 Grove",$E295&lt;&gt;"Tier 3",$E295&lt;&gt;"Tier 4",$H295="Zoning: Green Factor",OR($D295="",$D295&lt;6)),
Error!$B$11,
IF(AND(_xlpm.baseRow,$D295&lt;6,$E295="&lt;6in DSH for Tree Points",_xlpm.TreePoints_H=0),
Error!$B$21,
IF(AND(_xlpm.baseRow,$E295&lt;&gt;"",$D295&lt;&gt;"",$F295=""),
Error!$B$4,
IF(AND(_xlpm.baseRow,$F295="Remove",OR($E295="Tier 1",$E295="Tier 2",$E295="Tier 2 Grove"),COUNTBLANK(_xlpm.HRange)&lt;3,_xlpm.uniqueH&gt;=2),
Error!$B$48,
IF(AND(_xlpm.baseRow,$F295="Retain",OR($E295="Tier 1",$E295="Tier 2",$E295="Tier 2 Grove"),COUNTIF(_xlpm.HRange,"Tree Code: Required to Retain Tier 1-2 Tree")=0),
Error!$B$47,
IF(AND(_xlpm.baseRow,$E295&lt;&gt;"",$D295&lt;&gt;"",$F295&lt;&gt;"",COUNTBLANK(_xlpm.HRange)=4),
Error!$B$5,
IF(AND($F295="Remove",$H295&lt;&gt;"",$I295=""),
Error!$B$18,
IF(AND($E295="Tier 4",$F295="Remove",$H295="Tree Protection Code: Tier 3 or Tier 4 Allowance",$H295&lt;&gt;"",ISNA(MATCH($I295,Tables!$B$200,0))),
Error!$B$17,
IF(AND($E295="Tier 3",$F295="Remove",$H295&lt;&gt;"",$H295="Tree Protection Code: Tier 3 or Tier 4 Allowance",OR($I295="",ISNA(MATCH($I295,Tables!$B$193:$B$197,0)))),
Error!$B$17,
IF(AND(OR($E295="Tier 2",$E295="Tier 2 Grove"),$F295="Remove",$H295="Tree Protection Code: Other removal allowance or exemption",$I295&lt;&gt;"",ISNA(MATCH($I295,Tables!$B$215:$B$218,0))),
Error!$B$17,
IF(AND(OR($E295="Tier 2",$E295="Tier 2 Grove"),$F295="Remove",$H295="Tree Protection Code: Development Capacity",$I295&lt;&gt;"",ISNA(MATCH($I295,Tables!$B$193:$B$197,0))),
Error!$B$17,
IF(AND(OR($E295="Tier 2",$E295="Tier 2 Grove"),$F295="Remove",$H295="Tree Protection Code: Necessary for Construction",$I295&lt;&gt;"",ISNA(MATCH($I295,Tables!$B$193:$B$197,0))),
Error!$B$17,
IF(AND($E295="Tier 1",$F295="Remove",$H295="Tree Protection Code: Special Exception",$I295&lt;&gt;"",ISNA(MATCH($I295,Tables!$B$215:$B$218,0))),
Error!$B$17,
IF(AND($E295="Tier 1",$F295="Remove",$H295="Tree Protection Code: Other removal allowance or exemption",$I295&lt;&gt;"",ISNA(MATCH($I295,Tables!$B$215:$B$218,0))),
Error!$B$17,
IF(AND($E295="ECA / Shoreline Tree",$F295="Remove",$H295&lt;&gt;"",OR($H295="Shoreline",$H295="Environmental Critical Area (ECA)"),ISNA(MATCH($I295,Tables!$B$209:$B$212,0))),
Error!$B$17,
IF(AND(_xlpm.baseRow,$F295="Retain",$E295="ECA / Shoreline Tree",_xlpm.ECA_Short=0),
Error!$B$61,
IF(AND($F295="Remove",ISNUMBER(MATCH($E295,{"Tier 1","Tier 2","Tier 3","Tier 4","Tier 2 Grove"},0)),ISNUMBER(MATCH($I295,{"On-site replacement","Off-site replacement"},0)),$J295="",$H295&lt;&gt;""),
Error!$B$19,
IF(AND(_xlpm.baseRow,$E295&lt;&gt;"",$D295&lt;&gt;"",$F295&lt;&gt;"",COUNTBLANK($B295:$C295)&gt;0,COUNTBLANK(_xlpm.HRange)&lt;&gt;4),
Error!$B$22,
IF(AND($H295="Zoning: Tree Points",$K295&lt;&gt;"",ISNA(MATCH($K295,Tables!$B$242:$B$253,0))),
Error!$B$58,
IF(AND($H295="Zoning: Tree Points",$K295="Small",$L295&lt;&gt;"",ISNA(MATCH($L295,Tables!$C$243:$C$244,0))),
Error!$B$59,
IF(AND($H295="Zoning: Tree Points",$K295="Small/Medium",$L295&lt;&gt;"",ISNA(MATCH($L295,Tables!$C$246:$C$247,0))),
Error!$B$59,
IF(AND($H295="Zoning: Tree Points",$K295="Medium/Large",$L295&lt;&gt;"",ISNA(MATCH($L295,Tables!$C$249:$C$250,0))),
Error!$B$59,
IF(AND($H295="Zoning: Tree Points",$K295="Large",$L295&lt;&gt;"",ISNA(MATCH($L295,Tables!$C$252:$C$253,0))),
Error!$B$59,
IF(AND($F295="Retain",$H295="Zoning: Tree Points",$C295&lt;&gt;"",$D295&lt;&gt;"",OR($K295="",$L295="",$M295="")),
Error!$B$20,
""
)))))))))))))))))))))))))))))))))))))))))))))))))))))))),
Error!$B$23))</f>
        <v/>
      </c>
      <c r="O295" s="343" t="str" cm="1">
        <f t="array" aca="1" ref="O295" ca="1">IFERROR(_xlfn.LET(
    _xlpm.txt, $C295,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96" spans="1:15" x14ac:dyDescent="0.3">
      <c r="A296" s="320"/>
      <c r="B296" s="616" t="str">
        <f t="shared" ref="B296:B298" si="315">IF($B295="", "", $B295)</f>
        <v/>
      </c>
      <c r="C296" s="617" t="str">
        <f t="shared" ref="C296:C298" si="316">IF($C295="", "", $C295)</f>
        <v/>
      </c>
      <c r="D296" s="618" t="str">
        <f t="shared" ref="D296:D298" si="317">IF($D295="", "", $D295)</f>
        <v/>
      </c>
      <c r="E296" s="616" t="str">
        <f t="shared" ref="E296:E298" si="318">IF($E295="", "", $E295)</f>
        <v/>
      </c>
      <c r="F296" s="616" t="str">
        <f t="shared" ref="F296:F298" si="319">IF($F295="", "", $F295)</f>
        <v/>
      </c>
      <c r="G296" s="619" t="str">
        <f>IF(Tree_Table1[[#This Row],[Tree Status  &amp;]]="Retain", Tables!$B$237, IF(Tree_Table1[[#This Row],[Tree Status  &amp;]]="Remove", Tables!$B$238, ""))</f>
        <v/>
      </c>
      <c r="H296" s="321"/>
      <c r="I296" s="322"/>
      <c r="J296" s="453"/>
      <c r="K296" s="323" t="str">
        <f>IFERROR(
    IF(
        AND($H296="Zoning: Tree Points", NOT(ISNUMBER(SEARCH("sp.", $C296)))),
        VLOOKUP($C296, 'Tree List'!$C$3:$F$601, 4, FALSE),
        ""
    ),
"")</f>
        <v/>
      </c>
      <c r="L296" s="324" t="str" cm="1">
        <f t="array" ref="L296">IFERROR(
IF(
    AND($H296="Zoning: Tree Points", NOT(ISNUMBER(SEARCH("sp.", $C296)))),
    _xlfn.IFS(
        (COUNTIFS('Tree List'!$C$3:$C$601,$C296,'Tree List'!$D$3:$D$601,"Coniferous")
        + COUNTIFS('Tree List'!$C$3:$C$601,$C296,'Tree List'!$D$3:$D$601,"Deciduous Conifer")) &gt; 0,
            _xlfn.IFS($K296="Small",0.5,$K296="Small/Medium",1,$K296="Medium/Large",1.4,$K296="Large",1.8),
        (COUNTIFS('Tree List'!$C$3:$C$601,$C296,'Tree List'!$D$3:$D$601,"Deciduous")
        + COUNTIFS('Tree List'!$C$3:$C$601,$C296,'Tree List'!$D$3:$D$601,"Broadleaf Evergreen")) &gt; 0,
            _xlfn.IFS($K296="Small",0.4,$K296="Small/Medium",0.8,$K296="Medium/Large",1.2,$K296="Large",1.6)
    ),
    ""
),
"")</f>
        <v/>
      </c>
      <c r="M296" s="475" t="str">
        <f t="shared" si="249"/>
        <v/>
      </c>
      <c r="N296" s="346" t="str" cm="1">
        <f t="array" aca="1" ref="N29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IF(AND(_xlpm.baseRow,ISNA(MATCH($C296,'Tree List'!$C$3:$C$601,0)),SUMPRODUCT(--ISNUMBER(SEARCH(Tables2!$C$677:$C$772,$O296)))&gt;0),
Error!$B$57,
IF(AND(_xlpm.hasDM,$F296="Remove",$H296&lt;&gt;"",OR($I296="On-site replacement",$I296="Off-site replacement",$I296="Payment In Lieu")),
Error!$B$56,
IF(AND(_xlpm.hasDM,$F296="Remove",$H296&lt;&gt;"",$I296="Relocation"),
Error!$B$66,
IF(AND(OR(_xlpm.hasCN,_xlpm.hasPH,_xlpm.hasGR),$H296&lt;&gt;"",COUNTIF(Tables!$B$132:$B$134,$H296)&gt;0,$I296="N/A (No replacement required)"),
Error!$B$62,
IF(AND(_xlpm.baseRow,$E296&lt;&gt;"",ISNA(MATCH($E296,Tables!$B$225:$B$232,0))),
Error!$B$2,
IF(AND(_xlpm.baseRow,$F296&lt;&gt;"",ISNA(MATCH($F296,Tables!$B$234:$B$235,0))),
Error!$B$24,
IF(AND(_xlpm.baseRow,_xlpm.ECA_H&gt;0,_xlpm.Shore_H&gt;0),
Error!$B$16,
IF(AND(_xlpm.baseRow,$E296&lt;&gt;"",$D296=""),
Error!$B$3,
IF(AND(_xlpm.baseRow,OR($E296="Tier 3",$E296="Tier 4"),$C296&lt;&gt;"",$D296&gt;=24,COUNTIF(Tables2!$B$166:$B$674,$C296)&gt;0),
Error!$B$44,
IF(AND(_xlpm.baseRow,OR($E296="Tier 3",$E296="Tier 4"),$C296&lt;&gt;"",$D296&lt;&gt;"",COUNTIF(Tables2!$B$73:$B$152,$C296)&gt;0,
$D296&gt;=IFERROR(INDEX(Tables2!$C$73:$C$152,MATCH($C296,Tables2!$B$73:$B$152,0)),-1)),
Error!$B$44,
IF(AND(_xlpm.baseRow,OR($E296="Tier 2",$E296="Tier 2 Grove"),$C296&lt;&gt;"",$D296&gt;=12,COUNTIF(Tables2!$B$153:$B$162,$C296)&gt;0),
Error!$B$45,
IF(AND(_xlpm.baseRow,$E296="Tier 2 Grove",$D296&lt;12),
Error!$B$41,
IF(AND(_xlpm.baseRow,$E296="Tier 2",$D296&lt;5.88),
Error!$B$40,
IF(AND(_xlpm.baseRow,OR($E296="Tier 2",$E296="Tier 2 Grove"),$C296&lt;&gt;"",$D296&lt;12,$D296&gt;=6,COUNTIF(Tables2!$B$153:$B$162,$C296)&gt;0),
Error!$B$54,
IF(AND(_xlpm.baseRow,$E296="Tier 2",COUNTIF(Tables2!$B$166:$B$674,$C296)&gt;0,$D296&lt;24),
Error!$B$54,
IF(AND(_xlpm.baseRow,$E296="Tier 3",ISNA(MATCH($C296,Tables2!$B$153:$B$162,0)),OR($D296&lt;12,$D296&gt;=24)),
Error!$B$9,
IF(AND(_xlpm.baseRow,$E296="Tier 3",COUNTIF(Tables2!$B$153:$B$162,$C296)&gt;0,$D296&lt;12),
Error!$B$46,
IF(AND(_xlpm.baseRow,$E296="Tier 4",OR($D296&lt;6,$D296&gt;=12)),
Error!$B$10,
IF(AND(_xlpm.baseRow,$E296="&lt;6in DSH for Tree Points",OR($D296&gt;=6,$D296="")),
Error!$B$8,
IF(AND(_xlpm.baseRow,$E296="Street Tree for Green Factor",$F296&lt;&gt;"",$F296&lt;&gt;"Retain"),
Error!$B$14,
IF(AND($E296="&lt;6in DSH for Tree Points",$F296="Retain",$H296&lt;&gt;"",ISNA(MATCH($H296,Tables!$B$174:$B$174,0))),
Error!$B$15,
IF(AND($E296="Street Tree for Green Factor",$F296="Retain",$H296&lt;&gt;"",$H296&lt;&gt;"Zoning: Green Factor"),
Error!$B$15,
IF(AND($E296="ECA / Shoreline Tree",$F296="Remove",$H296&lt;&gt;"",ISNA(MATCH($H296,Tables!$B$189:$B$190,0))),
Error!$B$15,
IF(AND($E296="ECA / Shoreline Tree",$F296="Retain",$H296&lt;&gt;"",ISNA(MATCH($H296,Tables!$B$184:$B$186,0))),
Error!$B$15,
IF(AND($E296="Tier 4",$F296="Remove",$H296&lt;&gt;"",ISNA(MATCH($H296,Tables!$B$171,0))),
Error!$B$15,
IF(AND($E296="Tier 4",$F296="Retain",$H296&lt;&gt;"",ISNA(MATCH($H296,Tables!$B$166:$B$168,0))),
Error!$B$15,
IF(AND($E296="Tier 3",$F296="Retain",$H296&lt;&gt;"",ISNA(MATCH($H296,Tables!$B$158:$B$160,0))),
Error!$B$15,
IF(AND($E296="Tier 3",$F296="Remove",$H296&lt;&gt;"",ISNA(MATCH($H296,Tables!$B$163,0))),
Error!$B$15,
IF(AND(OR($E296="Tier 2",$E296="Tier 2 Grove"),$F296="Remove",$H296&lt;&gt;"",ISNA(MATCH($H296,Tables!$B$153:$B$155,0))),
Error!$B$15,
IF(AND(OR($E296="Tier 2",$E296="Tier 2 Grove"),$F296="Retain",$H296&lt;&gt;"",ISNA(MATCH($H296,Tables!$B$147:$B$150,0))),
Error!$B$15,
IF(AND($E296="Tier 1",$F296="Remove",$H296&lt;&gt;"",ISNA(MATCH($H296,Tables!$B$143:$B$144,0))),
Error!$B$15,
IF(AND($E296="Tier 1",$F296="Retain",$H296&lt;&gt;"",ISNA(MATCH($H296,Tables!$B$137:$B$140,0))),
Error!$B$15,
IF(AND($E296&lt;&gt;"Tier 2",$E296&lt;&gt;"Tier 2 Grove",$E296&lt;&gt;"Tier 3",$E296&lt;&gt;"Tier 4",$H296="Zoning: Green Factor",OR($D296="",$D296&lt;6)),
Error!$B$11,
IF(AND(_xlpm.baseRow,$D296&lt;6,$E296="&lt;6in DSH for Tree Points",_xlpm.TreePoints_H=0),
Error!$B$21,
IF(AND(_xlpm.baseRow,$E296&lt;&gt;"",$D296&lt;&gt;"",$F296=""),
Error!$B$4,
IF(AND(_xlpm.baseRow,$F296="Remove",OR($E296="Tier 1",$E296="Tier 2",$E296="Tier 2 Grove"),COUNTBLANK(_xlpm.HRange)&lt;3,_xlpm.uniqueH&gt;=2),
Error!$B$48,
IF(AND(_xlpm.baseRow,$F296="Retain",OR($E296="Tier 1",$E296="Tier 2",$E296="Tier 2 Grove"),COUNTIF(_xlpm.HRange,"Tree Code: Required to Retain Tier 1-2 Tree")=0),
Error!$B$47,
IF(AND(_xlpm.baseRow,$E296&lt;&gt;"",$D296&lt;&gt;"",$F296&lt;&gt;"",COUNTBLANK(_xlpm.HRange)=4),
Error!$B$5,
IF(AND($F296="Remove",$H296&lt;&gt;"",$I296=""),
Error!$B$18,
IF(AND($E296="Tier 4",$F296="Remove",$H296="Tree Protection Code: Tier 3 or Tier 4 Allowance",$H296&lt;&gt;"",ISNA(MATCH($I296,Tables!$B$200,0))),
Error!$B$17,
IF(AND($E296="Tier 3",$F296="Remove",$H296&lt;&gt;"",$H296="Tree Protection Code: Tier 3 or Tier 4 Allowance",OR($I296="",ISNA(MATCH($I296,Tables!$B$193:$B$197,0)))),
Error!$B$17,
IF(AND(OR($E296="Tier 2",$E296="Tier 2 Grove"),$F296="Remove",$H296="Tree Protection Code: Other removal allowance or exemption",$I296&lt;&gt;"",ISNA(MATCH($I296,Tables!$B$215:$B$218,0))),
Error!$B$17,
IF(AND(OR($E296="Tier 2",$E296="Tier 2 Grove"),$F296="Remove",$H296="Tree Protection Code: Development Capacity",$I296&lt;&gt;"",ISNA(MATCH($I296,Tables!$B$193:$B$197,0))),
Error!$B$17,
IF(AND(OR($E296="Tier 2",$E296="Tier 2 Grove"),$F296="Remove",$H296="Tree Protection Code: Necessary for Construction",$I296&lt;&gt;"",ISNA(MATCH($I296,Tables!$B$193:$B$197,0))),
Error!$B$17,
IF(AND($E296="Tier 1",$F296="Remove",$H296="Tree Protection Code: Special Exception",$I296&lt;&gt;"",ISNA(MATCH($I296,Tables!$B$215:$B$218,0))),
Error!$B$17,
IF(AND($E296="Tier 1",$F296="Remove",$H296="Tree Protection Code: Other removal allowance or exemption",$I296&lt;&gt;"",ISNA(MATCH($I296,Tables!$B$215:$B$218,0))),
Error!$B$17,
IF(AND($E296="ECA / Shoreline Tree",$F296="Remove",$H296&lt;&gt;"",OR($H296="Shoreline",$H296="Environmental Critical Area (ECA)"),ISNA(MATCH($I296,Tables!$B$209:$B$212,0))),
Error!$B$17,
IF(AND(_xlpm.baseRow,$F296="Retain",$E296="ECA / Shoreline Tree",_xlpm.ECA_Short=0),
Error!$B$61,
IF(AND($F296="Remove",ISNUMBER(MATCH($E296,{"Tier 1","Tier 2","Tier 3","Tier 4","Tier 2 Grove"},0)),ISNUMBER(MATCH($I296,{"On-site replacement","Off-site replacement"},0)),$J296="",$H296&lt;&gt;""),
Error!$B$19,
IF(AND(_xlpm.baseRow,$E296&lt;&gt;"",$D296&lt;&gt;"",$F296&lt;&gt;"",COUNTBLANK($B296:$C296)&gt;0,COUNTBLANK(_xlpm.HRange)&lt;&gt;4),
Error!$B$22,
IF(AND($H296="Zoning: Tree Points",$K296&lt;&gt;"",ISNA(MATCH($K296,Tables!$B$242:$B$253,0))),
Error!$B$58,
IF(AND($H296="Zoning: Tree Points",$K296="Small",$L296&lt;&gt;"",ISNA(MATCH($L296,Tables!$C$243:$C$244,0))),
Error!$B$59,
IF(AND($H296="Zoning: Tree Points",$K296="Small/Medium",$L296&lt;&gt;"",ISNA(MATCH($L296,Tables!$C$246:$C$247,0))),
Error!$B$59,
IF(AND($H296="Zoning: Tree Points",$K296="Medium/Large",$L296&lt;&gt;"",ISNA(MATCH($L296,Tables!$C$249:$C$250,0))),
Error!$B$59,
IF(AND($H296="Zoning: Tree Points",$K296="Large",$L296&lt;&gt;"",ISNA(MATCH($L296,Tables!$C$252:$C$253,0))),
Error!$B$59,
IF(AND($F296="Retain",$H296="Zoning: Tree Points",$C296&lt;&gt;"",$D296&lt;&gt;"",OR($K296="",$L296="",$M296="")),
Error!$B$20,
""
)))))))))))))))))))))))))))))))))))))))))))))))))))))))),
Error!$B$23))</f>
        <v/>
      </c>
      <c r="O296" s="343" t="str" cm="1">
        <f t="array" aca="1" ref="O296" ca="1">IFERROR(_xlfn.LET(
    _xlpm.txt, $C296,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97" spans="1:15" x14ac:dyDescent="0.3">
      <c r="A297" s="320"/>
      <c r="B297" s="616" t="str">
        <f t="shared" si="315"/>
        <v/>
      </c>
      <c r="C297" s="617" t="str">
        <f t="shared" si="316"/>
        <v/>
      </c>
      <c r="D297" s="618" t="str">
        <f t="shared" si="317"/>
        <v/>
      </c>
      <c r="E297" s="616" t="str">
        <f t="shared" si="318"/>
        <v/>
      </c>
      <c r="F297" s="616" t="str">
        <f t="shared" si="319"/>
        <v/>
      </c>
      <c r="G297" s="619" t="str">
        <f>IF(Tree_Table1[[#This Row],[Tree Status  &amp;]]="Retain", Tables!$B$237, IF(Tree_Table1[[#This Row],[Tree Status  &amp;]]="Remove", Tables!$B$238, ""))</f>
        <v/>
      </c>
      <c r="H297" s="321"/>
      <c r="I297" s="322"/>
      <c r="J297" s="453"/>
      <c r="K297" s="323" t="str">
        <f>IFERROR(
    IF(
        AND($H297="Zoning: Tree Points", NOT(ISNUMBER(SEARCH("sp.", $C297)))),
        VLOOKUP($C297, 'Tree List'!$C$3:$F$601, 4, FALSE),
        ""
    ),
"")</f>
        <v/>
      </c>
      <c r="L297" s="324" t="str" cm="1">
        <f t="array" ref="L297">IFERROR(
IF(
    AND($H297="Zoning: Tree Points", NOT(ISNUMBER(SEARCH("sp.", $C297)))),
    _xlfn.IFS(
        (COUNTIFS('Tree List'!$C$3:$C$601,$C297,'Tree List'!$D$3:$D$601,"Coniferous")
        + COUNTIFS('Tree List'!$C$3:$C$601,$C297,'Tree List'!$D$3:$D$601,"Deciduous Conifer")) &gt; 0,
            _xlfn.IFS($K297="Small",0.5,$K297="Small/Medium",1,$K297="Medium/Large",1.4,$K297="Large",1.8),
        (COUNTIFS('Tree List'!$C$3:$C$601,$C297,'Tree List'!$D$3:$D$601,"Deciduous")
        + COUNTIFS('Tree List'!$C$3:$C$601,$C297,'Tree List'!$D$3:$D$601,"Broadleaf Evergreen")) &gt; 0,
            _xlfn.IFS($K297="Small",0.4,$K297="Small/Medium",0.8,$K297="Medium/Large",1.2,$K297="Large",1.6)
    ),
    ""
),
"")</f>
        <v/>
      </c>
      <c r="M297" s="475" t="str">
        <f t="shared" si="249"/>
        <v/>
      </c>
      <c r="N297" s="346" t="str" cm="1">
        <f t="array" aca="1" ref="N29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IF(AND(_xlpm.baseRow,ISNA(MATCH($C297,'Tree List'!$C$3:$C$601,0)),SUMPRODUCT(--ISNUMBER(SEARCH(Tables2!$C$677:$C$772,$O297)))&gt;0),
Error!$B$57,
IF(AND(_xlpm.hasDM,$F297="Remove",$H297&lt;&gt;"",OR($I297="On-site replacement",$I297="Off-site replacement",$I297="Payment In Lieu")),
Error!$B$56,
IF(AND(_xlpm.hasDM,$F297="Remove",$H297&lt;&gt;"",$I297="Relocation"),
Error!$B$66,
IF(AND(OR(_xlpm.hasCN,_xlpm.hasPH,_xlpm.hasGR),$H297&lt;&gt;"",COUNTIF(Tables!$B$132:$B$134,$H297)&gt;0,$I297="N/A (No replacement required)"),
Error!$B$62,
IF(AND(_xlpm.baseRow,$E297&lt;&gt;"",ISNA(MATCH($E297,Tables!$B$225:$B$232,0))),
Error!$B$2,
IF(AND(_xlpm.baseRow,$F297&lt;&gt;"",ISNA(MATCH($F297,Tables!$B$234:$B$235,0))),
Error!$B$24,
IF(AND(_xlpm.baseRow,_xlpm.ECA_H&gt;0,_xlpm.Shore_H&gt;0),
Error!$B$16,
IF(AND(_xlpm.baseRow,$E297&lt;&gt;"",$D297=""),
Error!$B$3,
IF(AND(_xlpm.baseRow,OR($E297="Tier 3",$E297="Tier 4"),$C297&lt;&gt;"",$D297&gt;=24,COUNTIF(Tables2!$B$166:$B$674,$C297)&gt;0),
Error!$B$44,
IF(AND(_xlpm.baseRow,OR($E297="Tier 3",$E297="Tier 4"),$C297&lt;&gt;"",$D297&lt;&gt;"",COUNTIF(Tables2!$B$73:$B$152,$C297)&gt;0,
$D297&gt;=IFERROR(INDEX(Tables2!$C$73:$C$152,MATCH($C297,Tables2!$B$73:$B$152,0)),-1)),
Error!$B$44,
IF(AND(_xlpm.baseRow,OR($E297="Tier 2",$E297="Tier 2 Grove"),$C297&lt;&gt;"",$D297&gt;=12,COUNTIF(Tables2!$B$153:$B$162,$C297)&gt;0),
Error!$B$45,
IF(AND(_xlpm.baseRow,$E297="Tier 2 Grove",$D297&lt;12),
Error!$B$41,
IF(AND(_xlpm.baseRow,$E297="Tier 2",$D297&lt;5.88),
Error!$B$40,
IF(AND(_xlpm.baseRow,OR($E297="Tier 2",$E297="Tier 2 Grove"),$C297&lt;&gt;"",$D297&lt;12,$D297&gt;=6,COUNTIF(Tables2!$B$153:$B$162,$C297)&gt;0),
Error!$B$54,
IF(AND(_xlpm.baseRow,$E297="Tier 2",COUNTIF(Tables2!$B$166:$B$674,$C297)&gt;0,$D297&lt;24),
Error!$B$54,
IF(AND(_xlpm.baseRow,$E297="Tier 3",ISNA(MATCH($C297,Tables2!$B$153:$B$162,0)),OR($D297&lt;12,$D297&gt;=24)),
Error!$B$9,
IF(AND(_xlpm.baseRow,$E297="Tier 3",COUNTIF(Tables2!$B$153:$B$162,$C297)&gt;0,$D297&lt;12),
Error!$B$46,
IF(AND(_xlpm.baseRow,$E297="Tier 4",OR($D297&lt;6,$D297&gt;=12)),
Error!$B$10,
IF(AND(_xlpm.baseRow,$E297="&lt;6in DSH for Tree Points",OR($D297&gt;=6,$D297="")),
Error!$B$8,
IF(AND(_xlpm.baseRow,$E297="Street Tree for Green Factor",$F297&lt;&gt;"",$F297&lt;&gt;"Retain"),
Error!$B$14,
IF(AND($E297="&lt;6in DSH for Tree Points",$F297="Retain",$H297&lt;&gt;"",ISNA(MATCH($H297,Tables!$B$174:$B$174,0))),
Error!$B$15,
IF(AND($E297="Street Tree for Green Factor",$F297="Retain",$H297&lt;&gt;"",$H297&lt;&gt;"Zoning: Green Factor"),
Error!$B$15,
IF(AND($E297="ECA / Shoreline Tree",$F297="Remove",$H297&lt;&gt;"",ISNA(MATCH($H297,Tables!$B$189:$B$190,0))),
Error!$B$15,
IF(AND($E297="ECA / Shoreline Tree",$F297="Retain",$H297&lt;&gt;"",ISNA(MATCH($H297,Tables!$B$184:$B$186,0))),
Error!$B$15,
IF(AND($E297="Tier 4",$F297="Remove",$H297&lt;&gt;"",ISNA(MATCH($H297,Tables!$B$171,0))),
Error!$B$15,
IF(AND($E297="Tier 4",$F297="Retain",$H297&lt;&gt;"",ISNA(MATCH($H297,Tables!$B$166:$B$168,0))),
Error!$B$15,
IF(AND($E297="Tier 3",$F297="Retain",$H297&lt;&gt;"",ISNA(MATCH($H297,Tables!$B$158:$B$160,0))),
Error!$B$15,
IF(AND($E297="Tier 3",$F297="Remove",$H297&lt;&gt;"",ISNA(MATCH($H297,Tables!$B$163,0))),
Error!$B$15,
IF(AND(OR($E297="Tier 2",$E297="Tier 2 Grove"),$F297="Remove",$H297&lt;&gt;"",ISNA(MATCH($H297,Tables!$B$153:$B$155,0))),
Error!$B$15,
IF(AND(OR($E297="Tier 2",$E297="Tier 2 Grove"),$F297="Retain",$H297&lt;&gt;"",ISNA(MATCH($H297,Tables!$B$147:$B$150,0))),
Error!$B$15,
IF(AND($E297="Tier 1",$F297="Remove",$H297&lt;&gt;"",ISNA(MATCH($H297,Tables!$B$143:$B$144,0))),
Error!$B$15,
IF(AND($E297="Tier 1",$F297="Retain",$H297&lt;&gt;"",ISNA(MATCH($H297,Tables!$B$137:$B$140,0))),
Error!$B$15,
IF(AND($E297&lt;&gt;"Tier 2",$E297&lt;&gt;"Tier 2 Grove",$E297&lt;&gt;"Tier 3",$E297&lt;&gt;"Tier 4",$H297="Zoning: Green Factor",OR($D297="",$D297&lt;6)),
Error!$B$11,
IF(AND(_xlpm.baseRow,$D297&lt;6,$E297="&lt;6in DSH for Tree Points",_xlpm.TreePoints_H=0),
Error!$B$21,
IF(AND(_xlpm.baseRow,$E297&lt;&gt;"",$D297&lt;&gt;"",$F297=""),
Error!$B$4,
IF(AND(_xlpm.baseRow,$F297="Remove",OR($E297="Tier 1",$E297="Tier 2",$E297="Tier 2 Grove"),COUNTBLANK(_xlpm.HRange)&lt;3,_xlpm.uniqueH&gt;=2),
Error!$B$48,
IF(AND(_xlpm.baseRow,$F297="Retain",OR($E297="Tier 1",$E297="Tier 2",$E297="Tier 2 Grove"),COUNTIF(_xlpm.HRange,"Tree Code: Required to Retain Tier 1-2 Tree")=0),
Error!$B$47,
IF(AND(_xlpm.baseRow,$E297&lt;&gt;"",$D297&lt;&gt;"",$F297&lt;&gt;"",COUNTBLANK(_xlpm.HRange)=4),
Error!$B$5,
IF(AND($F297="Remove",$H297&lt;&gt;"",$I297=""),
Error!$B$18,
IF(AND($E297="Tier 4",$F297="Remove",$H297="Tree Protection Code: Tier 3 or Tier 4 Allowance",$H297&lt;&gt;"",ISNA(MATCH($I297,Tables!$B$200,0))),
Error!$B$17,
IF(AND($E297="Tier 3",$F297="Remove",$H297&lt;&gt;"",$H297="Tree Protection Code: Tier 3 or Tier 4 Allowance",OR($I297="",ISNA(MATCH($I297,Tables!$B$193:$B$197,0)))),
Error!$B$17,
IF(AND(OR($E297="Tier 2",$E297="Tier 2 Grove"),$F297="Remove",$H297="Tree Protection Code: Other removal allowance or exemption",$I297&lt;&gt;"",ISNA(MATCH($I297,Tables!$B$215:$B$218,0))),
Error!$B$17,
IF(AND(OR($E297="Tier 2",$E297="Tier 2 Grove"),$F297="Remove",$H297="Tree Protection Code: Development Capacity",$I297&lt;&gt;"",ISNA(MATCH($I297,Tables!$B$193:$B$197,0))),
Error!$B$17,
IF(AND(OR($E297="Tier 2",$E297="Tier 2 Grove"),$F297="Remove",$H297="Tree Protection Code: Necessary for Construction",$I297&lt;&gt;"",ISNA(MATCH($I297,Tables!$B$193:$B$197,0))),
Error!$B$17,
IF(AND($E297="Tier 1",$F297="Remove",$H297="Tree Protection Code: Special Exception",$I297&lt;&gt;"",ISNA(MATCH($I297,Tables!$B$215:$B$218,0))),
Error!$B$17,
IF(AND($E297="Tier 1",$F297="Remove",$H297="Tree Protection Code: Other removal allowance or exemption",$I297&lt;&gt;"",ISNA(MATCH($I297,Tables!$B$215:$B$218,0))),
Error!$B$17,
IF(AND($E297="ECA / Shoreline Tree",$F297="Remove",$H297&lt;&gt;"",OR($H297="Shoreline",$H297="Environmental Critical Area (ECA)"),ISNA(MATCH($I297,Tables!$B$209:$B$212,0))),
Error!$B$17,
IF(AND(_xlpm.baseRow,$F297="Retain",$E297="ECA / Shoreline Tree",_xlpm.ECA_Short=0),
Error!$B$61,
IF(AND($F297="Remove",ISNUMBER(MATCH($E297,{"Tier 1","Tier 2","Tier 3","Tier 4","Tier 2 Grove"},0)),ISNUMBER(MATCH($I297,{"On-site replacement","Off-site replacement"},0)),$J297="",$H297&lt;&gt;""),
Error!$B$19,
IF(AND(_xlpm.baseRow,$E297&lt;&gt;"",$D297&lt;&gt;"",$F297&lt;&gt;"",COUNTBLANK($B297:$C297)&gt;0,COUNTBLANK(_xlpm.HRange)&lt;&gt;4),
Error!$B$22,
IF(AND($H297="Zoning: Tree Points",$K297&lt;&gt;"",ISNA(MATCH($K297,Tables!$B$242:$B$253,0))),
Error!$B$58,
IF(AND($H297="Zoning: Tree Points",$K297="Small",$L297&lt;&gt;"",ISNA(MATCH($L297,Tables!$C$243:$C$244,0))),
Error!$B$59,
IF(AND($H297="Zoning: Tree Points",$K297="Small/Medium",$L297&lt;&gt;"",ISNA(MATCH($L297,Tables!$C$246:$C$247,0))),
Error!$B$59,
IF(AND($H297="Zoning: Tree Points",$K297="Medium/Large",$L297&lt;&gt;"",ISNA(MATCH($L297,Tables!$C$249:$C$250,0))),
Error!$B$59,
IF(AND($H297="Zoning: Tree Points",$K297="Large",$L297&lt;&gt;"",ISNA(MATCH($L297,Tables!$C$252:$C$253,0))),
Error!$B$59,
IF(AND($F297="Retain",$H297="Zoning: Tree Points",$C297&lt;&gt;"",$D297&lt;&gt;"",OR($K297="",$L297="",$M297="")),
Error!$B$20,
""
)))))))))))))))))))))))))))))))))))))))))))))))))))))))),
Error!$B$23))</f>
        <v/>
      </c>
      <c r="O297" s="343" t="str" cm="1">
        <f t="array" aca="1" ref="O297" ca="1">IFERROR(_xlfn.LET(
    _xlpm.txt, $C297,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98" spans="1:15" ht="15" thickBot="1" x14ac:dyDescent="0.35">
      <c r="A298" s="331"/>
      <c r="B298" s="616" t="str">
        <f t="shared" si="315"/>
        <v/>
      </c>
      <c r="C298" s="617" t="str">
        <f t="shared" si="316"/>
        <v/>
      </c>
      <c r="D298" s="618" t="str">
        <f t="shared" si="317"/>
        <v/>
      </c>
      <c r="E298" s="616" t="str">
        <f t="shared" si="318"/>
        <v/>
      </c>
      <c r="F298" s="616" t="str">
        <f t="shared" si="319"/>
        <v/>
      </c>
      <c r="G298" s="619" t="str">
        <f>IF(Tree_Table1[[#This Row],[Tree Status  &amp;]]="Retain", Tables!$B$237, IF(Tree_Table1[[#This Row],[Tree Status  &amp;]]="Remove", Tables!$B$238, ""))</f>
        <v/>
      </c>
      <c r="H298" s="329"/>
      <c r="I298" s="330"/>
      <c r="J298" s="455"/>
      <c r="K298" s="327" t="str">
        <f>IFERROR(
    IF(
        AND($H298="Zoning: Tree Points", NOT(ISNUMBER(SEARCH("sp.", $C298)))),
        VLOOKUP($C298, 'Tree List'!$C$3:$F$601, 4, FALSE),
        ""
    ),
"")</f>
        <v/>
      </c>
      <c r="L298" s="328" t="str" cm="1">
        <f t="array" ref="L298">IFERROR(
IF(
    AND($H298="Zoning: Tree Points", NOT(ISNUMBER(SEARCH("sp.", $C298)))),
    _xlfn.IFS(
        (COUNTIFS('Tree List'!$C$3:$C$601,$C298,'Tree List'!$D$3:$D$601,"Coniferous")
        + COUNTIFS('Tree List'!$C$3:$C$601,$C298,'Tree List'!$D$3:$D$601,"Deciduous Conifer")) &gt; 0,
            _xlfn.IFS($K298="Small",0.5,$K298="Small/Medium",1,$K298="Medium/Large",1.4,$K298="Large",1.8),
        (COUNTIFS('Tree List'!$C$3:$C$601,$C298,'Tree List'!$D$3:$D$601,"Deciduous")
        + COUNTIFS('Tree List'!$C$3:$C$601,$C298,'Tree List'!$D$3:$D$601,"Broadleaf Evergreen")) &gt; 0,
            _xlfn.IFS($K298="Small",0.4,$K298="Small/Medium",0.8,$K298="Medium/Large",1.2,$K298="Large",1.6)
    ),
    ""
),
"")</f>
        <v/>
      </c>
      <c r="M298" s="476" t="str">
        <f t="shared" si="249"/>
        <v/>
      </c>
      <c r="N298" s="347" t="str" cm="1">
        <f t="array" aca="1" ref="N29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IF(AND(_xlpm.baseRow,ISNA(MATCH($C298,'Tree List'!$C$3:$C$601,0)),SUMPRODUCT(--ISNUMBER(SEARCH(Tables2!$C$677:$C$772,$O298)))&gt;0),
Error!$B$57,
IF(AND(_xlpm.hasDM,$F298="Remove",$H298&lt;&gt;"",OR($I298="On-site replacement",$I298="Off-site replacement",$I298="Payment In Lieu")),
Error!$B$56,
IF(AND(_xlpm.hasDM,$F298="Remove",$H298&lt;&gt;"",$I298="Relocation"),
Error!$B$66,
IF(AND(OR(_xlpm.hasCN,_xlpm.hasPH,_xlpm.hasGR),$H298&lt;&gt;"",COUNTIF(Tables!$B$132:$B$134,$H298)&gt;0,$I298="N/A (No replacement required)"),
Error!$B$62,
IF(AND(_xlpm.baseRow,$E298&lt;&gt;"",ISNA(MATCH($E298,Tables!$B$225:$B$232,0))),
Error!$B$2,
IF(AND(_xlpm.baseRow,$F298&lt;&gt;"",ISNA(MATCH($F298,Tables!$B$234:$B$235,0))),
Error!$B$24,
IF(AND(_xlpm.baseRow,_xlpm.ECA_H&gt;0,_xlpm.Shore_H&gt;0),
Error!$B$16,
IF(AND(_xlpm.baseRow,$E298&lt;&gt;"",$D298=""),
Error!$B$3,
IF(AND(_xlpm.baseRow,OR($E298="Tier 3",$E298="Tier 4"),$C298&lt;&gt;"",$D298&gt;=24,COUNTIF(Tables2!$B$166:$B$674,$C298)&gt;0),
Error!$B$44,
IF(AND(_xlpm.baseRow,OR($E298="Tier 3",$E298="Tier 4"),$C298&lt;&gt;"",$D298&lt;&gt;"",COUNTIF(Tables2!$B$73:$B$152,$C298)&gt;0,
$D298&gt;=IFERROR(INDEX(Tables2!$C$73:$C$152,MATCH($C298,Tables2!$B$73:$B$152,0)),-1)),
Error!$B$44,
IF(AND(_xlpm.baseRow,OR($E298="Tier 2",$E298="Tier 2 Grove"),$C298&lt;&gt;"",$D298&gt;=12,COUNTIF(Tables2!$B$153:$B$162,$C298)&gt;0),
Error!$B$45,
IF(AND(_xlpm.baseRow,$E298="Tier 2 Grove",$D298&lt;12),
Error!$B$41,
IF(AND(_xlpm.baseRow,$E298="Tier 2",$D298&lt;5.88),
Error!$B$40,
IF(AND(_xlpm.baseRow,OR($E298="Tier 2",$E298="Tier 2 Grove"),$C298&lt;&gt;"",$D298&lt;12,$D298&gt;=6,COUNTIF(Tables2!$B$153:$B$162,$C298)&gt;0),
Error!$B$54,
IF(AND(_xlpm.baseRow,$E298="Tier 2",COUNTIF(Tables2!$B$166:$B$674,$C298)&gt;0,$D298&lt;24),
Error!$B$54,
IF(AND(_xlpm.baseRow,$E298="Tier 3",ISNA(MATCH($C298,Tables2!$B$153:$B$162,0)),OR($D298&lt;12,$D298&gt;=24)),
Error!$B$9,
IF(AND(_xlpm.baseRow,$E298="Tier 3",COUNTIF(Tables2!$B$153:$B$162,$C298)&gt;0,$D298&lt;12),
Error!$B$46,
IF(AND(_xlpm.baseRow,$E298="Tier 4",OR($D298&lt;6,$D298&gt;=12)),
Error!$B$10,
IF(AND(_xlpm.baseRow,$E298="&lt;6in DSH for Tree Points",OR($D298&gt;=6,$D298="")),
Error!$B$8,
IF(AND(_xlpm.baseRow,$E298="Street Tree for Green Factor",$F298&lt;&gt;"",$F298&lt;&gt;"Retain"),
Error!$B$14,
IF(AND($E298="&lt;6in DSH for Tree Points",$F298="Retain",$H298&lt;&gt;"",ISNA(MATCH($H298,Tables!$B$174:$B$174,0))),
Error!$B$15,
IF(AND($E298="Street Tree for Green Factor",$F298="Retain",$H298&lt;&gt;"",$H298&lt;&gt;"Zoning: Green Factor"),
Error!$B$15,
IF(AND($E298="ECA / Shoreline Tree",$F298="Remove",$H298&lt;&gt;"",ISNA(MATCH($H298,Tables!$B$189:$B$190,0))),
Error!$B$15,
IF(AND($E298="ECA / Shoreline Tree",$F298="Retain",$H298&lt;&gt;"",ISNA(MATCH($H298,Tables!$B$184:$B$186,0))),
Error!$B$15,
IF(AND($E298="Tier 4",$F298="Remove",$H298&lt;&gt;"",ISNA(MATCH($H298,Tables!$B$171,0))),
Error!$B$15,
IF(AND($E298="Tier 4",$F298="Retain",$H298&lt;&gt;"",ISNA(MATCH($H298,Tables!$B$166:$B$168,0))),
Error!$B$15,
IF(AND($E298="Tier 3",$F298="Retain",$H298&lt;&gt;"",ISNA(MATCH($H298,Tables!$B$158:$B$160,0))),
Error!$B$15,
IF(AND($E298="Tier 3",$F298="Remove",$H298&lt;&gt;"",ISNA(MATCH($H298,Tables!$B$163,0))),
Error!$B$15,
IF(AND(OR($E298="Tier 2",$E298="Tier 2 Grove"),$F298="Remove",$H298&lt;&gt;"",ISNA(MATCH($H298,Tables!$B$153:$B$155,0))),
Error!$B$15,
IF(AND(OR($E298="Tier 2",$E298="Tier 2 Grove"),$F298="Retain",$H298&lt;&gt;"",ISNA(MATCH($H298,Tables!$B$147:$B$150,0))),
Error!$B$15,
IF(AND($E298="Tier 1",$F298="Remove",$H298&lt;&gt;"",ISNA(MATCH($H298,Tables!$B$143:$B$144,0))),
Error!$B$15,
IF(AND($E298="Tier 1",$F298="Retain",$H298&lt;&gt;"",ISNA(MATCH($H298,Tables!$B$137:$B$140,0))),
Error!$B$15,
IF(AND($E298&lt;&gt;"Tier 2",$E298&lt;&gt;"Tier 2 Grove",$E298&lt;&gt;"Tier 3",$E298&lt;&gt;"Tier 4",$H298="Zoning: Green Factor",OR($D298="",$D298&lt;6)),
Error!$B$11,
IF(AND(_xlpm.baseRow,$D298&lt;6,$E298="&lt;6in DSH for Tree Points",_xlpm.TreePoints_H=0),
Error!$B$21,
IF(AND(_xlpm.baseRow,$E298&lt;&gt;"",$D298&lt;&gt;"",$F298=""),
Error!$B$4,
IF(AND(_xlpm.baseRow,$F298="Remove",OR($E298="Tier 1",$E298="Tier 2",$E298="Tier 2 Grove"),COUNTBLANK(_xlpm.HRange)&lt;3,_xlpm.uniqueH&gt;=2),
Error!$B$48,
IF(AND(_xlpm.baseRow,$F298="Retain",OR($E298="Tier 1",$E298="Tier 2",$E298="Tier 2 Grove"),COUNTIF(_xlpm.HRange,"Tree Code: Required to Retain Tier 1-2 Tree")=0),
Error!$B$47,
IF(AND(_xlpm.baseRow,$E298&lt;&gt;"",$D298&lt;&gt;"",$F298&lt;&gt;"",COUNTBLANK(_xlpm.HRange)=4),
Error!$B$5,
IF(AND($F298="Remove",$H298&lt;&gt;"",$I298=""),
Error!$B$18,
IF(AND($E298="Tier 4",$F298="Remove",$H298="Tree Protection Code: Tier 3 or Tier 4 Allowance",$H298&lt;&gt;"",ISNA(MATCH($I298,Tables!$B$200,0))),
Error!$B$17,
IF(AND($E298="Tier 3",$F298="Remove",$H298&lt;&gt;"",$H298="Tree Protection Code: Tier 3 or Tier 4 Allowance",OR($I298="",ISNA(MATCH($I298,Tables!$B$193:$B$197,0)))),
Error!$B$17,
IF(AND(OR($E298="Tier 2",$E298="Tier 2 Grove"),$F298="Remove",$H298="Tree Protection Code: Other removal allowance or exemption",$I298&lt;&gt;"",ISNA(MATCH($I298,Tables!$B$215:$B$218,0))),
Error!$B$17,
IF(AND(OR($E298="Tier 2",$E298="Tier 2 Grove"),$F298="Remove",$H298="Tree Protection Code: Development Capacity",$I298&lt;&gt;"",ISNA(MATCH($I298,Tables!$B$193:$B$197,0))),
Error!$B$17,
IF(AND(OR($E298="Tier 2",$E298="Tier 2 Grove"),$F298="Remove",$H298="Tree Protection Code: Necessary for Construction",$I298&lt;&gt;"",ISNA(MATCH($I298,Tables!$B$193:$B$197,0))),
Error!$B$17,
IF(AND($E298="Tier 1",$F298="Remove",$H298="Tree Protection Code: Special Exception",$I298&lt;&gt;"",ISNA(MATCH($I298,Tables!$B$215:$B$218,0))),
Error!$B$17,
IF(AND($E298="Tier 1",$F298="Remove",$H298="Tree Protection Code: Other removal allowance or exemption",$I298&lt;&gt;"",ISNA(MATCH($I298,Tables!$B$215:$B$218,0))),
Error!$B$17,
IF(AND($E298="ECA / Shoreline Tree",$F298="Remove",$H298&lt;&gt;"",OR($H298="Shoreline",$H298="Environmental Critical Area (ECA)"),ISNA(MATCH($I298,Tables!$B$209:$B$212,0))),
Error!$B$17,
IF(AND(_xlpm.baseRow,$F298="Retain",$E298="ECA / Shoreline Tree",_xlpm.ECA_Short=0),
Error!$B$61,
IF(AND($F298="Remove",ISNUMBER(MATCH($E298,{"Tier 1","Tier 2","Tier 3","Tier 4","Tier 2 Grove"},0)),ISNUMBER(MATCH($I298,{"On-site replacement","Off-site replacement"},0)),$J298="",$H298&lt;&gt;""),
Error!$B$19,
IF(AND(_xlpm.baseRow,$E298&lt;&gt;"",$D298&lt;&gt;"",$F298&lt;&gt;"",COUNTBLANK($B298:$C298)&gt;0,COUNTBLANK(_xlpm.HRange)&lt;&gt;4),
Error!$B$22,
IF(AND($H298="Zoning: Tree Points",$K298&lt;&gt;"",ISNA(MATCH($K298,Tables!$B$242:$B$253,0))),
Error!$B$58,
IF(AND($H298="Zoning: Tree Points",$K298="Small",$L298&lt;&gt;"",ISNA(MATCH($L298,Tables!$C$243:$C$244,0))),
Error!$B$59,
IF(AND($H298="Zoning: Tree Points",$K298="Small/Medium",$L298&lt;&gt;"",ISNA(MATCH($L298,Tables!$C$246:$C$247,0))),
Error!$B$59,
IF(AND($H298="Zoning: Tree Points",$K298="Medium/Large",$L298&lt;&gt;"",ISNA(MATCH($L298,Tables!$C$249:$C$250,0))),
Error!$B$59,
IF(AND($H298="Zoning: Tree Points",$K298="Large",$L298&lt;&gt;"",ISNA(MATCH($L298,Tables!$C$252:$C$253,0))),
Error!$B$59,
IF(AND($F298="Retain",$H298="Zoning: Tree Points",$C298&lt;&gt;"",$D298&lt;&gt;"",OR($K298="",$L298="",$M298="")),
Error!$B$20,
""
)))))))))))))))))))))))))))))))))))))))))))))))))))))))),
Error!$B$23))</f>
        <v/>
      </c>
      <c r="O298" s="343" t="str" cm="1">
        <f t="array" aca="1" ref="O298" ca="1">IFERROR(_xlfn.LET(
    _xlpm.txt, $C298,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99" spans="1:15" ht="15" thickBot="1" x14ac:dyDescent="0.35">
      <c r="A299" s="311">
        <v>73</v>
      </c>
      <c r="B299" s="312"/>
      <c r="C299" s="313"/>
      <c r="D299" s="478"/>
      <c r="E299" s="314"/>
      <c r="F299" s="314"/>
      <c r="G299" s="315" t="str">
        <f>IF(Tree_Table1[[#This Row],[Tree Status  &amp;]]="Retain", Tables!$B$237, IF(Tree_Table1[[#This Row],[Tree Status  &amp;]]="Remove", Tables!$B$238, ""))</f>
        <v/>
      </c>
      <c r="H299" s="316"/>
      <c r="I299" s="317"/>
      <c r="J299" s="452"/>
      <c r="K299" s="318" t="str">
        <f>IFERROR(
    IF(
        AND($H299="Zoning: Tree Points", NOT(ISNUMBER(SEARCH("sp.", $C299)))),
        VLOOKUP($C299, 'Tree List'!$C$3:$F$601, 4, FALSE),
        ""
    ),
"")</f>
        <v/>
      </c>
      <c r="L299" s="319" t="str" cm="1">
        <f t="array" ref="L299">IFERROR(
IF(
    AND($H299="Zoning: Tree Points", NOT(ISNUMBER(SEARCH("sp.", $C299)))),
    _xlfn.IFS(
        (COUNTIFS('Tree List'!$C$3:$C$601,$C299,'Tree List'!$D$3:$D$601,"Coniferous")
        + COUNTIFS('Tree List'!$C$3:$C$601,$C299,'Tree List'!$D$3:$D$601,"Deciduous Conifer")) &gt; 0,
            _xlfn.IFS($K299="Small",0.5,$K299="Small/Medium",1,$K299="Medium/Large",1.4,$K299="Large",1.8),
        (COUNTIFS('Tree List'!$C$3:$C$601,$C299,'Tree List'!$D$3:$D$601,"Deciduous")
        + COUNTIFS('Tree List'!$C$3:$C$601,$C299,'Tree List'!$D$3:$D$601,"Broadleaf Evergreen")) &gt; 0,
            _xlfn.IFS($K299="Small",0.4,$K299="Small/Medium",0.8,$K299="Medium/Large",1.2,$K299="Large",1.6)
    ),
    ""
),
"")</f>
        <v/>
      </c>
      <c r="M299" s="474" t="str">
        <f t="shared" si="249"/>
        <v/>
      </c>
      <c r="N299" s="620" t="str" cm="1">
        <f t="array" aca="1" ref="N29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IF(AND(_xlpm.baseRow,ISNA(MATCH($C299,'Tree List'!$C$3:$C$601,0)),SUMPRODUCT(--ISNUMBER(SEARCH(Tables2!$C$677:$C$772,$O299)))&gt;0),
Error!$B$57,
IF(AND(_xlpm.hasDM,$F299="Remove",$H299&lt;&gt;"",OR($I299="On-site replacement",$I299="Off-site replacement",$I299="Payment In Lieu")),
Error!$B$56,
IF(AND(_xlpm.hasDM,$F299="Remove",$H299&lt;&gt;"",$I299="Relocation"),
Error!$B$66,
IF(AND(OR(_xlpm.hasCN,_xlpm.hasPH,_xlpm.hasGR),$H299&lt;&gt;"",COUNTIF(Tables!$B$132:$B$134,$H299)&gt;0,$I299="N/A (No replacement required)"),
Error!$B$62,
IF(AND(_xlpm.baseRow,$E299&lt;&gt;"",ISNA(MATCH($E299,Tables!$B$225:$B$232,0))),
Error!$B$2,
IF(AND(_xlpm.baseRow,$F299&lt;&gt;"",ISNA(MATCH($F299,Tables!$B$234:$B$235,0))),
Error!$B$24,
IF(AND(_xlpm.baseRow,_xlpm.ECA_H&gt;0,_xlpm.Shore_H&gt;0),
Error!$B$16,
IF(AND(_xlpm.baseRow,$E299&lt;&gt;"",$D299=""),
Error!$B$3,
IF(AND(_xlpm.baseRow,OR($E299="Tier 3",$E299="Tier 4"),$C299&lt;&gt;"",$D299&gt;=24,COUNTIF(Tables2!$B$166:$B$674,$C299)&gt;0),
Error!$B$44,
IF(AND(_xlpm.baseRow,OR($E299="Tier 3",$E299="Tier 4"),$C299&lt;&gt;"",$D299&lt;&gt;"",COUNTIF(Tables2!$B$73:$B$152,$C299)&gt;0,
$D299&gt;=IFERROR(INDEX(Tables2!$C$73:$C$152,MATCH($C299,Tables2!$B$73:$B$152,0)),-1)),
Error!$B$44,
IF(AND(_xlpm.baseRow,OR($E299="Tier 2",$E299="Tier 2 Grove"),$C299&lt;&gt;"",$D299&gt;=12,COUNTIF(Tables2!$B$153:$B$162,$C299)&gt;0),
Error!$B$45,
IF(AND(_xlpm.baseRow,$E299="Tier 2 Grove",$D299&lt;12),
Error!$B$41,
IF(AND(_xlpm.baseRow,$E299="Tier 2",$D299&lt;5.88),
Error!$B$40,
IF(AND(_xlpm.baseRow,OR($E299="Tier 2",$E299="Tier 2 Grove"),$C299&lt;&gt;"",$D299&lt;12,$D299&gt;=6,COUNTIF(Tables2!$B$153:$B$162,$C299)&gt;0),
Error!$B$54,
IF(AND(_xlpm.baseRow,$E299="Tier 2",COUNTIF(Tables2!$B$166:$B$674,$C299)&gt;0,$D299&lt;24),
Error!$B$54,
IF(AND(_xlpm.baseRow,$E299="Tier 3",ISNA(MATCH($C299,Tables2!$B$153:$B$162,0)),OR($D299&lt;12,$D299&gt;=24)),
Error!$B$9,
IF(AND(_xlpm.baseRow,$E299="Tier 3",COUNTIF(Tables2!$B$153:$B$162,$C299)&gt;0,$D299&lt;12),
Error!$B$46,
IF(AND(_xlpm.baseRow,$E299="Tier 4",OR($D299&lt;6,$D299&gt;=12)),
Error!$B$10,
IF(AND(_xlpm.baseRow,$E299="&lt;6in DSH for Tree Points",OR($D299&gt;=6,$D299="")),
Error!$B$8,
IF(AND(_xlpm.baseRow,$E299="Street Tree for Green Factor",$F299&lt;&gt;"",$F299&lt;&gt;"Retain"),
Error!$B$14,
IF(AND($E299="&lt;6in DSH for Tree Points",$F299="Retain",$H299&lt;&gt;"",ISNA(MATCH($H299,Tables!$B$174:$B$174,0))),
Error!$B$15,
IF(AND($E299="Street Tree for Green Factor",$F299="Retain",$H299&lt;&gt;"",$H299&lt;&gt;"Zoning: Green Factor"),
Error!$B$15,
IF(AND($E299="ECA / Shoreline Tree",$F299="Remove",$H299&lt;&gt;"",ISNA(MATCH($H299,Tables!$B$189:$B$190,0))),
Error!$B$15,
IF(AND($E299="ECA / Shoreline Tree",$F299="Retain",$H299&lt;&gt;"",ISNA(MATCH($H299,Tables!$B$184:$B$186,0))),
Error!$B$15,
IF(AND($E299="Tier 4",$F299="Remove",$H299&lt;&gt;"",ISNA(MATCH($H299,Tables!$B$171,0))),
Error!$B$15,
IF(AND($E299="Tier 4",$F299="Retain",$H299&lt;&gt;"",ISNA(MATCH($H299,Tables!$B$166:$B$168,0))),
Error!$B$15,
IF(AND($E299="Tier 3",$F299="Retain",$H299&lt;&gt;"",ISNA(MATCH($H299,Tables!$B$158:$B$160,0))),
Error!$B$15,
IF(AND($E299="Tier 3",$F299="Remove",$H299&lt;&gt;"",ISNA(MATCH($H299,Tables!$B$163,0))),
Error!$B$15,
IF(AND(OR($E299="Tier 2",$E299="Tier 2 Grove"),$F299="Remove",$H299&lt;&gt;"",ISNA(MATCH($H299,Tables!$B$153:$B$155,0))),
Error!$B$15,
IF(AND(OR($E299="Tier 2",$E299="Tier 2 Grove"),$F299="Retain",$H299&lt;&gt;"",ISNA(MATCH($H299,Tables!$B$147:$B$150,0))),
Error!$B$15,
IF(AND($E299="Tier 1",$F299="Remove",$H299&lt;&gt;"",ISNA(MATCH($H299,Tables!$B$143:$B$144,0))),
Error!$B$15,
IF(AND($E299="Tier 1",$F299="Retain",$H299&lt;&gt;"",ISNA(MATCH($H299,Tables!$B$137:$B$140,0))),
Error!$B$15,
IF(AND($E299&lt;&gt;"Tier 2",$E299&lt;&gt;"Tier 2 Grove",$E299&lt;&gt;"Tier 3",$E299&lt;&gt;"Tier 4",$H299="Zoning: Green Factor",OR($D299="",$D299&lt;6)),
Error!$B$11,
IF(AND(_xlpm.baseRow,$D299&lt;6,$E299="&lt;6in DSH for Tree Points",_xlpm.TreePoints_H=0),
Error!$B$21,
IF(AND(_xlpm.baseRow,$E299&lt;&gt;"",$D299&lt;&gt;"",$F299=""),
Error!$B$4,
IF(AND(_xlpm.baseRow,$F299="Remove",OR($E299="Tier 1",$E299="Tier 2",$E299="Tier 2 Grove"),COUNTBLANK(_xlpm.HRange)&lt;3,_xlpm.uniqueH&gt;=2),
Error!$B$48,
IF(AND(_xlpm.baseRow,$F299="Retain",OR($E299="Tier 1",$E299="Tier 2",$E299="Tier 2 Grove"),COUNTIF(_xlpm.HRange,"Tree Code: Required to Retain Tier 1-2 Tree")=0),
Error!$B$47,
IF(AND(_xlpm.baseRow,$E299&lt;&gt;"",$D299&lt;&gt;"",$F299&lt;&gt;"",COUNTBLANK(_xlpm.HRange)=4),
Error!$B$5,
IF(AND($F299="Remove",$H299&lt;&gt;"",$I299=""),
Error!$B$18,
IF(AND($E299="Tier 4",$F299="Remove",$H299="Tree Protection Code: Tier 3 or Tier 4 Allowance",$H299&lt;&gt;"",ISNA(MATCH($I299,Tables!$B$200,0))),
Error!$B$17,
IF(AND($E299="Tier 3",$F299="Remove",$H299&lt;&gt;"",$H299="Tree Protection Code: Tier 3 or Tier 4 Allowance",OR($I299="",ISNA(MATCH($I299,Tables!$B$193:$B$197,0)))),
Error!$B$17,
IF(AND(OR($E299="Tier 2",$E299="Tier 2 Grove"),$F299="Remove",$H299="Tree Protection Code: Other removal allowance or exemption",$I299&lt;&gt;"",ISNA(MATCH($I299,Tables!$B$215:$B$218,0))),
Error!$B$17,
IF(AND(OR($E299="Tier 2",$E299="Tier 2 Grove"),$F299="Remove",$H299="Tree Protection Code: Development Capacity",$I299&lt;&gt;"",ISNA(MATCH($I299,Tables!$B$193:$B$197,0))),
Error!$B$17,
IF(AND(OR($E299="Tier 2",$E299="Tier 2 Grove"),$F299="Remove",$H299="Tree Protection Code: Necessary for Construction",$I299&lt;&gt;"",ISNA(MATCH($I299,Tables!$B$193:$B$197,0))),
Error!$B$17,
IF(AND($E299="Tier 1",$F299="Remove",$H299="Tree Protection Code: Special Exception",$I299&lt;&gt;"",ISNA(MATCH($I299,Tables!$B$215:$B$218,0))),
Error!$B$17,
IF(AND($E299="Tier 1",$F299="Remove",$H299="Tree Protection Code: Other removal allowance or exemption",$I299&lt;&gt;"",ISNA(MATCH($I299,Tables!$B$215:$B$218,0))),
Error!$B$17,
IF(AND($E299="ECA / Shoreline Tree",$F299="Remove",$H299&lt;&gt;"",OR($H299="Shoreline",$H299="Environmental Critical Area (ECA)"),ISNA(MATCH($I299,Tables!$B$209:$B$212,0))),
Error!$B$17,
IF(AND(_xlpm.baseRow,$F299="Retain",$E299="ECA / Shoreline Tree",_xlpm.ECA_Short=0),
Error!$B$61,
IF(AND($F299="Remove",ISNUMBER(MATCH($E299,{"Tier 1","Tier 2","Tier 3","Tier 4","Tier 2 Grove"},0)),ISNUMBER(MATCH($I299,{"On-site replacement","Off-site replacement"},0)),$J299="",$H299&lt;&gt;""),
Error!$B$19,
IF(AND(_xlpm.baseRow,$E299&lt;&gt;"",$D299&lt;&gt;"",$F299&lt;&gt;"",COUNTBLANK($B299:$C299)&gt;0,COUNTBLANK(_xlpm.HRange)&lt;&gt;4),
Error!$B$22,
IF(AND($H299="Zoning: Tree Points",$K299&lt;&gt;"",ISNA(MATCH($K299,Tables!$B$242:$B$253,0))),
Error!$B$58,
IF(AND($H299="Zoning: Tree Points",$K299="Small",$L299&lt;&gt;"",ISNA(MATCH($L299,Tables!$C$243:$C$244,0))),
Error!$B$59,
IF(AND($H299="Zoning: Tree Points",$K299="Small/Medium",$L299&lt;&gt;"",ISNA(MATCH($L299,Tables!$C$246:$C$247,0))),
Error!$B$59,
IF(AND($H299="Zoning: Tree Points",$K299="Medium/Large",$L299&lt;&gt;"",ISNA(MATCH($L299,Tables!$C$249:$C$250,0))),
Error!$B$59,
IF(AND($H299="Zoning: Tree Points",$K299="Large",$L299&lt;&gt;"",ISNA(MATCH($L299,Tables!$C$252:$C$253,0))),
Error!$B$59,
IF(AND($F299="Retain",$H299="Zoning: Tree Points",$C299&lt;&gt;"",$D299&lt;&gt;"",OR($K299="",$L299="",$M299="")),
Error!$B$20,
""
)))))))))))))))))))))))))))))))))))))))))))))))))))))))),
Error!$B$23))</f>
        <v/>
      </c>
      <c r="O299" s="343" t="str" cm="1">
        <f t="array" aca="1" ref="O299" ca="1">IFERROR(_xlfn.LET(
    _xlpm.txt, $C299,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00" spans="1:15" x14ac:dyDescent="0.3">
      <c r="A300" s="320"/>
      <c r="B300" s="616" t="str">
        <f t="shared" ref="B300:B302" si="320">IF($B299="", "", $B299)</f>
        <v/>
      </c>
      <c r="C300" s="617" t="str">
        <f t="shared" ref="C300:C302" si="321">IF($C299="", "", $C299)</f>
        <v/>
      </c>
      <c r="D300" s="618" t="str">
        <f t="shared" ref="D300:D302" si="322">IF($D299="", "", $D299)</f>
        <v/>
      </c>
      <c r="E300" s="616" t="str">
        <f t="shared" ref="E300:E302" si="323">IF($E299="", "", $E299)</f>
        <v/>
      </c>
      <c r="F300" s="616" t="str">
        <f t="shared" ref="F300:F302" si="324">IF($F299="", "", $F299)</f>
        <v/>
      </c>
      <c r="G300" s="619" t="str">
        <f>IF(Tree_Table1[[#This Row],[Tree Status  &amp;]]="Retain", Tables!$B$237, IF(Tree_Table1[[#This Row],[Tree Status  &amp;]]="Remove", Tables!$B$238, ""))</f>
        <v/>
      </c>
      <c r="H300" s="321"/>
      <c r="I300" s="322"/>
      <c r="J300" s="453"/>
      <c r="K300" s="323" t="str">
        <f>IFERROR(
    IF(
        AND($H300="Zoning: Tree Points", NOT(ISNUMBER(SEARCH("sp.", $C300)))),
        VLOOKUP($C300, 'Tree List'!$C$3:$F$601, 4, FALSE),
        ""
    ),
"")</f>
        <v/>
      </c>
      <c r="L300" s="324" t="str" cm="1">
        <f t="array" ref="L300">IFERROR(
IF(
    AND($H300="Zoning: Tree Points", NOT(ISNUMBER(SEARCH("sp.", $C300)))),
    _xlfn.IFS(
        (COUNTIFS('Tree List'!$C$3:$C$601,$C300,'Tree List'!$D$3:$D$601,"Coniferous")
        + COUNTIFS('Tree List'!$C$3:$C$601,$C300,'Tree List'!$D$3:$D$601,"Deciduous Conifer")) &gt; 0,
            _xlfn.IFS($K300="Small",0.5,$K300="Small/Medium",1,$K300="Medium/Large",1.4,$K300="Large",1.8),
        (COUNTIFS('Tree List'!$C$3:$C$601,$C300,'Tree List'!$D$3:$D$601,"Deciduous")
        + COUNTIFS('Tree List'!$C$3:$C$601,$C300,'Tree List'!$D$3:$D$601,"Broadleaf Evergreen")) &gt; 0,
            _xlfn.IFS($K300="Small",0.4,$K300="Small/Medium",0.8,$K300="Medium/Large",1.2,$K300="Large",1.6)
    ),
    ""
),
"")</f>
        <v/>
      </c>
      <c r="M300" s="475" t="str">
        <f t="shared" si="249"/>
        <v/>
      </c>
      <c r="N300" s="346" t="str" cm="1">
        <f t="array" aca="1" ref="N30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IF(AND(_xlpm.baseRow,ISNA(MATCH($C300,'Tree List'!$C$3:$C$601,0)),SUMPRODUCT(--ISNUMBER(SEARCH(Tables2!$C$677:$C$772,$O300)))&gt;0),
Error!$B$57,
IF(AND(_xlpm.hasDM,$F300="Remove",$H300&lt;&gt;"",OR($I300="On-site replacement",$I300="Off-site replacement",$I300="Payment In Lieu")),
Error!$B$56,
IF(AND(_xlpm.hasDM,$F300="Remove",$H300&lt;&gt;"",$I300="Relocation"),
Error!$B$66,
IF(AND(OR(_xlpm.hasCN,_xlpm.hasPH,_xlpm.hasGR),$H300&lt;&gt;"",COUNTIF(Tables!$B$132:$B$134,$H300)&gt;0,$I300="N/A (No replacement required)"),
Error!$B$62,
IF(AND(_xlpm.baseRow,$E300&lt;&gt;"",ISNA(MATCH($E300,Tables!$B$225:$B$232,0))),
Error!$B$2,
IF(AND(_xlpm.baseRow,$F300&lt;&gt;"",ISNA(MATCH($F300,Tables!$B$234:$B$235,0))),
Error!$B$24,
IF(AND(_xlpm.baseRow,_xlpm.ECA_H&gt;0,_xlpm.Shore_H&gt;0),
Error!$B$16,
IF(AND(_xlpm.baseRow,$E300&lt;&gt;"",$D300=""),
Error!$B$3,
IF(AND(_xlpm.baseRow,OR($E300="Tier 3",$E300="Tier 4"),$C300&lt;&gt;"",$D300&gt;=24,COUNTIF(Tables2!$B$166:$B$674,$C300)&gt;0),
Error!$B$44,
IF(AND(_xlpm.baseRow,OR($E300="Tier 3",$E300="Tier 4"),$C300&lt;&gt;"",$D300&lt;&gt;"",COUNTIF(Tables2!$B$73:$B$152,$C300)&gt;0,
$D300&gt;=IFERROR(INDEX(Tables2!$C$73:$C$152,MATCH($C300,Tables2!$B$73:$B$152,0)),-1)),
Error!$B$44,
IF(AND(_xlpm.baseRow,OR($E300="Tier 2",$E300="Tier 2 Grove"),$C300&lt;&gt;"",$D300&gt;=12,COUNTIF(Tables2!$B$153:$B$162,$C300)&gt;0),
Error!$B$45,
IF(AND(_xlpm.baseRow,$E300="Tier 2 Grove",$D300&lt;12),
Error!$B$41,
IF(AND(_xlpm.baseRow,$E300="Tier 2",$D300&lt;5.88),
Error!$B$40,
IF(AND(_xlpm.baseRow,OR($E300="Tier 2",$E300="Tier 2 Grove"),$C300&lt;&gt;"",$D300&lt;12,$D300&gt;=6,COUNTIF(Tables2!$B$153:$B$162,$C300)&gt;0),
Error!$B$54,
IF(AND(_xlpm.baseRow,$E300="Tier 2",COUNTIF(Tables2!$B$166:$B$674,$C300)&gt;0,$D300&lt;24),
Error!$B$54,
IF(AND(_xlpm.baseRow,$E300="Tier 3",ISNA(MATCH($C300,Tables2!$B$153:$B$162,0)),OR($D300&lt;12,$D300&gt;=24)),
Error!$B$9,
IF(AND(_xlpm.baseRow,$E300="Tier 3",COUNTIF(Tables2!$B$153:$B$162,$C300)&gt;0,$D300&lt;12),
Error!$B$46,
IF(AND(_xlpm.baseRow,$E300="Tier 4",OR($D300&lt;6,$D300&gt;=12)),
Error!$B$10,
IF(AND(_xlpm.baseRow,$E300="&lt;6in DSH for Tree Points",OR($D300&gt;=6,$D300="")),
Error!$B$8,
IF(AND(_xlpm.baseRow,$E300="Street Tree for Green Factor",$F300&lt;&gt;"",$F300&lt;&gt;"Retain"),
Error!$B$14,
IF(AND($E300="&lt;6in DSH for Tree Points",$F300="Retain",$H300&lt;&gt;"",ISNA(MATCH($H300,Tables!$B$174:$B$174,0))),
Error!$B$15,
IF(AND($E300="Street Tree for Green Factor",$F300="Retain",$H300&lt;&gt;"",$H300&lt;&gt;"Zoning: Green Factor"),
Error!$B$15,
IF(AND($E300="ECA / Shoreline Tree",$F300="Remove",$H300&lt;&gt;"",ISNA(MATCH($H300,Tables!$B$189:$B$190,0))),
Error!$B$15,
IF(AND($E300="ECA / Shoreline Tree",$F300="Retain",$H300&lt;&gt;"",ISNA(MATCH($H300,Tables!$B$184:$B$186,0))),
Error!$B$15,
IF(AND($E300="Tier 4",$F300="Remove",$H300&lt;&gt;"",ISNA(MATCH($H300,Tables!$B$171,0))),
Error!$B$15,
IF(AND($E300="Tier 4",$F300="Retain",$H300&lt;&gt;"",ISNA(MATCH($H300,Tables!$B$166:$B$168,0))),
Error!$B$15,
IF(AND($E300="Tier 3",$F300="Retain",$H300&lt;&gt;"",ISNA(MATCH($H300,Tables!$B$158:$B$160,0))),
Error!$B$15,
IF(AND($E300="Tier 3",$F300="Remove",$H300&lt;&gt;"",ISNA(MATCH($H300,Tables!$B$163,0))),
Error!$B$15,
IF(AND(OR($E300="Tier 2",$E300="Tier 2 Grove"),$F300="Remove",$H300&lt;&gt;"",ISNA(MATCH($H300,Tables!$B$153:$B$155,0))),
Error!$B$15,
IF(AND(OR($E300="Tier 2",$E300="Tier 2 Grove"),$F300="Retain",$H300&lt;&gt;"",ISNA(MATCH($H300,Tables!$B$147:$B$150,0))),
Error!$B$15,
IF(AND($E300="Tier 1",$F300="Remove",$H300&lt;&gt;"",ISNA(MATCH($H300,Tables!$B$143:$B$144,0))),
Error!$B$15,
IF(AND($E300="Tier 1",$F300="Retain",$H300&lt;&gt;"",ISNA(MATCH($H300,Tables!$B$137:$B$140,0))),
Error!$B$15,
IF(AND($E300&lt;&gt;"Tier 2",$E300&lt;&gt;"Tier 2 Grove",$E300&lt;&gt;"Tier 3",$E300&lt;&gt;"Tier 4",$H300="Zoning: Green Factor",OR($D300="",$D300&lt;6)),
Error!$B$11,
IF(AND(_xlpm.baseRow,$D300&lt;6,$E300="&lt;6in DSH for Tree Points",_xlpm.TreePoints_H=0),
Error!$B$21,
IF(AND(_xlpm.baseRow,$E300&lt;&gt;"",$D300&lt;&gt;"",$F300=""),
Error!$B$4,
IF(AND(_xlpm.baseRow,$F300="Remove",OR($E300="Tier 1",$E300="Tier 2",$E300="Tier 2 Grove"),COUNTBLANK(_xlpm.HRange)&lt;3,_xlpm.uniqueH&gt;=2),
Error!$B$48,
IF(AND(_xlpm.baseRow,$F300="Retain",OR($E300="Tier 1",$E300="Tier 2",$E300="Tier 2 Grove"),COUNTIF(_xlpm.HRange,"Tree Code: Required to Retain Tier 1-2 Tree")=0),
Error!$B$47,
IF(AND(_xlpm.baseRow,$E300&lt;&gt;"",$D300&lt;&gt;"",$F300&lt;&gt;"",COUNTBLANK(_xlpm.HRange)=4),
Error!$B$5,
IF(AND($F300="Remove",$H300&lt;&gt;"",$I300=""),
Error!$B$18,
IF(AND($E300="Tier 4",$F300="Remove",$H300="Tree Protection Code: Tier 3 or Tier 4 Allowance",$H300&lt;&gt;"",ISNA(MATCH($I300,Tables!$B$200,0))),
Error!$B$17,
IF(AND($E300="Tier 3",$F300="Remove",$H300&lt;&gt;"",$H300="Tree Protection Code: Tier 3 or Tier 4 Allowance",OR($I300="",ISNA(MATCH($I300,Tables!$B$193:$B$197,0)))),
Error!$B$17,
IF(AND(OR($E300="Tier 2",$E300="Tier 2 Grove"),$F300="Remove",$H300="Tree Protection Code: Other removal allowance or exemption",$I300&lt;&gt;"",ISNA(MATCH($I300,Tables!$B$215:$B$218,0))),
Error!$B$17,
IF(AND(OR($E300="Tier 2",$E300="Tier 2 Grove"),$F300="Remove",$H300="Tree Protection Code: Development Capacity",$I300&lt;&gt;"",ISNA(MATCH($I300,Tables!$B$193:$B$197,0))),
Error!$B$17,
IF(AND(OR($E300="Tier 2",$E300="Tier 2 Grove"),$F300="Remove",$H300="Tree Protection Code: Necessary for Construction",$I300&lt;&gt;"",ISNA(MATCH($I300,Tables!$B$193:$B$197,0))),
Error!$B$17,
IF(AND($E300="Tier 1",$F300="Remove",$H300="Tree Protection Code: Special Exception",$I300&lt;&gt;"",ISNA(MATCH($I300,Tables!$B$215:$B$218,0))),
Error!$B$17,
IF(AND($E300="Tier 1",$F300="Remove",$H300="Tree Protection Code: Other removal allowance or exemption",$I300&lt;&gt;"",ISNA(MATCH($I300,Tables!$B$215:$B$218,0))),
Error!$B$17,
IF(AND($E300="ECA / Shoreline Tree",$F300="Remove",$H300&lt;&gt;"",OR($H300="Shoreline",$H300="Environmental Critical Area (ECA)"),ISNA(MATCH($I300,Tables!$B$209:$B$212,0))),
Error!$B$17,
IF(AND(_xlpm.baseRow,$F300="Retain",$E300="ECA / Shoreline Tree",_xlpm.ECA_Short=0),
Error!$B$61,
IF(AND($F300="Remove",ISNUMBER(MATCH($E300,{"Tier 1","Tier 2","Tier 3","Tier 4","Tier 2 Grove"},0)),ISNUMBER(MATCH($I300,{"On-site replacement","Off-site replacement"},0)),$J300="",$H300&lt;&gt;""),
Error!$B$19,
IF(AND(_xlpm.baseRow,$E300&lt;&gt;"",$D300&lt;&gt;"",$F300&lt;&gt;"",COUNTBLANK($B300:$C300)&gt;0,COUNTBLANK(_xlpm.HRange)&lt;&gt;4),
Error!$B$22,
IF(AND($H300="Zoning: Tree Points",$K300&lt;&gt;"",ISNA(MATCH($K300,Tables!$B$242:$B$253,0))),
Error!$B$58,
IF(AND($H300="Zoning: Tree Points",$K300="Small",$L300&lt;&gt;"",ISNA(MATCH($L300,Tables!$C$243:$C$244,0))),
Error!$B$59,
IF(AND($H300="Zoning: Tree Points",$K300="Small/Medium",$L300&lt;&gt;"",ISNA(MATCH($L300,Tables!$C$246:$C$247,0))),
Error!$B$59,
IF(AND($H300="Zoning: Tree Points",$K300="Medium/Large",$L300&lt;&gt;"",ISNA(MATCH($L300,Tables!$C$249:$C$250,0))),
Error!$B$59,
IF(AND($H300="Zoning: Tree Points",$K300="Large",$L300&lt;&gt;"",ISNA(MATCH($L300,Tables!$C$252:$C$253,0))),
Error!$B$59,
IF(AND($F300="Retain",$H300="Zoning: Tree Points",$C300&lt;&gt;"",$D300&lt;&gt;"",OR($K300="",$L300="",$M300="")),
Error!$B$20,
""
)))))))))))))))))))))))))))))))))))))))))))))))))))))))),
Error!$B$23))</f>
        <v/>
      </c>
      <c r="O300" s="343" t="str" cm="1">
        <f t="array" aca="1" ref="O300" ca="1">IFERROR(_xlfn.LET(
    _xlpm.txt, $C300,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01" spans="1:15" x14ac:dyDescent="0.3">
      <c r="A301" s="320"/>
      <c r="B301" s="616" t="str">
        <f t="shared" si="320"/>
        <v/>
      </c>
      <c r="C301" s="617" t="str">
        <f t="shared" si="321"/>
        <v/>
      </c>
      <c r="D301" s="618" t="str">
        <f t="shared" si="322"/>
        <v/>
      </c>
      <c r="E301" s="616" t="str">
        <f t="shared" si="323"/>
        <v/>
      </c>
      <c r="F301" s="616" t="str">
        <f t="shared" si="324"/>
        <v/>
      </c>
      <c r="G301" s="619" t="str">
        <f>IF(Tree_Table1[[#This Row],[Tree Status  &amp;]]="Retain", Tables!$B$237, IF(Tree_Table1[[#This Row],[Tree Status  &amp;]]="Remove", Tables!$B$238, ""))</f>
        <v/>
      </c>
      <c r="H301" s="321"/>
      <c r="I301" s="322"/>
      <c r="J301" s="453"/>
      <c r="K301" s="323" t="str">
        <f>IFERROR(
    IF(
        AND($H301="Zoning: Tree Points", NOT(ISNUMBER(SEARCH("sp.", $C301)))),
        VLOOKUP($C301, 'Tree List'!$C$3:$F$601, 4, FALSE),
        ""
    ),
"")</f>
        <v/>
      </c>
      <c r="L301" s="324" t="str" cm="1">
        <f t="array" ref="L301">IFERROR(
IF(
    AND($H301="Zoning: Tree Points", NOT(ISNUMBER(SEARCH("sp.", $C301)))),
    _xlfn.IFS(
        (COUNTIFS('Tree List'!$C$3:$C$601,$C301,'Tree List'!$D$3:$D$601,"Coniferous")
        + COUNTIFS('Tree List'!$C$3:$C$601,$C301,'Tree List'!$D$3:$D$601,"Deciduous Conifer")) &gt; 0,
            _xlfn.IFS($K301="Small",0.5,$K301="Small/Medium",1,$K301="Medium/Large",1.4,$K301="Large",1.8),
        (COUNTIFS('Tree List'!$C$3:$C$601,$C301,'Tree List'!$D$3:$D$601,"Deciduous")
        + COUNTIFS('Tree List'!$C$3:$C$601,$C301,'Tree List'!$D$3:$D$601,"Broadleaf Evergreen")) &gt; 0,
            _xlfn.IFS($K301="Small",0.4,$K301="Small/Medium",0.8,$K301="Medium/Large",1.2,$K301="Large",1.6)
    ),
    ""
),
"")</f>
        <v/>
      </c>
      <c r="M301" s="475" t="str">
        <f t="shared" si="249"/>
        <v/>
      </c>
      <c r="N301" s="346" t="str" cm="1">
        <f t="array" aca="1" ref="N30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IF(AND(_xlpm.baseRow,ISNA(MATCH($C301,'Tree List'!$C$3:$C$601,0)),SUMPRODUCT(--ISNUMBER(SEARCH(Tables2!$C$677:$C$772,$O301)))&gt;0),
Error!$B$57,
IF(AND(_xlpm.hasDM,$F301="Remove",$H301&lt;&gt;"",OR($I301="On-site replacement",$I301="Off-site replacement",$I301="Payment In Lieu")),
Error!$B$56,
IF(AND(_xlpm.hasDM,$F301="Remove",$H301&lt;&gt;"",$I301="Relocation"),
Error!$B$66,
IF(AND(OR(_xlpm.hasCN,_xlpm.hasPH,_xlpm.hasGR),$H301&lt;&gt;"",COUNTIF(Tables!$B$132:$B$134,$H301)&gt;0,$I301="N/A (No replacement required)"),
Error!$B$62,
IF(AND(_xlpm.baseRow,$E301&lt;&gt;"",ISNA(MATCH($E301,Tables!$B$225:$B$232,0))),
Error!$B$2,
IF(AND(_xlpm.baseRow,$F301&lt;&gt;"",ISNA(MATCH($F301,Tables!$B$234:$B$235,0))),
Error!$B$24,
IF(AND(_xlpm.baseRow,_xlpm.ECA_H&gt;0,_xlpm.Shore_H&gt;0),
Error!$B$16,
IF(AND(_xlpm.baseRow,$E301&lt;&gt;"",$D301=""),
Error!$B$3,
IF(AND(_xlpm.baseRow,OR($E301="Tier 3",$E301="Tier 4"),$C301&lt;&gt;"",$D301&gt;=24,COUNTIF(Tables2!$B$166:$B$674,$C301)&gt;0),
Error!$B$44,
IF(AND(_xlpm.baseRow,OR($E301="Tier 3",$E301="Tier 4"),$C301&lt;&gt;"",$D301&lt;&gt;"",COUNTIF(Tables2!$B$73:$B$152,$C301)&gt;0,
$D301&gt;=IFERROR(INDEX(Tables2!$C$73:$C$152,MATCH($C301,Tables2!$B$73:$B$152,0)),-1)),
Error!$B$44,
IF(AND(_xlpm.baseRow,OR($E301="Tier 2",$E301="Tier 2 Grove"),$C301&lt;&gt;"",$D301&gt;=12,COUNTIF(Tables2!$B$153:$B$162,$C301)&gt;0),
Error!$B$45,
IF(AND(_xlpm.baseRow,$E301="Tier 2 Grove",$D301&lt;12),
Error!$B$41,
IF(AND(_xlpm.baseRow,$E301="Tier 2",$D301&lt;5.88),
Error!$B$40,
IF(AND(_xlpm.baseRow,OR($E301="Tier 2",$E301="Tier 2 Grove"),$C301&lt;&gt;"",$D301&lt;12,$D301&gt;=6,COUNTIF(Tables2!$B$153:$B$162,$C301)&gt;0),
Error!$B$54,
IF(AND(_xlpm.baseRow,$E301="Tier 2",COUNTIF(Tables2!$B$166:$B$674,$C301)&gt;0,$D301&lt;24),
Error!$B$54,
IF(AND(_xlpm.baseRow,$E301="Tier 3",ISNA(MATCH($C301,Tables2!$B$153:$B$162,0)),OR($D301&lt;12,$D301&gt;=24)),
Error!$B$9,
IF(AND(_xlpm.baseRow,$E301="Tier 3",COUNTIF(Tables2!$B$153:$B$162,$C301)&gt;0,$D301&lt;12),
Error!$B$46,
IF(AND(_xlpm.baseRow,$E301="Tier 4",OR($D301&lt;6,$D301&gt;=12)),
Error!$B$10,
IF(AND(_xlpm.baseRow,$E301="&lt;6in DSH for Tree Points",OR($D301&gt;=6,$D301="")),
Error!$B$8,
IF(AND(_xlpm.baseRow,$E301="Street Tree for Green Factor",$F301&lt;&gt;"",$F301&lt;&gt;"Retain"),
Error!$B$14,
IF(AND($E301="&lt;6in DSH for Tree Points",$F301="Retain",$H301&lt;&gt;"",ISNA(MATCH($H301,Tables!$B$174:$B$174,0))),
Error!$B$15,
IF(AND($E301="Street Tree for Green Factor",$F301="Retain",$H301&lt;&gt;"",$H301&lt;&gt;"Zoning: Green Factor"),
Error!$B$15,
IF(AND($E301="ECA / Shoreline Tree",$F301="Remove",$H301&lt;&gt;"",ISNA(MATCH($H301,Tables!$B$189:$B$190,0))),
Error!$B$15,
IF(AND($E301="ECA / Shoreline Tree",$F301="Retain",$H301&lt;&gt;"",ISNA(MATCH($H301,Tables!$B$184:$B$186,0))),
Error!$B$15,
IF(AND($E301="Tier 4",$F301="Remove",$H301&lt;&gt;"",ISNA(MATCH($H301,Tables!$B$171,0))),
Error!$B$15,
IF(AND($E301="Tier 4",$F301="Retain",$H301&lt;&gt;"",ISNA(MATCH($H301,Tables!$B$166:$B$168,0))),
Error!$B$15,
IF(AND($E301="Tier 3",$F301="Retain",$H301&lt;&gt;"",ISNA(MATCH($H301,Tables!$B$158:$B$160,0))),
Error!$B$15,
IF(AND($E301="Tier 3",$F301="Remove",$H301&lt;&gt;"",ISNA(MATCH($H301,Tables!$B$163,0))),
Error!$B$15,
IF(AND(OR($E301="Tier 2",$E301="Tier 2 Grove"),$F301="Remove",$H301&lt;&gt;"",ISNA(MATCH($H301,Tables!$B$153:$B$155,0))),
Error!$B$15,
IF(AND(OR($E301="Tier 2",$E301="Tier 2 Grove"),$F301="Retain",$H301&lt;&gt;"",ISNA(MATCH($H301,Tables!$B$147:$B$150,0))),
Error!$B$15,
IF(AND($E301="Tier 1",$F301="Remove",$H301&lt;&gt;"",ISNA(MATCH($H301,Tables!$B$143:$B$144,0))),
Error!$B$15,
IF(AND($E301="Tier 1",$F301="Retain",$H301&lt;&gt;"",ISNA(MATCH($H301,Tables!$B$137:$B$140,0))),
Error!$B$15,
IF(AND($E301&lt;&gt;"Tier 2",$E301&lt;&gt;"Tier 2 Grove",$E301&lt;&gt;"Tier 3",$E301&lt;&gt;"Tier 4",$H301="Zoning: Green Factor",OR($D301="",$D301&lt;6)),
Error!$B$11,
IF(AND(_xlpm.baseRow,$D301&lt;6,$E301="&lt;6in DSH for Tree Points",_xlpm.TreePoints_H=0),
Error!$B$21,
IF(AND(_xlpm.baseRow,$E301&lt;&gt;"",$D301&lt;&gt;"",$F301=""),
Error!$B$4,
IF(AND(_xlpm.baseRow,$F301="Remove",OR($E301="Tier 1",$E301="Tier 2",$E301="Tier 2 Grove"),COUNTBLANK(_xlpm.HRange)&lt;3,_xlpm.uniqueH&gt;=2),
Error!$B$48,
IF(AND(_xlpm.baseRow,$F301="Retain",OR($E301="Tier 1",$E301="Tier 2",$E301="Tier 2 Grove"),COUNTIF(_xlpm.HRange,"Tree Code: Required to Retain Tier 1-2 Tree")=0),
Error!$B$47,
IF(AND(_xlpm.baseRow,$E301&lt;&gt;"",$D301&lt;&gt;"",$F301&lt;&gt;"",COUNTBLANK(_xlpm.HRange)=4),
Error!$B$5,
IF(AND($F301="Remove",$H301&lt;&gt;"",$I301=""),
Error!$B$18,
IF(AND($E301="Tier 4",$F301="Remove",$H301="Tree Protection Code: Tier 3 or Tier 4 Allowance",$H301&lt;&gt;"",ISNA(MATCH($I301,Tables!$B$200,0))),
Error!$B$17,
IF(AND($E301="Tier 3",$F301="Remove",$H301&lt;&gt;"",$H301="Tree Protection Code: Tier 3 or Tier 4 Allowance",OR($I301="",ISNA(MATCH($I301,Tables!$B$193:$B$197,0)))),
Error!$B$17,
IF(AND(OR($E301="Tier 2",$E301="Tier 2 Grove"),$F301="Remove",$H301="Tree Protection Code: Other removal allowance or exemption",$I301&lt;&gt;"",ISNA(MATCH($I301,Tables!$B$215:$B$218,0))),
Error!$B$17,
IF(AND(OR($E301="Tier 2",$E301="Tier 2 Grove"),$F301="Remove",$H301="Tree Protection Code: Development Capacity",$I301&lt;&gt;"",ISNA(MATCH($I301,Tables!$B$193:$B$197,0))),
Error!$B$17,
IF(AND(OR($E301="Tier 2",$E301="Tier 2 Grove"),$F301="Remove",$H301="Tree Protection Code: Necessary for Construction",$I301&lt;&gt;"",ISNA(MATCH($I301,Tables!$B$193:$B$197,0))),
Error!$B$17,
IF(AND($E301="Tier 1",$F301="Remove",$H301="Tree Protection Code: Special Exception",$I301&lt;&gt;"",ISNA(MATCH($I301,Tables!$B$215:$B$218,0))),
Error!$B$17,
IF(AND($E301="Tier 1",$F301="Remove",$H301="Tree Protection Code: Other removal allowance or exemption",$I301&lt;&gt;"",ISNA(MATCH($I301,Tables!$B$215:$B$218,0))),
Error!$B$17,
IF(AND($E301="ECA / Shoreline Tree",$F301="Remove",$H301&lt;&gt;"",OR($H301="Shoreline",$H301="Environmental Critical Area (ECA)"),ISNA(MATCH($I301,Tables!$B$209:$B$212,0))),
Error!$B$17,
IF(AND(_xlpm.baseRow,$F301="Retain",$E301="ECA / Shoreline Tree",_xlpm.ECA_Short=0),
Error!$B$61,
IF(AND($F301="Remove",ISNUMBER(MATCH($E301,{"Tier 1","Tier 2","Tier 3","Tier 4","Tier 2 Grove"},0)),ISNUMBER(MATCH($I301,{"On-site replacement","Off-site replacement"},0)),$J301="",$H301&lt;&gt;""),
Error!$B$19,
IF(AND(_xlpm.baseRow,$E301&lt;&gt;"",$D301&lt;&gt;"",$F301&lt;&gt;"",COUNTBLANK($B301:$C301)&gt;0,COUNTBLANK(_xlpm.HRange)&lt;&gt;4),
Error!$B$22,
IF(AND($H301="Zoning: Tree Points",$K301&lt;&gt;"",ISNA(MATCH($K301,Tables!$B$242:$B$253,0))),
Error!$B$58,
IF(AND($H301="Zoning: Tree Points",$K301="Small",$L301&lt;&gt;"",ISNA(MATCH($L301,Tables!$C$243:$C$244,0))),
Error!$B$59,
IF(AND($H301="Zoning: Tree Points",$K301="Small/Medium",$L301&lt;&gt;"",ISNA(MATCH($L301,Tables!$C$246:$C$247,0))),
Error!$B$59,
IF(AND($H301="Zoning: Tree Points",$K301="Medium/Large",$L301&lt;&gt;"",ISNA(MATCH($L301,Tables!$C$249:$C$250,0))),
Error!$B$59,
IF(AND($H301="Zoning: Tree Points",$K301="Large",$L301&lt;&gt;"",ISNA(MATCH($L301,Tables!$C$252:$C$253,0))),
Error!$B$59,
IF(AND($F301="Retain",$H301="Zoning: Tree Points",$C301&lt;&gt;"",$D301&lt;&gt;"",OR($K301="",$L301="",$M301="")),
Error!$B$20,
""
)))))))))))))))))))))))))))))))))))))))))))))))))))))))),
Error!$B$23))</f>
        <v/>
      </c>
      <c r="O301" s="343" t="str" cm="1">
        <f t="array" aca="1" ref="O301" ca="1">IFERROR(_xlfn.LET(
    _xlpm.txt, $C301,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02" spans="1:15" ht="15" thickBot="1" x14ac:dyDescent="0.35">
      <c r="A302" s="331"/>
      <c r="B302" s="616" t="str">
        <f t="shared" si="320"/>
        <v/>
      </c>
      <c r="C302" s="617" t="str">
        <f t="shared" si="321"/>
        <v/>
      </c>
      <c r="D302" s="618" t="str">
        <f t="shared" si="322"/>
        <v/>
      </c>
      <c r="E302" s="616" t="str">
        <f t="shared" si="323"/>
        <v/>
      </c>
      <c r="F302" s="616" t="str">
        <f t="shared" si="324"/>
        <v/>
      </c>
      <c r="G302" s="619" t="str">
        <f>IF(Tree_Table1[[#This Row],[Tree Status  &amp;]]="Retain", Tables!$B$237, IF(Tree_Table1[[#This Row],[Tree Status  &amp;]]="Remove", Tables!$B$238, ""))</f>
        <v/>
      </c>
      <c r="H302" s="329"/>
      <c r="I302" s="330"/>
      <c r="J302" s="455"/>
      <c r="K302" s="327" t="str">
        <f>IFERROR(
    IF(
        AND($H302="Zoning: Tree Points", NOT(ISNUMBER(SEARCH("sp.", $C302)))),
        VLOOKUP($C302, 'Tree List'!$C$3:$F$601, 4, FALSE),
        ""
    ),
"")</f>
        <v/>
      </c>
      <c r="L302" s="328" t="str" cm="1">
        <f t="array" ref="L302">IFERROR(
IF(
    AND($H302="Zoning: Tree Points", NOT(ISNUMBER(SEARCH("sp.", $C302)))),
    _xlfn.IFS(
        (COUNTIFS('Tree List'!$C$3:$C$601,$C302,'Tree List'!$D$3:$D$601,"Coniferous")
        + COUNTIFS('Tree List'!$C$3:$C$601,$C302,'Tree List'!$D$3:$D$601,"Deciduous Conifer")) &gt; 0,
            _xlfn.IFS($K302="Small",0.5,$K302="Small/Medium",1,$K302="Medium/Large",1.4,$K302="Large",1.8),
        (COUNTIFS('Tree List'!$C$3:$C$601,$C302,'Tree List'!$D$3:$D$601,"Deciduous")
        + COUNTIFS('Tree List'!$C$3:$C$601,$C302,'Tree List'!$D$3:$D$601,"Broadleaf Evergreen")) &gt; 0,
            _xlfn.IFS($K302="Small",0.4,$K302="Small/Medium",0.8,$K302="Medium/Large",1.2,$K302="Large",1.6)
    ),
    ""
),
"")</f>
        <v/>
      </c>
      <c r="M302" s="476" t="str">
        <f t="shared" si="249"/>
        <v/>
      </c>
      <c r="N302" s="347" t="str" cm="1">
        <f t="array" aca="1" ref="N30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IF(AND(_xlpm.baseRow,ISNA(MATCH($C302,'Tree List'!$C$3:$C$601,0)),SUMPRODUCT(--ISNUMBER(SEARCH(Tables2!$C$677:$C$772,$O302)))&gt;0),
Error!$B$57,
IF(AND(_xlpm.hasDM,$F302="Remove",$H302&lt;&gt;"",OR($I302="On-site replacement",$I302="Off-site replacement",$I302="Payment In Lieu")),
Error!$B$56,
IF(AND(_xlpm.hasDM,$F302="Remove",$H302&lt;&gt;"",$I302="Relocation"),
Error!$B$66,
IF(AND(OR(_xlpm.hasCN,_xlpm.hasPH,_xlpm.hasGR),$H302&lt;&gt;"",COUNTIF(Tables!$B$132:$B$134,$H302)&gt;0,$I302="N/A (No replacement required)"),
Error!$B$62,
IF(AND(_xlpm.baseRow,$E302&lt;&gt;"",ISNA(MATCH($E302,Tables!$B$225:$B$232,0))),
Error!$B$2,
IF(AND(_xlpm.baseRow,$F302&lt;&gt;"",ISNA(MATCH($F302,Tables!$B$234:$B$235,0))),
Error!$B$24,
IF(AND(_xlpm.baseRow,_xlpm.ECA_H&gt;0,_xlpm.Shore_H&gt;0),
Error!$B$16,
IF(AND(_xlpm.baseRow,$E302&lt;&gt;"",$D302=""),
Error!$B$3,
IF(AND(_xlpm.baseRow,OR($E302="Tier 3",$E302="Tier 4"),$C302&lt;&gt;"",$D302&gt;=24,COUNTIF(Tables2!$B$166:$B$674,$C302)&gt;0),
Error!$B$44,
IF(AND(_xlpm.baseRow,OR($E302="Tier 3",$E302="Tier 4"),$C302&lt;&gt;"",$D302&lt;&gt;"",COUNTIF(Tables2!$B$73:$B$152,$C302)&gt;0,
$D302&gt;=IFERROR(INDEX(Tables2!$C$73:$C$152,MATCH($C302,Tables2!$B$73:$B$152,0)),-1)),
Error!$B$44,
IF(AND(_xlpm.baseRow,OR($E302="Tier 2",$E302="Tier 2 Grove"),$C302&lt;&gt;"",$D302&gt;=12,COUNTIF(Tables2!$B$153:$B$162,$C302)&gt;0),
Error!$B$45,
IF(AND(_xlpm.baseRow,$E302="Tier 2 Grove",$D302&lt;12),
Error!$B$41,
IF(AND(_xlpm.baseRow,$E302="Tier 2",$D302&lt;5.88),
Error!$B$40,
IF(AND(_xlpm.baseRow,OR($E302="Tier 2",$E302="Tier 2 Grove"),$C302&lt;&gt;"",$D302&lt;12,$D302&gt;=6,COUNTIF(Tables2!$B$153:$B$162,$C302)&gt;0),
Error!$B$54,
IF(AND(_xlpm.baseRow,$E302="Tier 2",COUNTIF(Tables2!$B$166:$B$674,$C302)&gt;0,$D302&lt;24),
Error!$B$54,
IF(AND(_xlpm.baseRow,$E302="Tier 3",ISNA(MATCH($C302,Tables2!$B$153:$B$162,0)),OR($D302&lt;12,$D302&gt;=24)),
Error!$B$9,
IF(AND(_xlpm.baseRow,$E302="Tier 3",COUNTIF(Tables2!$B$153:$B$162,$C302)&gt;0,$D302&lt;12),
Error!$B$46,
IF(AND(_xlpm.baseRow,$E302="Tier 4",OR($D302&lt;6,$D302&gt;=12)),
Error!$B$10,
IF(AND(_xlpm.baseRow,$E302="&lt;6in DSH for Tree Points",OR($D302&gt;=6,$D302="")),
Error!$B$8,
IF(AND(_xlpm.baseRow,$E302="Street Tree for Green Factor",$F302&lt;&gt;"",$F302&lt;&gt;"Retain"),
Error!$B$14,
IF(AND($E302="&lt;6in DSH for Tree Points",$F302="Retain",$H302&lt;&gt;"",ISNA(MATCH($H302,Tables!$B$174:$B$174,0))),
Error!$B$15,
IF(AND($E302="Street Tree for Green Factor",$F302="Retain",$H302&lt;&gt;"",$H302&lt;&gt;"Zoning: Green Factor"),
Error!$B$15,
IF(AND($E302="ECA / Shoreline Tree",$F302="Remove",$H302&lt;&gt;"",ISNA(MATCH($H302,Tables!$B$189:$B$190,0))),
Error!$B$15,
IF(AND($E302="ECA / Shoreline Tree",$F302="Retain",$H302&lt;&gt;"",ISNA(MATCH($H302,Tables!$B$184:$B$186,0))),
Error!$B$15,
IF(AND($E302="Tier 4",$F302="Remove",$H302&lt;&gt;"",ISNA(MATCH($H302,Tables!$B$171,0))),
Error!$B$15,
IF(AND($E302="Tier 4",$F302="Retain",$H302&lt;&gt;"",ISNA(MATCH($H302,Tables!$B$166:$B$168,0))),
Error!$B$15,
IF(AND($E302="Tier 3",$F302="Retain",$H302&lt;&gt;"",ISNA(MATCH($H302,Tables!$B$158:$B$160,0))),
Error!$B$15,
IF(AND($E302="Tier 3",$F302="Remove",$H302&lt;&gt;"",ISNA(MATCH($H302,Tables!$B$163,0))),
Error!$B$15,
IF(AND(OR($E302="Tier 2",$E302="Tier 2 Grove"),$F302="Remove",$H302&lt;&gt;"",ISNA(MATCH($H302,Tables!$B$153:$B$155,0))),
Error!$B$15,
IF(AND(OR($E302="Tier 2",$E302="Tier 2 Grove"),$F302="Retain",$H302&lt;&gt;"",ISNA(MATCH($H302,Tables!$B$147:$B$150,0))),
Error!$B$15,
IF(AND($E302="Tier 1",$F302="Remove",$H302&lt;&gt;"",ISNA(MATCH($H302,Tables!$B$143:$B$144,0))),
Error!$B$15,
IF(AND($E302="Tier 1",$F302="Retain",$H302&lt;&gt;"",ISNA(MATCH($H302,Tables!$B$137:$B$140,0))),
Error!$B$15,
IF(AND($E302&lt;&gt;"Tier 2",$E302&lt;&gt;"Tier 2 Grove",$E302&lt;&gt;"Tier 3",$E302&lt;&gt;"Tier 4",$H302="Zoning: Green Factor",OR($D302="",$D302&lt;6)),
Error!$B$11,
IF(AND(_xlpm.baseRow,$D302&lt;6,$E302="&lt;6in DSH for Tree Points",_xlpm.TreePoints_H=0),
Error!$B$21,
IF(AND(_xlpm.baseRow,$E302&lt;&gt;"",$D302&lt;&gt;"",$F302=""),
Error!$B$4,
IF(AND(_xlpm.baseRow,$F302="Remove",OR($E302="Tier 1",$E302="Tier 2",$E302="Tier 2 Grove"),COUNTBLANK(_xlpm.HRange)&lt;3,_xlpm.uniqueH&gt;=2),
Error!$B$48,
IF(AND(_xlpm.baseRow,$F302="Retain",OR($E302="Tier 1",$E302="Tier 2",$E302="Tier 2 Grove"),COUNTIF(_xlpm.HRange,"Tree Code: Required to Retain Tier 1-2 Tree")=0),
Error!$B$47,
IF(AND(_xlpm.baseRow,$E302&lt;&gt;"",$D302&lt;&gt;"",$F302&lt;&gt;"",COUNTBLANK(_xlpm.HRange)=4),
Error!$B$5,
IF(AND($F302="Remove",$H302&lt;&gt;"",$I302=""),
Error!$B$18,
IF(AND($E302="Tier 4",$F302="Remove",$H302="Tree Protection Code: Tier 3 or Tier 4 Allowance",$H302&lt;&gt;"",ISNA(MATCH($I302,Tables!$B$200,0))),
Error!$B$17,
IF(AND($E302="Tier 3",$F302="Remove",$H302&lt;&gt;"",$H302="Tree Protection Code: Tier 3 or Tier 4 Allowance",OR($I302="",ISNA(MATCH($I302,Tables!$B$193:$B$197,0)))),
Error!$B$17,
IF(AND(OR($E302="Tier 2",$E302="Tier 2 Grove"),$F302="Remove",$H302="Tree Protection Code: Other removal allowance or exemption",$I302&lt;&gt;"",ISNA(MATCH($I302,Tables!$B$215:$B$218,0))),
Error!$B$17,
IF(AND(OR($E302="Tier 2",$E302="Tier 2 Grove"),$F302="Remove",$H302="Tree Protection Code: Development Capacity",$I302&lt;&gt;"",ISNA(MATCH($I302,Tables!$B$193:$B$197,0))),
Error!$B$17,
IF(AND(OR($E302="Tier 2",$E302="Tier 2 Grove"),$F302="Remove",$H302="Tree Protection Code: Necessary for Construction",$I302&lt;&gt;"",ISNA(MATCH($I302,Tables!$B$193:$B$197,0))),
Error!$B$17,
IF(AND($E302="Tier 1",$F302="Remove",$H302="Tree Protection Code: Special Exception",$I302&lt;&gt;"",ISNA(MATCH($I302,Tables!$B$215:$B$218,0))),
Error!$B$17,
IF(AND($E302="Tier 1",$F302="Remove",$H302="Tree Protection Code: Other removal allowance or exemption",$I302&lt;&gt;"",ISNA(MATCH($I302,Tables!$B$215:$B$218,0))),
Error!$B$17,
IF(AND($E302="ECA / Shoreline Tree",$F302="Remove",$H302&lt;&gt;"",OR($H302="Shoreline",$H302="Environmental Critical Area (ECA)"),ISNA(MATCH($I302,Tables!$B$209:$B$212,0))),
Error!$B$17,
IF(AND(_xlpm.baseRow,$F302="Retain",$E302="ECA / Shoreline Tree",_xlpm.ECA_Short=0),
Error!$B$61,
IF(AND($F302="Remove",ISNUMBER(MATCH($E302,{"Tier 1","Tier 2","Tier 3","Tier 4","Tier 2 Grove"},0)),ISNUMBER(MATCH($I302,{"On-site replacement","Off-site replacement"},0)),$J302="",$H302&lt;&gt;""),
Error!$B$19,
IF(AND(_xlpm.baseRow,$E302&lt;&gt;"",$D302&lt;&gt;"",$F302&lt;&gt;"",COUNTBLANK($B302:$C302)&gt;0,COUNTBLANK(_xlpm.HRange)&lt;&gt;4),
Error!$B$22,
IF(AND($H302="Zoning: Tree Points",$K302&lt;&gt;"",ISNA(MATCH($K302,Tables!$B$242:$B$253,0))),
Error!$B$58,
IF(AND($H302="Zoning: Tree Points",$K302="Small",$L302&lt;&gt;"",ISNA(MATCH($L302,Tables!$C$243:$C$244,0))),
Error!$B$59,
IF(AND($H302="Zoning: Tree Points",$K302="Small/Medium",$L302&lt;&gt;"",ISNA(MATCH($L302,Tables!$C$246:$C$247,0))),
Error!$B$59,
IF(AND($H302="Zoning: Tree Points",$K302="Medium/Large",$L302&lt;&gt;"",ISNA(MATCH($L302,Tables!$C$249:$C$250,0))),
Error!$B$59,
IF(AND($H302="Zoning: Tree Points",$K302="Large",$L302&lt;&gt;"",ISNA(MATCH($L302,Tables!$C$252:$C$253,0))),
Error!$B$59,
IF(AND($F302="Retain",$H302="Zoning: Tree Points",$C302&lt;&gt;"",$D302&lt;&gt;"",OR($K302="",$L302="",$M302="")),
Error!$B$20,
""
)))))))))))))))))))))))))))))))))))))))))))))))))))))))),
Error!$B$23))</f>
        <v/>
      </c>
      <c r="O302" s="343" t="str" cm="1">
        <f t="array" aca="1" ref="O302" ca="1">IFERROR(_xlfn.LET(
    _xlpm.txt, $C302,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03" spans="1:15" ht="15" thickBot="1" x14ac:dyDescent="0.35">
      <c r="A303" s="311">
        <v>74</v>
      </c>
      <c r="B303" s="312"/>
      <c r="C303" s="313"/>
      <c r="D303" s="478"/>
      <c r="E303" s="314"/>
      <c r="F303" s="314"/>
      <c r="G303" s="315" t="str">
        <f>IF(Tree_Table1[[#This Row],[Tree Status  &amp;]]="Retain", Tables!$B$237, IF(Tree_Table1[[#This Row],[Tree Status  &amp;]]="Remove", Tables!$B$238, ""))</f>
        <v/>
      </c>
      <c r="H303" s="316"/>
      <c r="I303" s="317"/>
      <c r="J303" s="452"/>
      <c r="K303" s="318" t="str">
        <f>IFERROR(
    IF(
        AND($H303="Zoning: Tree Points", NOT(ISNUMBER(SEARCH("sp.", $C303)))),
        VLOOKUP($C303, 'Tree List'!$C$3:$F$601, 4, FALSE),
        ""
    ),
"")</f>
        <v/>
      </c>
      <c r="L303" s="319" t="str" cm="1">
        <f t="array" ref="L303">IFERROR(
IF(
    AND($H303="Zoning: Tree Points", NOT(ISNUMBER(SEARCH("sp.", $C303)))),
    _xlfn.IFS(
        (COUNTIFS('Tree List'!$C$3:$C$601,$C303,'Tree List'!$D$3:$D$601,"Coniferous")
        + COUNTIFS('Tree List'!$C$3:$C$601,$C303,'Tree List'!$D$3:$D$601,"Deciduous Conifer")) &gt; 0,
            _xlfn.IFS($K303="Small",0.5,$K303="Small/Medium",1,$K303="Medium/Large",1.4,$K303="Large",1.8),
        (COUNTIFS('Tree List'!$C$3:$C$601,$C303,'Tree List'!$D$3:$D$601,"Deciduous")
        + COUNTIFS('Tree List'!$C$3:$C$601,$C303,'Tree List'!$D$3:$D$601,"Broadleaf Evergreen")) &gt; 0,
            _xlfn.IFS($K303="Small",0.4,$K303="Small/Medium",0.8,$K303="Medium/Large",1.2,$K303="Large",1.6)
    ),
    ""
),
"")</f>
        <v/>
      </c>
      <c r="M303" s="474" t="str">
        <f t="shared" si="249"/>
        <v/>
      </c>
      <c r="N303" s="620" t="str" cm="1">
        <f t="array" aca="1" ref="N30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IF(AND(_xlpm.baseRow,ISNA(MATCH($C303,'Tree List'!$C$3:$C$601,0)),SUMPRODUCT(--ISNUMBER(SEARCH(Tables2!$C$677:$C$772,$O303)))&gt;0),
Error!$B$57,
IF(AND(_xlpm.hasDM,$F303="Remove",$H303&lt;&gt;"",OR($I303="On-site replacement",$I303="Off-site replacement",$I303="Payment In Lieu")),
Error!$B$56,
IF(AND(_xlpm.hasDM,$F303="Remove",$H303&lt;&gt;"",$I303="Relocation"),
Error!$B$66,
IF(AND(OR(_xlpm.hasCN,_xlpm.hasPH,_xlpm.hasGR),$H303&lt;&gt;"",COUNTIF(Tables!$B$132:$B$134,$H303)&gt;0,$I303="N/A (No replacement required)"),
Error!$B$62,
IF(AND(_xlpm.baseRow,$E303&lt;&gt;"",ISNA(MATCH($E303,Tables!$B$225:$B$232,0))),
Error!$B$2,
IF(AND(_xlpm.baseRow,$F303&lt;&gt;"",ISNA(MATCH($F303,Tables!$B$234:$B$235,0))),
Error!$B$24,
IF(AND(_xlpm.baseRow,_xlpm.ECA_H&gt;0,_xlpm.Shore_H&gt;0),
Error!$B$16,
IF(AND(_xlpm.baseRow,$E303&lt;&gt;"",$D303=""),
Error!$B$3,
IF(AND(_xlpm.baseRow,OR($E303="Tier 3",$E303="Tier 4"),$C303&lt;&gt;"",$D303&gt;=24,COUNTIF(Tables2!$B$166:$B$674,$C303)&gt;0),
Error!$B$44,
IF(AND(_xlpm.baseRow,OR($E303="Tier 3",$E303="Tier 4"),$C303&lt;&gt;"",$D303&lt;&gt;"",COUNTIF(Tables2!$B$73:$B$152,$C303)&gt;0,
$D303&gt;=IFERROR(INDEX(Tables2!$C$73:$C$152,MATCH($C303,Tables2!$B$73:$B$152,0)),-1)),
Error!$B$44,
IF(AND(_xlpm.baseRow,OR($E303="Tier 2",$E303="Tier 2 Grove"),$C303&lt;&gt;"",$D303&gt;=12,COUNTIF(Tables2!$B$153:$B$162,$C303)&gt;0),
Error!$B$45,
IF(AND(_xlpm.baseRow,$E303="Tier 2 Grove",$D303&lt;12),
Error!$B$41,
IF(AND(_xlpm.baseRow,$E303="Tier 2",$D303&lt;5.88),
Error!$B$40,
IF(AND(_xlpm.baseRow,OR($E303="Tier 2",$E303="Tier 2 Grove"),$C303&lt;&gt;"",$D303&lt;12,$D303&gt;=6,COUNTIF(Tables2!$B$153:$B$162,$C303)&gt;0),
Error!$B$54,
IF(AND(_xlpm.baseRow,$E303="Tier 2",COUNTIF(Tables2!$B$166:$B$674,$C303)&gt;0,$D303&lt;24),
Error!$B$54,
IF(AND(_xlpm.baseRow,$E303="Tier 3",ISNA(MATCH($C303,Tables2!$B$153:$B$162,0)),OR($D303&lt;12,$D303&gt;=24)),
Error!$B$9,
IF(AND(_xlpm.baseRow,$E303="Tier 3",COUNTIF(Tables2!$B$153:$B$162,$C303)&gt;0,$D303&lt;12),
Error!$B$46,
IF(AND(_xlpm.baseRow,$E303="Tier 4",OR($D303&lt;6,$D303&gt;=12)),
Error!$B$10,
IF(AND(_xlpm.baseRow,$E303="&lt;6in DSH for Tree Points",OR($D303&gt;=6,$D303="")),
Error!$B$8,
IF(AND(_xlpm.baseRow,$E303="Street Tree for Green Factor",$F303&lt;&gt;"",$F303&lt;&gt;"Retain"),
Error!$B$14,
IF(AND($E303="&lt;6in DSH for Tree Points",$F303="Retain",$H303&lt;&gt;"",ISNA(MATCH($H303,Tables!$B$174:$B$174,0))),
Error!$B$15,
IF(AND($E303="Street Tree for Green Factor",$F303="Retain",$H303&lt;&gt;"",$H303&lt;&gt;"Zoning: Green Factor"),
Error!$B$15,
IF(AND($E303="ECA / Shoreline Tree",$F303="Remove",$H303&lt;&gt;"",ISNA(MATCH($H303,Tables!$B$189:$B$190,0))),
Error!$B$15,
IF(AND($E303="ECA / Shoreline Tree",$F303="Retain",$H303&lt;&gt;"",ISNA(MATCH($H303,Tables!$B$184:$B$186,0))),
Error!$B$15,
IF(AND($E303="Tier 4",$F303="Remove",$H303&lt;&gt;"",ISNA(MATCH($H303,Tables!$B$171,0))),
Error!$B$15,
IF(AND($E303="Tier 4",$F303="Retain",$H303&lt;&gt;"",ISNA(MATCH($H303,Tables!$B$166:$B$168,0))),
Error!$B$15,
IF(AND($E303="Tier 3",$F303="Retain",$H303&lt;&gt;"",ISNA(MATCH($H303,Tables!$B$158:$B$160,0))),
Error!$B$15,
IF(AND($E303="Tier 3",$F303="Remove",$H303&lt;&gt;"",ISNA(MATCH($H303,Tables!$B$163,0))),
Error!$B$15,
IF(AND(OR($E303="Tier 2",$E303="Tier 2 Grove"),$F303="Remove",$H303&lt;&gt;"",ISNA(MATCH($H303,Tables!$B$153:$B$155,0))),
Error!$B$15,
IF(AND(OR($E303="Tier 2",$E303="Tier 2 Grove"),$F303="Retain",$H303&lt;&gt;"",ISNA(MATCH($H303,Tables!$B$147:$B$150,0))),
Error!$B$15,
IF(AND($E303="Tier 1",$F303="Remove",$H303&lt;&gt;"",ISNA(MATCH($H303,Tables!$B$143:$B$144,0))),
Error!$B$15,
IF(AND($E303="Tier 1",$F303="Retain",$H303&lt;&gt;"",ISNA(MATCH($H303,Tables!$B$137:$B$140,0))),
Error!$B$15,
IF(AND($E303&lt;&gt;"Tier 2",$E303&lt;&gt;"Tier 2 Grove",$E303&lt;&gt;"Tier 3",$E303&lt;&gt;"Tier 4",$H303="Zoning: Green Factor",OR($D303="",$D303&lt;6)),
Error!$B$11,
IF(AND(_xlpm.baseRow,$D303&lt;6,$E303="&lt;6in DSH for Tree Points",_xlpm.TreePoints_H=0),
Error!$B$21,
IF(AND(_xlpm.baseRow,$E303&lt;&gt;"",$D303&lt;&gt;"",$F303=""),
Error!$B$4,
IF(AND(_xlpm.baseRow,$F303="Remove",OR($E303="Tier 1",$E303="Tier 2",$E303="Tier 2 Grove"),COUNTBLANK(_xlpm.HRange)&lt;3,_xlpm.uniqueH&gt;=2),
Error!$B$48,
IF(AND(_xlpm.baseRow,$F303="Retain",OR($E303="Tier 1",$E303="Tier 2",$E303="Tier 2 Grove"),COUNTIF(_xlpm.HRange,"Tree Code: Required to Retain Tier 1-2 Tree")=0),
Error!$B$47,
IF(AND(_xlpm.baseRow,$E303&lt;&gt;"",$D303&lt;&gt;"",$F303&lt;&gt;"",COUNTBLANK(_xlpm.HRange)=4),
Error!$B$5,
IF(AND($F303="Remove",$H303&lt;&gt;"",$I303=""),
Error!$B$18,
IF(AND($E303="Tier 4",$F303="Remove",$H303="Tree Protection Code: Tier 3 or Tier 4 Allowance",$H303&lt;&gt;"",ISNA(MATCH($I303,Tables!$B$200,0))),
Error!$B$17,
IF(AND($E303="Tier 3",$F303="Remove",$H303&lt;&gt;"",$H303="Tree Protection Code: Tier 3 or Tier 4 Allowance",OR($I303="",ISNA(MATCH($I303,Tables!$B$193:$B$197,0)))),
Error!$B$17,
IF(AND(OR($E303="Tier 2",$E303="Tier 2 Grove"),$F303="Remove",$H303="Tree Protection Code: Other removal allowance or exemption",$I303&lt;&gt;"",ISNA(MATCH($I303,Tables!$B$215:$B$218,0))),
Error!$B$17,
IF(AND(OR($E303="Tier 2",$E303="Tier 2 Grove"),$F303="Remove",$H303="Tree Protection Code: Development Capacity",$I303&lt;&gt;"",ISNA(MATCH($I303,Tables!$B$193:$B$197,0))),
Error!$B$17,
IF(AND(OR($E303="Tier 2",$E303="Tier 2 Grove"),$F303="Remove",$H303="Tree Protection Code: Necessary for Construction",$I303&lt;&gt;"",ISNA(MATCH($I303,Tables!$B$193:$B$197,0))),
Error!$B$17,
IF(AND($E303="Tier 1",$F303="Remove",$H303="Tree Protection Code: Special Exception",$I303&lt;&gt;"",ISNA(MATCH($I303,Tables!$B$215:$B$218,0))),
Error!$B$17,
IF(AND($E303="Tier 1",$F303="Remove",$H303="Tree Protection Code: Other removal allowance or exemption",$I303&lt;&gt;"",ISNA(MATCH($I303,Tables!$B$215:$B$218,0))),
Error!$B$17,
IF(AND($E303="ECA / Shoreline Tree",$F303="Remove",$H303&lt;&gt;"",OR($H303="Shoreline",$H303="Environmental Critical Area (ECA)"),ISNA(MATCH($I303,Tables!$B$209:$B$212,0))),
Error!$B$17,
IF(AND(_xlpm.baseRow,$F303="Retain",$E303="ECA / Shoreline Tree",_xlpm.ECA_Short=0),
Error!$B$61,
IF(AND($F303="Remove",ISNUMBER(MATCH($E303,{"Tier 1","Tier 2","Tier 3","Tier 4","Tier 2 Grove"},0)),ISNUMBER(MATCH($I303,{"On-site replacement","Off-site replacement"},0)),$J303="",$H303&lt;&gt;""),
Error!$B$19,
IF(AND(_xlpm.baseRow,$E303&lt;&gt;"",$D303&lt;&gt;"",$F303&lt;&gt;"",COUNTBLANK($B303:$C303)&gt;0,COUNTBLANK(_xlpm.HRange)&lt;&gt;4),
Error!$B$22,
IF(AND($H303="Zoning: Tree Points",$K303&lt;&gt;"",ISNA(MATCH($K303,Tables!$B$242:$B$253,0))),
Error!$B$58,
IF(AND($H303="Zoning: Tree Points",$K303="Small",$L303&lt;&gt;"",ISNA(MATCH($L303,Tables!$C$243:$C$244,0))),
Error!$B$59,
IF(AND($H303="Zoning: Tree Points",$K303="Small/Medium",$L303&lt;&gt;"",ISNA(MATCH($L303,Tables!$C$246:$C$247,0))),
Error!$B$59,
IF(AND($H303="Zoning: Tree Points",$K303="Medium/Large",$L303&lt;&gt;"",ISNA(MATCH($L303,Tables!$C$249:$C$250,0))),
Error!$B$59,
IF(AND($H303="Zoning: Tree Points",$K303="Large",$L303&lt;&gt;"",ISNA(MATCH($L303,Tables!$C$252:$C$253,0))),
Error!$B$59,
IF(AND($F303="Retain",$H303="Zoning: Tree Points",$C303&lt;&gt;"",$D303&lt;&gt;"",OR($K303="",$L303="",$M303="")),
Error!$B$20,
""
)))))))))))))))))))))))))))))))))))))))))))))))))))))))),
Error!$B$23))</f>
        <v/>
      </c>
      <c r="O303" s="343" t="str" cm="1">
        <f t="array" aca="1" ref="O303" ca="1">IFERROR(_xlfn.LET(
    _xlpm.txt, $C303,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04" spans="1:15" x14ac:dyDescent="0.3">
      <c r="A304" s="320"/>
      <c r="B304" s="616" t="str">
        <f t="shared" ref="B304:B306" si="325">IF($B303="", "", $B303)</f>
        <v/>
      </c>
      <c r="C304" s="617" t="str">
        <f t="shared" ref="C304:C306" si="326">IF($C303="", "", $C303)</f>
        <v/>
      </c>
      <c r="D304" s="618" t="str">
        <f t="shared" ref="D304:D306" si="327">IF($D303="", "", $D303)</f>
        <v/>
      </c>
      <c r="E304" s="616" t="str">
        <f t="shared" ref="E304:E306" si="328">IF($E303="", "", $E303)</f>
        <v/>
      </c>
      <c r="F304" s="616" t="str">
        <f t="shared" ref="F304:F306" si="329">IF($F303="", "", $F303)</f>
        <v/>
      </c>
      <c r="G304" s="619" t="str">
        <f>IF(Tree_Table1[[#This Row],[Tree Status  &amp;]]="Retain", Tables!$B$237, IF(Tree_Table1[[#This Row],[Tree Status  &amp;]]="Remove", Tables!$B$238, ""))</f>
        <v/>
      </c>
      <c r="H304" s="321"/>
      <c r="I304" s="322"/>
      <c r="J304" s="453"/>
      <c r="K304" s="323" t="str">
        <f>IFERROR(
    IF(
        AND($H304="Zoning: Tree Points", NOT(ISNUMBER(SEARCH("sp.", $C304)))),
        VLOOKUP($C304, 'Tree List'!$C$3:$F$601, 4, FALSE),
        ""
    ),
"")</f>
        <v/>
      </c>
      <c r="L304" s="324" t="str" cm="1">
        <f t="array" ref="L304">IFERROR(
IF(
    AND($H304="Zoning: Tree Points", NOT(ISNUMBER(SEARCH("sp.", $C304)))),
    _xlfn.IFS(
        (COUNTIFS('Tree List'!$C$3:$C$601,$C304,'Tree List'!$D$3:$D$601,"Coniferous")
        + COUNTIFS('Tree List'!$C$3:$C$601,$C304,'Tree List'!$D$3:$D$601,"Deciduous Conifer")) &gt; 0,
            _xlfn.IFS($K304="Small",0.5,$K304="Small/Medium",1,$K304="Medium/Large",1.4,$K304="Large",1.8),
        (COUNTIFS('Tree List'!$C$3:$C$601,$C304,'Tree List'!$D$3:$D$601,"Deciduous")
        + COUNTIFS('Tree List'!$C$3:$C$601,$C304,'Tree List'!$D$3:$D$601,"Broadleaf Evergreen")) &gt; 0,
            _xlfn.IFS($K304="Small",0.4,$K304="Small/Medium",0.8,$K304="Medium/Large",1.2,$K304="Large",1.6)
    ),
    ""
),
"")</f>
        <v/>
      </c>
      <c r="M304" s="475" t="str">
        <f t="shared" si="249"/>
        <v/>
      </c>
      <c r="N304" s="346" t="str" cm="1">
        <f t="array" aca="1" ref="N30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IF(AND(_xlpm.baseRow,ISNA(MATCH($C304,'Tree List'!$C$3:$C$601,0)),SUMPRODUCT(--ISNUMBER(SEARCH(Tables2!$C$677:$C$772,$O304)))&gt;0),
Error!$B$57,
IF(AND(_xlpm.hasDM,$F304="Remove",$H304&lt;&gt;"",OR($I304="On-site replacement",$I304="Off-site replacement",$I304="Payment In Lieu")),
Error!$B$56,
IF(AND(_xlpm.hasDM,$F304="Remove",$H304&lt;&gt;"",$I304="Relocation"),
Error!$B$66,
IF(AND(OR(_xlpm.hasCN,_xlpm.hasPH,_xlpm.hasGR),$H304&lt;&gt;"",COUNTIF(Tables!$B$132:$B$134,$H304)&gt;0,$I304="N/A (No replacement required)"),
Error!$B$62,
IF(AND(_xlpm.baseRow,$E304&lt;&gt;"",ISNA(MATCH($E304,Tables!$B$225:$B$232,0))),
Error!$B$2,
IF(AND(_xlpm.baseRow,$F304&lt;&gt;"",ISNA(MATCH($F304,Tables!$B$234:$B$235,0))),
Error!$B$24,
IF(AND(_xlpm.baseRow,_xlpm.ECA_H&gt;0,_xlpm.Shore_H&gt;0),
Error!$B$16,
IF(AND(_xlpm.baseRow,$E304&lt;&gt;"",$D304=""),
Error!$B$3,
IF(AND(_xlpm.baseRow,OR($E304="Tier 3",$E304="Tier 4"),$C304&lt;&gt;"",$D304&gt;=24,COUNTIF(Tables2!$B$166:$B$674,$C304)&gt;0),
Error!$B$44,
IF(AND(_xlpm.baseRow,OR($E304="Tier 3",$E304="Tier 4"),$C304&lt;&gt;"",$D304&lt;&gt;"",COUNTIF(Tables2!$B$73:$B$152,$C304)&gt;0,
$D304&gt;=IFERROR(INDEX(Tables2!$C$73:$C$152,MATCH($C304,Tables2!$B$73:$B$152,0)),-1)),
Error!$B$44,
IF(AND(_xlpm.baseRow,OR($E304="Tier 2",$E304="Tier 2 Grove"),$C304&lt;&gt;"",$D304&gt;=12,COUNTIF(Tables2!$B$153:$B$162,$C304)&gt;0),
Error!$B$45,
IF(AND(_xlpm.baseRow,$E304="Tier 2 Grove",$D304&lt;12),
Error!$B$41,
IF(AND(_xlpm.baseRow,$E304="Tier 2",$D304&lt;5.88),
Error!$B$40,
IF(AND(_xlpm.baseRow,OR($E304="Tier 2",$E304="Tier 2 Grove"),$C304&lt;&gt;"",$D304&lt;12,$D304&gt;=6,COUNTIF(Tables2!$B$153:$B$162,$C304)&gt;0),
Error!$B$54,
IF(AND(_xlpm.baseRow,$E304="Tier 2",COUNTIF(Tables2!$B$166:$B$674,$C304)&gt;0,$D304&lt;24),
Error!$B$54,
IF(AND(_xlpm.baseRow,$E304="Tier 3",ISNA(MATCH($C304,Tables2!$B$153:$B$162,0)),OR($D304&lt;12,$D304&gt;=24)),
Error!$B$9,
IF(AND(_xlpm.baseRow,$E304="Tier 3",COUNTIF(Tables2!$B$153:$B$162,$C304)&gt;0,$D304&lt;12),
Error!$B$46,
IF(AND(_xlpm.baseRow,$E304="Tier 4",OR($D304&lt;6,$D304&gt;=12)),
Error!$B$10,
IF(AND(_xlpm.baseRow,$E304="&lt;6in DSH for Tree Points",OR($D304&gt;=6,$D304="")),
Error!$B$8,
IF(AND(_xlpm.baseRow,$E304="Street Tree for Green Factor",$F304&lt;&gt;"",$F304&lt;&gt;"Retain"),
Error!$B$14,
IF(AND($E304="&lt;6in DSH for Tree Points",$F304="Retain",$H304&lt;&gt;"",ISNA(MATCH($H304,Tables!$B$174:$B$174,0))),
Error!$B$15,
IF(AND($E304="Street Tree for Green Factor",$F304="Retain",$H304&lt;&gt;"",$H304&lt;&gt;"Zoning: Green Factor"),
Error!$B$15,
IF(AND($E304="ECA / Shoreline Tree",$F304="Remove",$H304&lt;&gt;"",ISNA(MATCH($H304,Tables!$B$189:$B$190,0))),
Error!$B$15,
IF(AND($E304="ECA / Shoreline Tree",$F304="Retain",$H304&lt;&gt;"",ISNA(MATCH($H304,Tables!$B$184:$B$186,0))),
Error!$B$15,
IF(AND($E304="Tier 4",$F304="Remove",$H304&lt;&gt;"",ISNA(MATCH($H304,Tables!$B$171,0))),
Error!$B$15,
IF(AND($E304="Tier 4",$F304="Retain",$H304&lt;&gt;"",ISNA(MATCH($H304,Tables!$B$166:$B$168,0))),
Error!$B$15,
IF(AND($E304="Tier 3",$F304="Retain",$H304&lt;&gt;"",ISNA(MATCH($H304,Tables!$B$158:$B$160,0))),
Error!$B$15,
IF(AND($E304="Tier 3",$F304="Remove",$H304&lt;&gt;"",ISNA(MATCH($H304,Tables!$B$163,0))),
Error!$B$15,
IF(AND(OR($E304="Tier 2",$E304="Tier 2 Grove"),$F304="Remove",$H304&lt;&gt;"",ISNA(MATCH($H304,Tables!$B$153:$B$155,0))),
Error!$B$15,
IF(AND(OR($E304="Tier 2",$E304="Tier 2 Grove"),$F304="Retain",$H304&lt;&gt;"",ISNA(MATCH($H304,Tables!$B$147:$B$150,0))),
Error!$B$15,
IF(AND($E304="Tier 1",$F304="Remove",$H304&lt;&gt;"",ISNA(MATCH($H304,Tables!$B$143:$B$144,0))),
Error!$B$15,
IF(AND($E304="Tier 1",$F304="Retain",$H304&lt;&gt;"",ISNA(MATCH($H304,Tables!$B$137:$B$140,0))),
Error!$B$15,
IF(AND($E304&lt;&gt;"Tier 2",$E304&lt;&gt;"Tier 2 Grove",$E304&lt;&gt;"Tier 3",$E304&lt;&gt;"Tier 4",$H304="Zoning: Green Factor",OR($D304="",$D304&lt;6)),
Error!$B$11,
IF(AND(_xlpm.baseRow,$D304&lt;6,$E304="&lt;6in DSH for Tree Points",_xlpm.TreePoints_H=0),
Error!$B$21,
IF(AND(_xlpm.baseRow,$E304&lt;&gt;"",$D304&lt;&gt;"",$F304=""),
Error!$B$4,
IF(AND(_xlpm.baseRow,$F304="Remove",OR($E304="Tier 1",$E304="Tier 2",$E304="Tier 2 Grove"),COUNTBLANK(_xlpm.HRange)&lt;3,_xlpm.uniqueH&gt;=2),
Error!$B$48,
IF(AND(_xlpm.baseRow,$F304="Retain",OR($E304="Tier 1",$E304="Tier 2",$E304="Tier 2 Grove"),COUNTIF(_xlpm.HRange,"Tree Code: Required to Retain Tier 1-2 Tree")=0),
Error!$B$47,
IF(AND(_xlpm.baseRow,$E304&lt;&gt;"",$D304&lt;&gt;"",$F304&lt;&gt;"",COUNTBLANK(_xlpm.HRange)=4),
Error!$B$5,
IF(AND($F304="Remove",$H304&lt;&gt;"",$I304=""),
Error!$B$18,
IF(AND($E304="Tier 4",$F304="Remove",$H304="Tree Protection Code: Tier 3 or Tier 4 Allowance",$H304&lt;&gt;"",ISNA(MATCH($I304,Tables!$B$200,0))),
Error!$B$17,
IF(AND($E304="Tier 3",$F304="Remove",$H304&lt;&gt;"",$H304="Tree Protection Code: Tier 3 or Tier 4 Allowance",OR($I304="",ISNA(MATCH($I304,Tables!$B$193:$B$197,0)))),
Error!$B$17,
IF(AND(OR($E304="Tier 2",$E304="Tier 2 Grove"),$F304="Remove",$H304="Tree Protection Code: Other removal allowance or exemption",$I304&lt;&gt;"",ISNA(MATCH($I304,Tables!$B$215:$B$218,0))),
Error!$B$17,
IF(AND(OR($E304="Tier 2",$E304="Tier 2 Grove"),$F304="Remove",$H304="Tree Protection Code: Development Capacity",$I304&lt;&gt;"",ISNA(MATCH($I304,Tables!$B$193:$B$197,0))),
Error!$B$17,
IF(AND(OR($E304="Tier 2",$E304="Tier 2 Grove"),$F304="Remove",$H304="Tree Protection Code: Necessary for Construction",$I304&lt;&gt;"",ISNA(MATCH($I304,Tables!$B$193:$B$197,0))),
Error!$B$17,
IF(AND($E304="Tier 1",$F304="Remove",$H304="Tree Protection Code: Special Exception",$I304&lt;&gt;"",ISNA(MATCH($I304,Tables!$B$215:$B$218,0))),
Error!$B$17,
IF(AND($E304="Tier 1",$F304="Remove",$H304="Tree Protection Code: Other removal allowance or exemption",$I304&lt;&gt;"",ISNA(MATCH($I304,Tables!$B$215:$B$218,0))),
Error!$B$17,
IF(AND($E304="ECA / Shoreline Tree",$F304="Remove",$H304&lt;&gt;"",OR($H304="Shoreline",$H304="Environmental Critical Area (ECA)"),ISNA(MATCH($I304,Tables!$B$209:$B$212,0))),
Error!$B$17,
IF(AND(_xlpm.baseRow,$F304="Retain",$E304="ECA / Shoreline Tree",_xlpm.ECA_Short=0),
Error!$B$61,
IF(AND($F304="Remove",ISNUMBER(MATCH($E304,{"Tier 1","Tier 2","Tier 3","Tier 4","Tier 2 Grove"},0)),ISNUMBER(MATCH($I304,{"On-site replacement","Off-site replacement"},0)),$J304="",$H304&lt;&gt;""),
Error!$B$19,
IF(AND(_xlpm.baseRow,$E304&lt;&gt;"",$D304&lt;&gt;"",$F304&lt;&gt;"",COUNTBLANK($B304:$C304)&gt;0,COUNTBLANK(_xlpm.HRange)&lt;&gt;4),
Error!$B$22,
IF(AND($H304="Zoning: Tree Points",$K304&lt;&gt;"",ISNA(MATCH($K304,Tables!$B$242:$B$253,0))),
Error!$B$58,
IF(AND($H304="Zoning: Tree Points",$K304="Small",$L304&lt;&gt;"",ISNA(MATCH($L304,Tables!$C$243:$C$244,0))),
Error!$B$59,
IF(AND($H304="Zoning: Tree Points",$K304="Small/Medium",$L304&lt;&gt;"",ISNA(MATCH($L304,Tables!$C$246:$C$247,0))),
Error!$B$59,
IF(AND($H304="Zoning: Tree Points",$K304="Medium/Large",$L304&lt;&gt;"",ISNA(MATCH($L304,Tables!$C$249:$C$250,0))),
Error!$B$59,
IF(AND($H304="Zoning: Tree Points",$K304="Large",$L304&lt;&gt;"",ISNA(MATCH($L304,Tables!$C$252:$C$253,0))),
Error!$B$59,
IF(AND($F304="Retain",$H304="Zoning: Tree Points",$C304&lt;&gt;"",$D304&lt;&gt;"",OR($K304="",$L304="",$M304="")),
Error!$B$20,
""
)))))))))))))))))))))))))))))))))))))))))))))))))))))))),
Error!$B$23))</f>
        <v/>
      </c>
      <c r="O304" s="343" t="str" cm="1">
        <f t="array" aca="1" ref="O304" ca="1">IFERROR(_xlfn.LET(
    _xlpm.txt, $C304,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05" spans="1:15" x14ac:dyDescent="0.3">
      <c r="A305" s="320"/>
      <c r="B305" s="616" t="str">
        <f t="shared" si="325"/>
        <v/>
      </c>
      <c r="C305" s="617" t="str">
        <f t="shared" si="326"/>
        <v/>
      </c>
      <c r="D305" s="618" t="str">
        <f t="shared" si="327"/>
        <v/>
      </c>
      <c r="E305" s="616" t="str">
        <f t="shared" si="328"/>
        <v/>
      </c>
      <c r="F305" s="616" t="str">
        <f t="shared" si="329"/>
        <v/>
      </c>
      <c r="G305" s="619" t="str">
        <f>IF(Tree_Table1[[#This Row],[Tree Status  &amp;]]="Retain", Tables!$B$237, IF(Tree_Table1[[#This Row],[Tree Status  &amp;]]="Remove", Tables!$B$238, ""))</f>
        <v/>
      </c>
      <c r="H305" s="321"/>
      <c r="I305" s="322"/>
      <c r="J305" s="453"/>
      <c r="K305" s="323" t="str">
        <f>IFERROR(
    IF(
        AND($H305="Zoning: Tree Points", NOT(ISNUMBER(SEARCH("sp.", $C305)))),
        VLOOKUP($C305, 'Tree List'!$C$3:$F$601, 4, FALSE),
        ""
    ),
"")</f>
        <v/>
      </c>
      <c r="L305" s="324" t="str" cm="1">
        <f t="array" ref="L305">IFERROR(
IF(
    AND($H305="Zoning: Tree Points", NOT(ISNUMBER(SEARCH("sp.", $C305)))),
    _xlfn.IFS(
        (COUNTIFS('Tree List'!$C$3:$C$601,$C305,'Tree List'!$D$3:$D$601,"Coniferous")
        + COUNTIFS('Tree List'!$C$3:$C$601,$C305,'Tree List'!$D$3:$D$601,"Deciduous Conifer")) &gt; 0,
            _xlfn.IFS($K305="Small",0.5,$K305="Small/Medium",1,$K305="Medium/Large",1.4,$K305="Large",1.8),
        (COUNTIFS('Tree List'!$C$3:$C$601,$C305,'Tree List'!$D$3:$D$601,"Deciduous")
        + COUNTIFS('Tree List'!$C$3:$C$601,$C305,'Tree List'!$D$3:$D$601,"Broadleaf Evergreen")) &gt; 0,
            _xlfn.IFS($K305="Small",0.4,$K305="Small/Medium",0.8,$K305="Medium/Large",1.2,$K305="Large",1.6)
    ),
    ""
),
"")</f>
        <v/>
      </c>
      <c r="M305" s="475" t="str">
        <f t="shared" si="249"/>
        <v/>
      </c>
      <c r="N305" s="346" t="str" cm="1">
        <f t="array" aca="1" ref="N30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IF(AND(_xlpm.baseRow,ISNA(MATCH($C305,'Tree List'!$C$3:$C$601,0)),SUMPRODUCT(--ISNUMBER(SEARCH(Tables2!$C$677:$C$772,$O305)))&gt;0),
Error!$B$57,
IF(AND(_xlpm.hasDM,$F305="Remove",$H305&lt;&gt;"",OR($I305="On-site replacement",$I305="Off-site replacement",$I305="Payment In Lieu")),
Error!$B$56,
IF(AND(_xlpm.hasDM,$F305="Remove",$H305&lt;&gt;"",$I305="Relocation"),
Error!$B$66,
IF(AND(OR(_xlpm.hasCN,_xlpm.hasPH,_xlpm.hasGR),$H305&lt;&gt;"",COUNTIF(Tables!$B$132:$B$134,$H305)&gt;0,$I305="N/A (No replacement required)"),
Error!$B$62,
IF(AND(_xlpm.baseRow,$E305&lt;&gt;"",ISNA(MATCH($E305,Tables!$B$225:$B$232,0))),
Error!$B$2,
IF(AND(_xlpm.baseRow,$F305&lt;&gt;"",ISNA(MATCH($F305,Tables!$B$234:$B$235,0))),
Error!$B$24,
IF(AND(_xlpm.baseRow,_xlpm.ECA_H&gt;0,_xlpm.Shore_H&gt;0),
Error!$B$16,
IF(AND(_xlpm.baseRow,$E305&lt;&gt;"",$D305=""),
Error!$B$3,
IF(AND(_xlpm.baseRow,OR($E305="Tier 3",$E305="Tier 4"),$C305&lt;&gt;"",$D305&gt;=24,COUNTIF(Tables2!$B$166:$B$674,$C305)&gt;0),
Error!$B$44,
IF(AND(_xlpm.baseRow,OR($E305="Tier 3",$E305="Tier 4"),$C305&lt;&gt;"",$D305&lt;&gt;"",COUNTIF(Tables2!$B$73:$B$152,$C305)&gt;0,
$D305&gt;=IFERROR(INDEX(Tables2!$C$73:$C$152,MATCH($C305,Tables2!$B$73:$B$152,0)),-1)),
Error!$B$44,
IF(AND(_xlpm.baseRow,OR($E305="Tier 2",$E305="Tier 2 Grove"),$C305&lt;&gt;"",$D305&gt;=12,COUNTIF(Tables2!$B$153:$B$162,$C305)&gt;0),
Error!$B$45,
IF(AND(_xlpm.baseRow,$E305="Tier 2 Grove",$D305&lt;12),
Error!$B$41,
IF(AND(_xlpm.baseRow,$E305="Tier 2",$D305&lt;5.88),
Error!$B$40,
IF(AND(_xlpm.baseRow,OR($E305="Tier 2",$E305="Tier 2 Grove"),$C305&lt;&gt;"",$D305&lt;12,$D305&gt;=6,COUNTIF(Tables2!$B$153:$B$162,$C305)&gt;0),
Error!$B$54,
IF(AND(_xlpm.baseRow,$E305="Tier 2",COUNTIF(Tables2!$B$166:$B$674,$C305)&gt;0,$D305&lt;24),
Error!$B$54,
IF(AND(_xlpm.baseRow,$E305="Tier 3",ISNA(MATCH($C305,Tables2!$B$153:$B$162,0)),OR($D305&lt;12,$D305&gt;=24)),
Error!$B$9,
IF(AND(_xlpm.baseRow,$E305="Tier 3",COUNTIF(Tables2!$B$153:$B$162,$C305)&gt;0,$D305&lt;12),
Error!$B$46,
IF(AND(_xlpm.baseRow,$E305="Tier 4",OR($D305&lt;6,$D305&gt;=12)),
Error!$B$10,
IF(AND(_xlpm.baseRow,$E305="&lt;6in DSH for Tree Points",OR($D305&gt;=6,$D305="")),
Error!$B$8,
IF(AND(_xlpm.baseRow,$E305="Street Tree for Green Factor",$F305&lt;&gt;"",$F305&lt;&gt;"Retain"),
Error!$B$14,
IF(AND($E305="&lt;6in DSH for Tree Points",$F305="Retain",$H305&lt;&gt;"",ISNA(MATCH($H305,Tables!$B$174:$B$174,0))),
Error!$B$15,
IF(AND($E305="Street Tree for Green Factor",$F305="Retain",$H305&lt;&gt;"",$H305&lt;&gt;"Zoning: Green Factor"),
Error!$B$15,
IF(AND($E305="ECA / Shoreline Tree",$F305="Remove",$H305&lt;&gt;"",ISNA(MATCH($H305,Tables!$B$189:$B$190,0))),
Error!$B$15,
IF(AND($E305="ECA / Shoreline Tree",$F305="Retain",$H305&lt;&gt;"",ISNA(MATCH($H305,Tables!$B$184:$B$186,0))),
Error!$B$15,
IF(AND($E305="Tier 4",$F305="Remove",$H305&lt;&gt;"",ISNA(MATCH($H305,Tables!$B$171,0))),
Error!$B$15,
IF(AND($E305="Tier 4",$F305="Retain",$H305&lt;&gt;"",ISNA(MATCH($H305,Tables!$B$166:$B$168,0))),
Error!$B$15,
IF(AND($E305="Tier 3",$F305="Retain",$H305&lt;&gt;"",ISNA(MATCH($H305,Tables!$B$158:$B$160,0))),
Error!$B$15,
IF(AND($E305="Tier 3",$F305="Remove",$H305&lt;&gt;"",ISNA(MATCH($H305,Tables!$B$163,0))),
Error!$B$15,
IF(AND(OR($E305="Tier 2",$E305="Tier 2 Grove"),$F305="Remove",$H305&lt;&gt;"",ISNA(MATCH($H305,Tables!$B$153:$B$155,0))),
Error!$B$15,
IF(AND(OR($E305="Tier 2",$E305="Tier 2 Grove"),$F305="Retain",$H305&lt;&gt;"",ISNA(MATCH($H305,Tables!$B$147:$B$150,0))),
Error!$B$15,
IF(AND($E305="Tier 1",$F305="Remove",$H305&lt;&gt;"",ISNA(MATCH($H305,Tables!$B$143:$B$144,0))),
Error!$B$15,
IF(AND($E305="Tier 1",$F305="Retain",$H305&lt;&gt;"",ISNA(MATCH($H305,Tables!$B$137:$B$140,0))),
Error!$B$15,
IF(AND($E305&lt;&gt;"Tier 2",$E305&lt;&gt;"Tier 2 Grove",$E305&lt;&gt;"Tier 3",$E305&lt;&gt;"Tier 4",$H305="Zoning: Green Factor",OR($D305="",$D305&lt;6)),
Error!$B$11,
IF(AND(_xlpm.baseRow,$D305&lt;6,$E305="&lt;6in DSH for Tree Points",_xlpm.TreePoints_H=0),
Error!$B$21,
IF(AND(_xlpm.baseRow,$E305&lt;&gt;"",$D305&lt;&gt;"",$F305=""),
Error!$B$4,
IF(AND(_xlpm.baseRow,$F305="Remove",OR($E305="Tier 1",$E305="Tier 2",$E305="Tier 2 Grove"),COUNTBLANK(_xlpm.HRange)&lt;3,_xlpm.uniqueH&gt;=2),
Error!$B$48,
IF(AND(_xlpm.baseRow,$F305="Retain",OR($E305="Tier 1",$E305="Tier 2",$E305="Tier 2 Grove"),COUNTIF(_xlpm.HRange,"Tree Code: Required to Retain Tier 1-2 Tree")=0),
Error!$B$47,
IF(AND(_xlpm.baseRow,$E305&lt;&gt;"",$D305&lt;&gt;"",$F305&lt;&gt;"",COUNTBLANK(_xlpm.HRange)=4),
Error!$B$5,
IF(AND($F305="Remove",$H305&lt;&gt;"",$I305=""),
Error!$B$18,
IF(AND($E305="Tier 4",$F305="Remove",$H305="Tree Protection Code: Tier 3 or Tier 4 Allowance",$H305&lt;&gt;"",ISNA(MATCH($I305,Tables!$B$200,0))),
Error!$B$17,
IF(AND($E305="Tier 3",$F305="Remove",$H305&lt;&gt;"",$H305="Tree Protection Code: Tier 3 or Tier 4 Allowance",OR($I305="",ISNA(MATCH($I305,Tables!$B$193:$B$197,0)))),
Error!$B$17,
IF(AND(OR($E305="Tier 2",$E305="Tier 2 Grove"),$F305="Remove",$H305="Tree Protection Code: Other removal allowance or exemption",$I305&lt;&gt;"",ISNA(MATCH($I305,Tables!$B$215:$B$218,0))),
Error!$B$17,
IF(AND(OR($E305="Tier 2",$E305="Tier 2 Grove"),$F305="Remove",$H305="Tree Protection Code: Development Capacity",$I305&lt;&gt;"",ISNA(MATCH($I305,Tables!$B$193:$B$197,0))),
Error!$B$17,
IF(AND(OR($E305="Tier 2",$E305="Tier 2 Grove"),$F305="Remove",$H305="Tree Protection Code: Necessary for Construction",$I305&lt;&gt;"",ISNA(MATCH($I305,Tables!$B$193:$B$197,0))),
Error!$B$17,
IF(AND($E305="Tier 1",$F305="Remove",$H305="Tree Protection Code: Special Exception",$I305&lt;&gt;"",ISNA(MATCH($I305,Tables!$B$215:$B$218,0))),
Error!$B$17,
IF(AND($E305="Tier 1",$F305="Remove",$H305="Tree Protection Code: Other removal allowance or exemption",$I305&lt;&gt;"",ISNA(MATCH($I305,Tables!$B$215:$B$218,0))),
Error!$B$17,
IF(AND($E305="ECA / Shoreline Tree",$F305="Remove",$H305&lt;&gt;"",OR($H305="Shoreline",$H305="Environmental Critical Area (ECA)"),ISNA(MATCH($I305,Tables!$B$209:$B$212,0))),
Error!$B$17,
IF(AND(_xlpm.baseRow,$F305="Retain",$E305="ECA / Shoreline Tree",_xlpm.ECA_Short=0),
Error!$B$61,
IF(AND($F305="Remove",ISNUMBER(MATCH($E305,{"Tier 1","Tier 2","Tier 3","Tier 4","Tier 2 Grove"},0)),ISNUMBER(MATCH($I305,{"On-site replacement","Off-site replacement"},0)),$J305="",$H305&lt;&gt;""),
Error!$B$19,
IF(AND(_xlpm.baseRow,$E305&lt;&gt;"",$D305&lt;&gt;"",$F305&lt;&gt;"",COUNTBLANK($B305:$C305)&gt;0,COUNTBLANK(_xlpm.HRange)&lt;&gt;4),
Error!$B$22,
IF(AND($H305="Zoning: Tree Points",$K305&lt;&gt;"",ISNA(MATCH($K305,Tables!$B$242:$B$253,0))),
Error!$B$58,
IF(AND($H305="Zoning: Tree Points",$K305="Small",$L305&lt;&gt;"",ISNA(MATCH($L305,Tables!$C$243:$C$244,0))),
Error!$B$59,
IF(AND($H305="Zoning: Tree Points",$K305="Small/Medium",$L305&lt;&gt;"",ISNA(MATCH($L305,Tables!$C$246:$C$247,0))),
Error!$B$59,
IF(AND($H305="Zoning: Tree Points",$K305="Medium/Large",$L305&lt;&gt;"",ISNA(MATCH($L305,Tables!$C$249:$C$250,0))),
Error!$B$59,
IF(AND($H305="Zoning: Tree Points",$K305="Large",$L305&lt;&gt;"",ISNA(MATCH($L305,Tables!$C$252:$C$253,0))),
Error!$B$59,
IF(AND($F305="Retain",$H305="Zoning: Tree Points",$C305&lt;&gt;"",$D305&lt;&gt;"",OR($K305="",$L305="",$M305="")),
Error!$B$20,
""
)))))))))))))))))))))))))))))))))))))))))))))))))))))))),
Error!$B$23))</f>
        <v/>
      </c>
      <c r="O305" s="343" t="str" cm="1">
        <f t="array" aca="1" ref="O305" ca="1">IFERROR(_xlfn.LET(
    _xlpm.txt, $C305,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06" spans="1:15" ht="15" thickBot="1" x14ac:dyDescent="0.35">
      <c r="A306" s="331"/>
      <c r="B306" s="616" t="str">
        <f t="shared" si="325"/>
        <v/>
      </c>
      <c r="C306" s="617" t="str">
        <f t="shared" si="326"/>
        <v/>
      </c>
      <c r="D306" s="618" t="str">
        <f t="shared" si="327"/>
        <v/>
      </c>
      <c r="E306" s="616" t="str">
        <f t="shared" si="328"/>
        <v/>
      </c>
      <c r="F306" s="616" t="str">
        <f t="shared" si="329"/>
        <v/>
      </c>
      <c r="G306" s="619" t="str">
        <f>IF(Tree_Table1[[#This Row],[Tree Status  &amp;]]="Retain", Tables!$B$237, IF(Tree_Table1[[#This Row],[Tree Status  &amp;]]="Remove", Tables!$B$238, ""))</f>
        <v/>
      </c>
      <c r="H306" s="329"/>
      <c r="I306" s="330"/>
      <c r="J306" s="455"/>
      <c r="K306" s="327" t="str">
        <f>IFERROR(
    IF(
        AND($H306="Zoning: Tree Points", NOT(ISNUMBER(SEARCH("sp.", $C306)))),
        VLOOKUP($C306, 'Tree List'!$C$3:$F$601, 4, FALSE),
        ""
    ),
"")</f>
        <v/>
      </c>
      <c r="L306" s="328" t="str" cm="1">
        <f t="array" ref="L306">IFERROR(
IF(
    AND($H306="Zoning: Tree Points", NOT(ISNUMBER(SEARCH("sp.", $C306)))),
    _xlfn.IFS(
        (COUNTIFS('Tree List'!$C$3:$C$601,$C306,'Tree List'!$D$3:$D$601,"Coniferous")
        + COUNTIFS('Tree List'!$C$3:$C$601,$C306,'Tree List'!$D$3:$D$601,"Deciduous Conifer")) &gt; 0,
            _xlfn.IFS($K306="Small",0.5,$K306="Small/Medium",1,$K306="Medium/Large",1.4,$K306="Large",1.8),
        (COUNTIFS('Tree List'!$C$3:$C$601,$C306,'Tree List'!$D$3:$D$601,"Deciduous")
        + COUNTIFS('Tree List'!$C$3:$C$601,$C306,'Tree List'!$D$3:$D$601,"Broadleaf Evergreen")) &gt; 0,
            _xlfn.IFS($K306="Small",0.4,$K306="Small/Medium",0.8,$K306="Medium/Large",1.2,$K306="Large",1.6)
    ),
    ""
),
"")</f>
        <v/>
      </c>
      <c r="M306" s="476" t="str">
        <f t="shared" si="249"/>
        <v/>
      </c>
      <c r="N306" s="347" t="str" cm="1">
        <f t="array" aca="1" ref="N30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IF(AND(_xlpm.baseRow,ISNA(MATCH($C306,'Tree List'!$C$3:$C$601,0)),SUMPRODUCT(--ISNUMBER(SEARCH(Tables2!$C$677:$C$772,$O306)))&gt;0),
Error!$B$57,
IF(AND(_xlpm.hasDM,$F306="Remove",$H306&lt;&gt;"",OR($I306="On-site replacement",$I306="Off-site replacement",$I306="Payment In Lieu")),
Error!$B$56,
IF(AND(_xlpm.hasDM,$F306="Remove",$H306&lt;&gt;"",$I306="Relocation"),
Error!$B$66,
IF(AND(OR(_xlpm.hasCN,_xlpm.hasPH,_xlpm.hasGR),$H306&lt;&gt;"",COUNTIF(Tables!$B$132:$B$134,$H306)&gt;0,$I306="N/A (No replacement required)"),
Error!$B$62,
IF(AND(_xlpm.baseRow,$E306&lt;&gt;"",ISNA(MATCH($E306,Tables!$B$225:$B$232,0))),
Error!$B$2,
IF(AND(_xlpm.baseRow,$F306&lt;&gt;"",ISNA(MATCH($F306,Tables!$B$234:$B$235,0))),
Error!$B$24,
IF(AND(_xlpm.baseRow,_xlpm.ECA_H&gt;0,_xlpm.Shore_H&gt;0),
Error!$B$16,
IF(AND(_xlpm.baseRow,$E306&lt;&gt;"",$D306=""),
Error!$B$3,
IF(AND(_xlpm.baseRow,OR($E306="Tier 3",$E306="Tier 4"),$C306&lt;&gt;"",$D306&gt;=24,COUNTIF(Tables2!$B$166:$B$674,$C306)&gt;0),
Error!$B$44,
IF(AND(_xlpm.baseRow,OR($E306="Tier 3",$E306="Tier 4"),$C306&lt;&gt;"",$D306&lt;&gt;"",COUNTIF(Tables2!$B$73:$B$152,$C306)&gt;0,
$D306&gt;=IFERROR(INDEX(Tables2!$C$73:$C$152,MATCH($C306,Tables2!$B$73:$B$152,0)),-1)),
Error!$B$44,
IF(AND(_xlpm.baseRow,OR($E306="Tier 2",$E306="Tier 2 Grove"),$C306&lt;&gt;"",$D306&gt;=12,COUNTIF(Tables2!$B$153:$B$162,$C306)&gt;0),
Error!$B$45,
IF(AND(_xlpm.baseRow,$E306="Tier 2 Grove",$D306&lt;12),
Error!$B$41,
IF(AND(_xlpm.baseRow,$E306="Tier 2",$D306&lt;5.88),
Error!$B$40,
IF(AND(_xlpm.baseRow,OR($E306="Tier 2",$E306="Tier 2 Grove"),$C306&lt;&gt;"",$D306&lt;12,$D306&gt;=6,COUNTIF(Tables2!$B$153:$B$162,$C306)&gt;0),
Error!$B$54,
IF(AND(_xlpm.baseRow,$E306="Tier 2",COUNTIF(Tables2!$B$166:$B$674,$C306)&gt;0,$D306&lt;24),
Error!$B$54,
IF(AND(_xlpm.baseRow,$E306="Tier 3",ISNA(MATCH($C306,Tables2!$B$153:$B$162,0)),OR($D306&lt;12,$D306&gt;=24)),
Error!$B$9,
IF(AND(_xlpm.baseRow,$E306="Tier 3",COUNTIF(Tables2!$B$153:$B$162,$C306)&gt;0,$D306&lt;12),
Error!$B$46,
IF(AND(_xlpm.baseRow,$E306="Tier 4",OR($D306&lt;6,$D306&gt;=12)),
Error!$B$10,
IF(AND(_xlpm.baseRow,$E306="&lt;6in DSH for Tree Points",OR($D306&gt;=6,$D306="")),
Error!$B$8,
IF(AND(_xlpm.baseRow,$E306="Street Tree for Green Factor",$F306&lt;&gt;"",$F306&lt;&gt;"Retain"),
Error!$B$14,
IF(AND($E306="&lt;6in DSH for Tree Points",$F306="Retain",$H306&lt;&gt;"",ISNA(MATCH($H306,Tables!$B$174:$B$174,0))),
Error!$B$15,
IF(AND($E306="Street Tree for Green Factor",$F306="Retain",$H306&lt;&gt;"",$H306&lt;&gt;"Zoning: Green Factor"),
Error!$B$15,
IF(AND($E306="ECA / Shoreline Tree",$F306="Remove",$H306&lt;&gt;"",ISNA(MATCH($H306,Tables!$B$189:$B$190,0))),
Error!$B$15,
IF(AND($E306="ECA / Shoreline Tree",$F306="Retain",$H306&lt;&gt;"",ISNA(MATCH($H306,Tables!$B$184:$B$186,0))),
Error!$B$15,
IF(AND($E306="Tier 4",$F306="Remove",$H306&lt;&gt;"",ISNA(MATCH($H306,Tables!$B$171,0))),
Error!$B$15,
IF(AND($E306="Tier 4",$F306="Retain",$H306&lt;&gt;"",ISNA(MATCH($H306,Tables!$B$166:$B$168,0))),
Error!$B$15,
IF(AND($E306="Tier 3",$F306="Retain",$H306&lt;&gt;"",ISNA(MATCH($H306,Tables!$B$158:$B$160,0))),
Error!$B$15,
IF(AND($E306="Tier 3",$F306="Remove",$H306&lt;&gt;"",ISNA(MATCH($H306,Tables!$B$163,0))),
Error!$B$15,
IF(AND(OR($E306="Tier 2",$E306="Tier 2 Grove"),$F306="Remove",$H306&lt;&gt;"",ISNA(MATCH($H306,Tables!$B$153:$B$155,0))),
Error!$B$15,
IF(AND(OR($E306="Tier 2",$E306="Tier 2 Grove"),$F306="Retain",$H306&lt;&gt;"",ISNA(MATCH($H306,Tables!$B$147:$B$150,0))),
Error!$B$15,
IF(AND($E306="Tier 1",$F306="Remove",$H306&lt;&gt;"",ISNA(MATCH($H306,Tables!$B$143:$B$144,0))),
Error!$B$15,
IF(AND($E306="Tier 1",$F306="Retain",$H306&lt;&gt;"",ISNA(MATCH($H306,Tables!$B$137:$B$140,0))),
Error!$B$15,
IF(AND($E306&lt;&gt;"Tier 2",$E306&lt;&gt;"Tier 2 Grove",$E306&lt;&gt;"Tier 3",$E306&lt;&gt;"Tier 4",$H306="Zoning: Green Factor",OR($D306="",$D306&lt;6)),
Error!$B$11,
IF(AND(_xlpm.baseRow,$D306&lt;6,$E306="&lt;6in DSH for Tree Points",_xlpm.TreePoints_H=0),
Error!$B$21,
IF(AND(_xlpm.baseRow,$E306&lt;&gt;"",$D306&lt;&gt;"",$F306=""),
Error!$B$4,
IF(AND(_xlpm.baseRow,$F306="Remove",OR($E306="Tier 1",$E306="Tier 2",$E306="Tier 2 Grove"),COUNTBLANK(_xlpm.HRange)&lt;3,_xlpm.uniqueH&gt;=2),
Error!$B$48,
IF(AND(_xlpm.baseRow,$F306="Retain",OR($E306="Tier 1",$E306="Tier 2",$E306="Tier 2 Grove"),COUNTIF(_xlpm.HRange,"Tree Code: Required to Retain Tier 1-2 Tree")=0),
Error!$B$47,
IF(AND(_xlpm.baseRow,$E306&lt;&gt;"",$D306&lt;&gt;"",$F306&lt;&gt;"",COUNTBLANK(_xlpm.HRange)=4),
Error!$B$5,
IF(AND($F306="Remove",$H306&lt;&gt;"",$I306=""),
Error!$B$18,
IF(AND($E306="Tier 4",$F306="Remove",$H306="Tree Protection Code: Tier 3 or Tier 4 Allowance",$H306&lt;&gt;"",ISNA(MATCH($I306,Tables!$B$200,0))),
Error!$B$17,
IF(AND($E306="Tier 3",$F306="Remove",$H306&lt;&gt;"",$H306="Tree Protection Code: Tier 3 or Tier 4 Allowance",OR($I306="",ISNA(MATCH($I306,Tables!$B$193:$B$197,0)))),
Error!$B$17,
IF(AND(OR($E306="Tier 2",$E306="Tier 2 Grove"),$F306="Remove",$H306="Tree Protection Code: Other removal allowance or exemption",$I306&lt;&gt;"",ISNA(MATCH($I306,Tables!$B$215:$B$218,0))),
Error!$B$17,
IF(AND(OR($E306="Tier 2",$E306="Tier 2 Grove"),$F306="Remove",$H306="Tree Protection Code: Development Capacity",$I306&lt;&gt;"",ISNA(MATCH($I306,Tables!$B$193:$B$197,0))),
Error!$B$17,
IF(AND(OR($E306="Tier 2",$E306="Tier 2 Grove"),$F306="Remove",$H306="Tree Protection Code: Necessary for Construction",$I306&lt;&gt;"",ISNA(MATCH($I306,Tables!$B$193:$B$197,0))),
Error!$B$17,
IF(AND($E306="Tier 1",$F306="Remove",$H306="Tree Protection Code: Special Exception",$I306&lt;&gt;"",ISNA(MATCH($I306,Tables!$B$215:$B$218,0))),
Error!$B$17,
IF(AND($E306="Tier 1",$F306="Remove",$H306="Tree Protection Code: Other removal allowance or exemption",$I306&lt;&gt;"",ISNA(MATCH($I306,Tables!$B$215:$B$218,0))),
Error!$B$17,
IF(AND($E306="ECA / Shoreline Tree",$F306="Remove",$H306&lt;&gt;"",OR($H306="Shoreline",$H306="Environmental Critical Area (ECA)"),ISNA(MATCH($I306,Tables!$B$209:$B$212,0))),
Error!$B$17,
IF(AND(_xlpm.baseRow,$F306="Retain",$E306="ECA / Shoreline Tree",_xlpm.ECA_Short=0),
Error!$B$61,
IF(AND($F306="Remove",ISNUMBER(MATCH($E306,{"Tier 1","Tier 2","Tier 3","Tier 4","Tier 2 Grove"},0)),ISNUMBER(MATCH($I306,{"On-site replacement","Off-site replacement"},0)),$J306="",$H306&lt;&gt;""),
Error!$B$19,
IF(AND(_xlpm.baseRow,$E306&lt;&gt;"",$D306&lt;&gt;"",$F306&lt;&gt;"",COUNTBLANK($B306:$C306)&gt;0,COUNTBLANK(_xlpm.HRange)&lt;&gt;4),
Error!$B$22,
IF(AND($H306="Zoning: Tree Points",$K306&lt;&gt;"",ISNA(MATCH($K306,Tables!$B$242:$B$253,0))),
Error!$B$58,
IF(AND($H306="Zoning: Tree Points",$K306="Small",$L306&lt;&gt;"",ISNA(MATCH($L306,Tables!$C$243:$C$244,0))),
Error!$B$59,
IF(AND($H306="Zoning: Tree Points",$K306="Small/Medium",$L306&lt;&gt;"",ISNA(MATCH($L306,Tables!$C$246:$C$247,0))),
Error!$B$59,
IF(AND($H306="Zoning: Tree Points",$K306="Medium/Large",$L306&lt;&gt;"",ISNA(MATCH($L306,Tables!$C$249:$C$250,0))),
Error!$B$59,
IF(AND($H306="Zoning: Tree Points",$K306="Large",$L306&lt;&gt;"",ISNA(MATCH($L306,Tables!$C$252:$C$253,0))),
Error!$B$59,
IF(AND($F306="Retain",$H306="Zoning: Tree Points",$C306&lt;&gt;"",$D306&lt;&gt;"",OR($K306="",$L306="",$M306="")),
Error!$B$20,
""
)))))))))))))))))))))))))))))))))))))))))))))))))))))))),
Error!$B$23))</f>
        <v/>
      </c>
      <c r="O306" s="343" t="str" cm="1">
        <f t="array" aca="1" ref="O306" ca="1">IFERROR(_xlfn.LET(
    _xlpm.txt, $C306,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07" spans="1:15" ht="15" thickBot="1" x14ac:dyDescent="0.35">
      <c r="A307" s="311">
        <v>75</v>
      </c>
      <c r="B307" s="312"/>
      <c r="C307" s="313"/>
      <c r="D307" s="478"/>
      <c r="E307" s="314"/>
      <c r="F307" s="314"/>
      <c r="G307" s="315" t="str">
        <f>IF(Tree_Table1[[#This Row],[Tree Status  &amp;]]="Retain", Tables!$B$237, IF(Tree_Table1[[#This Row],[Tree Status  &amp;]]="Remove", Tables!$B$238, ""))</f>
        <v/>
      </c>
      <c r="H307" s="316"/>
      <c r="I307" s="317"/>
      <c r="J307" s="452"/>
      <c r="K307" s="318" t="str">
        <f>IFERROR(
    IF(
        AND($H307="Zoning: Tree Points", NOT(ISNUMBER(SEARCH("sp.", $C307)))),
        VLOOKUP($C307, 'Tree List'!$C$3:$F$601, 4, FALSE),
        ""
    ),
"")</f>
        <v/>
      </c>
      <c r="L307" s="319" t="str" cm="1">
        <f t="array" ref="L307">IFERROR(
IF(
    AND($H307="Zoning: Tree Points", NOT(ISNUMBER(SEARCH("sp.", $C307)))),
    _xlfn.IFS(
        (COUNTIFS('Tree List'!$C$3:$C$601,$C307,'Tree List'!$D$3:$D$601,"Coniferous")
        + COUNTIFS('Tree List'!$C$3:$C$601,$C307,'Tree List'!$D$3:$D$601,"Deciduous Conifer")) &gt; 0,
            _xlfn.IFS($K307="Small",0.5,$K307="Small/Medium",1,$K307="Medium/Large",1.4,$K307="Large",1.8),
        (COUNTIFS('Tree List'!$C$3:$C$601,$C307,'Tree List'!$D$3:$D$601,"Deciduous")
        + COUNTIFS('Tree List'!$C$3:$C$601,$C307,'Tree List'!$D$3:$D$601,"Broadleaf Evergreen")) &gt; 0,
            _xlfn.IFS($K307="Small",0.4,$K307="Small/Medium",0.8,$K307="Medium/Large",1.2,$K307="Large",1.6)
    ),
    ""
),
"")</f>
        <v/>
      </c>
      <c r="M307" s="474" t="str">
        <f t="shared" ref="M307:M370" si="330">IFERROR($D307*$L307,"")</f>
        <v/>
      </c>
      <c r="N307" s="620" t="str" cm="1">
        <f t="array" aca="1" ref="N30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IF(AND(_xlpm.baseRow,ISNA(MATCH($C307,'Tree List'!$C$3:$C$601,0)),SUMPRODUCT(--ISNUMBER(SEARCH(Tables2!$C$677:$C$772,$O307)))&gt;0),
Error!$B$57,
IF(AND(_xlpm.hasDM,$F307="Remove",$H307&lt;&gt;"",OR($I307="On-site replacement",$I307="Off-site replacement",$I307="Payment In Lieu")),
Error!$B$56,
IF(AND(_xlpm.hasDM,$F307="Remove",$H307&lt;&gt;"",$I307="Relocation"),
Error!$B$66,
IF(AND(OR(_xlpm.hasCN,_xlpm.hasPH,_xlpm.hasGR),$H307&lt;&gt;"",COUNTIF(Tables!$B$132:$B$134,$H307)&gt;0,$I307="N/A (No replacement required)"),
Error!$B$62,
IF(AND(_xlpm.baseRow,$E307&lt;&gt;"",ISNA(MATCH($E307,Tables!$B$225:$B$232,0))),
Error!$B$2,
IF(AND(_xlpm.baseRow,$F307&lt;&gt;"",ISNA(MATCH($F307,Tables!$B$234:$B$235,0))),
Error!$B$24,
IF(AND(_xlpm.baseRow,_xlpm.ECA_H&gt;0,_xlpm.Shore_H&gt;0),
Error!$B$16,
IF(AND(_xlpm.baseRow,$E307&lt;&gt;"",$D307=""),
Error!$B$3,
IF(AND(_xlpm.baseRow,OR($E307="Tier 3",$E307="Tier 4"),$C307&lt;&gt;"",$D307&gt;=24,COUNTIF(Tables2!$B$166:$B$674,$C307)&gt;0),
Error!$B$44,
IF(AND(_xlpm.baseRow,OR($E307="Tier 3",$E307="Tier 4"),$C307&lt;&gt;"",$D307&lt;&gt;"",COUNTIF(Tables2!$B$73:$B$152,$C307)&gt;0,
$D307&gt;=IFERROR(INDEX(Tables2!$C$73:$C$152,MATCH($C307,Tables2!$B$73:$B$152,0)),-1)),
Error!$B$44,
IF(AND(_xlpm.baseRow,OR($E307="Tier 2",$E307="Tier 2 Grove"),$C307&lt;&gt;"",$D307&gt;=12,COUNTIF(Tables2!$B$153:$B$162,$C307)&gt;0),
Error!$B$45,
IF(AND(_xlpm.baseRow,$E307="Tier 2 Grove",$D307&lt;12),
Error!$B$41,
IF(AND(_xlpm.baseRow,$E307="Tier 2",$D307&lt;5.88),
Error!$B$40,
IF(AND(_xlpm.baseRow,OR($E307="Tier 2",$E307="Tier 2 Grove"),$C307&lt;&gt;"",$D307&lt;12,$D307&gt;=6,COUNTIF(Tables2!$B$153:$B$162,$C307)&gt;0),
Error!$B$54,
IF(AND(_xlpm.baseRow,$E307="Tier 2",COUNTIF(Tables2!$B$166:$B$674,$C307)&gt;0,$D307&lt;24),
Error!$B$54,
IF(AND(_xlpm.baseRow,$E307="Tier 3",ISNA(MATCH($C307,Tables2!$B$153:$B$162,0)),OR($D307&lt;12,$D307&gt;=24)),
Error!$B$9,
IF(AND(_xlpm.baseRow,$E307="Tier 3",COUNTIF(Tables2!$B$153:$B$162,$C307)&gt;0,$D307&lt;12),
Error!$B$46,
IF(AND(_xlpm.baseRow,$E307="Tier 4",OR($D307&lt;6,$D307&gt;=12)),
Error!$B$10,
IF(AND(_xlpm.baseRow,$E307="&lt;6in DSH for Tree Points",OR($D307&gt;=6,$D307="")),
Error!$B$8,
IF(AND(_xlpm.baseRow,$E307="Street Tree for Green Factor",$F307&lt;&gt;"",$F307&lt;&gt;"Retain"),
Error!$B$14,
IF(AND($E307="&lt;6in DSH for Tree Points",$F307="Retain",$H307&lt;&gt;"",ISNA(MATCH($H307,Tables!$B$174:$B$174,0))),
Error!$B$15,
IF(AND($E307="Street Tree for Green Factor",$F307="Retain",$H307&lt;&gt;"",$H307&lt;&gt;"Zoning: Green Factor"),
Error!$B$15,
IF(AND($E307="ECA / Shoreline Tree",$F307="Remove",$H307&lt;&gt;"",ISNA(MATCH($H307,Tables!$B$189:$B$190,0))),
Error!$B$15,
IF(AND($E307="ECA / Shoreline Tree",$F307="Retain",$H307&lt;&gt;"",ISNA(MATCH($H307,Tables!$B$184:$B$186,0))),
Error!$B$15,
IF(AND($E307="Tier 4",$F307="Remove",$H307&lt;&gt;"",ISNA(MATCH($H307,Tables!$B$171,0))),
Error!$B$15,
IF(AND($E307="Tier 4",$F307="Retain",$H307&lt;&gt;"",ISNA(MATCH($H307,Tables!$B$166:$B$168,0))),
Error!$B$15,
IF(AND($E307="Tier 3",$F307="Retain",$H307&lt;&gt;"",ISNA(MATCH($H307,Tables!$B$158:$B$160,0))),
Error!$B$15,
IF(AND($E307="Tier 3",$F307="Remove",$H307&lt;&gt;"",ISNA(MATCH($H307,Tables!$B$163,0))),
Error!$B$15,
IF(AND(OR($E307="Tier 2",$E307="Tier 2 Grove"),$F307="Remove",$H307&lt;&gt;"",ISNA(MATCH($H307,Tables!$B$153:$B$155,0))),
Error!$B$15,
IF(AND(OR($E307="Tier 2",$E307="Tier 2 Grove"),$F307="Retain",$H307&lt;&gt;"",ISNA(MATCH($H307,Tables!$B$147:$B$150,0))),
Error!$B$15,
IF(AND($E307="Tier 1",$F307="Remove",$H307&lt;&gt;"",ISNA(MATCH($H307,Tables!$B$143:$B$144,0))),
Error!$B$15,
IF(AND($E307="Tier 1",$F307="Retain",$H307&lt;&gt;"",ISNA(MATCH($H307,Tables!$B$137:$B$140,0))),
Error!$B$15,
IF(AND($E307&lt;&gt;"Tier 2",$E307&lt;&gt;"Tier 2 Grove",$E307&lt;&gt;"Tier 3",$E307&lt;&gt;"Tier 4",$H307="Zoning: Green Factor",OR($D307="",$D307&lt;6)),
Error!$B$11,
IF(AND(_xlpm.baseRow,$D307&lt;6,$E307="&lt;6in DSH for Tree Points",_xlpm.TreePoints_H=0),
Error!$B$21,
IF(AND(_xlpm.baseRow,$E307&lt;&gt;"",$D307&lt;&gt;"",$F307=""),
Error!$B$4,
IF(AND(_xlpm.baseRow,$F307="Remove",OR($E307="Tier 1",$E307="Tier 2",$E307="Tier 2 Grove"),COUNTBLANK(_xlpm.HRange)&lt;3,_xlpm.uniqueH&gt;=2),
Error!$B$48,
IF(AND(_xlpm.baseRow,$F307="Retain",OR($E307="Tier 1",$E307="Tier 2",$E307="Tier 2 Grove"),COUNTIF(_xlpm.HRange,"Tree Code: Required to Retain Tier 1-2 Tree")=0),
Error!$B$47,
IF(AND(_xlpm.baseRow,$E307&lt;&gt;"",$D307&lt;&gt;"",$F307&lt;&gt;"",COUNTBLANK(_xlpm.HRange)=4),
Error!$B$5,
IF(AND($F307="Remove",$H307&lt;&gt;"",$I307=""),
Error!$B$18,
IF(AND($E307="Tier 4",$F307="Remove",$H307="Tree Protection Code: Tier 3 or Tier 4 Allowance",$H307&lt;&gt;"",ISNA(MATCH($I307,Tables!$B$200,0))),
Error!$B$17,
IF(AND($E307="Tier 3",$F307="Remove",$H307&lt;&gt;"",$H307="Tree Protection Code: Tier 3 or Tier 4 Allowance",OR($I307="",ISNA(MATCH($I307,Tables!$B$193:$B$197,0)))),
Error!$B$17,
IF(AND(OR($E307="Tier 2",$E307="Tier 2 Grove"),$F307="Remove",$H307="Tree Protection Code: Other removal allowance or exemption",$I307&lt;&gt;"",ISNA(MATCH($I307,Tables!$B$215:$B$218,0))),
Error!$B$17,
IF(AND(OR($E307="Tier 2",$E307="Tier 2 Grove"),$F307="Remove",$H307="Tree Protection Code: Development Capacity",$I307&lt;&gt;"",ISNA(MATCH($I307,Tables!$B$193:$B$197,0))),
Error!$B$17,
IF(AND(OR($E307="Tier 2",$E307="Tier 2 Grove"),$F307="Remove",$H307="Tree Protection Code: Necessary for Construction",$I307&lt;&gt;"",ISNA(MATCH($I307,Tables!$B$193:$B$197,0))),
Error!$B$17,
IF(AND($E307="Tier 1",$F307="Remove",$H307="Tree Protection Code: Special Exception",$I307&lt;&gt;"",ISNA(MATCH($I307,Tables!$B$215:$B$218,0))),
Error!$B$17,
IF(AND($E307="Tier 1",$F307="Remove",$H307="Tree Protection Code: Other removal allowance or exemption",$I307&lt;&gt;"",ISNA(MATCH($I307,Tables!$B$215:$B$218,0))),
Error!$B$17,
IF(AND($E307="ECA / Shoreline Tree",$F307="Remove",$H307&lt;&gt;"",OR($H307="Shoreline",$H307="Environmental Critical Area (ECA)"),ISNA(MATCH($I307,Tables!$B$209:$B$212,0))),
Error!$B$17,
IF(AND(_xlpm.baseRow,$F307="Retain",$E307="ECA / Shoreline Tree",_xlpm.ECA_Short=0),
Error!$B$61,
IF(AND($F307="Remove",ISNUMBER(MATCH($E307,{"Tier 1","Tier 2","Tier 3","Tier 4","Tier 2 Grove"},0)),ISNUMBER(MATCH($I307,{"On-site replacement","Off-site replacement"},0)),$J307="",$H307&lt;&gt;""),
Error!$B$19,
IF(AND(_xlpm.baseRow,$E307&lt;&gt;"",$D307&lt;&gt;"",$F307&lt;&gt;"",COUNTBLANK($B307:$C307)&gt;0,COUNTBLANK(_xlpm.HRange)&lt;&gt;4),
Error!$B$22,
IF(AND($H307="Zoning: Tree Points",$K307&lt;&gt;"",ISNA(MATCH($K307,Tables!$B$242:$B$253,0))),
Error!$B$58,
IF(AND($H307="Zoning: Tree Points",$K307="Small",$L307&lt;&gt;"",ISNA(MATCH($L307,Tables!$C$243:$C$244,0))),
Error!$B$59,
IF(AND($H307="Zoning: Tree Points",$K307="Small/Medium",$L307&lt;&gt;"",ISNA(MATCH($L307,Tables!$C$246:$C$247,0))),
Error!$B$59,
IF(AND($H307="Zoning: Tree Points",$K307="Medium/Large",$L307&lt;&gt;"",ISNA(MATCH($L307,Tables!$C$249:$C$250,0))),
Error!$B$59,
IF(AND($H307="Zoning: Tree Points",$K307="Large",$L307&lt;&gt;"",ISNA(MATCH($L307,Tables!$C$252:$C$253,0))),
Error!$B$59,
IF(AND($F307="Retain",$H307="Zoning: Tree Points",$C307&lt;&gt;"",$D307&lt;&gt;"",OR($K307="",$L307="",$M307="")),
Error!$B$20,
""
)))))))))))))))))))))))))))))))))))))))))))))))))))))))),
Error!$B$23))</f>
        <v/>
      </c>
      <c r="O307" s="343" t="str" cm="1">
        <f t="array" aca="1" ref="O307" ca="1">IFERROR(_xlfn.LET(
    _xlpm.txt, $C307,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08" spans="1:15" x14ac:dyDescent="0.3">
      <c r="A308" s="320"/>
      <c r="B308" s="616" t="str">
        <f t="shared" ref="B308:B310" si="331">IF($B307="", "", $B307)</f>
        <v/>
      </c>
      <c r="C308" s="617" t="str">
        <f t="shared" ref="C308:C310" si="332">IF($C307="", "", $C307)</f>
        <v/>
      </c>
      <c r="D308" s="618" t="str">
        <f t="shared" ref="D308:D310" si="333">IF($D307="", "", $D307)</f>
        <v/>
      </c>
      <c r="E308" s="616" t="str">
        <f t="shared" ref="E308:E310" si="334">IF($E307="", "", $E307)</f>
        <v/>
      </c>
      <c r="F308" s="616" t="str">
        <f t="shared" ref="F308:F310" si="335">IF($F307="", "", $F307)</f>
        <v/>
      </c>
      <c r="G308" s="619" t="str">
        <f>IF(Tree_Table1[[#This Row],[Tree Status  &amp;]]="Retain", Tables!$B$237, IF(Tree_Table1[[#This Row],[Tree Status  &amp;]]="Remove", Tables!$B$238, ""))</f>
        <v/>
      </c>
      <c r="H308" s="321"/>
      <c r="I308" s="322"/>
      <c r="J308" s="453"/>
      <c r="K308" s="323" t="str">
        <f>IFERROR(
    IF(
        AND($H308="Zoning: Tree Points", NOT(ISNUMBER(SEARCH("sp.", $C308)))),
        VLOOKUP($C308, 'Tree List'!$C$3:$F$601, 4, FALSE),
        ""
    ),
"")</f>
        <v/>
      </c>
      <c r="L308" s="324" t="str" cm="1">
        <f t="array" ref="L308">IFERROR(
IF(
    AND($H308="Zoning: Tree Points", NOT(ISNUMBER(SEARCH("sp.", $C308)))),
    _xlfn.IFS(
        (COUNTIFS('Tree List'!$C$3:$C$601,$C308,'Tree List'!$D$3:$D$601,"Coniferous")
        + COUNTIFS('Tree List'!$C$3:$C$601,$C308,'Tree List'!$D$3:$D$601,"Deciduous Conifer")) &gt; 0,
            _xlfn.IFS($K308="Small",0.5,$K308="Small/Medium",1,$K308="Medium/Large",1.4,$K308="Large",1.8),
        (COUNTIFS('Tree List'!$C$3:$C$601,$C308,'Tree List'!$D$3:$D$601,"Deciduous")
        + COUNTIFS('Tree List'!$C$3:$C$601,$C308,'Tree List'!$D$3:$D$601,"Broadleaf Evergreen")) &gt; 0,
            _xlfn.IFS($K308="Small",0.4,$K308="Small/Medium",0.8,$K308="Medium/Large",1.2,$K308="Large",1.6)
    ),
    ""
),
"")</f>
        <v/>
      </c>
      <c r="M308" s="475" t="str">
        <f t="shared" si="330"/>
        <v/>
      </c>
      <c r="N308" s="346" t="str" cm="1">
        <f t="array" aca="1" ref="N30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IF(AND(_xlpm.baseRow,ISNA(MATCH($C308,'Tree List'!$C$3:$C$601,0)),SUMPRODUCT(--ISNUMBER(SEARCH(Tables2!$C$677:$C$772,$O308)))&gt;0),
Error!$B$57,
IF(AND(_xlpm.hasDM,$F308="Remove",$H308&lt;&gt;"",OR($I308="On-site replacement",$I308="Off-site replacement",$I308="Payment In Lieu")),
Error!$B$56,
IF(AND(_xlpm.hasDM,$F308="Remove",$H308&lt;&gt;"",$I308="Relocation"),
Error!$B$66,
IF(AND(OR(_xlpm.hasCN,_xlpm.hasPH,_xlpm.hasGR),$H308&lt;&gt;"",COUNTIF(Tables!$B$132:$B$134,$H308)&gt;0,$I308="N/A (No replacement required)"),
Error!$B$62,
IF(AND(_xlpm.baseRow,$E308&lt;&gt;"",ISNA(MATCH($E308,Tables!$B$225:$B$232,0))),
Error!$B$2,
IF(AND(_xlpm.baseRow,$F308&lt;&gt;"",ISNA(MATCH($F308,Tables!$B$234:$B$235,0))),
Error!$B$24,
IF(AND(_xlpm.baseRow,_xlpm.ECA_H&gt;0,_xlpm.Shore_H&gt;0),
Error!$B$16,
IF(AND(_xlpm.baseRow,$E308&lt;&gt;"",$D308=""),
Error!$B$3,
IF(AND(_xlpm.baseRow,OR($E308="Tier 3",$E308="Tier 4"),$C308&lt;&gt;"",$D308&gt;=24,COUNTIF(Tables2!$B$166:$B$674,$C308)&gt;0),
Error!$B$44,
IF(AND(_xlpm.baseRow,OR($E308="Tier 3",$E308="Tier 4"),$C308&lt;&gt;"",$D308&lt;&gt;"",COUNTIF(Tables2!$B$73:$B$152,$C308)&gt;0,
$D308&gt;=IFERROR(INDEX(Tables2!$C$73:$C$152,MATCH($C308,Tables2!$B$73:$B$152,0)),-1)),
Error!$B$44,
IF(AND(_xlpm.baseRow,OR($E308="Tier 2",$E308="Tier 2 Grove"),$C308&lt;&gt;"",$D308&gt;=12,COUNTIF(Tables2!$B$153:$B$162,$C308)&gt;0),
Error!$B$45,
IF(AND(_xlpm.baseRow,$E308="Tier 2 Grove",$D308&lt;12),
Error!$B$41,
IF(AND(_xlpm.baseRow,$E308="Tier 2",$D308&lt;5.88),
Error!$B$40,
IF(AND(_xlpm.baseRow,OR($E308="Tier 2",$E308="Tier 2 Grove"),$C308&lt;&gt;"",$D308&lt;12,$D308&gt;=6,COUNTIF(Tables2!$B$153:$B$162,$C308)&gt;0),
Error!$B$54,
IF(AND(_xlpm.baseRow,$E308="Tier 2",COUNTIF(Tables2!$B$166:$B$674,$C308)&gt;0,$D308&lt;24),
Error!$B$54,
IF(AND(_xlpm.baseRow,$E308="Tier 3",ISNA(MATCH($C308,Tables2!$B$153:$B$162,0)),OR($D308&lt;12,$D308&gt;=24)),
Error!$B$9,
IF(AND(_xlpm.baseRow,$E308="Tier 3",COUNTIF(Tables2!$B$153:$B$162,$C308)&gt;0,$D308&lt;12),
Error!$B$46,
IF(AND(_xlpm.baseRow,$E308="Tier 4",OR($D308&lt;6,$D308&gt;=12)),
Error!$B$10,
IF(AND(_xlpm.baseRow,$E308="&lt;6in DSH for Tree Points",OR($D308&gt;=6,$D308="")),
Error!$B$8,
IF(AND(_xlpm.baseRow,$E308="Street Tree for Green Factor",$F308&lt;&gt;"",$F308&lt;&gt;"Retain"),
Error!$B$14,
IF(AND($E308="&lt;6in DSH for Tree Points",$F308="Retain",$H308&lt;&gt;"",ISNA(MATCH($H308,Tables!$B$174:$B$174,0))),
Error!$B$15,
IF(AND($E308="Street Tree for Green Factor",$F308="Retain",$H308&lt;&gt;"",$H308&lt;&gt;"Zoning: Green Factor"),
Error!$B$15,
IF(AND($E308="ECA / Shoreline Tree",$F308="Remove",$H308&lt;&gt;"",ISNA(MATCH($H308,Tables!$B$189:$B$190,0))),
Error!$B$15,
IF(AND($E308="ECA / Shoreline Tree",$F308="Retain",$H308&lt;&gt;"",ISNA(MATCH($H308,Tables!$B$184:$B$186,0))),
Error!$B$15,
IF(AND($E308="Tier 4",$F308="Remove",$H308&lt;&gt;"",ISNA(MATCH($H308,Tables!$B$171,0))),
Error!$B$15,
IF(AND($E308="Tier 4",$F308="Retain",$H308&lt;&gt;"",ISNA(MATCH($H308,Tables!$B$166:$B$168,0))),
Error!$B$15,
IF(AND($E308="Tier 3",$F308="Retain",$H308&lt;&gt;"",ISNA(MATCH($H308,Tables!$B$158:$B$160,0))),
Error!$B$15,
IF(AND($E308="Tier 3",$F308="Remove",$H308&lt;&gt;"",ISNA(MATCH($H308,Tables!$B$163,0))),
Error!$B$15,
IF(AND(OR($E308="Tier 2",$E308="Tier 2 Grove"),$F308="Remove",$H308&lt;&gt;"",ISNA(MATCH($H308,Tables!$B$153:$B$155,0))),
Error!$B$15,
IF(AND(OR($E308="Tier 2",$E308="Tier 2 Grove"),$F308="Retain",$H308&lt;&gt;"",ISNA(MATCH($H308,Tables!$B$147:$B$150,0))),
Error!$B$15,
IF(AND($E308="Tier 1",$F308="Remove",$H308&lt;&gt;"",ISNA(MATCH($H308,Tables!$B$143:$B$144,0))),
Error!$B$15,
IF(AND($E308="Tier 1",$F308="Retain",$H308&lt;&gt;"",ISNA(MATCH($H308,Tables!$B$137:$B$140,0))),
Error!$B$15,
IF(AND($E308&lt;&gt;"Tier 2",$E308&lt;&gt;"Tier 2 Grove",$E308&lt;&gt;"Tier 3",$E308&lt;&gt;"Tier 4",$H308="Zoning: Green Factor",OR($D308="",$D308&lt;6)),
Error!$B$11,
IF(AND(_xlpm.baseRow,$D308&lt;6,$E308="&lt;6in DSH for Tree Points",_xlpm.TreePoints_H=0),
Error!$B$21,
IF(AND(_xlpm.baseRow,$E308&lt;&gt;"",$D308&lt;&gt;"",$F308=""),
Error!$B$4,
IF(AND(_xlpm.baseRow,$F308="Remove",OR($E308="Tier 1",$E308="Tier 2",$E308="Tier 2 Grove"),COUNTBLANK(_xlpm.HRange)&lt;3,_xlpm.uniqueH&gt;=2),
Error!$B$48,
IF(AND(_xlpm.baseRow,$F308="Retain",OR($E308="Tier 1",$E308="Tier 2",$E308="Tier 2 Grove"),COUNTIF(_xlpm.HRange,"Tree Code: Required to Retain Tier 1-2 Tree")=0),
Error!$B$47,
IF(AND(_xlpm.baseRow,$E308&lt;&gt;"",$D308&lt;&gt;"",$F308&lt;&gt;"",COUNTBLANK(_xlpm.HRange)=4),
Error!$B$5,
IF(AND($F308="Remove",$H308&lt;&gt;"",$I308=""),
Error!$B$18,
IF(AND($E308="Tier 4",$F308="Remove",$H308="Tree Protection Code: Tier 3 or Tier 4 Allowance",$H308&lt;&gt;"",ISNA(MATCH($I308,Tables!$B$200,0))),
Error!$B$17,
IF(AND($E308="Tier 3",$F308="Remove",$H308&lt;&gt;"",$H308="Tree Protection Code: Tier 3 or Tier 4 Allowance",OR($I308="",ISNA(MATCH($I308,Tables!$B$193:$B$197,0)))),
Error!$B$17,
IF(AND(OR($E308="Tier 2",$E308="Tier 2 Grove"),$F308="Remove",$H308="Tree Protection Code: Other removal allowance or exemption",$I308&lt;&gt;"",ISNA(MATCH($I308,Tables!$B$215:$B$218,0))),
Error!$B$17,
IF(AND(OR($E308="Tier 2",$E308="Tier 2 Grove"),$F308="Remove",$H308="Tree Protection Code: Development Capacity",$I308&lt;&gt;"",ISNA(MATCH($I308,Tables!$B$193:$B$197,0))),
Error!$B$17,
IF(AND(OR($E308="Tier 2",$E308="Tier 2 Grove"),$F308="Remove",$H308="Tree Protection Code: Necessary for Construction",$I308&lt;&gt;"",ISNA(MATCH($I308,Tables!$B$193:$B$197,0))),
Error!$B$17,
IF(AND($E308="Tier 1",$F308="Remove",$H308="Tree Protection Code: Special Exception",$I308&lt;&gt;"",ISNA(MATCH($I308,Tables!$B$215:$B$218,0))),
Error!$B$17,
IF(AND($E308="Tier 1",$F308="Remove",$H308="Tree Protection Code: Other removal allowance or exemption",$I308&lt;&gt;"",ISNA(MATCH($I308,Tables!$B$215:$B$218,0))),
Error!$B$17,
IF(AND($E308="ECA / Shoreline Tree",$F308="Remove",$H308&lt;&gt;"",OR($H308="Shoreline",$H308="Environmental Critical Area (ECA)"),ISNA(MATCH($I308,Tables!$B$209:$B$212,0))),
Error!$B$17,
IF(AND(_xlpm.baseRow,$F308="Retain",$E308="ECA / Shoreline Tree",_xlpm.ECA_Short=0),
Error!$B$61,
IF(AND($F308="Remove",ISNUMBER(MATCH($E308,{"Tier 1","Tier 2","Tier 3","Tier 4","Tier 2 Grove"},0)),ISNUMBER(MATCH($I308,{"On-site replacement","Off-site replacement"},0)),$J308="",$H308&lt;&gt;""),
Error!$B$19,
IF(AND(_xlpm.baseRow,$E308&lt;&gt;"",$D308&lt;&gt;"",$F308&lt;&gt;"",COUNTBLANK($B308:$C308)&gt;0,COUNTBLANK(_xlpm.HRange)&lt;&gt;4),
Error!$B$22,
IF(AND($H308="Zoning: Tree Points",$K308&lt;&gt;"",ISNA(MATCH($K308,Tables!$B$242:$B$253,0))),
Error!$B$58,
IF(AND($H308="Zoning: Tree Points",$K308="Small",$L308&lt;&gt;"",ISNA(MATCH($L308,Tables!$C$243:$C$244,0))),
Error!$B$59,
IF(AND($H308="Zoning: Tree Points",$K308="Small/Medium",$L308&lt;&gt;"",ISNA(MATCH($L308,Tables!$C$246:$C$247,0))),
Error!$B$59,
IF(AND($H308="Zoning: Tree Points",$K308="Medium/Large",$L308&lt;&gt;"",ISNA(MATCH($L308,Tables!$C$249:$C$250,0))),
Error!$B$59,
IF(AND($H308="Zoning: Tree Points",$K308="Large",$L308&lt;&gt;"",ISNA(MATCH($L308,Tables!$C$252:$C$253,0))),
Error!$B$59,
IF(AND($F308="Retain",$H308="Zoning: Tree Points",$C308&lt;&gt;"",$D308&lt;&gt;"",OR($K308="",$L308="",$M308="")),
Error!$B$20,
""
)))))))))))))))))))))))))))))))))))))))))))))))))))))))),
Error!$B$23))</f>
        <v/>
      </c>
      <c r="O308" s="343" t="str" cm="1">
        <f t="array" aca="1" ref="O308" ca="1">IFERROR(_xlfn.LET(
    _xlpm.txt, $C308,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09" spans="1:15" x14ac:dyDescent="0.3">
      <c r="A309" s="320"/>
      <c r="B309" s="616" t="str">
        <f t="shared" si="331"/>
        <v/>
      </c>
      <c r="C309" s="617" t="str">
        <f t="shared" si="332"/>
        <v/>
      </c>
      <c r="D309" s="618" t="str">
        <f t="shared" si="333"/>
        <v/>
      </c>
      <c r="E309" s="616" t="str">
        <f t="shared" si="334"/>
        <v/>
      </c>
      <c r="F309" s="616" t="str">
        <f t="shared" si="335"/>
        <v/>
      </c>
      <c r="G309" s="619" t="str">
        <f>IF(Tree_Table1[[#This Row],[Tree Status  &amp;]]="Retain", Tables!$B$237, IF(Tree_Table1[[#This Row],[Tree Status  &amp;]]="Remove", Tables!$B$238, ""))</f>
        <v/>
      </c>
      <c r="H309" s="321"/>
      <c r="I309" s="322"/>
      <c r="J309" s="453"/>
      <c r="K309" s="323" t="str">
        <f>IFERROR(
    IF(
        AND($H309="Zoning: Tree Points", NOT(ISNUMBER(SEARCH("sp.", $C309)))),
        VLOOKUP($C309, 'Tree List'!$C$3:$F$601, 4, FALSE),
        ""
    ),
"")</f>
        <v/>
      </c>
      <c r="L309" s="324" t="str" cm="1">
        <f t="array" ref="L309">IFERROR(
IF(
    AND($H309="Zoning: Tree Points", NOT(ISNUMBER(SEARCH("sp.", $C309)))),
    _xlfn.IFS(
        (COUNTIFS('Tree List'!$C$3:$C$601,$C309,'Tree List'!$D$3:$D$601,"Coniferous")
        + COUNTIFS('Tree List'!$C$3:$C$601,$C309,'Tree List'!$D$3:$D$601,"Deciduous Conifer")) &gt; 0,
            _xlfn.IFS($K309="Small",0.5,$K309="Small/Medium",1,$K309="Medium/Large",1.4,$K309="Large",1.8),
        (COUNTIFS('Tree List'!$C$3:$C$601,$C309,'Tree List'!$D$3:$D$601,"Deciduous")
        + COUNTIFS('Tree List'!$C$3:$C$601,$C309,'Tree List'!$D$3:$D$601,"Broadleaf Evergreen")) &gt; 0,
            _xlfn.IFS($K309="Small",0.4,$K309="Small/Medium",0.8,$K309="Medium/Large",1.2,$K309="Large",1.6)
    ),
    ""
),
"")</f>
        <v/>
      </c>
      <c r="M309" s="475" t="str">
        <f t="shared" si="330"/>
        <v/>
      </c>
      <c r="N309" s="346" t="str" cm="1">
        <f t="array" aca="1" ref="N30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IF(AND(_xlpm.baseRow,ISNA(MATCH($C309,'Tree List'!$C$3:$C$601,0)),SUMPRODUCT(--ISNUMBER(SEARCH(Tables2!$C$677:$C$772,$O309)))&gt;0),
Error!$B$57,
IF(AND(_xlpm.hasDM,$F309="Remove",$H309&lt;&gt;"",OR($I309="On-site replacement",$I309="Off-site replacement",$I309="Payment In Lieu")),
Error!$B$56,
IF(AND(_xlpm.hasDM,$F309="Remove",$H309&lt;&gt;"",$I309="Relocation"),
Error!$B$66,
IF(AND(OR(_xlpm.hasCN,_xlpm.hasPH,_xlpm.hasGR),$H309&lt;&gt;"",COUNTIF(Tables!$B$132:$B$134,$H309)&gt;0,$I309="N/A (No replacement required)"),
Error!$B$62,
IF(AND(_xlpm.baseRow,$E309&lt;&gt;"",ISNA(MATCH($E309,Tables!$B$225:$B$232,0))),
Error!$B$2,
IF(AND(_xlpm.baseRow,$F309&lt;&gt;"",ISNA(MATCH($F309,Tables!$B$234:$B$235,0))),
Error!$B$24,
IF(AND(_xlpm.baseRow,_xlpm.ECA_H&gt;0,_xlpm.Shore_H&gt;0),
Error!$B$16,
IF(AND(_xlpm.baseRow,$E309&lt;&gt;"",$D309=""),
Error!$B$3,
IF(AND(_xlpm.baseRow,OR($E309="Tier 3",$E309="Tier 4"),$C309&lt;&gt;"",$D309&gt;=24,COUNTIF(Tables2!$B$166:$B$674,$C309)&gt;0),
Error!$B$44,
IF(AND(_xlpm.baseRow,OR($E309="Tier 3",$E309="Tier 4"),$C309&lt;&gt;"",$D309&lt;&gt;"",COUNTIF(Tables2!$B$73:$B$152,$C309)&gt;0,
$D309&gt;=IFERROR(INDEX(Tables2!$C$73:$C$152,MATCH($C309,Tables2!$B$73:$B$152,0)),-1)),
Error!$B$44,
IF(AND(_xlpm.baseRow,OR($E309="Tier 2",$E309="Tier 2 Grove"),$C309&lt;&gt;"",$D309&gt;=12,COUNTIF(Tables2!$B$153:$B$162,$C309)&gt;0),
Error!$B$45,
IF(AND(_xlpm.baseRow,$E309="Tier 2 Grove",$D309&lt;12),
Error!$B$41,
IF(AND(_xlpm.baseRow,$E309="Tier 2",$D309&lt;5.88),
Error!$B$40,
IF(AND(_xlpm.baseRow,OR($E309="Tier 2",$E309="Tier 2 Grove"),$C309&lt;&gt;"",$D309&lt;12,$D309&gt;=6,COUNTIF(Tables2!$B$153:$B$162,$C309)&gt;0),
Error!$B$54,
IF(AND(_xlpm.baseRow,$E309="Tier 2",COUNTIF(Tables2!$B$166:$B$674,$C309)&gt;0,$D309&lt;24),
Error!$B$54,
IF(AND(_xlpm.baseRow,$E309="Tier 3",ISNA(MATCH($C309,Tables2!$B$153:$B$162,0)),OR($D309&lt;12,$D309&gt;=24)),
Error!$B$9,
IF(AND(_xlpm.baseRow,$E309="Tier 3",COUNTIF(Tables2!$B$153:$B$162,$C309)&gt;0,$D309&lt;12),
Error!$B$46,
IF(AND(_xlpm.baseRow,$E309="Tier 4",OR($D309&lt;6,$D309&gt;=12)),
Error!$B$10,
IF(AND(_xlpm.baseRow,$E309="&lt;6in DSH for Tree Points",OR($D309&gt;=6,$D309="")),
Error!$B$8,
IF(AND(_xlpm.baseRow,$E309="Street Tree for Green Factor",$F309&lt;&gt;"",$F309&lt;&gt;"Retain"),
Error!$B$14,
IF(AND($E309="&lt;6in DSH for Tree Points",$F309="Retain",$H309&lt;&gt;"",ISNA(MATCH($H309,Tables!$B$174:$B$174,0))),
Error!$B$15,
IF(AND($E309="Street Tree for Green Factor",$F309="Retain",$H309&lt;&gt;"",$H309&lt;&gt;"Zoning: Green Factor"),
Error!$B$15,
IF(AND($E309="ECA / Shoreline Tree",$F309="Remove",$H309&lt;&gt;"",ISNA(MATCH($H309,Tables!$B$189:$B$190,0))),
Error!$B$15,
IF(AND($E309="ECA / Shoreline Tree",$F309="Retain",$H309&lt;&gt;"",ISNA(MATCH($H309,Tables!$B$184:$B$186,0))),
Error!$B$15,
IF(AND($E309="Tier 4",$F309="Remove",$H309&lt;&gt;"",ISNA(MATCH($H309,Tables!$B$171,0))),
Error!$B$15,
IF(AND($E309="Tier 4",$F309="Retain",$H309&lt;&gt;"",ISNA(MATCH($H309,Tables!$B$166:$B$168,0))),
Error!$B$15,
IF(AND($E309="Tier 3",$F309="Retain",$H309&lt;&gt;"",ISNA(MATCH($H309,Tables!$B$158:$B$160,0))),
Error!$B$15,
IF(AND($E309="Tier 3",$F309="Remove",$H309&lt;&gt;"",ISNA(MATCH($H309,Tables!$B$163,0))),
Error!$B$15,
IF(AND(OR($E309="Tier 2",$E309="Tier 2 Grove"),$F309="Remove",$H309&lt;&gt;"",ISNA(MATCH($H309,Tables!$B$153:$B$155,0))),
Error!$B$15,
IF(AND(OR($E309="Tier 2",$E309="Tier 2 Grove"),$F309="Retain",$H309&lt;&gt;"",ISNA(MATCH($H309,Tables!$B$147:$B$150,0))),
Error!$B$15,
IF(AND($E309="Tier 1",$F309="Remove",$H309&lt;&gt;"",ISNA(MATCH($H309,Tables!$B$143:$B$144,0))),
Error!$B$15,
IF(AND($E309="Tier 1",$F309="Retain",$H309&lt;&gt;"",ISNA(MATCH($H309,Tables!$B$137:$B$140,0))),
Error!$B$15,
IF(AND($E309&lt;&gt;"Tier 2",$E309&lt;&gt;"Tier 2 Grove",$E309&lt;&gt;"Tier 3",$E309&lt;&gt;"Tier 4",$H309="Zoning: Green Factor",OR($D309="",$D309&lt;6)),
Error!$B$11,
IF(AND(_xlpm.baseRow,$D309&lt;6,$E309="&lt;6in DSH for Tree Points",_xlpm.TreePoints_H=0),
Error!$B$21,
IF(AND(_xlpm.baseRow,$E309&lt;&gt;"",$D309&lt;&gt;"",$F309=""),
Error!$B$4,
IF(AND(_xlpm.baseRow,$F309="Remove",OR($E309="Tier 1",$E309="Tier 2",$E309="Tier 2 Grove"),COUNTBLANK(_xlpm.HRange)&lt;3,_xlpm.uniqueH&gt;=2),
Error!$B$48,
IF(AND(_xlpm.baseRow,$F309="Retain",OR($E309="Tier 1",$E309="Tier 2",$E309="Tier 2 Grove"),COUNTIF(_xlpm.HRange,"Tree Code: Required to Retain Tier 1-2 Tree")=0),
Error!$B$47,
IF(AND(_xlpm.baseRow,$E309&lt;&gt;"",$D309&lt;&gt;"",$F309&lt;&gt;"",COUNTBLANK(_xlpm.HRange)=4),
Error!$B$5,
IF(AND($F309="Remove",$H309&lt;&gt;"",$I309=""),
Error!$B$18,
IF(AND($E309="Tier 4",$F309="Remove",$H309="Tree Protection Code: Tier 3 or Tier 4 Allowance",$H309&lt;&gt;"",ISNA(MATCH($I309,Tables!$B$200,0))),
Error!$B$17,
IF(AND($E309="Tier 3",$F309="Remove",$H309&lt;&gt;"",$H309="Tree Protection Code: Tier 3 or Tier 4 Allowance",OR($I309="",ISNA(MATCH($I309,Tables!$B$193:$B$197,0)))),
Error!$B$17,
IF(AND(OR($E309="Tier 2",$E309="Tier 2 Grove"),$F309="Remove",$H309="Tree Protection Code: Other removal allowance or exemption",$I309&lt;&gt;"",ISNA(MATCH($I309,Tables!$B$215:$B$218,0))),
Error!$B$17,
IF(AND(OR($E309="Tier 2",$E309="Tier 2 Grove"),$F309="Remove",$H309="Tree Protection Code: Development Capacity",$I309&lt;&gt;"",ISNA(MATCH($I309,Tables!$B$193:$B$197,0))),
Error!$B$17,
IF(AND(OR($E309="Tier 2",$E309="Tier 2 Grove"),$F309="Remove",$H309="Tree Protection Code: Necessary for Construction",$I309&lt;&gt;"",ISNA(MATCH($I309,Tables!$B$193:$B$197,0))),
Error!$B$17,
IF(AND($E309="Tier 1",$F309="Remove",$H309="Tree Protection Code: Special Exception",$I309&lt;&gt;"",ISNA(MATCH($I309,Tables!$B$215:$B$218,0))),
Error!$B$17,
IF(AND($E309="Tier 1",$F309="Remove",$H309="Tree Protection Code: Other removal allowance or exemption",$I309&lt;&gt;"",ISNA(MATCH($I309,Tables!$B$215:$B$218,0))),
Error!$B$17,
IF(AND($E309="ECA / Shoreline Tree",$F309="Remove",$H309&lt;&gt;"",OR($H309="Shoreline",$H309="Environmental Critical Area (ECA)"),ISNA(MATCH($I309,Tables!$B$209:$B$212,0))),
Error!$B$17,
IF(AND(_xlpm.baseRow,$F309="Retain",$E309="ECA / Shoreline Tree",_xlpm.ECA_Short=0),
Error!$B$61,
IF(AND($F309="Remove",ISNUMBER(MATCH($E309,{"Tier 1","Tier 2","Tier 3","Tier 4","Tier 2 Grove"},0)),ISNUMBER(MATCH($I309,{"On-site replacement","Off-site replacement"},0)),$J309="",$H309&lt;&gt;""),
Error!$B$19,
IF(AND(_xlpm.baseRow,$E309&lt;&gt;"",$D309&lt;&gt;"",$F309&lt;&gt;"",COUNTBLANK($B309:$C309)&gt;0,COUNTBLANK(_xlpm.HRange)&lt;&gt;4),
Error!$B$22,
IF(AND($H309="Zoning: Tree Points",$K309&lt;&gt;"",ISNA(MATCH($K309,Tables!$B$242:$B$253,0))),
Error!$B$58,
IF(AND($H309="Zoning: Tree Points",$K309="Small",$L309&lt;&gt;"",ISNA(MATCH($L309,Tables!$C$243:$C$244,0))),
Error!$B$59,
IF(AND($H309="Zoning: Tree Points",$K309="Small/Medium",$L309&lt;&gt;"",ISNA(MATCH($L309,Tables!$C$246:$C$247,0))),
Error!$B$59,
IF(AND($H309="Zoning: Tree Points",$K309="Medium/Large",$L309&lt;&gt;"",ISNA(MATCH($L309,Tables!$C$249:$C$250,0))),
Error!$B$59,
IF(AND($H309="Zoning: Tree Points",$K309="Large",$L309&lt;&gt;"",ISNA(MATCH($L309,Tables!$C$252:$C$253,0))),
Error!$B$59,
IF(AND($F309="Retain",$H309="Zoning: Tree Points",$C309&lt;&gt;"",$D309&lt;&gt;"",OR($K309="",$L309="",$M309="")),
Error!$B$20,
""
)))))))))))))))))))))))))))))))))))))))))))))))))))))))),
Error!$B$23))</f>
        <v/>
      </c>
      <c r="O309" s="343" t="str" cm="1">
        <f t="array" aca="1" ref="O309" ca="1">IFERROR(_xlfn.LET(
    _xlpm.txt, $C309,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10" spans="1:15" ht="15" thickBot="1" x14ac:dyDescent="0.35">
      <c r="A310" s="331"/>
      <c r="B310" s="616" t="str">
        <f t="shared" si="331"/>
        <v/>
      </c>
      <c r="C310" s="617" t="str">
        <f t="shared" si="332"/>
        <v/>
      </c>
      <c r="D310" s="618" t="str">
        <f t="shared" si="333"/>
        <v/>
      </c>
      <c r="E310" s="616" t="str">
        <f t="shared" si="334"/>
        <v/>
      </c>
      <c r="F310" s="616" t="str">
        <f t="shared" si="335"/>
        <v/>
      </c>
      <c r="G310" s="619" t="str">
        <f>IF(Tree_Table1[[#This Row],[Tree Status  &amp;]]="Retain", Tables!$B$237, IF(Tree_Table1[[#This Row],[Tree Status  &amp;]]="Remove", Tables!$B$238, ""))</f>
        <v/>
      </c>
      <c r="H310" s="329"/>
      <c r="I310" s="330"/>
      <c r="J310" s="455"/>
      <c r="K310" s="327" t="str">
        <f>IFERROR(
    IF(
        AND($H310="Zoning: Tree Points", NOT(ISNUMBER(SEARCH("sp.", $C310)))),
        VLOOKUP($C310, 'Tree List'!$C$3:$F$601, 4, FALSE),
        ""
    ),
"")</f>
        <v/>
      </c>
      <c r="L310" s="328" t="str" cm="1">
        <f t="array" ref="L310">IFERROR(
IF(
    AND($H310="Zoning: Tree Points", NOT(ISNUMBER(SEARCH("sp.", $C310)))),
    _xlfn.IFS(
        (COUNTIFS('Tree List'!$C$3:$C$601,$C310,'Tree List'!$D$3:$D$601,"Coniferous")
        + COUNTIFS('Tree List'!$C$3:$C$601,$C310,'Tree List'!$D$3:$D$601,"Deciduous Conifer")) &gt; 0,
            _xlfn.IFS($K310="Small",0.5,$K310="Small/Medium",1,$K310="Medium/Large",1.4,$K310="Large",1.8),
        (COUNTIFS('Tree List'!$C$3:$C$601,$C310,'Tree List'!$D$3:$D$601,"Deciduous")
        + COUNTIFS('Tree List'!$C$3:$C$601,$C310,'Tree List'!$D$3:$D$601,"Broadleaf Evergreen")) &gt; 0,
            _xlfn.IFS($K310="Small",0.4,$K310="Small/Medium",0.8,$K310="Medium/Large",1.2,$K310="Large",1.6)
    ),
    ""
),
"")</f>
        <v/>
      </c>
      <c r="M310" s="476" t="str">
        <f t="shared" si="330"/>
        <v/>
      </c>
      <c r="N310" s="347" t="str" cm="1">
        <f t="array" aca="1" ref="N31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IF(AND(_xlpm.baseRow,ISNA(MATCH($C310,'Tree List'!$C$3:$C$601,0)),SUMPRODUCT(--ISNUMBER(SEARCH(Tables2!$C$677:$C$772,$O310)))&gt;0),
Error!$B$57,
IF(AND(_xlpm.hasDM,$F310="Remove",$H310&lt;&gt;"",OR($I310="On-site replacement",$I310="Off-site replacement",$I310="Payment In Lieu")),
Error!$B$56,
IF(AND(_xlpm.hasDM,$F310="Remove",$H310&lt;&gt;"",$I310="Relocation"),
Error!$B$66,
IF(AND(OR(_xlpm.hasCN,_xlpm.hasPH,_xlpm.hasGR),$H310&lt;&gt;"",COUNTIF(Tables!$B$132:$B$134,$H310)&gt;0,$I310="N/A (No replacement required)"),
Error!$B$62,
IF(AND(_xlpm.baseRow,$E310&lt;&gt;"",ISNA(MATCH($E310,Tables!$B$225:$B$232,0))),
Error!$B$2,
IF(AND(_xlpm.baseRow,$F310&lt;&gt;"",ISNA(MATCH($F310,Tables!$B$234:$B$235,0))),
Error!$B$24,
IF(AND(_xlpm.baseRow,_xlpm.ECA_H&gt;0,_xlpm.Shore_H&gt;0),
Error!$B$16,
IF(AND(_xlpm.baseRow,$E310&lt;&gt;"",$D310=""),
Error!$B$3,
IF(AND(_xlpm.baseRow,OR($E310="Tier 3",$E310="Tier 4"),$C310&lt;&gt;"",$D310&gt;=24,COUNTIF(Tables2!$B$166:$B$674,$C310)&gt;0),
Error!$B$44,
IF(AND(_xlpm.baseRow,OR($E310="Tier 3",$E310="Tier 4"),$C310&lt;&gt;"",$D310&lt;&gt;"",COUNTIF(Tables2!$B$73:$B$152,$C310)&gt;0,
$D310&gt;=IFERROR(INDEX(Tables2!$C$73:$C$152,MATCH($C310,Tables2!$B$73:$B$152,0)),-1)),
Error!$B$44,
IF(AND(_xlpm.baseRow,OR($E310="Tier 2",$E310="Tier 2 Grove"),$C310&lt;&gt;"",$D310&gt;=12,COUNTIF(Tables2!$B$153:$B$162,$C310)&gt;0),
Error!$B$45,
IF(AND(_xlpm.baseRow,$E310="Tier 2 Grove",$D310&lt;12),
Error!$B$41,
IF(AND(_xlpm.baseRow,$E310="Tier 2",$D310&lt;5.88),
Error!$B$40,
IF(AND(_xlpm.baseRow,OR($E310="Tier 2",$E310="Tier 2 Grove"),$C310&lt;&gt;"",$D310&lt;12,$D310&gt;=6,COUNTIF(Tables2!$B$153:$B$162,$C310)&gt;0),
Error!$B$54,
IF(AND(_xlpm.baseRow,$E310="Tier 2",COUNTIF(Tables2!$B$166:$B$674,$C310)&gt;0,$D310&lt;24),
Error!$B$54,
IF(AND(_xlpm.baseRow,$E310="Tier 3",ISNA(MATCH($C310,Tables2!$B$153:$B$162,0)),OR($D310&lt;12,$D310&gt;=24)),
Error!$B$9,
IF(AND(_xlpm.baseRow,$E310="Tier 3",COUNTIF(Tables2!$B$153:$B$162,$C310)&gt;0,$D310&lt;12),
Error!$B$46,
IF(AND(_xlpm.baseRow,$E310="Tier 4",OR($D310&lt;6,$D310&gt;=12)),
Error!$B$10,
IF(AND(_xlpm.baseRow,$E310="&lt;6in DSH for Tree Points",OR($D310&gt;=6,$D310="")),
Error!$B$8,
IF(AND(_xlpm.baseRow,$E310="Street Tree for Green Factor",$F310&lt;&gt;"",$F310&lt;&gt;"Retain"),
Error!$B$14,
IF(AND($E310="&lt;6in DSH for Tree Points",$F310="Retain",$H310&lt;&gt;"",ISNA(MATCH($H310,Tables!$B$174:$B$174,0))),
Error!$B$15,
IF(AND($E310="Street Tree for Green Factor",$F310="Retain",$H310&lt;&gt;"",$H310&lt;&gt;"Zoning: Green Factor"),
Error!$B$15,
IF(AND($E310="ECA / Shoreline Tree",$F310="Remove",$H310&lt;&gt;"",ISNA(MATCH($H310,Tables!$B$189:$B$190,0))),
Error!$B$15,
IF(AND($E310="ECA / Shoreline Tree",$F310="Retain",$H310&lt;&gt;"",ISNA(MATCH($H310,Tables!$B$184:$B$186,0))),
Error!$B$15,
IF(AND($E310="Tier 4",$F310="Remove",$H310&lt;&gt;"",ISNA(MATCH($H310,Tables!$B$171,0))),
Error!$B$15,
IF(AND($E310="Tier 4",$F310="Retain",$H310&lt;&gt;"",ISNA(MATCH($H310,Tables!$B$166:$B$168,0))),
Error!$B$15,
IF(AND($E310="Tier 3",$F310="Retain",$H310&lt;&gt;"",ISNA(MATCH($H310,Tables!$B$158:$B$160,0))),
Error!$B$15,
IF(AND($E310="Tier 3",$F310="Remove",$H310&lt;&gt;"",ISNA(MATCH($H310,Tables!$B$163,0))),
Error!$B$15,
IF(AND(OR($E310="Tier 2",$E310="Tier 2 Grove"),$F310="Remove",$H310&lt;&gt;"",ISNA(MATCH($H310,Tables!$B$153:$B$155,0))),
Error!$B$15,
IF(AND(OR($E310="Tier 2",$E310="Tier 2 Grove"),$F310="Retain",$H310&lt;&gt;"",ISNA(MATCH($H310,Tables!$B$147:$B$150,0))),
Error!$B$15,
IF(AND($E310="Tier 1",$F310="Remove",$H310&lt;&gt;"",ISNA(MATCH($H310,Tables!$B$143:$B$144,0))),
Error!$B$15,
IF(AND($E310="Tier 1",$F310="Retain",$H310&lt;&gt;"",ISNA(MATCH($H310,Tables!$B$137:$B$140,0))),
Error!$B$15,
IF(AND($E310&lt;&gt;"Tier 2",$E310&lt;&gt;"Tier 2 Grove",$E310&lt;&gt;"Tier 3",$E310&lt;&gt;"Tier 4",$H310="Zoning: Green Factor",OR($D310="",$D310&lt;6)),
Error!$B$11,
IF(AND(_xlpm.baseRow,$D310&lt;6,$E310="&lt;6in DSH for Tree Points",_xlpm.TreePoints_H=0),
Error!$B$21,
IF(AND(_xlpm.baseRow,$E310&lt;&gt;"",$D310&lt;&gt;"",$F310=""),
Error!$B$4,
IF(AND(_xlpm.baseRow,$F310="Remove",OR($E310="Tier 1",$E310="Tier 2",$E310="Tier 2 Grove"),COUNTBLANK(_xlpm.HRange)&lt;3,_xlpm.uniqueH&gt;=2),
Error!$B$48,
IF(AND(_xlpm.baseRow,$F310="Retain",OR($E310="Tier 1",$E310="Tier 2",$E310="Tier 2 Grove"),COUNTIF(_xlpm.HRange,"Tree Code: Required to Retain Tier 1-2 Tree")=0),
Error!$B$47,
IF(AND(_xlpm.baseRow,$E310&lt;&gt;"",$D310&lt;&gt;"",$F310&lt;&gt;"",COUNTBLANK(_xlpm.HRange)=4),
Error!$B$5,
IF(AND($F310="Remove",$H310&lt;&gt;"",$I310=""),
Error!$B$18,
IF(AND($E310="Tier 4",$F310="Remove",$H310="Tree Protection Code: Tier 3 or Tier 4 Allowance",$H310&lt;&gt;"",ISNA(MATCH($I310,Tables!$B$200,0))),
Error!$B$17,
IF(AND($E310="Tier 3",$F310="Remove",$H310&lt;&gt;"",$H310="Tree Protection Code: Tier 3 or Tier 4 Allowance",OR($I310="",ISNA(MATCH($I310,Tables!$B$193:$B$197,0)))),
Error!$B$17,
IF(AND(OR($E310="Tier 2",$E310="Tier 2 Grove"),$F310="Remove",$H310="Tree Protection Code: Other removal allowance or exemption",$I310&lt;&gt;"",ISNA(MATCH($I310,Tables!$B$215:$B$218,0))),
Error!$B$17,
IF(AND(OR($E310="Tier 2",$E310="Tier 2 Grove"),$F310="Remove",$H310="Tree Protection Code: Development Capacity",$I310&lt;&gt;"",ISNA(MATCH($I310,Tables!$B$193:$B$197,0))),
Error!$B$17,
IF(AND(OR($E310="Tier 2",$E310="Tier 2 Grove"),$F310="Remove",$H310="Tree Protection Code: Necessary for Construction",$I310&lt;&gt;"",ISNA(MATCH($I310,Tables!$B$193:$B$197,0))),
Error!$B$17,
IF(AND($E310="Tier 1",$F310="Remove",$H310="Tree Protection Code: Special Exception",$I310&lt;&gt;"",ISNA(MATCH($I310,Tables!$B$215:$B$218,0))),
Error!$B$17,
IF(AND($E310="Tier 1",$F310="Remove",$H310="Tree Protection Code: Other removal allowance or exemption",$I310&lt;&gt;"",ISNA(MATCH($I310,Tables!$B$215:$B$218,0))),
Error!$B$17,
IF(AND($E310="ECA / Shoreline Tree",$F310="Remove",$H310&lt;&gt;"",OR($H310="Shoreline",$H310="Environmental Critical Area (ECA)"),ISNA(MATCH($I310,Tables!$B$209:$B$212,0))),
Error!$B$17,
IF(AND(_xlpm.baseRow,$F310="Retain",$E310="ECA / Shoreline Tree",_xlpm.ECA_Short=0),
Error!$B$61,
IF(AND($F310="Remove",ISNUMBER(MATCH($E310,{"Tier 1","Tier 2","Tier 3","Tier 4","Tier 2 Grove"},0)),ISNUMBER(MATCH($I310,{"On-site replacement","Off-site replacement"},0)),$J310="",$H310&lt;&gt;""),
Error!$B$19,
IF(AND(_xlpm.baseRow,$E310&lt;&gt;"",$D310&lt;&gt;"",$F310&lt;&gt;"",COUNTBLANK($B310:$C310)&gt;0,COUNTBLANK(_xlpm.HRange)&lt;&gt;4),
Error!$B$22,
IF(AND($H310="Zoning: Tree Points",$K310&lt;&gt;"",ISNA(MATCH($K310,Tables!$B$242:$B$253,0))),
Error!$B$58,
IF(AND($H310="Zoning: Tree Points",$K310="Small",$L310&lt;&gt;"",ISNA(MATCH($L310,Tables!$C$243:$C$244,0))),
Error!$B$59,
IF(AND($H310="Zoning: Tree Points",$K310="Small/Medium",$L310&lt;&gt;"",ISNA(MATCH($L310,Tables!$C$246:$C$247,0))),
Error!$B$59,
IF(AND($H310="Zoning: Tree Points",$K310="Medium/Large",$L310&lt;&gt;"",ISNA(MATCH($L310,Tables!$C$249:$C$250,0))),
Error!$B$59,
IF(AND($H310="Zoning: Tree Points",$K310="Large",$L310&lt;&gt;"",ISNA(MATCH($L310,Tables!$C$252:$C$253,0))),
Error!$B$59,
IF(AND($F310="Retain",$H310="Zoning: Tree Points",$C310&lt;&gt;"",$D310&lt;&gt;"",OR($K310="",$L310="",$M310="")),
Error!$B$20,
""
)))))))))))))))))))))))))))))))))))))))))))))))))))))))),
Error!$B$23))</f>
        <v/>
      </c>
      <c r="O310" s="343" t="str" cm="1">
        <f t="array" aca="1" ref="O310" ca="1">IFERROR(_xlfn.LET(
    _xlpm.txt, $C310,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11" spans="1:15" ht="15" thickBot="1" x14ac:dyDescent="0.35">
      <c r="A311" s="311">
        <v>76</v>
      </c>
      <c r="B311" s="312"/>
      <c r="C311" s="313"/>
      <c r="D311" s="478"/>
      <c r="E311" s="314"/>
      <c r="F311" s="314"/>
      <c r="G311" s="315" t="str">
        <f>IF(Tree_Table1[[#This Row],[Tree Status  &amp;]]="Retain", Tables!$B$237, IF(Tree_Table1[[#This Row],[Tree Status  &amp;]]="Remove", Tables!$B$238, ""))</f>
        <v/>
      </c>
      <c r="H311" s="316"/>
      <c r="I311" s="317"/>
      <c r="J311" s="452"/>
      <c r="K311" s="318" t="str">
        <f>IFERROR(
    IF(
        AND($H311="Zoning: Tree Points", NOT(ISNUMBER(SEARCH("sp.", $C311)))),
        VLOOKUP($C311, 'Tree List'!$C$3:$F$601, 4, FALSE),
        ""
    ),
"")</f>
        <v/>
      </c>
      <c r="L311" s="319" t="str" cm="1">
        <f t="array" ref="L311">IFERROR(
IF(
    AND($H311="Zoning: Tree Points", NOT(ISNUMBER(SEARCH("sp.", $C311)))),
    _xlfn.IFS(
        (COUNTIFS('Tree List'!$C$3:$C$601,$C311,'Tree List'!$D$3:$D$601,"Coniferous")
        + COUNTIFS('Tree List'!$C$3:$C$601,$C311,'Tree List'!$D$3:$D$601,"Deciduous Conifer")) &gt; 0,
            _xlfn.IFS($K311="Small",0.5,$K311="Small/Medium",1,$K311="Medium/Large",1.4,$K311="Large",1.8),
        (COUNTIFS('Tree List'!$C$3:$C$601,$C311,'Tree List'!$D$3:$D$601,"Deciduous")
        + COUNTIFS('Tree List'!$C$3:$C$601,$C311,'Tree List'!$D$3:$D$601,"Broadleaf Evergreen")) &gt; 0,
            _xlfn.IFS($K311="Small",0.4,$K311="Small/Medium",0.8,$K311="Medium/Large",1.2,$K311="Large",1.6)
    ),
    ""
),
"")</f>
        <v/>
      </c>
      <c r="M311" s="474" t="str">
        <f t="shared" si="330"/>
        <v/>
      </c>
      <c r="N311" s="620" t="str" cm="1">
        <f t="array" aca="1" ref="N31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IF(AND(_xlpm.baseRow,ISNA(MATCH($C311,'Tree List'!$C$3:$C$601,0)),SUMPRODUCT(--ISNUMBER(SEARCH(Tables2!$C$677:$C$772,$O311)))&gt;0),
Error!$B$57,
IF(AND(_xlpm.hasDM,$F311="Remove",$H311&lt;&gt;"",OR($I311="On-site replacement",$I311="Off-site replacement",$I311="Payment In Lieu")),
Error!$B$56,
IF(AND(_xlpm.hasDM,$F311="Remove",$H311&lt;&gt;"",$I311="Relocation"),
Error!$B$66,
IF(AND(OR(_xlpm.hasCN,_xlpm.hasPH,_xlpm.hasGR),$H311&lt;&gt;"",COUNTIF(Tables!$B$132:$B$134,$H311)&gt;0,$I311="N/A (No replacement required)"),
Error!$B$62,
IF(AND(_xlpm.baseRow,$E311&lt;&gt;"",ISNA(MATCH($E311,Tables!$B$225:$B$232,0))),
Error!$B$2,
IF(AND(_xlpm.baseRow,$F311&lt;&gt;"",ISNA(MATCH($F311,Tables!$B$234:$B$235,0))),
Error!$B$24,
IF(AND(_xlpm.baseRow,_xlpm.ECA_H&gt;0,_xlpm.Shore_H&gt;0),
Error!$B$16,
IF(AND(_xlpm.baseRow,$E311&lt;&gt;"",$D311=""),
Error!$B$3,
IF(AND(_xlpm.baseRow,OR($E311="Tier 3",$E311="Tier 4"),$C311&lt;&gt;"",$D311&gt;=24,COUNTIF(Tables2!$B$166:$B$674,$C311)&gt;0),
Error!$B$44,
IF(AND(_xlpm.baseRow,OR($E311="Tier 3",$E311="Tier 4"),$C311&lt;&gt;"",$D311&lt;&gt;"",COUNTIF(Tables2!$B$73:$B$152,$C311)&gt;0,
$D311&gt;=IFERROR(INDEX(Tables2!$C$73:$C$152,MATCH($C311,Tables2!$B$73:$B$152,0)),-1)),
Error!$B$44,
IF(AND(_xlpm.baseRow,OR($E311="Tier 2",$E311="Tier 2 Grove"),$C311&lt;&gt;"",$D311&gt;=12,COUNTIF(Tables2!$B$153:$B$162,$C311)&gt;0),
Error!$B$45,
IF(AND(_xlpm.baseRow,$E311="Tier 2 Grove",$D311&lt;12),
Error!$B$41,
IF(AND(_xlpm.baseRow,$E311="Tier 2",$D311&lt;5.88),
Error!$B$40,
IF(AND(_xlpm.baseRow,OR($E311="Tier 2",$E311="Tier 2 Grove"),$C311&lt;&gt;"",$D311&lt;12,$D311&gt;=6,COUNTIF(Tables2!$B$153:$B$162,$C311)&gt;0),
Error!$B$54,
IF(AND(_xlpm.baseRow,$E311="Tier 2",COUNTIF(Tables2!$B$166:$B$674,$C311)&gt;0,$D311&lt;24),
Error!$B$54,
IF(AND(_xlpm.baseRow,$E311="Tier 3",ISNA(MATCH($C311,Tables2!$B$153:$B$162,0)),OR($D311&lt;12,$D311&gt;=24)),
Error!$B$9,
IF(AND(_xlpm.baseRow,$E311="Tier 3",COUNTIF(Tables2!$B$153:$B$162,$C311)&gt;0,$D311&lt;12),
Error!$B$46,
IF(AND(_xlpm.baseRow,$E311="Tier 4",OR($D311&lt;6,$D311&gt;=12)),
Error!$B$10,
IF(AND(_xlpm.baseRow,$E311="&lt;6in DSH for Tree Points",OR($D311&gt;=6,$D311="")),
Error!$B$8,
IF(AND(_xlpm.baseRow,$E311="Street Tree for Green Factor",$F311&lt;&gt;"",$F311&lt;&gt;"Retain"),
Error!$B$14,
IF(AND($E311="&lt;6in DSH for Tree Points",$F311="Retain",$H311&lt;&gt;"",ISNA(MATCH($H311,Tables!$B$174:$B$174,0))),
Error!$B$15,
IF(AND($E311="Street Tree for Green Factor",$F311="Retain",$H311&lt;&gt;"",$H311&lt;&gt;"Zoning: Green Factor"),
Error!$B$15,
IF(AND($E311="ECA / Shoreline Tree",$F311="Remove",$H311&lt;&gt;"",ISNA(MATCH($H311,Tables!$B$189:$B$190,0))),
Error!$B$15,
IF(AND($E311="ECA / Shoreline Tree",$F311="Retain",$H311&lt;&gt;"",ISNA(MATCH($H311,Tables!$B$184:$B$186,0))),
Error!$B$15,
IF(AND($E311="Tier 4",$F311="Remove",$H311&lt;&gt;"",ISNA(MATCH($H311,Tables!$B$171,0))),
Error!$B$15,
IF(AND($E311="Tier 4",$F311="Retain",$H311&lt;&gt;"",ISNA(MATCH($H311,Tables!$B$166:$B$168,0))),
Error!$B$15,
IF(AND($E311="Tier 3",$F311="Retain",$H311&lt;&gt;"",ISNA(MATCH($H311,Tables!$B$158:$B$160,0))),
Error!$B$15,
IF(AND($E311="Tier 3",$F311="Remove",$H311&lt;&gt;"",ISNA(MATCH($H311,Tables!$B$163,0))),
Error!$B$15,
IF(AND(OR($E311="Tier 2",$E311="Tier 2 Grove"),$F311="Remove",$H311&lt;&gt;"",ISNA(MATCH($H311,Tables!$B$153:$B$155,0))),
Error!$B$15,
IF(AND(OR($E311="Tier 2",$E311="Tier 2 Grove"),$F311="Retain",$H311&lt;&gt;"",ISNA(MATCH($H311,Tables!$B$147:$B$150,0))),
Error!$B$15,
IF(AND($E311="Tier 1",$F311="Remove",$H311&lt;&gt;"",ISNA(MATCH($H311,Tables!$B$143:$B$144,0))),
Error!$B$15,
IF(AND($E311="Tier 1",$F311="Retain",$H311&lt;&gt;"",ISNA(MATCH($H311,Tables!$B$137:$B$140,0))),
Error!$B$15,
IF(AND($E311&lt;&gt;"Tier 2",$E311&lt;&gt;"Tier 2 Grove",$E311&lt;&gt;"Tier 3",$E311&lt;&gt;"Tier 4",$H311="Zoning: Green Factor",OR($D311="",$D311&lt;6)),
Error!$B$11,
IF(AND(_xlpm.baseRow,$D311&lt;6,$E311="&lt;6in DSH for Tree Points",_xlpm.TreePoints_H=0),
Error!$B$21,
IF(AND(_xlpm.baseRow,$E311&lt;&gt;"",$D311&lt;&gt;"",$F311=""),
Error!$B$4,
IF(AND(_xlpm.baseRow,$F311="Remove",OR($E311="Tier 1",$E311="Tier 2",$E311="Tier 2 Grove"),COUNTBLANK(_xlpm.HRange)&lt;3,_xlpm.uniqueH&gt;=2),
Error!$B$48,
IF(AND(_xlpm.baseRow,$F311="Retain",OR($E311="Tier 1",$E311="Tier 2",$E311="Tier 2 Grove"),COUNTIF(_xlpm.HRange,"Tree Code: Required to Retain Tier 1-2 Tree")=0),
Error!$B$47,
IF(AND(_xlpm.baseRow,$E311&lt;&gt;"",$D311&lt;&gt;"",$F311&lt;&gt;"",COUNTBLANK(_xlpm.HRange)=4),
Error!$B$5,
IF(AND($F311="Remove",$H311&lt;&gt;"",$I311=""),
Error!$B$18,
IF(AND($E311="Tier 4",$F311="Remove",$H311="Tree Protection Code: Tier 3 or Tier 4 Allowance",$H311&lt;&gt;"",ISNA(MATCH($I311,Tables!$B$200,0))),
Error!$B$17,
IF(AND($E311="Tier 3",$F311="Remove",$H311&lt;&gt;"",$H311="Tree Protection Code: Tier 3 or Tier 4 Allowance",OR($I311="",ISNA(MATCH($I311,Tables!$B$193:$B$197,0)))),
Error!$B$17,
IF(AND(OR($E311="Tier 2",$E311="Tier 2 Grove"),$F311="Remove",$H311="Tree Protection Code: Other removal allowance or exemption",$I311&lt;&gt;"",ISNA(MATCH($I311,Tables!$B$215:$B$218,0))),
Error!$B$17,
IF(AND(OR($E311="Tier 2",$E311="Tier 2 Grove"),$F311="Remove",$H311="Tree Protection Code: Development Capacity",$I311&lt;&gt;"",ISNA(MATCH($I311,Tables!$B$193:$B$197,0))),
Error!$B$17,
IF(AND(OR($E311="Tier 2",$E311="Tier 2 Grove"),$F311="Remove",$H311="Tree Protection Code: Necessary for Construction",$I311&lt;&gt;"",ISNA(MATCH($I311,Tables!$B$193:$B$197,0))),
Error!$B$17,
IF(AND($E311="Tier 1",$F311="Remove",$H311="Tree Protection Code: Special Exception",$I311&lt;&gt;"",ISNA(MATCH($I311,Tables!$B$215:$B$218,0))),
Error!$B$17,
IF(AND($E311="Tier 1",$F311="Remove",$H311="Tree Protection Code: Other removal allowance or exemption",$I311&lt;&gt;"",ISNA(MATCH($I311,Tables!$B$215:$B$218,0))),
Error!$B$17,
IF(AND($E311="ECA / Shoreline Tree",$F311="Remove",$H311&lt;&gt;"",OR($H311="Shoreline",$H311="Environmental Critical Area (ECA)"),ISNA(MATCH($I311,Tables!$B$209:$B$212,0))),
Error!$B$17,
IF(AND(_xlpm.baseRow,$F311="Retain",$E311="ECA / Shoreline Tree",_xlpm.ECA_Short=0),
Error!$B$61,
IF(AND($F311="Remove",ISNUMBER(MATCH($E311,{"Tier 1","Tier 2","Tier 3","Tier 4","Tier 2 Grove"},0)),ISNUMBER(MATCH($I311,{"On-site replacement","Off-site replacement"},0)),$J311="",$H311&lt;&gt;""),
Error!$B$19,
IF(AND(_xlpm.baseRow,$E311&lt;&gt;"",$D311&lt;&gt;"",$F311&lt;&gt;"",COUNTBLANK($B311:$C311)&gt;0,COUNTBLANK(_xlpm.HRange)&lt;&gt;4),
Error!$B$22,
IF(AND($H311="Zoning: Tree Points",$K311&lt;&gt;"",ISNA(MATCH($K311,Tables!$B$242:$B$253,0))),
Error!$B$58,
IF(AND($H311="Zoning: Tree Points",$K311="Small",$L311&lt;&gt;"",ISNA(MATCH($L311,Tables!$C$243:$C$244,0))),
Error!$B$59,
IF(AND($H311="Zoning: Tree Points",$K311="Small/Medium",$L311&lt;&gt;"",ISNA(MATCH($L311,Tables!$C$246:$C$247,0))),
Error!$B$59,
IF(AND($H311="Zoning: Tree Points",$K311="Medium/Large",$L311&lt;&gt;"",ISNA(MATCH($L311,Tables!$C$249:$C$250,0))),
Error!$B$59,
IF(AND($H311="Zoning: Tree Points",$K311="Large",$L311&lt;&gt;"",ISNA(MATCH($L311,Tables!$C$252:$C$253,0))),
Error!$B$59,
IF(AND($F311="Retain",$H311="Zoning: Tree Points",$C311&lt;&gt;"",$D311&lt;&gt;"",OR($K311="",$L311="",$M311="")),
Error!$B$20,
""
)))))))))))))))))))))))))))))))))))))))))))))))))))))))),
Error!$B$23))</f>
        <v/>
      </c>
      <c r="O311" s="343" t="str" cm="1">
        <f t="array" aca="1" ref="O311" ca="1">IFERROR(_xlfn.LET(
    _xlpm.txt, $C311,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12" spans="1:15" x14ac:dyDescent="0.3">
      <c r="A312" s="320"/>
      <c r="B312" s="616" t="str">
        <f t="shared" ref="B312:B314" si="336">IF($B311="", "", $B311)</f>
        <v/>
      </c>
      <c r="C312" s="617" t="str">
        <f t="shared" ref="C312:C314" si="337">IF($C311="", "", $C311)</f>
        <v/>
      </c>
      <c r="D312" s="618" t="str">
        <f t="shared" ref="D312:D314" si="338">IF($D311="", "", $D311)</f>
        <v/>
      </c>
      <c r="E312" s="616" t="str">
        <f t="shared" ref="E312:E314" si="339">IF($E311="", "", $E311)</f>
        <v/>
      </c>
      <c r="F312" s="616" t="str">
        <f t="shared" ref="F312:F314" si="340">IF($F311="", "", $F311)</f>
        <v/>
      </c>
      <c r="G312" s="619" t="str">
        <f>IF(Tree_Table1[[#This Row],[Tree Status  &amp;]]="Retain", Tables!$B$237, IF(Tree_Table1[[#This Row],[Tree Status  &amp;]]="Remove", Tables!$B$238, ""))</f>
        <v/>
      </c>
      <c r="H312" s="321"/>
      <c r="I312" s="322"/>
      <c r="J312" s="453"/>
      <c r="K312" s="323" t="str">
        <f>IFERROR(
    IF(
        AND($H312="Zoning: Tree Points", NOT(ISNUMBER(SEARCH("sp.", $C312)))),
        VLOOKUP($C312, 'Tree List'!$C$3:$F$601, 4, FALSE),
        ""
    ),
"")</f>
        <v/>
      </c>
      <c r="L312" s="324" t="str" cm="1">
        <f t="array" ref="L312">IFERROR(
IF(
    AND($H312="Zoning: Tree Points", NOT(ISNUMBER(SEARCH("sp.", $C312)))),
    _xlfn.IFS(
        (COUNTIFS('Tree List'!$C$3:$C$601,$C312,'Tree List'!$D$3:$D$601,"Coniferous")
        + COUNTIFS('Tree List'!$C$3:$C$601,$C312,'Tree List'!$D$3:$D$601,"Deciduous Conifer")) &gt; 0,
            _xlfn.IFS($K312="Small",0.5,$K312="Small/Medium",1,$K312="Medium/Large",1.4,$K312="Large",1.8),
        (COUNTIFS('Tree List'!$C$3:$C$601,$C312,'Tree List'!$D$3:$D$601,"Deciduous")
        + COUNTIFS('Tree List'!$C$3:$C$601,$C312,'Tree List'!$D$3:$D$601,"Broadleaf Evergreen")) &gt; 0,
            _xlfn.IFS($K312="Small",0.4,$K312="Small/Medium",0.8,$K312="Medium/Large",1.2,$K312="Large",1.6)
    ),
    ""
),
"")</f>
        <v/>
      </c>
      <c r="M312" s="475" t="str">
        <f t="shared" si="330"/>
        <v/>
      </c>
      <c r="N312" s="346" t="str" cm="1">
        <f t="array" aca="1" ref="N31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IF(AND(_xlpm.baseRow,ISNA(MATCH($C312,'Tree List'!$C$3:$C$601,0)),SUMPRODUCT(--ISNUMBER(SEARCH(Tables2!$C$677:$C$772,$O312)))&gt;0),
Error!$B$57,
IF(AND(_xlpm.hasDM,$F312="Remove",$H312&lt;&gt;"",OR($I312="On-site replacement",$I312="Off-site replacement",$I312="Payment In Lieu")),
Error!$B$56,
IF(AND(_xlpm.hasDM,$F312="Remove",$H312&lt;&gt;"",$I312="Relocation"),
Error!$B$66,
IF(AND(OR(_xlpm.hasCN,_xlpm.hasPH,_xlpm.hasGR),$H312&lt;&gt;"",COUNTIF(Tables!$B$132:$B$134,$H312)&gt;0,$I312="N/A (No replacement required)"),
Error!$B$62,
IF(AND(_xlpm.baseRow,$E312&lt;&gt;"",ISNA(MATCH($E312,Tables!$B$225:$B$232,0))),
Error!$B$2,
IF(AND(_xlpm.baseRow,$F312&lt;&gt;"",ISNA(MATCH($F312,Tables!$B$234:$B$235,0))),
Error!$B$24,
IF(AND(_xlpm.baseRow,_xlpm.ECA_H&gt;0,_xlpm.Shore_H&gt;0),
Error!$B$16,
IF(AND(_xlpm.baseRow,$E312&lt;&gt;"",$D312=""),
Error!$B$3,
IF(AND(_xlpm.baseRow,OR($E312="Tier 3",$E312="Tier 4"),$C312&lt;&gt;"",$D312&gt;=24,COUNTIF(Tables2!$B$166:$B$674,$C312)&gt;0),
Error!$B$44,
IF(AND(_xlpm.baseRow,OR($E312="Tier 3",$E312="Tier 4"),$C312&lt;&gt;"",$D312&lt;&gt;"",COUNTIF(Tables2!$B$73:$B$152,$C312)&gt;0,
$D312&gt;=IFERROR(INDEX(Tables2!$C$73:$C$152,MATCH($C312,Tables2!$B$73:$B$152,0)),-1)),
Error!$B$44,
IF(AND(_xlpm.baseRow,OR($E312="Tier 2",$E312="Tier 2 Grove"),$C312&lt;&gt;"",$D312&gt;=12,COUNTIF(Tables2!$B$153:$B$162,$C312)&gt;0),
Error!$B$45,
IF(AND(_xlpm.baseRow,$E312="Tier 2 Grove",$D312&lt;12),
Error!$B$41,
IF(AND(_xlpm.baseRow,$E312="Tier 2",$D312&lt;5.88),
Error!$B$40,
IF(AND(_xlpm.baseRow,OR($E312="Tier 2",$E312="Tier 2 Grove"),$C312&lt;&gt;"",$D312&lt;12,$D312&gt;=6,COUNTIF(Tables2!$B$153:$B$162,$C312)&gt;0),
Error!$B$54,
IF(AND(_xlpm.baseRow,$E312="Tier 2",COUNTIF(Tables2!$B$166:$B$674,$C312)&gt;0,$D312&lt;24),
Error!$B$54,
IF(AND(_xlpm.baseRow,$E312="Tier 3",ISNA(MATCH($C312,Tables2!$B$153:$B$162,0)),OR($D312&lt;12,$D312&gt;=24)),
Error!$B$9,
IF(AND(_xlpm.baseRow,$E312="Tier 3",COUNTIF(Tables2!$B$153:$B$162,$C312)&gt;0,$D312&lt;12),
Error!$B$46,
IF(AND(_xlpm.baseRow,$E312="Tier 4",OR($D312&lt;6,$D312&gt;=12)),
Error!$B$10,
IF(AND(_xlpm.baseRow,$E312="&lt;6in DSH for Tree Points",OR($D312&gt;=6,$D312="")),
Error!$B$8,
IF(AND(_xlpm.baseRow,$E312="Street Tree for Green Factor",$F312&lt;&gt;"",$F312&lt;&gt;"Retain"),
Error!$B$14,
IF(AND($E312="&lt;6in DSH for Tree Points",$F312="Retain",$H312&lt;&gt;"",ISNA(MATCH($H312,Tables!$B$174:$B$174,0))),
Error!$B$15,
IF(AND($E312="Street Tree for Green Factor",$F312="Retain",$H312&lt;&gt;"",$H312&lt;&gt;"Zoning: Green Factor"),
Error!$B$15,
IF(AND($E312="ECA / Shoreline Tree",$F312="Remove",$H312&lt;&gt;"",ISNA(MATCH($H312,Tables!$B$189:$B$190,0))),
Error!$B$15,
IF(AND($E312="ECA / Shoreline Tree",$F312="Retain",$H312&lt;&gt;"",ISNA(MATCH($H312,Tables!$B$184:$B$186,0))),
Error!$B$15,
IF(AND($E312="Tier 4",$F312="Remove",$H312&lt;&gt;"",ISNA(MATCH($H312,Tables!$B$171,0))),
Error!$B$15,
IF(AND($E312="Tier 4",$F312="Retain",$H312&lt;&gt;"",ISNA(MATCH($H312,Tables!$B$166:$B$168,0))),
Error!$B$15,
IF(AND($E312="Tier 3",$F312="Retain",$H312&lt;&gt;"",ISNA(MATCH($H312,Tables!$B$158:$B$160,0))),
Error!$B$15,
IF(AND($E312="Tier 3",$F312="Remove",$H312&lt;&gt;"",ISNA(MATCH($H312,Tables!$B$163,0))),
Error!$B$15,
IF(AND(OR($E312="Tier 2",$E312="Tier 2 Grove"),$F312="Remove",$H312&lt;&gt;"",ISNA(MATCH($H312,Tables!$B$153:$B$155,0))),
Error!$B$15,
IF(AND(OR($E312="Tier 2",$E312="Tier 2 Grove"),$F312="Retain",$H312&lt;&gt;"",ISNA(MATCH($H312,Tables!$B$147:$B$150,0))),
Error!$B$15,
IF(AND($E312="Tier 1",$F312="Remove",$H312&lt;&gt;"",ISNA(MATCH($H312,Tables!$B$143:$B$144,0))),
Error!$B$15,
IF(AND($E312="Tier 1",$F312="Retain",$H312&lt;&gt;"",ISNA(MATCH($H312,Tables!$B$137:$B$140,0))),
Error!$B$15,
IF(AND($E312&lt;&gt;"Tier 2",$E312&lt;&gt;"Tier 2 Grove",$E312&lt;&gt;"Tier 3",$E312&lt;&gt;"Tier 4",$H312="Zoning: Green Factor",OR($D312="",$D312&lt;6)),
Error!$B$11,
IF(AND(_xlpm.baseRow,$D312&lt;6,$E312="&lt;6in DSH for Tree Points",_xlpm.TreePoints_H=0),
Error!$B$21,
IF(AND(_xlpm.baseRow,$E312&lt;&gt;"",$D312&lt;&gt;"",$F312=""),
Error!$B$4,
IF(AND(_xlpm.baseRow,$F312="Remove",OR($E312="Tier 1",$E312="Tier 2",$E312="Tier 2 Grove"),COUNTBLANK(_xlpm.HRange)&lt;3,_xlpm.uniqueH&gt;=2),
Error!$B$48,
IF(AND(_xlpm.baseRow,$F312="Retain",OR($E312="Tier 1",$E312="Tier 2",$E312="Tier 2 Grove"),COUNTIF(_xlpm.HRange,"Tree Code: Required to Retain Tier 1-2 Tree")=0),
Error!$B$47,
IF(AND(_xlpm.baseRow,$E312&lt;&gt;"",$D312&lt;&gt;"",$F312&lt;&gt;"",COUNTBLANK(_xlpm.HRange)=4),
Error!$B$5,
IF(AND($F312="Remove",$H312&lt;&gt;"",$I312=""),
Error!$B$18,
IF(AND($E312="Tier 4",$F312="Remove",$H312="Tree Protection Code: Tier 3 or Tier 4 Allowance",$H312&lt;&gt;"",ISNA(MATCH($I312,Tables!$B$200,0))),
Error!$B$17,
IF(AND($E312="Tier 3",$F312="Remove",$H312&lt;&gt;"",$H312="Tree Protection Code: Tier 3 or Tier 4 Allowance",OR($I312="",ISNA(MATCH($I312,Tables!$B$193:$B$197,0)))),
Error!$B$17,
IF(AND(OR($E312="Tier 2",$E312="Tier 2 Grove"),$F312="Remove",$H312="Tree Protection Code: Other removal allowance or exemption",$I312&lt;&gt;"",ISNA(MATCH($I312,Tables!$B$215:$B$218,0))),
Error!$B$17,
IF(AND(OR($E312="Tier 2",$E312="Tier 2 Grove"),$F312="Remove",$H312="Tree Protection Code: Development Capacity",$I312&lt;&gt;"",ISNA(MATCH($I312,Tables!$B$193:$B$197,0))),
Error!$B$17,
IF(AND(OR($E312="Tier 2",$E312="Tier 2 Grove"),$F312="Remove",$H312="Tree Protection Code: Necessary for Construction",$I312&lt;&gt;"",ISNA(MATCH($I312,Tables!$B$193:$B$197,0))),
Error!$B$17,
IF(AND($E312="Tier 1",$F312="Remove",$H312="Tree Protection Code: Special Exception",$I312&lt;&gt;"",ISNA(MATCH($I312,Tables!$B$215:$B$218,0))),
Error!$B$17,
IF(AND($E312="Tier 1",$F312="Remove",$H312="Tree Protection Code: Other removal allowance or exemption",$I312&lt;&gt;"",ISNA(MATCH($I312,Tables!$B$215:$B$218,0))),
Error!$B$17,
IF(AND($E312="ECA / Shoreline Tree",$F312="Remove",$H312&lt;&gt;"",OR($H312="Shoreline",$H312="Environmental Critical Area (ECA)"),ISNA(MATCH($I312,Tables!$B$209:$B$212,0))),
Error!$B$17,
IF(AND(_xlpm.baseRow,$F312="Retain",$E312="ECA / Shoreline Tree",_xlpm.ECA_Short=0),
Error!$B$61,
IF(AND($F312="Remove",ISNUMBER(MATCH($E312,{"Tier 1","Tier 2","Tier 3","Tier 4","Tier 2 Grove"},0)),ISNUMBER(MATCH($I312,{"On-site replacement","Off-site replacement"},0)),$J312="",$H312&lt;&gt;""),
Error!$B$19,
IF(AND(_xlpm.baseRow,$E312&lt;&gt;"",$D312&lt;&gt;"",$F312&lt;&gt;"",COUNTBLANK($B312:$C312)&gt;0,COUNTBLANK(_xlpm.HRange)&lt;&gt;4),
Error!$B$22,
IF(AND($H312="Zoning: Tree Points",$K312&lt;&gt;"",ISNA(MATCH($K312,Tables!$B$242:$B$253,0))),
Error!$B$58,
IF(AND($H312="Zoning: Tree Points",$K312="Small",$L312&lt;&gt;"",ISNA(MATCH($L312,Tables!$C$243:$C$244,0))),
Error!$B$59,
IF(AND($H312="Zoning: Tree Points",$K312="Small/Medium",$L312&lt;&gt;"",ISNA(MATCH($L312,Tables!$C$246:$C$247,0))),
Error!$B$59,
IF(AND($H312="Zoning: Tree Points",$K312="Medium/Large",$L312&lt;&gt;"",ISNA(MATCH($L312,Tables!$C$249:$C$250,0))),
Error!$B$59,
IF(AND($H312="Zoning: Tree Points",$K312="Large",$L312&lt;&gt;"",ISNA(MATCH($L312,Tables!$C$252:$C$253,0))),
Error!$B$59,
IF(AND($F312="Retain",$H312="Zoning: Tree Points",$C312&lt;&gt;"",$D312&lt;&gt;"",OR($K312="",$L312="",$M312="")),
Error!$B$20,
""
)))))))))))))))))))))))))))))))))))))))))))))))))))))))),
Error!$B$23))</f>
        <v/>
      </c>
      <c r="O312" s="343" t="str" cm="1">
        <f t="array" aca="1" ref="O312" ca="1">IFERROR(_xlfn.LET(
    _xlpm.txt, $C312,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13" spans="1:15" x14ac:dyDescent="0.3">
      <c r="A313" s="320"/>
      <c r="B313" s="616" t="str">
        <f t="shared" si="336"/>
        <v/>
      </c>
      <c r="C313" s="617" t="str">
        <f t="shared" si="337"/>
        <v/>
      </c>
      <c r="D313" s="618" t="str">
        <f t="shared" si="338"/>
        <v/>
      </c>
      <c r="E313" s="616" t="str">
        <f t="shared" si="339"/>
        <v/>
      </c>
      <c r="F313" s="616" t="str">
        <f t="shared" si="340"/>
        <v/>
      </c>
      <c r="G313" s="619" t="str">
        <f>IF(Tree_Table1[[#This Row],[Tree Status  &amp;]]="Retain", Tables!$B$237, IF(Tree_Table1[[#This Row],[Tree Status  &amp;]]="Remove", Tables!$B$238, ""))</f>
        <v/>
      </c>
      <c r="H313" s="321"/>
      <c r="I313" s="322"/>
      <c r="J313" s="453"/>
      <c r="K313" s="323" t="str">
        <f>IFERROR(
    IF(
        AND($H313="Zoning: Tree Points", NOT(ISNUMBER(SEARCH("sp.", $C313)))),
        VLOOKUP($C313, 'Tree List'!$C$3:$F$601, 4, FALSE),
        ""
    ),
"")</f>
        <v/>
      </c>
      <c r="L313" s="324" t="str" cm="1">
        <f t="array" ref="L313">IFERROR(
IF(
    AND($H313="Zoning: Tree Points", NOT(ISNUMBER(SEARCH("sp.", $C313)))),
    _xlfn.IFS(
        (COUNTIFS('Tree List'!$C$3:$C$601,$C313,'Tree List'!$D$3:$D$601,"Coniferous")
        + COUNTIFS('Tree List'!$C$3:$C$601,$C313,'Tree List'!$D$3:$D$601,"Deciduous Conifer")) &gt; 0,
            _xlfn.IFS($K313="Small",0.5,$K313="Small/Medium",1,$K313="Medium/Large",1.4,$K313="Large",1.8),
        (COUNTIFS('Tree List'!$C$3:$C$601,$C313,'Tree List'!$D$3:$D$601,"Deciduous")
        + COUNTIFS('Tree List'!$C$3:$C$601,$C313,'Tree List'!$D$3:$D$601,"Broadleaf Evergreen")) &gt; 0,
            _xlfn.IFS($K313="Small",0.4,$K313="Small/Medium",0.8,$K313="Medium/Large",1.2,$K313="Large",1.6)
    ),
    ""
),
"")</f>
        <v/>
      </c>
      <c r="M313" s="475" t="str">
        <f t="shared" si="330"/>
        <v/>
      </c>
      <c r="N313" s="346" t="str" cm="1">
        <f t="array" aca="1" ref="N31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IF(AND(_xlpm.baseRow,ISNA(MATCH($C313,'Tree List'!$C$3:$C$601,0)),SUMPRODUCT(--ISNUMBER(SEARCH(Tables2!$C$677:$C$772,$O313)))&gt;0),
Error!$B$57,
IF(AND(_xlpm.hasDM,$F313="Remove",$H313&lt;&gt;"",OR($I313="On-site replacement",$I313="Off-site replacement",$I313="Payment In Lieu")),
Error!$B$56,
IF(AND(_xlpm.hasDM,$F313="Remove",$H313&lt;&gt;"",$I313="Relocation"),
Error!$B$66,
IF(AND(OR(_xlpm.hasCN,_xlpm.hasPH,_xlpm.hasGR),$H313&lt;&gt;"",COUNTIF(Tables!$B$132:$B$134,$H313)&gt;0,$I313="N/A (No replacement required)"),
Error!$B$62,
IF(AND(_xlpm.baseRow,$E313&lt;&gt;"",ISNA(MATCH($E313,Tables!$B$225:$B$232,0))),
Error!$B$2,
IF(AND(_xlpm.baseRow,$F313&lt;&gt;"",ISNA(MATCH($F313,Tables!$B$234:$B$235,0))),
Error!$B$24,
IF(AND(_xlpm.baseRow,_xlpm.ECA_H&gt;0,_xlpm.Shore_H&gt;0),
Error!$B$16,
IF(AND(_xlpm.baseRow,$E313&lt;&gt;"",$D313=""),
Error!$B$3,
IF(AND(_xlpm.baseRow,OR($E313="Tier 3",$E313="Tier 4"),$C313&lt;&gt;"",$D313&gt;=24,COUNTIF(Tables2!$B$166:$B$674,$C313)&gt;0),
Error!$B$44,
IF(AND(_xlpm.baseRow,OR($E313="Tier 3",$E313="Tier 4"),$C313&lt;&gt;"",$D313&lt;&gt;"",COUNTIF(Tables2!$B$73:$B$152,$C313)&gt;0,
$D313&gt;=IFERROR(INDEX(Tables2!$C$73:$C$152,MATCH($C313,Tables2!$B$73:$B$152,0)),-1)),
Error!$B$44,
IF(AND(_xlpm.baseRow,OR($E313="Tier 2",$E313="Tier 2 Grove"),$C313&lt;&gt;"",$D313&gt;=12,COUNTIF(Tables2!$B$153:$B$162,$C313)&gt;0),
Error!$B$45,
IF(AND(_xlpm.baseRow,$E313="Tier 2 Grove",$D313&lt;12),
Error!$B$41,
IF(AND(_xlpm.baseRow,$E313="Tier 2",$D313&lt;5.88),
Error!$B$40,
IF(AND(_xlpm.baseRow,OR($E313="Tier 2",$E313="Tier 2 Grove"),$C313&lt;&gt;"",$D313&lt;12,$D313&gt;=6,COUNTIF(Tables2!$B$153:$B$162,$C313)&gt;0),
Error!$B$54,
IF(AND(_xlpm.baseRow,$E313="Tier 2",COUNTIF(Tables2!$B$166:$B$674,$C313)&gt;0,$D313&lt;24),
Error!$B$54,
IF(AND(_xlpm.baseRow,$E313="Tier 3",ISNA(MATCH($C313,Tables2!$B$153:$B$162,0)),OR($D313&lt;12,$D313&gt;=24)),
Error!$B$9,
IF(AND(_xlpm.baseRow,$E313="Tier 3",COUNTIF(Tables2!$B$153:$B$162,$C313)&gt;0,$D313&lt;12),
Error!$B$46,
IF(AND(_xlpm.baseRow,$E313="Tier 4",OR($D313&lt;6,$D313&gt;=12)),
Error!$B$10,
IF(AND(_xlpm.baseRow,$E313="&lt;6in DSH for Tree Points",OR($D313&gt;=6,$D313="")),
Error!$B$8,
IF(AND(_xlpm.baseRow,$E313="Street Tree for Green Factor",$F313&lt;&gt;"",$F313&lt;&gt;"Retain"),
Error!$B$14,
IF(AND($E313="&lt;6in DSH for Tree Points",$F313="Retain",$H313&lt;&gt;"",ISNA(MATCH($H313,Tables!$B$174:$B$174,0))),
Error!$B$15,
IF(AND($E313="Street Tree for Green Factor",$F313="Retain",$H313&lt;&gt;"",$H313&lt;&gt;"Zoning: Green Factor"),
Error!$B$15,
IF(AND($E313="ECA / Shoreline Tree",$F313="Remove",$H313&lt;&gt;"",ISNA(MATCH($H313,Tables!$B$189:$B$190,0))),
Error!$B$15,
IF(AND($E313="ECA / Shoreline Tree",$F313="Retain",$H313&lt;&gt;"",ISNA(MATCH($H313,Tables!$B$184:$B$186,0))),
Error!$B$15,
IF(AND($E313="Tier 4",$F313="Remove",$H313&lt;&gt;"",ISNA(MATCH($H313,Tables!$B$171,0))),
Error!$B$15,
IF(AND($E313="Tier 4",$F313="Retain",$H313&lt;&gt;"",ISNA(MATCH($H313,Tables!$B$166:$B$168,0))),
Error!$B$15,
IF(AND($E313="Tier 3",$F313="Retain",$H313&lt;&gt;"",ISNA(MATCH($H313,Tables!$B$158:$B$160,0))),
Error!$B$15,
IF(AND($E313="Tier 3",$F313="Remove",$H313&lt;&gt;"",ISNA(MATCH($H313,Tables!$B$163,0))),
Error!$B$15,
IF(AND(OR($E313="Tier 2",$E313="Tier 2 Grove"),$F313="Remove",$H313&lt;&gt;"",ISNA(MATCH($H313,Tables!$B$153:$B$155,0))),
Error!$B$15,
IF(AND(OR($E313="Tier 2",$E313="Tier 2 Grove"),$F313="Retain",$H313&lt;&gt;"",ISNA(MATCH($H313,Tables!$B$147:$B$150,0))),
Error!$B$15,
IF(AND($E313="Tier 1",$F313="Remove",$H313&lt;&gt;"",ISNA(MATCH($H313,Tables!$B$143:$B$144,0))),
Error!$B$15,
IF(AND($E313="Tier 1",$F313="Retain",$H313&lt;&gt;"",ISNA(MATCH($H313,Tables!$B$137:$B$140,0))),
Error!$B$15,
IF(AND($E313&lt;&gt;"Tier 2",$E313&lt;&gt;"Tier 2 Grove",$E313&lt;&gt;"Tier 3",$E313&lt;&gt;"Tier 4",$H313="Zoning: Green Factor",OR($D313="",$D313&lt;6)),
Error!$B$11,
IF(AND(_xlpm.baseRow,$D313&lt;6,$E313="&lt;6in DSH for Tree Points",_xlpm.TreePoints_H=0),
Error!$B$21,
IF(AND(_xlpm.baseRow,$E313&lt;&gt;"",$D313&lt;&gt;"",$F313=""),
Error!$B$4,
IF(AND(_xlpm.baseRow,$F313="Remove",OR($E313="Tier 1",$E313="Tier 2",$E313="Tier 2 Grove"),COUNTBLANK(_xlpm.HRange)&lt;3,_xlpm.uniqueH&gt;=2),
Error!$B$48,
IF(AND(_xlpm.baseRow,$F313="Retain",OR($E313="Tier 1",$E313="Tier 2",$E313="Tier 2 Grove"),COUNTIF(_xlpm.HRange,"Tree Code: Required to Retain Tier 1-2 Tree")=0),
Error!$B$47,
IF(AND(_xlpm.baseRow,$E313&lt;&gt;"",$D313&lt;&gt;"",$F313&lt;&gt;"",COUNTBLANK(_xlpm.HRange)=4),
Error!$B$5,
IF(AND($F313="Remove",$H313&lt;&gt;"",$I313=""),
Error!$B$18,
IF(AND($E313="Tier 4",$F313="Remove",$H313="Tree Protection Code: Tier 3 or Tier 4 Allowance",$H313&lt;&gt;"",ISNA(MATCH($I313,Tables!$B$200,0))),
Error!$B$17,
IF(AND($E313="Tier 3",$F313="Remove",$H313&lt;&gt;"",$H313="Tree Protection Code: Tier 3 or Tier 4 Allowance",OR($I313="",ISNA(MATCH($I313,Tables!$B$193:$B$197,0)))),
Error!$B$17,
IF(AND(OR($E313="Tier 2",$E313="Tier 2 Grove"),$F313="Remove",$H313="Tree Protection Code: Other removal allowance or exemption",$I313&lt;&gt;"",ISNA(MATCH($I313,Tables!$B$215:$B$218,0))),
Error!$B$17,
IF(AND(OR($E313="Tier 2",$E313="Tier 2 Grove"),$F313="Remove",$H313="Tree Protection Code: Development Capacity",$I313&lt;&gt;"",ISNA(MATCH($I313,Tables!$B$193:$B$197,0))),
Error!$B$17,
IF(AND(OR($E313="Tier 2",$E313="Tier 2 Grove"),$F313="Remove",$H313="Tree Protection Code: Necessary for Construction",$I313&lt;&gt;"",ISNA(MATCH($I313,Tables!$B$193:$B$197,0))),
Error!$B$17,
IF(AND($E313="Tier 1",$F313="Remove",$H313="Tree Protection Code: Special Exception",$I313&lt;&gt;"",ISNA(MATCH($I313,Tables!$B$215:$B$218,0))),
Error!$B$17,
IF(AND($E313="Tier 1",$F313="Remove",$H313="Tree Protection Code: Other removal allowance or exemption",$I313&lt;&gt;"",ISNA(MATCH($I313,Tables!$B$215:$B$218,0))),
Error!$B$17,
IF(AND($E313="ECA / Shoreline Tree",$F313="Remove",$H313&lt;&gt;"",OR($H313="Shoreline",$H313="Environmental Critical Area (ECA)"),ISNA(MATCH($I313,Tables!$B$209:$B$212,0))),
Error!$B$17,
IF(AND(_xlpm.baseRow,$F313="Retain",$E313="ECA / Shoreline Tree",_xlpm.ECA_Short=0),
Error!$B$61,
IF(AND($F313="Remove",ISNUMBER(MATCH($E313,{"Tier 1","Tier 2","Tier 3","Tier 4","Tier 2 Grove"},0)),ISNUMBER(MATCH($I313,{"On-site replacement","Off-site replacement"},0)),$J313="",$H313&lt;&gt;""),
Error!$B$19,
IF(AND(_xlpm.baseRow,$E313&lt;&gt;"",$D313&lt;&gt;"",$F313&lt;&gt;"",COUNTBLANK($B313:$C313)&gt;0,COUNTBLANK(_xlpm.HRange)&lt;&gt;4),
Error!$B$22,
IF(AND($H313="Zoning: Tree Points",$K313&lt;&gt;"",ISNA(MATCH($K313,Tables!$B$242:$B$253,0))),
Error!$B$58,
IF(AND($H313="Zoning: Tree Points",$K313="Small",$L313&lt;&gt;"",ISNA(MATCH($L313,Tables!$C$243:$C$244,0))),
Error!$B$59,
IF(AND($H313="Zoning: Tree Points",$K313="Small/Medium",$L313&lt;&gt;"",ISNA(MATCH($L313,Tables!$C$246:$C$247,0))),
Error!$B$59,
IF(AND($H313="Zoning: Tree Points",$K313="Medium/Large",$L313&lt;&gt;"",ISNA(MATCH($L313,Tables!$C$249:$C$250,0))),
Error!$B$59,
IF(AND($H313="Zoning: Tree Points",$K313="Large",$L313&lt;&gt;"",ISNA(MATCH($L313,Tables!$C$252:$C$253,0))),
Error!$B$59,
IF(AND($F313="Retain",$H313="Zoning: Tree Points",$C313&lt;&gt;"",$D313&lt;&gt;"",OR($K313="",$L313="",$M313="")),
Error!$B$20,
""
)))))))))))))))))))))))))))))))))))))))))))))))))))))))),
Error!$B$23))</f>
        <v/>
      </c>
      <c r="O313" s="343" t="str" cm="1">
        <f t="array" aca="1" ref="O313" ca="1">IFERROR(_xlfn.LET(
    _xlpm.txt, $C313,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14" spans="1:15" ht="15" thickBot="1" x14ac:dyDescent="0.35">
      <c r="A314" s="331"/>
      <c r="B314" s="616" t="str">
        <f t="shared" si="336"/>
        <v/>
      </c>
      <c r="C314" s="617" t="str">
        <f t="shared" si="337"/>
        <v/>
      </c>
      <c r="D314" s="618" t="str">
        <f t="shared" si="338"/>
        <v/>
      </c>
      <c r="E314" s="616" t="str">
        <f t="shared" si="339"/>
        <v/>
      </c>
      <c r="F314" s="616" t="str">
        <f t="shared" si="340"/>
        <v/>
      </c>
      <c r="G314" s="619" t="str">
        <f>IF(Tree_Table1[[#This Row],[Tree Status  &amp;]]="Retain", Tables!$B$237, IF(Tree_Table1[[#This Row],[Tree Status  &amp;]]="Remove", Tables!$B$238, ""))</f>
        <v/>
      </c>
      <c r="H314" s="329"/>
      <c r="I314" s="330"/>
      <c r="J314" s="455"/>
      <c r="K314" s="327" t="str">
        <f>IFERROR(
    IF(
        AND($H314="Zoning: Tree Points", NOT(ISNUMBER(SEARCH("sp.", $C314)))),
        VLOOKUP($C314, 'Tree List'!$C$3:$F$601, 4, FALSE),
        ""
    ),
"")</f>
        <v/>
      </c>
      <c r="L314" s="328" t="str" cm="1">
        <f t="array" ref="L314">IFERROR(
IF(
    AND($H314="Zoning: Tree Points", NOT(ISNUMBER(SEARCH("sp.", $C314)))),
    _xlfn.IFS(
        (COUNTIFS('Tree List'!$C$3:$C$601,$C314,'Tree List'!$D$3:$D$601,"Coniferous")
        + COUNTIFS('Tree List'!$C$3:$C$601,$C314,'Tree List'!$D$3:$D$601,"Deciduous Conifer")) &gt; 0,
            _xlfn.IFS($K314="Small",0.5,$K314="Small/Medium",1,$K314="Medium/Large",1.4,$K314="Large",1.8),
        (COUNTIFS('Tree List'!$C$3:$C$601,$C314,'Tree List'!$D$3:$D$601,"Deciduous")
        + COUNTIFS('Tree List'!$C$3:$C$601,$C314,'Tree List'!$D$3:$D$601,"Broadleaf Evergreen")) &gt; 0,
            _xlfn.IFS($K314="Small",0.4,$K314="Small/Medium",0.8,$K314="Medium/Large",1.2,$K314="Large",1.6)
    ),
    ""
),
"")</f>
        <v/>
      </c>
      <c r="M314" s="476" t="str">
        <f t="shared" si="330"/>
        <v/>
      </c>
      <c r="N314" s="347" t="str" cm="1">
        <f t="array" aca="1" ref="N31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IF(AND(_xlpm.baseRow,ISNA(MATCH($C314,'Tree List'!$C$3:$C$601,0)),SUMPRODUCT(--ISNUMBER(SEARCH(Tables2!$C$677:$C$772,$O314)))&gt;0),
Error!$B$57,
IF(AND(_xlpm.hasDM,$F314="Remove",$H314&lt;&gt;"",OR($I314="On-site replacement",$I314="Off-site replacement",$I314="Payment In Lieu")),
Error!$B$56,
IF(AND(_xlpm.hasDM,$F314="Remove",$H314&lt;&gt;"",$I314="Relocation"),
Error!$B$66,
IF(AND(OR(_xlpm.hasCN,_xlpm.hasPH,_xlpm.hasGR),$H314&lt;&gt;"",COUNTIF(Tables!$B$132:$B$134,$H314)&gt;0,$I314="N/A (No replacement required)"),
Error!$B$62,
IF(AND(_xlpm.baseRow,$E314&lt;&gt;"",ISNA(MATCH($E314,Tables!$B$225:$B$232,0))),
Error!$B$2,
IF(AND(_xlpm.baseRow,$F314&lt;&gt;"",ISNA(MATCH($F314,Tables!$B$234:$B$235,0))),
Error!$B$24,
IF(AND(_xlpm.baseRow,_xlpm.ECA_H&gt;0,_xlpm.Shore_H&gt;0),
Error!$B$16,
IF(AND(_xlpm.baseRow,$E314&lt;&gt;"",$D314=""),
Error!$B$3,
IF(AND(_xlpm.baseRow,OR($E314="Tier 3",$E314="Tier 4"),$C314&lt;&gt;"",$D314&gt;=24,COUNTIF(Tables2!$B$166:$B$674,$C314)&gt;0),
Error!$B$44,
IF(AND(_xlpm.baseRow,OR($E314="Tier 3",$E314="Tier 4"),$C314&lt;&gt;"",$D314&lt;&gt;"",COUNTIF(Tables2!$B$73:$B$152,$C314)&gt;0,
$D314&gt;=IFERROR(INDEX(Tables2!$C$73:$C$152,MATCH($C314,Tables2!$B$73:$B$152,0)),-1)),
Error!$B$44,
IF(AND(_xlpm.baseRow,OR($E314="Tier 2",$E314="Tier 2 Grove"),$C314&lt;&gt;"",$D314&gt;=12,COUNTIF(Tables2!$B$153:$B$162,$C314)&gt;0),
Error!$B$45,
IF(AND(_xlpm.baseRow,$E314="Tier 2 Grove",$D314&lt;12),
Error!$B$41,
IF(AND(_xlpm.baseRow,$E314="Tier 2",$D314&lt;5.88),
Error!$B$40,
IF(AND(_xlpm.baseRow,OR($E314="Tier 2",$E314="Tier 2 Grove"),$C314&lt;&gt;"",$D314&lt;12,$D314&gt;=6,COUNTIF(Tables2!$B$153:$B$162,$C314)&gt;0),
Error!$B$54,
IF(AND(_xlpm.baseRow,$E314="Tier 2",COUNTIF(Tables2!$B$166:$B$674,$C314)&gt;0,$D314&lt;24),
Error!$B$54,
IF(AND(_xlpm.baseRow,$E314="Tier 3",ISNA(MATCH($C314,Tables2!$B$153:$B$162,0)),OR($D314&lt;12,$D314&gt;=24)),
Error!$B$9,
IF(AND(_xlpm.baseRow,$E314="Tier 3",COUNTIF(Tables2!$B$153:$B$162,$C314)&gt;0,$D314&lt;12),
Error!$B$46,
IF(AND(_xlpm.baseRow,$E314="Tier 4",OR($D314&lt;6,$D314&gt;=12)),
Error!$B$10,
IF(AND(_xlpm.baseRow,$E314="&lt;6in DSH for Tree Points",OR($D314&gt;=6,$D314="")),
Error!$B$8,
IF(AND(_xlpm.baseRow,$E314="Street Tree for Green Factor",$F314&lt;&gt;"",$F314&lt;&gt;"Retain"),
Error!$B$14,
IF(AND($E314="&lt;6in DSH for Tree Points",$F314="Retain",$H314&lt;&gt;"",ISNA(MATCH($H314,Tables!$B$174:$B$174,0))),
Error!$B$15,
IF(AND($E314="Street Tree for Green Factor",$F314="Retain",$H314&lt;&gt;"",$H314&lt;&gt;"Zoning: Green Factor"),
Error!$B$15,
IF(AND($E314="ECA / Shoreline Tree",$F314="Remove",$H314&lt;&gt;"",ISNA(MATCH($H314,Tables!$B$189:$B$190,0))),
Error!$B$15,
IF(AND($E314="ECA / Shoreline Tree",$F314="Retain",$H314&lt;&gt;"",ISNA(MATCH($H314,Tables!$B$184:$B$186,0))),
Error!$B$15,
IF(AND($E314="Tier 4",$F314="Remove",$H314&lt;&gt;"",ISNA(MATCH($H314,Tables!$B$171,0))),
Error!$B$15,
IF(AND($E314="Tier 4",$F314="Retain",$H314&lt;&gt;"",ISNA(MATCH($H314,Tables!$B$166:$B$168,0))),
Error!$B$15,
IF(AND($E314="Tier 3",$F314="Retain",$H314&lt;&gt;"",ISNA(MATCH($H314,Tables!$B$158:$B$160,0))),
Error!$B$15,
IF(AND($E314="Tier 3",$F314="Remove",$H314&lt;&gt;"",ISNA(MATCH($H314,Tables!$B$163,0))),
Error!$B$15,
IF(AND(OR($E314="Tier 2",$E314="Tier 2 Grove"),$F314="Remove",$H314&lt;&gt;"",ISNA(MATCH($H314,Tables!$B$153:$B$155,0))),
Error!$B$15,
IF(AND(OR($E314="Tier 2",$E314="Tier 2 Grove"),$F314="Retain",$H314&lt;&gt;"",ISNA(MATCH($H314,Tables!$B$147:$B$150,0))),
Error!$B$15,
IF(AND($E314="Tier 1",$F314="Remove",$H314&lt;&gt;"",ISNA(MATCH($H314,Tables!$B$143:$B$144,0))),
Error!$B$15,
IF(AND($E314="Tier 1",$F314="Retain",$H314&lt;&gt;"",ISNA(MATCH($H314,Tables!$B$137:$B$140,0))),
Error!$B$15,
IF(AND($E314&lt;&gt;"Tier 2",$E314&lt;&gt;"Tier 2 Grove",$E314&lt;&gt;"Tier 3",$E314&lt;&gt;"Tier 4",$H314="Zoning: Green Factor",OR($D314="",$D314&lt;6)),
Error!$B$11,
IF(AND(_xlpm.baseRow,$D314&lt;6,$E314="&lt;6in DSH for Tree Points",_xlpm.TreePoints_H=0),
Error!$B$21,
IF(AND(_xlpm.baseRow,$E314&lt;&gt;"",$D314&lt;&gt;"",$F314=""),
Error!$B$4,
IF(AND(_xlpm.baseRow,$F314="Remove",OR($E314="Tier 1",$E314="Tier 2",$E314="Tier 2 Grove"),COUNTBLANK(_xlpm.HRange)&lt;3,_xlpm.uniqueH&gt;=2),
Error!$B$48,
IF(AND(_xlpm.baseRow,$F314="Retain",OR($E314="Tier 1",$E314="Tier 2",$E314="Tier 2 Grove"),COUNTIF(_xlpm.HRange,"Tree Code: Required to Retain Tier 1-2 Tree")=0),
Error!$B$47,
IF(AND(_xlpm.baseRow,$E314&lt;&gt;"",$D314&lt;&gt;"",$F314&lt;&gt;"",COUNTBLANK(_xlpm.HRange)=4),
Error!$B$5,
IF(AND($F314="Remove",$H314&lt;&gt;"",$I314=""),
Error!$B$18,
IF(AND($E314="Tier 4",$F314="Remove",$H314="Tree Protection Code: Tier 3 or Tier 4 Allowance",$H314&lt;&gt;"",ISNA(MATCH($I314,Tables!$B$200,0))),
Error!$B$17,
IF(AND($E314="Tier 3",$F314="Remove",$H314&lt;&gt;"",$H314="Tree Protection Code: Tier 3 or Tier 4 Allowance",OR($I314="",ISNA(MATCH($I314,Tables!$B$193:$B$197,0)))),
Error!$B$17,
IF(AND(OR($E314="Tier 2",$E314="Tier 2 Grove"),$F314="Remove",$H314="Tree Protection Code: Other removal allowance or exemption",$I314&lt;&gt;"",ISNA(MATCH($I314,Tables!$B$215:$B$218,0))),
Error!$B$17,
IF(AND(OR($E314="Tier 2",$E314="Tier 2 Grove"),$F314="Remove",$H314="Tree Protection Code: Development Capacity",$I314&lt;&gt;"",ISNA(MATCH($I314,Tables!$B$193:$B$197,0))),
Error!$B$17,
IF(AND(OR($E314="Tier 2",$E314="Tier 2 Grove"),$F314="Remove",$H314="Tree Protection Code: Necessary for Construction",$I314&lt;&gt;"",ISNA(MATCH($I314,Tables!$B$193:$B$197,0))),
Error!$B$17,
IF(AND($E314="Tier 1",$F314="Remove",$H314="Tree Protection Code: Special Exception",$I314&lt;&gt;"",ISNA(MATCH($I314,Tables!$B$215:$B$218,0))),
Error!$B$17,
IF(AND($E314="Tier 1",$F314="Remove",$H314="Tree Protection Code: Other removal allowance or exemption",$I314&lt;&gt;"",ISNA(MATCH($I314,Tables!$B$215:$B$218,0))),
Error!$B$17,
IF(AND($E314="ECA / Shoreline Tree",$F314="Remove",$H314&lt;&gt;"",OR($H314="Shoreline",$H314="Environmental Critical Area (ECA)"),ISNA(MATCH($I314,Tables!$B$209:$B$212,0))),
Error!$B$17,
IF(AND(_xlpm.baseRow,$F314="Retain",$E314="ECA / Shoreline Tree",_xlpm.ECA_Short=0),
Error!$B$61,
IF(AND($F314="Remove",ISNUMBER(MATCH($E314,{"Tier 1","Tier 2","Tier 3","Tier 4","Tier 2 Grove"},0)),ISNUMBER(MATCH($I314,{"On-site replacement","Off-site replacement"},0)),$J314="",$H314&lt;&gt;""),
Error!$B$19,
IF(AND(_xlpm.baseRow,$E314&lt;&gt;"",$D314&lt;&gt;"",$F314&lt;&gt;"",COUNTBLANK($B314:$C314)&gt;0,COUNTBLANK(_xlpm.HRange)&lt;&gt;4),
Error!$B$22,
IF(AND($H314="Zoning: Tree Points",$K314&lt;&gt;"",ISNA(MATCH($K314,Tables!$B$242:$B$253,0))),
Error!$B$58,
IF(AND($H314="Zoning: Tree Points",$K314="Small",$L314&lt;&gt;"",ISNA(MATCH($L314,Tables!$C$243:$C$244,0))),
Error!$B$59,
IF(AND($H314="Zoning: Tree Points",$K314="Small/Medium",$L314&lt;&gt;"",ISNA(MATCH($L314,Tables!$C$246:$C$247,0))),
Error!$B$59,
IF(AND($H314="Zoning: Tree Points",$K314="Medium/Large",$L314&lt;&gt;"",ISNA(MATCH($L314,Tables!$C$249:$C$250,0))),
Error!$B$59,
IF(AND($H314="Zoning: Tree Points",$K314="Large",$L314&lt;&gt;"",ISNA(MATCH($L314,Tables!$C$252:$C$253,0))),
Error!$B$59,
IF(AND($F314="Retain",$H314="Zoning: Tree Points",$C314&lt;&gt;"",$D314&lt;&gt;"",OR($K314="",$L314="",$M314="")),
Error!$B$20,
""
)))))))))))))))))))))))))))))))))))))))))))))))))))))))),
Error!$B$23))</f>
        <v/>
      </c>
      <c r="O314" s="343" t="str" cm="1">
        <f t="array" aca="1" ref="O314" ca="1">IFERROR(_xlfn.LET(
    _xlpm.txt, $C314,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15" spans="1:15" ht="15" thickBot="1" x14ac:dyDescent="0.35">
      <c r="A315" s="311">
        <v>77</v>
      </c>
      <c r="B315" s="312"/>
      <c r="C315" s="313"/>
      <c r="D315" s="478"/>
      <c r="E315" s="314"/>
      <c r="F315" s="314"/>
      <c r="G315" s="315" t="str">
        <f>IF(Tree_Table1[[#This Row],[Tree Status  &amp;]]="Retain", Tables!$B$237, IF(Tree_Table1[[#This Row],[Tree Status  &amp;]]="Remove", Tables!$B$238, ""))</f>
        <v/>
      </c>
      <c r="H315" s="316"/>
      <c r="I315" s="317"/>
      <c r="J315" s="452"/>
      <c r="K315" s="318" t="str">
        <f>IFERROR(
    IF(
        AND($H315="Zoning: Tree Points", NOT(ISNUMBER(SEARCH("sp.", $C315)))),
        VLOOKUP($C315, 'Tree List'!$C$3:$F$601, 4, FALSE),
        ""
    ),
"")</f>
        <v/>
      </c>
      <c r="L315" s="319" t="str" cm="1">
        <f t="array" ref="L315">IFERROR(
IF(
    AND($H315="Zoning: Tree Points", NOT(ISNUMBER(SEARCH("sp.", $C315)))),
    _xlfn.IFS(
        (COUNTIFS('Tree List'!$C$3:$C$601,$C315,'Tree List'!$D$3:$D$601,"Coniferous")
        + COUNTIFS('Tree List'!$C$3:$C$601,$C315,'Tree List'!$D$3:$D$601,"Deciduous Conifer")) &gt; 0,
            _xlfn.IFS($K315="Small",0.5,$K315="Small/Medium",1,$K315="Medium/Large",1.4,$K315="Large",1.8),
        (COUNTIFS('Tree List'!$C$3:$C$601,$C315,'Tree List'!$D$3:$D$601,"Deciduous")
        + COUNTIFS('Tree List'!$C$3:$C$601,$C315,'Tree List'!$D$3:$D$601,"Broadleaf Evergreen")) &gt; 0,
            _xlfn.IFS($K315="Small",0.4,$K315="Small/Medium",0.8,$K315="Medium/Large",1.2,$K315="Large",1.6)
    ),
    ""
),
"")</f>
        <v/>
      </c>
      <c r="M315" s="474" t="str">
        <f t="shared" si="330"/>
        <v/>
      </c>
      <c r="N315" s="620" t="str" cm="1">
        <f t="array" aca="1" ref="N31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IF(AND(_xlpm.baseRow,ISNA(MATCH($C315,'Tree List'!$C$3:$C$601,0)),SUMPRODUCT(--ISNUMBER(SEARCH(Tables2!$C$677:$C$772,$O315)))&gt;0),
Error!$B$57,
IF(AND(_xlpm.hasDM,$F315="Remove",$H315&lt;&gt;"",OR($I315="On-site replacement",$I315="Off-site replacement",$I315="Payment In Lieu")),
Error!$B$56,
IF(AND(_xlpm.hasDM,$F315="Remove",$H315&lt;&gt;"",$I315="Relocation"),
Error!$B$66,
IF(AND(OR(_xlpm.hasCN,_xlpm.hasPH,_xlpm.hasGR),$H315&lt;&gt;"",COUNTIF(Tables!$B$132:$B$134,$H315)&gt;0,$I315="N/A (No replacement required)"),
Error!$B$62,
IF(AND(_xlpm.baseRow,$E315&lt;&gt;"",ISNA(MATCH($E315,Tables!$B$225:$B$232,0))),
Error!$B$2,
IF(AND(_xlpm.baseRow,$F315&lt;&gt;"",ISNA(MATCH($F315,Tables!$B$234:$B$235,0))),
Error!$B$24,
IF(AND(_xlpm.baseRow,_xlpm.ECA_H&gt;0,_xlpm.Shore_H&gt;0),
Error!$B$16,
IF(AND(_xlpm.baseRow,$E315&lt;&gt;"",$D315=""),
Error!$B$3,
IF(AND(_xlpm.baseRow,OR($E315="Tier 3",$E315="Tier 4"),$C315&lt;&gt;"",$D315&gt;=24,COUNTIF(Tables2!$B$166:$B$674,$C315)&gt;0),
Error!$B$44,
IF(AND(_xlpm.baseRow,OR($E315="Tier 3",$E315="Tier 4"),$C315&lt;&gt;"",$D315&lt;&gt;"",COUNTIF(Tables2!$B$73:$B$152,$C315)&gt;0,
$D315&gt;=IFERROR(INDEX(Tables2!$C$73:$C$152,MATCH($C315,Tables2!$B$73:$B$152,0)),-1)),
Error!$B$44,
IF(AND(_xlpm.baseRow,OR($E315="Tier 2",$E315="Tier 2 Grove"),$C315&lt;&gt;"",$D315&gt;=12,COUNTIF(Tables2!$B$153:$B$162,$C315)&gt;0),
Error!$B$45,
IF(AND(_xlpm.baseRow,$E315="Tier 2 Grove",$D315&lt;12),
Error!$B$41,
IF(AND(_xlpm.baseRow,$E315="Tier 2",$D315&lt;5.88),
Error!$B$40,
IF(AND(_xlpm.baseRow,OR($E315="Tier 2",$E315="Tier 2 Grove"),$C315&lt;&gt;"",$D315&lt;12,$D315&gt;=6,COUNTIF(Tables2!$B$153:$B$162,$C315)&gt;0),
Error!$B$54,
IF(AND(_xlpm.baseRow,$E315="Tier 2",COUNTIF(Tables2!$B$166:$B$674,$C315)&gt;0,$D315&lt;24),
Error!$B$54,
IF(AND(_xlpm.baseRow,$E315="Tier 3",ISNA(MATCH($C315,Tables2!$B$153:$B$162,0)),OR($D315&lt;12,$D315&gt;=24)),
Error!$B$9,
IF(AND(_xlpm.baseRow,$E315="Tier 3",COUNTIF(Tables2!$B$153:$B$162,$C315)&gt;0,$D315&lt;12),
Error!$B$46,
IF(AND(_xlpm.baseRow,$E315="Tier 4",OR($D315&lt;6,$D315&gt;=12)),
Error!$B$10,
IF(AND(_xlpm.baseRow,$E315="&lt;6in DSH for Tree Points",OR($D315&gt;=6,$D315="")),
Error!$B$8,
IF(AND(_xlpm.baseRow,$E315="Street Tree for Green Factor",$F315&lt;&gt;"",$F315&lt;&gt;"Retain"),
Error!$B$14,
IF(AND($E315="&lt;6in DSH for Tree Points",$F315="Retain",$H315&lt;&gt;"",ISNA(MATCH($H315,Tables!$B$174:$B$174,0))),
Error!$B$15,
IF(AND($E315="Street Tree for Green Factor",$F315="Retain",$H315&lt;&gt;"",$H315&lt;&gt;"Zoning: Green Factor"),
Error!$B$15,
IF(AND($E315="ECA / Shoreline Tree",$F315="Remove",$H315&lt;&gt;"",ISNA(MATCH($H315,Tables!$B$189:$B$190,0))),
Error!$B$15,
IF(AND($E315="ECA / Shoreline Tree",$F315="Retain",$H315&lt;&gt;"",ISNA(MATCH($H315,Tables!$B$184:$B$186,0))),
Error!$B$15,
IF(AND($E315="Tier 4",$F315="Remove",$H315&lt;&gt;"",ISNA(MATCH($H315,Tables!$B$171,0))),
Error!$B$15,
IF(AND($E315="Tier 4",$F315="Retain",$H315&lt;&gt;"",ISNA(MATCH($H315,Tables!$B$166:$B$168,0))),
Error!$B$15,
IF(AND($E315="Tier 3",$F315="Retain",$H315&lt;&gt;"",ISNA(MATCH($H315,Tables!$B$158:$B$160,0))),
Error!$B$15,
IF(AND($E315="Tier 3",$F315="Remove",$H315&lt;&gt;"",ISNA(MATCH($H315,Tables!$B$163,0))),
Error!$B$15,
IF(AND(OR($E315="Tier 2",$E315="Tier 2 Grove"),$F315="Remove",$H315&lt;&gt;"",ISNA(MATCH($H315,Tables!$B$153:$B$155,0))),
Error!$B$15,
IF(AND(OR($E315="Tier 2",$E315="Tier 2 Grove"),$F315="Retain",$H315&lt;&gt;"",ISNA(MATCH($H315,Tables!$B$147:$B$150,0))),
Error!$B$15,
IF(AND($E315="Tier 1",$F315="Remove",$H315&lt;&gt;"",ISNA(MATCH($H315,Tables!$B$143:$B$144,0))),
Error!$B$15,
IF(AND($E315="Tier 1",$F315="Retain",$H315&lt;&gt;"",ISNA(MATCH($H315,Tables!$B$137:$B$140,0))),
Error!$B$15,
IF(AND($E315&lt;&gt;"Tier 2",$E315&lt;&gt;"Tier 2 Grove",$E315&lt;&gt;"Tier 3",$E315&lt;&gt;"Tier 4",$H315="Zoning: Green Factor",OR($D315="",$D315&lt;6)),
Error!$B$11,
IF(AND(_xlpm.baseRow,$D315&lt;6,$E315="&lt;6in DSH for Tree Points",_xlpm.TreePoints_H=0),
Error!$B$21,
IF(AND(_xlpm.baseRow,$E315&lt;&gt;"",$D315&lt;&gt;"",$F315=""),
Error!$B$4,
IF(AND(_xlpm.baseRow,$F315="Remove",OR($E315="Tier 1",$E315="Tier 2",$E315="Tier 2 Grove"),COUNTBLANK(_xlpm.HRange)&lt;3,_xlpm.uniqueH&gt;=2),
Error!$B$48,
IF(AND(_xlpm.baseRow,$F315="Retain",OR($E315="Tier 1",$E315="Tier 2",$E315="Tier 2 Grove"),COUNTIF(_xlpm.HRange,"Tree Code: Required to Retain Tier 1-2 Tree")=0),
Error!$B$47,
IF(AND(_xlpm.baseRow,$E315&lt;&gt;"",$D315&lt;&gt;"",$F315&lt;&gt;"",COUNTBLANK(_xlpm.HRange)=4),
Error!$B$5,
IF(AND($F315="Remove",$H315&lt;&gt;"",$I315=""),
Error!$B$18,
IF(AND($E315="Tier 4",$F315="Remove",$H315="Tree Protection Code: Tier 3 or Tier 4 Allowance",$H315&lt;&gt;"",ISNA(MATCH($I315,Tables!$B$200,0))),
Error!$B$17,
IF(AND($E315="Tier 3",$F315="Remove",$H315&lt;&gt;"",$H315="Tree Protection Code: Tier 3 or Tier 4 Allowance",OR($I315="",ISNA(MATCH($I315,Tables!$B$193:$B$197,0)))),
Error!$B$17,
IF(AND(OR($E315="Tier 2",$E315="Tier 2 Grove"),$F315="Remove",$H315="Tree Protection Code: Other removal allowance or exemption",$I315&lt;&gt;"",ISNA(MATCH($I315,Tables!$B$215:$B$218,0))),
Error!$B$17,
IF(AND(OR($E315="Tier 2",$E315="Tier 2 Grove"),$F315="Remove",$H315="Tree Protection Code: Development Capacity",$I315&lt;&gt;"",ISNA(MATCH($I315,Tables!$B$193:$B$197,0))),
Error!$B$17,
IF(AND(OR($E315="Tier 2",$E315="Tier 2 Grove"),$F315="Remove",$H315="Tree Protection Code: Necessary for Construction",$I315&lt;&gt;"",ISNA(MATCH($I315,Tables!$B$193:$B$197,0))),
Error!$B$17,
IF(AND($E315="Tier 1",$F315="Remove",$H315="Tree Protection Code: Special Exception",$I315&lt;&gt;"",ISNA(MATCH($I315,Tables!$B$215:$B$218,0))),
Error!$B$17,
IF(AND($E315="Tier 1",$F315="Remove",$H315="Tree Protection Code: Other removal allowance or exemption",$I315&lt;&gt;"",ISNA(MATCH($I315,Tables!$B$215:$B$218,0))),
Error!$B$17,
IF(AND($E315="ECA / Shoreline Tree",$F315="Remove",$H315&lt;&gt;"",OR($H315="Shoreline",$H315="Environmental Critical Area (ECA)"),ISNA(MATCH($I315,Tables!$B$209:$B$212,0))),
Error!$B$17,
IF(AND(_xlpm.baseRow,$F315="Retain",$E315="ECA / Shoreline Tree",_xlpm.ECA_Short=0),
Error!$B$61,
IF(AND($F315="Remove",ISNUMBER(MATCH($E315,{"Tier 1","Tier 2","Tier 3","Tier 4","Tier 2 Grove"},0)),ISNUMBER(MATCH($I315,{"On-site replacement","Off-site replacement"},0)),$J315="",$H315&lt;&gt;""),
Error!$B$19,
IF(AND(_xlpm.baseRow,$E315&lt;&gt;"",$D315&lt;&gt;"",$F315&lt;&gt;"",COUNTBLANK($B315:$C315)&gt;0,COUNTBLANK(_xlpm.HRange)&lt;&gt;4),
Error!$B$22,
IF(AND($H315="Zoning: Tree Points",$K315&lt;&gt;"",ISNA(MATCH($K315,Tables!$B$242:$B$253,0))),
Error!$B$58,
IF(AND($H315="Zoning: Tree Points",$K315="Small",$L315&lt;&gt;"",ISNA(MATCH($L315,Tables!$C$243:$C$244,0))),
Error!$B$59,
IF(AND($H315="Zoning: Tree Points",$K315="Small/Medium",$L315&lt;&gt;"",ISNA(MATCH($L315,Tables!$C$246:$C$247,0))),
Error!$B$59,
IF(AND($H315="Zoning: Tree Points",$K315="Medium/Large",$L315&lt;&gt;"",ISNA(MATCH($L315,Tables!$C$249:$C$250,0))),
Error!$B$59,
IF(AND($H315="Zoning: Tree Points",$K315="Large",$L315&lt;&gt;"",ISNA(MATCH($L315,Tables!$C$252:$C$253,0))),
Error!$B$59,
IF(AND($F315="Retain",$H315="Zoning: Tree Points",$C315&lt;&gt;"",$D315&lt;&gt;"",OR($K315="",$L315="",$M315="")),
Error!$B$20,
""
)))))))))))))))))))))))))))))))))))))))))))))))))))))))),
Error!$B$23))</f>
        <v/>
      </c>
      <c r="O315" s="343" t="str" cm="1">
        <f t="array" aca="1" ref="O315" ca="1">IFERROR(_xlfn.LET(
    _xlpm.txt, $C315,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16" spans="1:15" x14ac:dyDescent="0.3">
      <c r="A316" s="320"/>
      <c r="B316" s="616" t="str">
        <f t="shared" ref="B316:B318" si="341">IF($B315="", "", $B315)</f>
        <v/>
      </c>
      <c r="C316" s="617" t="str">
        <f t="shared" ref="C316:C318" si="342">IF($C315="", "", $C315)</f>
        <v/>
      </c>
      <c r="D316" s="618" t="str">
        <f t="shared" ref="D316:D318" si="343">IF($D315="", "", $D315)</f>
        <v/>
      </c>
      <c r="E316" s="616" t="str">
        <f t="shared" ref="E316:E318" si="344">IF($E315="", "", $E315)</f>
        <v/>
      </c>
      <c r="F316" s="616" t="str">
        <f t="shared" ref="F316:F318" si="345">IF($F315="", "", $F315)</f>
        <v/>
      </c>
      <c r="G316" s="619" t="str">
        <f>IF(Tree_Table1[[#This Row],[Tree Status  &amp;]]="Retain", Tables!$B$237, IF(Tree_Table1[[#This Row],[Tree Status  &amp;]]="Remove", Tables!$B$238, ""))</f>
        <v/>
      </c>
      <c r="H316" s="321"/>
      <c r="I316" s="322"/>
      <c r="J316" s="453"/>
      <c r="K316" s="323" t="str">
        <f>IFERROR(
    IF(
        AND($H316="Zoning: Tree Points", NOT(ISNUMBER(SEARCH("sp.", $C316)))),
        VLOOKUP($C316, 'Tree List'!$C$3:$F$601, 4, FALSE),
        ""
    ),
"")</f>
        <v/>
      </c>
      <c r="L316" s="324" t="str" cm="1">
        <f t="array" ref="L316">IFERROR(
IF(
    AND($H316="Zoning: Tree Points", NOT(ISNUMBER(SEARCH("sp.", $C316)))),
    _xlfn.IFS(
        (COUNTIFS('Tree List'!$C$3:$C$601,$C316,'Tree List'!$D$3:$D$601,"Coniferous")
        + COUNTIFS('Tree List'!$C$3:$C$601,$C316,'Tree List'!$D$3:$D$601,"Deciduous Conifer")) &gt; 0,
            _xlfn.IFS($K316="Small",0.5,$K316="Small/Medium",1,$K316="Medium/Large",1.4,$K316="Large",1.8),
        (COUNTIFS('Tree List'!$C$3:$C$601,$C316,'Tree List'!$D$3:$D$601,"Deciduous")
        + COUNTIFS('Tree List'!$C$3:$C$601,$C316,'Tree List'!$D$3:$D$601,"Broadleaf Evergreen")) &gt; 0,
            _xlfn.IFS($K316="Small",0.4,$K316="Small/Medium",0.8,$K316="Medium/Large",1.2,$K316="Large",1.6)
    ),
    ""
),
"")</f>
        <v/>
      </c>
      <c r="M316" s="475" t="str">
        <f t="shared" si="330"/>
        <v/>
      </c>
      <c r="N316" s="346" t="str" cm="1">
        <f t="array" aca="1" ref="N31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IF(AND(_xlpm.baseRow,ISNA(MATCH($C316,'Tree List'!$C$3:$C$601,0)),SUMPRODUCT(--ISNUMBER(SEARCH(Tables2!$C$677:$C$772,$O316)))&gt;0),
Error!$B$57,
IF(AND(_xlpm.hasDM,$F316="Remove",$H316&lt;&gt;"",OR($I316="On-site replacement",$I316="Off-site replacement",$I316="Payment In Lieu")),
Error!$B$56,
IF(AND(_xlpm.hasDM,$F316="Remove",$H316&lt;&gt;"",$I316="Relocation"),
Error!$B$66,
IF(AND(OR(_xlpm.hasCN,_xlpm.hasPH,_xlpm.hasGR),$H316&lt;&gt;"",COUNTIF(Tables!$B$132:$B$134,$H316)&gt;0,$I316="N/A (No replacement required)"),
Error!$B$62,
IF(AND(_xlpm.baseRow,$E316&lt;&gt;"",ISNA(MATCH($E316,Tables!$B$225:$B$232,0))),
Error!$B$2,
IF(AND(_xlpm.baseRow,$F316&lt;&gt;"",ISNA(MATCH($F316,Tables!$B$234:$B$235,0))),
Error!$B$24,
IF(AND(_xlpm.baseRow,_xlpm.ECA_H&gt;0,_xlpm.Shore_H&gt;0),
Error!$B$16,
IF(AND(_xlpm.baseRow,$E316&lt;&gt;"",$D316=""),
Error!$B$3,
IF(AND(_xlpm.baseRow,OR($E316="Tier 3",$E316="Tier 4"),$C316&lt;&gt;"",$D316&gt;=24,COUNTIF(Tables2!$B$166:$B$674,$C316)&gt;0),
Error!$B$44,
IF(AND(_xlpm.baseRow,OR($E316="Tier 3",$E316="Tier 4"),$C316&lt;&gt;"",$D316&lt;&gt;"",COUNTIF(Tables2!$B$73:$B$152,$C316)&gt;0,
$D316&gt;=IFERROR(INDEX(Tables2!$C$73:$C$152,MATCH($C316,Tables2!$B$73:$B$152,0)),-1)),
Error!$B$44,
IF(AND(_xlpm.baseRow,OR($E316="Tier 2",$E316="Tier 2 Grove"),$C316&lt;&gt;"",$D316&gt;=12,COUNTIF(Tables2!$B$153:$B$162,$C316)&gt;0),
Error!$B$45,
IF(AND(_xlpm.baseRow,$E316="Tier 2 Grove",$D316&lt;12),
Error!$B$41,
IF(AND(_xlpm.baseRow,$E316="Tier 2",$D316&lt;5.88),
Error!$B$40,
IF(AND(_xlpm.baseRow,OR($E316="Tier 2",$E316="Tier 2 Grove"),$C316&lt;&gt;"",$D316&lt;12,$D316&gt;=6,COUNTIF(Tables2!$B$153:$B$162,$C316)&gt;0),
Error!$B$54,
IF(AND(_xlpm.baseRow,$E316="Tier 2",COUNTIF(Tables2!$B$166:$B$674,$C316)&gt;0,$D316&lt;24),
Error!$B$54,
IF(AND(_xlpm.baseRow,$E316="Tier 3",ISNA(MATCH($C316,Tables2!$B$153:$B$162,0)),OR($D316&lt;12,$D316&gt;=24)),
Error!$B$9,
IF(AND(_xlpm.baseRow,$E316="Tier 3",COUNTIF(Tables2!$B$153:$B$162,$C316)&gt;0,$D316&lt;12),
Error!$B$46,
IF(AND(_xlpm.baseRow,$E316="Tier 4",OR($D316&lt;6,$D316&gt;=12)),
Error!$B$10,
IF(AND(_xlpm.baseRow,$E316="&lt;6in DSH for Tree Points",OR($D316&gt;=6,$D316="")),
Error!$B$8,
IF(AND(_xlpm.baseRow,$E316="Street Tree for Green Factor",$F316&lt;&gt;"",$F316&lt;&gt;"Retain"),
Error!$B$14,
IF(AND($E316="&lt;6in DSH for Tree Points",$F316="Retain",$H316&lt;&gt;"",ISNA(MATCH($H316,Tables!$B$174:$B$174,0))),
Error!$B$15,
IF(AND($E316="Street Tree for Green Factor",$F316="Retain",$H316&lt;&gt;"",$H316&lt;&gt;"Zoning: Green Factor"),
Error!$B$15,
IF(AND($E316="ECA / Shoreline Tree",$F316="Remove",$H316&lt;&gt;"",ISNA(MATCH($H316,Tables!$B$189:$B$190,0))),
Error!$B$15,
IF(AND($E316="ECA / Shoreline Tree",$F316="Retain",$H316&lt;&gt;"",ISNA(MATCH($H316,Tables!$B$184:$B$186,0))),
Error!$B$15,
IF(AND($E316="Tier 4",$F316="Remove",$H316&lt;&gt;"",ISNA(MATCH($H316,Tables!$B$171,0))),
Error!$B$15,
IF(AND($E316="Tier 4",$F316="Retain",$H316&lt;&gt;"",ISNA(MATCH($H316,Tables!$B$166:$B$168,0))),
Error!$B$15,
IF(AND($E316="Tier 3",$F316="Retain",$H316&lt;&gt;"",ISNA(MATCH($H316,Tables!$B$158:$B$160,0))),
Error!$B$15,
IF(AND($E316="Tier 3",$F316="Remove",$H316&lt;&gt;"",ISNA(MATCH($H316,Tables!$B$163,0))),
Error!$B$15,
IF(AND(OR($E316="Tier 2",$E316="Tier 2 Grove"),$F316="Remove",$H316&lt;&gt;"",ISNA(MATCH($H316,Tables!$B$153:$B$155,0))),
Error!$B$15,
IF(AND(OR($E316="Tier 2",$E316="Tier 2 Grove"),$F316="Retain",$H316&lt;&gt;"",ISNA(MATCH($H316,Tables!$B$147:$B$150,0))),
Error!$B$15,
IF(AND($E316="Tier 1",$F316="Remove",$H316&lt;&gt;"",ISNA(MATCH($H316,Tables!$B$143:$B$144,0))),
Error!$B$15,
IF(AND($E316="Tier 1",$F316="Retain",$H316&lt;&gt;"",ISNA(MATCH($H316,Tables!$B$137:$B$140,0))),
Error!$B$15,
IF(AND($E316&lt;&gt;"Tier 2",$E316&lt;&gt;"Tier 2 Grove",$E316&lt;&gt;"Tier 3",$E316&lt;&gt;"Tier 4",$H316="Zoning: Green Factor",OR($D316="",$D316&lt;6)),
Error!$B$11,
IF(AND(_xlpm.baseRow,$D316&lt;6,$E316="&lt;6in DSH for Tree Points",_xlpm.TreePoints_H=0),
Error!$B$21,
IF(AND(_xlpm.baseRow,$E316&lt;&gt;"",$D316&lt;&gt;"",$F316=""),
Error!$B$4,
IF(AND(_xlpm.baseRow,$F316="Remove",OR($E316="Tier 1",$E316="Tier 2",$E316="Tier 2 Grove"),COUNTBLANK(_xlpm.HRange)&lt;3,_xlpm.uniqueH&gt;=2),
Error!$B$48,
IF(AND(_xlpm.baseRow,$F316="Retain",OR($E316="Tier 1",$E316="Tier 2",$E316="Tier 2 Grove"),COUNTIF(_xlpm.HRange,"Tree Code: Required to Retain Tier 1-2 Tree")=0),
Error!$B$47,
IF(AND(_xlpm.baseRow,$E316&lt;&gt;"",$D316&lt;&gt;"",$F316&lt;&gt;"",COUNTBLANK(_xlpm.HRange)=4),
Error!$B$5,
IF(AND($F316="Remove",$H316&lt;&gt;"",$I316=""),
Error!$B$18,
IF(AND($E316="Tier 4",$F316="Remove",$H316="Tree Protection Code: Tier 3 or Tier 4 Allowance",$H316&lt;&gt;"",ISNA(MATCH($I316,Tables!$B$200,0))),
Error!$B$17,
IF(AND($E316="Tier 3",$F316="Remove",$H316&lt;&gt;"",$H316="Tree Protection Code: Tier 3 or Tier 4 Allowance",OR($I316="",ISNA(MATCH($I316,Tables!$B$193:$B$197,0)))),
Error!$B$17,
IF(AND(OR($E316="Tier 2",$E316="Tier 2 Grove"),$F316="Remove",$H316="Tree Protection Code: Other removal allowance or exemption",$I316&lt;&gt;"",ISNA(MATCH($I316,Tables!$B$215:$B$218,0))),
Error!$B$17,
IF(AND(OR($E316="Tier 2",$E316="Tier 2 Grove"),$F316="Remove",$H316="Tree Protection Code: Development Capacity",$I316&lt;&gt;"",ISNA(MATCH($I316,Tables!$B$193:$B$197,0))),
Error!$B$17,
IF(AND(OR($E316="Tier 2",$E316="Tier 2 Grove"),$F316="Remove",$H316="Tree Protection Code: Necessary for Construction",$I316&lt;&gt;"",ISNA(MATCH($I316,Tables!$B$193:$B$197,0))),
Error!$B$17,
IF(AND($E316="Tier 1",$F316="Remove",$H316="Tree Protection Code: Special Exception",$I316&lt;&gt;"",ISNA(MATCH($I316,Tables!$B$215:$B$218,0))),
Error!$B$17,
IF(AND($E316="Tier 1",$F316="Remove",$H316="Tree Protection Code: Other removal allowance or exemption",$I316&lt;&gt;"",ISNA(MATCH($I316,Tables!$B$215:$B$218,0))),
Error!$B$17,
IF(AND($E316="ECA / Shoreline Tree",$F316="Remove",$H316&lt;&gt;"",OR($H316="Shoreline",$H316="Environmental Critical Area (ECA)"),ISNA(MATCH($I316,Tables!$B$209:$B$212,0))),
Error!$B$17,
IF(AND(_xlpm.baseRow,$F316="Retain",$E316="ECA / Shoreline Tree",_xlpm.ECA_Short=0),
Error!$B$61,
IF(AND($F316="Remove",ISNUMBER(MATCH($E316,{"Tier 1","Tier 2","Tier 3","Tier 4","Tier 2 Grove"},0)),ISNUMBER(MATCH($I316,{"On-site replacement","Off-site replacement"},0)),$J316="",$H316&lt;&gt;""),
Error!$B$19,
IF(AND(_xlpm.baseRow,$E316&lt;&gt;"",$D316&lt;&gt;"",$F316&lt;&gt;"",COUNTBLANK($B316:$C316)&gt;0,COUNTBLANK(_xlpm.HRange)&lt;&gt;4),
Error!$B$22,
IF(AND($H316="Zoning: Tree Points",$K316&lt;&gt;"",ISNA(MATCH($K316,Tables!$B$242:$B$253,0))),
Error!$B$58,
IF(AND($H316="Zoning: Tree Points",$K316="Small",$L316&lt;&gt;"",ISNA(MATCH($L316,Tables!$C$243:$C$244,0))),
Error!$B$59,
IF(AND($H316="Zoning: Tree Points",$K316="Small/Medium",$L316&lt;&gt;"",ISNA(MATCH($L316,Tables!$C$246:$C$247,0))),
Error!$B$59,
IF(AND($H316="Zoning: Tree Points",$K316="Medium/Large",$L316&lt;&gt;"",ISNA(MATCH($L316,Tables!$C$249:$C$250,0))),
Error!$B$59,
IF(AND($H316="Zoning: Tree Points",$K316="Large",$L316&lt;&gt;"",ISNA(MATCH($L316,Tables!$C$252:$C$253,0))),
Error!$B$59,
IF(AND($F316="Retain",$H316="Zoning: Tree Points",$C316&lt;&gt;"",$D316&lt;&gt;"",OR($K316="",$L316="",$M316="")),
Error!$B$20,
""
)))))))))))))))))))))))))))))))))))))))))))))))))))))))),
Error!$B$23))</f>
        <v/>
      </c>
      <c r="O316" s="343" t="str" cm="1">
        <f t="array" aca="1" ref="O316" ca="1">IFERROR(_xlfn.LET(
    _xlpm.txt, $C316,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17" spans="1:15" x14ac:dyDescent="0.3">
      <c r="A317" s="320"/>
      <c r="B317" s="616" t="str">
        <f t="shared" si="341"/>
        <v/>
      </c>
      <c r="C317" s="617" t="str">
        <f t="shared" si="342"/>
        <v/>
      </c>
      <c r="D317" s="618" t="str">
        <f t="shared" si="343"/>
        <v/>
      </c>
      <c r="E317" s="616" t="str">
        <f t="shared" si="344"/>
        <v/>
      </c>
      <c r="F317" s="616" t="str">
        <f t="shared" si="345"/>
        <v/>
      </c>
      <c r="G317" s="619" t="str">
        <f>IF(Tree_Table1[[#This Row],[Tree Status  &amp;]]="Retain", Tables!$B$237, IF(Tree_Table1[[#This Row],[Tree Status  &amp;]]="Remove", Tables!$B$238, ""))</f>
        <v/>
      </c>
      <c r="H317" s="321"/>
      <c r="I317" s="322"/>
      <c r="J317" s="453"/>
      <c r="K317" s="323" t="str">
        <f>IFERROR(
    IF(
        AND($H317="Zoning: Tree Points", NOT(ISNUMBER(SEARCH("sp.", $C317)))),
        VLOOKUP($C317, 'Tree List'!$C$3:$F$601, 4, FALSE),
        ""
    ),
"")</f>
        <v/>
      </c>
      <c r="L317" s="324" t="str" cm="1">
        <f t="array" ref="L317">IFERROR(
IF(
    AND($H317="Zoning: Tree Points", NOT(ISNUMBER(SEARCH("sp.", $C317)))),
    _xlfn.IFS(
        (COUNTIFS('Tree List'!$C$3:$C$601,$C317,'Tree List'!$D$3:$D$601,"Coniferous")
        + COUNTIFS('Tree List'!$C$3:$C$601,$C317,'Tree List'!$D$3:$D$601,"Deciduous Conifer")) &gt; 0,
            _xlfn.IFS($K317="Small",0.5,$K317="Small/Medium",1,$K317="Medium/Large",1.4,$K317="Large",1.8),
        (COUNTIFS('Tree List'!$C$3:$C$601,$C317,'Tree List'!$D$3:$D$601,"Deciduous")
        + COUNTIFS('Tree List'!$C$3:$C$601,$C317,'Tree List'!$D$3:$D$601,"Broadleaf Evergreen")) &gt; 0,
            _xlfn.IFS($K317="Small",0.4,$K317="Small/Medium",0.8,$K317="Medium/Large",1.2,$K317="Large",1.6)
    ),
    ""
),
"")</f>
        <v/>
      </c>
      <c r="M317" s="475" t="str">
        <f t="shared" si="330"/>
        <v/>
      </c>
      <c r="N317" s="346" t="str" cm="1">
        <f t="array" aca="1" ref="N31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IF(AND(_xlpm.baseRow,ISNA(MATCH($C317,'Tree List'!$C$3:$C$601,0)),SUMPRODUCT(--ISNUMBER(SEARCH(Tables2!$C$677:$C$772,$O317)))&gt;0),
Error!$B$57,
IF(AND(_xlpm.hasDM,$F317="Remove",$H317&lt;&gt;"",OR($I317="On-site replacement",$I317="Off-site replacement",$I317="Payment In Lieu")),
Error!$B$56,
IF(AND(_xlpm.hasDM,$F317="Remove",$H317&lt;&gt;"",$I317="Relocation"),
Error!$B$66,
IF(AND(OR(_xlpm.hasCN,_xlpm.hasPH,_xlpm.hasGR),$H317&lt;&gt;"",COUNTIF(Tables!$B$132:$B$134,$H317)&gt;0,$I317="N/A (No replacement required)"),
Error!$B$62,
IF(AND(_xlpm.baseRow,$E317&lt;&gt;"",ISNA(MATCH($E317,Tables!$B$225:$B$232,0))),
Error!$B$2,
IF(AND(_xlpm.baseRow,$F317&lt;&gt;"",ISNA(MATCH($F317,Tables!$B$234:$B$235,0))),
Error!$B$24,
IF(AND(_xlpm.baseRow,_xlpm.ECA_H&gt;0,_xlpm.Shore_H&gt;0),
Error!$B$16,
IF(AND(_xlpm.baseRow,$E317&lt;&gt;"",$D317=""),
Error!$B$3,
IF(AND(_xlpm.baseRow,OR($E317="Tier 3",$E317="Tier 4"),$C317&lt;&gt;"",$D317&gt;=24,COUNTIF(Tables2!$B$166:$B$674,$C317)&gt;0),
Error!$B$44,
IF(AND(_xlpm.baseRow,OR($E317="Tier 3",$E317="Tier 4"),$C317&lt;&gt;"",$D317&lt;&gt;"",COUNTIF(Tables2!$B$73:$B$152,$C317)&gt;0,
$D317&gt;=IFERROR(INDEX(Tables2!$C$73:$C$152,MATCH($C317,Tables2!$B$73:$B$152,0)),-1)),
Error!$B$44,
IF(AND(_xlpm.baseRow,OR($E317="Tier 2",$E317="Tier 2 Grove"),$C317&lt;&gt;"",$D317&gt;=12,COUNTIF(Tables2!$B$153:$B$162,$C317)&gt;0),
Error!$B$45,
IF(AND(_xlpm.baseRow,$E317="Tier 2 Grove",$D317&lt;12),
Error!$B$41,
IF(AND(_xlpm.baseRow,$E317="Tier 2",$D317&lt;5.88),
Error!$B$40,
IF(AND(_xlpm.baseRow,OR($E317="Tier 2",$E317="Tier 2 Grove"),$C317&lt;&gt;"",$D317&lt;12,$D317&gt;=6,COUNTIF(Tables2!$B$153:$B$162,$C317)&gt;0),
Error!$B$54,
IF(AND(_xlpm.baseRow,$E317="Tier 2",COUNTIF(Tables2!$B$166:$B$674,$C317)&gt;0,$D317&lt;24),
Error!$B$54,
IF(AND(_xlpm.baseRow,$E317="Tier 3",ISNA(MATCH($C317,Tables2!$B$153:$B$162,0)),OR($D317&lt;12,$D317&gt;=24)),
Error!$B$9,
IF(AND(_xlpm.baseRow,$E317="Tier 3",COUNTIF(Tables2!$B$153:$B$162,$C317)&gt;0,$D317&lt;12),
Error!$B$46,
IF(AND(_xlpm.baseRow,$E317="Tier 4",OR($D317&lt;6,$D317&gt;=12)),
Error!$B$10,
IF(AND(_xlpm.baseRow,$E317="&lt;6in DSH for Tree Points",OR($D317&gt;=6,$D317="")),
Error!$B$8,
IF(AND(_xlpm.baseRow,$E317="Street Tree for Green Factor",$F317&lt;&gt;"",$F317&lt;&gt;"Retain"),
Error!$B$14,
IF(AND($E317="&lt;6in DSH for Tree Points",$F317="Retain",$H317&lt;&gt;"",ISNA(MATCH($H317,Tables!$B$174:$B$174,0))),
Error!$B$15,
IF(AND($E317="Street Tree for Green Factor",$F317="Retain",$H317&lt;&gt;"",$H317&lt;&gt;"Zoning: Green Factor"),
Error!$B$15,
IF(AND($E317="ECA / Shoreline Tree",$F317="Remove",$H317&lt;&gt;"",ISNA(MATCH($H317,Tables!$B$189:$B$190,0))),
Error!$B$15,
IF(AND($E317="ECA / Shoreline Tree",$F317="Retain",$H317&lt;&gt;"",ISNA(MATCH($H317,Tables!$B$184:$B$186,0))),
Error!$B$15,
IF(AND($E317="Tier 4",$F317="Remove",$H317&lt;&gt;"",ISNA(MATCH($H317,Tables!$B$171,0))),
Error!$B$15,
IF(AND($E317="Tier 4",$F317="Retain",$H317&lt;&gt;"",ISNA(MATCH($H317,Tables!$B$166:$B$168,0))),
Error!$B$15,
IF(AND($E317="Tier 3",$F317="Retain",$H317&lt;&gt;"",ISNA(MATCH($H317,Tables!$B$158:$B$160,0))),
Error!$B$15,
IF(AND($E317="Tier 3",$F317="Remove",$H317&lt;&gt;"",ISNA(MATCH($H317,Tables!$B$163,0))),
Error!$B$15,
IF(AND(OR($E317="Tier 2",$E317="Tier 2 Grove"),$F317="Remove",$H317&lt;&gt;"",ISNA(MATCH($H317,Tables!$B$153:$B$155,0))),
Error!$B$15,
IF(AND(OR($E317="Tier 2",$E317="Tier 2 Grove"),$F317="Retain",$H317&lt;&gt;"",ISNA(MATCH($H317,Tables!$B$147:$B$150,0))),
Error!$B$15,
IF(AND($E317="Tier 1",$F317="Remove",$H317&lt;&gt;"",ISNA(MATCH($H317,Tables!$B$143:$B$144,0))),
Error!$B$15,
IF(AND($E317="Tier 1",$F317="Retain",$H317&lt;&gt;"",ISNA(MATCH($H317,Tables!$B$137:$B$140,0))),
Error!$B$15,
IF(AND($E317&lt;&gt;"Tier 2",$E317&lt;&gt;"Tier 2 Grove",$E317&lt;&gt;"Tier 3",$E317&lt;&gt;"Tier 4",$H317="Zoning: Green Factor",OR($D317="",$D317&lt;6)),
Error!$B$11,
IF(AND(_xlpm.baseRow,$D317&lt;6,$E317="&lt;6in DSH for Tree Points",_xlpm.TreePoints_H=0),
Error!$B$21,
IF(AND(_xlpm.baseRow,$E317&lt;&gt;"",$D317&lt;&gt;"",$F317=""),
Error!$B$4,
IF(AND(_xlpm.baseRow,$F317="Remove",OR($E317="Tier 1",$E317="Tier 2",$E317="Tier 2 Grove"),COUNTBLANK(_xlpm.HRange)&lt;3,_xlpm.uniqueH&gt;=2),
Error!$B$48,
IF(AND(_xlpm.baseRow,$F317="Retain",OR($E317="Tier 1",$E317="Tier 2",$E317="Tier 2 Grove"),COUNTIF(_xlpm.HRange,"Tree Code: Required to Retain Tier 1-2 Tree")=0),
Error!$B$47,
IF(AND(_xlpm.baseRow,$E317&lt;&gt;"",$D317&lt;&gt;"",$F317&lt;&gt;"",COUNTBLANK(_xlpm.HRange)=4),
Error!$B$5,
IF(AND($F317="Remove",$H317&lt;&gt;"",$I317=""),
Error!$B$18,
IF(AND($E317="Tier 4",$F317="Remove",$H317="Tree Protection Code: Tier 3 or Tier 4 Allowance",$H317&lt;&gt;"",ISNA(MATCH($I317,Tables!$B$200,0))),
Error!$B$17,
IF(AND($E317="Tier 3",$F317="Remove",$H317&lt;&gt;"",$H317="Tree Protection Code: Tier 3 or Tier 4 Allowance",OR($I317="",ISNA(MATCH($I317,Tables!$B$193:$B$197,0)))),
Error!$B$17,
IF(AND(OR($E317="Tier 2",$E317="Tier 2 Grove"),$F317="Remove",$H317="Tree Protection Code: Other removal allowance or exemption",$I317&lt;&gt;"",ISNA(MATCH($I317,Tables!$B$215:$B$218,0))),
Error!$B$17,
IF(AND(OR($E317="Tier 2",$E317="Tier 2 Grove"),$F317="Remove",$H317="Tree Protection Code: Development Capacity",$I317&lt;&gt;"",ISNA(MATCH($I317,Tables!$B$193:$B$197,0))),
Error!$B$17,
IF(AND(OR($E317="Tier 2",$E317="Tier 2 Grove"),$F317="Remove",$H317="Tree Protection Code: Necessary for Construction",$I317&lt;&gt;"",ISNA(MATCH($I317,Tables!$B$193:$B$197,0))),
Error!$B$17,
IF(AND($E317="Tier 1",$F317="Remove",$H317="Tree Protection Code: Special Exception",$I317&lt;&gt;"",ISNA(MATCH($I317,Tables!$B$215:$B$218,0))),
Error!$B$17,
IF(AND($E317="Tier 1",$F317="Remove",$H317="Tree Protection Code: Other removal allowance or exemption",$I317&lt;&gt;"",ISNA(MATCH($I317,Tables!$B$215:$B$218,0))),
Error!$B$17,
IF(AND($E317="ECA / Shoreline Tree",$F317="Remove",$H317&lt;&gt;"",OR($H317="Shoreline",$H317="Environmental Critical Area (ECA)"),ISNA(MATCH($I317,Tables!$B$209:$B$212,0))),
Error!$B$17,
IF(AND(_xlpm.baseRow,$F317="Retain",$E317="ECA / Shoreline Tree",_xlpm.ECA_Short=0),
Error!$B$61,
IF(AND($F317="Remove",ISNUMBER(MATCH($E317,{"Tier 1","Tier 2","Tier 3","Tier 4","Tier 2 Grove"},0)),ISNUMBER(MATCH($I317,{"On-site replacement","Off-site replacement"},0)),$J317="",$H317&lt;&gt;""),
Error!$B$19,
IF(AND(_xlpm.baseRow,$E317&lt;&gt;"",$D317&lt;&gt;"",$F317&lt;&gt;"",COUNTBLANK($B317:$C317)&gt;0,COUNTBLANK(_xlpm.HRange)&lt;&gt;4),
Error!$B$22,
IF(AND($H317="Zoning: Tree Points",$K317&lt;&gt;"",ISNA(MATCH($K317,Tables!$B$242:$B$253,0))),
Error!$B$58,
IF(AND($H317="Zoning: Tree Points",$K317="Small",$L317&lt;&gt;"",ISNA(MATCH($L317,Tables!$C$243:$C$244,0))),
Error!$B$59,
IF(AND($H317="Zoning: Tree Points",$K317="Small/Medium",$L317&lt;&gt;"",ISNA(MATCH($L317,Tables!$C$246:$C$247,0))),
Error!$B$59,
IF(AND($H317="Zoning: Tree Points",$K317="Medium/Large",$L317&lt;&gt;"",ISNA(MATCH($L317,Tables!$C$249:$C$250,0))),
Error!$B$59,
IF(AND($H317="Zoning: Tree Points",$K317="Large",$L317&lt;&gt;"",ISNA(MATCH($L317,Tables!$C$252:$C$253,0))),
Error!$B$59,
IF(AND($F317="Retain",$H317="Zoning: Tree Points",$C317&lt;&gt;"",$D317&lt;&gt;"",OR($K317="",$L317="",$M317="")),
Error!$B$20,
""
)))))))))))))))))))))))))))))))))))))))))))))))))))))))),
Error!$B$23))</f>
        <v/>
      </c>
      <c r="O317" s="343" t="str" cm="1">
        <f t="array" aca="1" ref="O317" ca="1">IFERROR(_xlfn.LET(
    _xlpm.txt, $C317,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18" spans="1:15" ht="15" thickBot="1" x14ac:dyDescent="0.35">
      <c r="A318" s="331"/>
      <c r="B318" s="616" t="str">
        <f t="shared" si="341"/>
        <v/>
      </c>
      <c r="C318" s="617" t="str">
        <f t="shared" si="342"/>
        <v/>
      </c>
      <c r="D318" s="618" t="str">
        <f t="shared" si="343"/>
        <v/>
      </c>
      <c r="E318" s="616" t="str">
        <f t="shared" si="344"/>
        <v/>
      </c>
      <c r="F318" s="616" t="str">
        <f t="shared" si="345"/>
        <v/>
      </c>
      <c r="G318" s="619" t="str">
        <f>IF(Tree_Table1[[#This Row],[Tree Status  &amp;]]="Retain", Tables!$B$237, IF(Tree_Table1[[#This Row],[Tree Status  &amp;]]="Remove", Tables!$B$238, ""))</f>
        <v/>
      </c>
      <c r="H318" s="329"/>
      <c r="I318" s="330"/>
      <c r="J318" s="455"/>
      <c r="K318" s="327" t="str">
        <f>IFERROR(
    IF(
        AND($H318="Zoning: Tree Points", NOT(ISNUMBER(SEARCH("sp.", $C318)))),
        VLOOKUP($C318, 'Tree List'!$C$3:$F$601, 4, FALSE),
        ""
    ),
"")</f>
        <v/>
      </c>
      <c r="L318" s="328" t="str" cm="1">
        <f t="array" ref="L318">IFERROR(
IF(
    AND($H318="Zoning: Tree Points", NOT(ISNUMBER(SEARCH("sp.", $C318)))),
    _xlfn.IFS(
        (COUNTIFS('Tree List'!$C$3:$C$601,$C318,'Tree List'!$D$3:$D$601,"Coniferous")
        + COUNTIFS('Tree List'!$C$3:$C$601,$C318,'Tree List'!$D$3:$D$601,"Deciduous Conifer")) &gt; 0,
            _xlfn.IFS($K318="Small",0.5,$K318="Small/Medium",1,$K318="Medium/Large",1.4,$K318="Large",1.8),
        (COUNTIFS('Tree List'!$C$3:$C$601,$C318,'Tree List'!$D$3:$D$601,"Deciduous")
        + COUNTIFS('Tree List'!$C$3:$C$601,$C318,'Tree List'!$D$3:$D$601,"Broadleaf Evergreen")) &gt; 0,
            _xlfn.IFS($K318="Small",0.4,$K318="Small/Medium",0.8,$K318="Medium/Large",1.2,$K318="Large",1.6)
    ),
    ""
),
"")</f>
        <v/>
      </c>
      <c r="M318" s="476" t="str">
        <f t="shared" si="330"/>
        <v/>
      </c>
      <c r="N318" s="347" t="str" cm="1">
        <f t="array" aca="1" ref="N31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IF(AND(_xlpm.baseRow,ISNA(MATCH($C318,'Tree List'!$C$3:$C$601,0)),SUMPRODUCT(--ISNUMBER(SEARCH(Tables2!$C$677:$C$772,$O318)))&gt;0),
Error!$B$57,
IF(AND(_xlpm.hasDM,$F318="Remove",$H318&lt;&gt;"",OR($I318="On-site replacement",$I318="Off-site replacement",$I318="Payment In Lieu")),
Error!$B$56,
IF(AND(_xlpm.hasDM,$F318="Remove",$H318&lt;&gt;"",$I318="Relocation"),
Error!$B$66,
IF(AND(OR(_xlpm.hasCN,_xlpm.hasPH,_xlpm.hasGR),$H318&lt;&gt;"",COUNTIF(Tables!$B$132:$B$134,$H318)&gt;0,$I318="N/A (No replacement required)"),
Error!$B$62,
IF(AND(_xlpm.baseRow,$E318&lt;&gt;"",ISNA(MATCH($E318,Tables!$B$225:$B$232,0))),
Error!$B$2,
IF(AND(_xlpm.baseRow,$F318&lt;&gt;"",ISNA(MATCH($F318,Tables!$B$234:$B$235,0))),
Error!$B$24,
IF(AND(_xlpm.baseRow,_xlpm.ECA_H&gt;0,_xlpm.Shore_H&gt;0),
Error!$B$16,
IF(AND(_xlpm.baseRow,$E318&lt;&gt;"",$D318=""),
Error!$B$3,
IF(AND(_xlpm.baseRow,OR($E318="Tier 3",$E318="Tier 4"),$C318&lt;&gt;"",$D318&gt;=24,COUNTIF(Tables2!$B$166:$B$674,$C318)&gt;0),
Error!$B$44,
IF(AND(_xlpm.baseRow,OR($E318="Tier 3",$E318="Tier 4"),$C318&lt;&gt;"",$D318&lt;&gt;"",COUNTIF(Tables2!$B$73:$B$152,$C318)&gt;0,
$D318&gt;=IFERROR(INDEX(Tables2!$C$73:$C$152,MATCH($C318,Tables2!$B$73:$B$152,0)),-1)),
Error!$B$44,
IF(AND(_xlpm.baseRow,OR($E318="Tier 2",$E318="Tier 2 Grove"),$C318&lt;&gt;"",$D318&gt;=12,COUNTIF(Tables2!$B$153:$B$162,$C318)&gt;0),
Error!$B$45,
IF(AND(_xlpm.baseRow,$E318="Tier 2 Grove",$D318&lt;12),
Error!$B$41,
IF(AND(_xlpm.baseRow,$E318="Tier 2",$D318&lt;5.88),
Error!$B$40,
IF(AND(_xlpm.baseRow,OR($E318="Tier 2",$E318="Tier 2 Grove"),$C318&lt;&gt;"",$D318&lt;12,$D318&gt;=6,COUNTIF(Tables2!$B$153:$B$162,$C318)&gt;0),
Error!$B$54,
IF(AND(_xlpm.baseRow,$E318="Tier 2",COUNTIF(Tables2!$B$166:$B$674,$C318)&gt;0,$D318&lt;24),
Error!$B$54,
IF(AND(_xlpm.baseRow,$E318="Tier 3",ISNA(MATCH($C318,Tables2!$B$153:$B$162,0)),OR($D318&lt;12,$D318&gt;=24)),
Error!$B$9,
IF(AND(_xlpm.baseRow,$E318="Tier 3",COUNTIF(Tables2!$B$153:$B$162,$C318)&gt;0,$D318&lt;12),
Error!$B$46,
IF(AND(_xlpm.baseRow,$E318="Tier 4",OR($D318&lt;6,$D318&gt;=12)),
Error!$B$10,
IF(AND(_xlpm.baseRow,$E318="&lt;6in DSH for Tree Points",OR($D318&gt;=6,$D318="")),
Error!$B$8,
IF(AND(_xlpm.baseRow,$E318="Street Tree for Green Factor",$F318&lt;&gt;"",$F318&lt;&gt;"Retain"),
Error!$B$14,
IF(AND($E318="&lt;6in DSH for Tree Points",$F318="Retain",$H318&lt;&gt;"",ISNA(MATCH($H318,Tables!$B$174:$B$174,0))),
Error!$B$15,
IF(AND($E318="Street Tree for Green Factor",$F318="Retain",$H318&lt;&gt;"",$H318&lt;&gt;"Zoning: Green Factor"),
Error!$B$15,
IF(AND($E318="ECA / Shoreline Tree",$F318="Remove",$H318&lt;&gt;"",ISNA(MATCH($H318,Tables!$B$189:$B$190,0))),
Error!$B$15,
IF(AND($E318="ECA / Shoreline Tree",$F318="Retain",$H318&lt;&gt;"",ISNA(MATCH($H318,Tables!$B$184:$B$186,0))),
Error!$B$15,
IF(AND($E318="Tier 4",$F318="Remove",$H318&lt;&gt;"",ISNA(MATCH($H318,Tables!$B$171,0))),
Error!$B$15,
IF(AND($E318="Tier 4",$F318="Retain",$H318&lt;&gt;"",ISNA(MATCH($H318,Tables!$B$166:$B$168,0))),
Error!$B$15,
IF(AND($E318="Tier 3",$F318="Retain",$H318&lt;&gt;"",ISNA(MATCH($H318,Tables!$B$158:$B$160,0))),
Error!$B$15,
IF(AND($E318="Tier 3",$F318="Remove",$H318&lt;&gt;"",ISNA(MATCH($H318,Tables!$B$163,0))),
Error!$B$15,
IF(AND(OR($E318="Tier 2",$E318="Tier 2 Grove"),$F318="Remove",$H318&lt;&gt;"",ISNA(MATCH($H318,Tables!$B$153:$B$155,0))),
Error!$B$15,
IF(AND(OR($E318="Tier 2",$E318="Tier 2 Grove"),$F318="Retain",$H318&lt;&gt;"",ISNA(MATCH($H318,Tables!$B$147:$B$150,0))),
Error!$B$15,
IF(AND($E318="Tier 1",$F318="Remove",$H318&lt;&gt;"",ISNA(MATCH($H318,Tables!$B$143:$B$144,0))),
Error!$B$15,
IF(AND($E318="Tier 1",$F318="Retain",$H318&lt;&gt;"",ISNA(MATCH($H318,Tables!$B$137:$B$140,0))),
Error!$B$15,
IF(AND($E318&lt;&gt;"Tier 2",$E318&lt;&gt;"Tier 2 Grove",$E318&lt;&gt;"Tier 3",$E318&lt;&gt;"Tier 4",$H318="Zoning: Green Factor",OR($D318="",$D318&lt;6)),
Error!$B$11,
IF(AND(_xlpm.baseRow,$D318&lt;6,$E318="&lt;6in DSH for Tree Points",_xlpm.TreePoints_H=0),
Error!$B$21,
IF(AND(_xlpm.baseRow,$E318&lt;&gt;"",$D318&lt;&gt;"",$F318=""),
Error!$B$4,
IF(AND(_xlpm.baseRow,$F318="Remove",OR($E318="Tier 1",$E318="Tier 2",$E318="Tier 2 Grove"),COUNTBLANK(_xlpm.HRange)&lt;3,_xlpm.uniqueH&gt;=2),
Error!$B$48,
IF(AND(_xlpm.baseRow,$F318="Retain",OR($E318="Tier 1",$E318="Tier 2",$E318="Tier 2 Grove"),COUNTIF(_xlpm.HRange,"Tree Code: Required to Retain Tier 1-2 Tree")=0),
Error!$B$47,
IF(AND(_xlpm.baseRow,$E318&lt;&gt;"",$D318&lt;&gt;"",$F318&lt;&gt;"",COUNTBLANK(_xlpm.HRange)=4),
Error!$B$5,
IF(AND($F318="Remove",$H318&lt;&gt;"",$I318=""),
Error!$B$18,
IF(AND($E318="Tier 4",$F318="Remove",$H318="Tree Protection Code: Tier 3 or Tier 4 Allowance",$H318&lt;&gt;"",ISNA(MATCH($I318,Tables!$B$200,0))),
Error!$B$17,
IF(AND($E318="Tier 3",$F318="Remove",$H318&lt;&gt;"",$H318="Tree Protection Code: Tier 3 or Tier 4 Allowance",OR($I318="",ISNA(MATCH($I318,Tables!$B$193:$B$197,0)))),
Error!$B$17,
IF(AND(OR($E318="Tier 2",$E318="Tier 2 Grove"),$F318="Remove",$H318="Tree Protection Code: Other removal allowance or exemption",$I318&lt;&gt;"",ISNA(MATCH($I318,Tables!$B$215:$B$218,0))),
Error!$B$17,
IF(AND(OR($E318="Tier 2",$E318="Tier 2 Grove"),$F318="Remove",$H318="Tree Protection Code: Development Capacity",$I318&lt;&gt;"",ISNA(MATCH($I318,Tables!$B$193:$B$197,0))),
Error!$B$17,
IF(AND(OR($E318="Tier 2",$E318="Tier 2 Grove"),$F318="Remove",$H318="Tree Protection Code: Necessary for Construction",$I318&lt;&gt;"",ISNA(MATCH($I318,Tables!$B$193:$B$197,0))),
Error!$B$17,
IF(AND($E318="Tier 1",$F318="Remove",$H318="Tree Protection Code: Special Exception",$I318&lt;&gt;"",ISNA(MATCH($I318,Tables!$B$215:$B$218,0))),
Error!$B$17,
IF(AND($E318="Tier 1",$F318="Remove",$H318="Tree Protection Code: Other removal allowance or exemption",$I318&lt;&gt;"",ISNA(MATCH($I318,Tables!$B$215:$B$218,0))),
Error!$B$17,
IF(AND($E318="ECA / Shoreline Tree",$F318="Remove",$H318&lt;&gt;"",OR($H318="Shoreline",$H318="Environmental Critical Area (ECA)"),ISNA(MATCH($I318,Tables!$B$209:$B$212,0))),
Error!$B$17,
IF(AND(_xlpm.baseRow,$F318="Retain",$E318="ECA / Shoreline Tree",_xlpm.ECA_Short=0),
Error!$B$61,
IF(AND($F318="Remove",ISNUMBER(MATCH($E318,{"Tier 1","Tier 2","Tier 3","Tier 4","Tier 2 Grove"},0)),ISNUMBER(MATCH($I318,{"On-site replacement","Off-site replacement"},0)),$J318="",$H318&lt;&gt;""),
Error!$B$19,
IF(AND(_xlpm.baseRow,$E318&lt;&gt;"",$D318&lt;&gt;"",$F318&lt;&gt;"",COUNTBLANK($B318:$C318)&gt;0,COUNTBLANK(_xlpm.HRange)&lt;&gt;4),
Error!$B$22,
IF(AND($H318="Zoning: Tree Points",$K318&lt;&gt;"",ISNA(MATCH($K318,Tables!$B$242:$B$253,0))),
Error!$B$58,
IF(AND($H318="Zoning: Tree Points",$K318="Small",$L318&lt;&gt;"",ISNA(MATCH($L318,Tables!$C$243:$C$244,0))),
Error!$B$59,
IF(AND($H318="Zoning: Tree Points",$K318="Small/Medium",$L318&lt;&gt;"",ISNA(MATCH($L318,Tables!$C$246:$C$247,0))),
Error!$B$59,
IF(AND($H318="Zoning: Tree Points",$K318="Medium/Large",$L318&lt;&gt;"",ISNA(MATCH($L318,Tables!$C$249:$C$250,0))),
Error!$B$59,
IF(AND($H318="Zoning: Tree Points",$K318="Large",$L318&lt;&gt;"",ISNA(MATCH($L318,Tables!$C$252:$C$253,0))),
Error!$B$59,
IF(AND($F318="Retain",$H318="Zoning: Tree Points",$C318&lt;&gt;"",$D318&lt;&gt;"",OR($K318="",$L318="",$M318="")),
Error!$B$20,
""
)))))))))))))))))))))))))))))))))))))))))))))))))))))))),
Error!$B$23))</f>
        <v/>
      </c>
      <c r="O318" s="343" t="str" cm="1">
        <f t="array" aca="1" ref="O318" ca="1">IFERROR(_xlfn.LET(
    _xlpm.txt, $C318,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19" spans="1:15" ht="15" thickBot="1" x14ac:dyDescent="0.35">
      <c r="A319" s="311">
        <v>78</v>
      </c>
      <c r="B319" s="312"/>
      <c r="C319" s="313"/>
      <c r="D319" s="478"/>
      <c r="E319" s="314"/>
      <c r="F319" s="314"/>
      <c r="G319" s="315" t="str">
        <f>IF(Tree_Table1[[#This Row],[Tree Status  &amp;]]="Retain", Tables!$B$237, IF(Tree_Table1[[#This Row],[Tree Status  &amp;]]="Remove", Tables!$B$238, ""))</f>
        <v/>
      </c>
      <c r="H319" s="316"/>
      <c r="I319" s="317"/>
      <c r="J319" s="452"/>
      <c r="K319" s="318" t="str">
        <f>IFERROR(
    IF(
        AND($H319="Zoning: Tree Points", NOT(ISNUMBER(SEARCH("sp.", $C319)))),
        VLOOKUP($C319, 'Tree List'!$C$3:$F$601, 4, FALSE),
        ""
    ),
"")</f>
        <v/>
      </c>
      <c r="L319" s="319" t="str" cm="1">
        <f t="array" ref="L319">IFERROR(
IF(
    AND($H319="Zoning: Tree Points", NOT(ISNUMBER(SEARCH("sp.", $C319)))),
    _xlfn.IFS(
        (COUNTIFS('Tree List'!$C$3:$C$601,$C319,'Tree List'!$D$3:$D$601,"Coniferous")
        + COUNTIFS('Tree List'!$C$3:$C$601,$C319,'Tree List'!$D$3:$D$601,"Deciduous Conifer")) &gt; 0,
            _xlfn.IFS($K319="Small",0.5,$K319="Small/Medium",1,$K319="Medium/Large",1.4,$K319="Large",1.8),
        (COUNTIFS('Tree List'!$C$3:$C$601,$C319,'Tree List'!$D$3:$D$601,"Deciduous")
        + COUNTIFS('Tree List'!$C$3:$C$601,$C319,'Tree List'!$D$3:$D$601,"Broadleaf Evergreen")) &gt; 0,
            _xlfn.IFS($K319="Small",0.4,$K319="Small/Medium",0.8,$K319="Medium/Large",1.2,$K319="Large",1.6)
    ),
    ""
),
"")</f>
        <v/>
      </c>
      <c r="M319" s="474" t="str">
        <f t="shared" si="330"/>
        <v/>
      </c>
      <c r="N319" s="620" t="str" cm="1">
        <f t="array" aca="1" ref="N31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IF(AND(_xlpm.baseRow,ISNA(MATCH($C319,'Tree List'!$C$3:$C$601,0)),SUMPRODUCT(--ISNUMBER(SEARCH(Tables2!$C$677:$C$772,$O319)))&gt;0),
Error!$B$57,
IF(AND(_xlpm.hasDM,$F319="Remove",$H319&lt;&gt;"",OR($I319="On-site replacement",$I319="Off-site replacement",$I319="Payment In Lieu")),
Error!$B$56,
IF(AND(_xlpm.hasDM,$F319="Remove",$H319&lt;&gt;"",$I319="Relocation"),
Error!$B$66,
IF(AND(OR(_xlpm.hasCN,_xlpm.hasPH,_xlpm.hasGR),$H319&lt;&gt;"",COUNTIF(Tables!$B$132:$B$134,$H319)&gt;0,$I319="N/A (No replacement required)"),
Error!$B$62,
IF(AND(_xlpm.baseRow,$E319&lt;&gt;"",ISNA(MATCH($E319,Tables!$B$225:$B$232,0))),
Error!$B$2,
IF(AND(_xlpm.baseRow,$F319&lt;&gt;"",ISNA(MATCH($F319,Tables!$B$234:$B$235,0))),
Error!$B$24,
IF(AND(_xlpm.baseRow,_xlpm.ECA_H&gt;0,_xlpm.Shore_H&gt;0),
Error!$B$16,
IF(AND(_xlpm.baseRow,$E319&lt;&gt;"",$D319=""),
Error!$B$3,
IF(AND(_xlpm.baseRow,OR($E319="Tier 3",$E319="Tier 4"),$C319&lt;&gt;"",$D319&gt;=24,COUNTIF(Tables2!$B$166:$B$674,$C319)&gt;0),
Error!$B$44,
IF(AND(_xlpm.baseRow,OR($E319="Tier 3",$E319="Tier 4"),$C319&lt;&gt;"",$D319&lt;&gt;"",COUNTIF(Tables2!$B$73:$B$152,$C319)&gt;0,
$D319&gt;=IFERROR(INDEX(Tables2!$C$73:$C$152,MATCH($C319,Tables2!$B$73:$B$152,0)),-1)),
Error!$B$44,
IF(AND(_xlpm.baseRow,OR($E319="Tier 2",$E319="Tier 2 Grove"),$C319&lt;&gt;"",$D319&gt;=12,COUNTIF(Tables2!$B$153:$B$162,$C319)&gt;0),
Error!$B$45,
IF(AND(_xlpm.baseRow,$E319="Tier 2 Grove",$D319&lt;12),
Error!$B$41,
IF(AND(_xlpm.baseRow,$E319="Tier 2",$D319&lt;5.88),
Error!$B$40,
IF(AND(_xlpm.baseRow,OR($E319="Tier 2",$E319="Tier 2 Grove"),$C319&lt;&gt;"",$D319&lt;12,$D319&gt;=6,COUNTIF(Tables2!$B$153:$B$162,$C319)&gt;0),
Error!$B$54,
IF(AND(_xlpm.baseRow,$E319="Tier 2",COUNTIF(Tables2!$B$166:$B$674,$C319)&gt;0,$D319&lt;24),
Error!$B$54,
IF(AND(_xlpm.baseRow,$E319="Tier 3",ISNA(MATCH($C319,Tables2!$B$153:$B$162,0)),OR($D319&lt;12,$D319&gt;=24)),
Error!$B$9,
IF(AND(_xlpm.baseRow,$E319="Tier 3",COUNTIF(Tables2!$B$153:$B$162,$C319)&gt;0,$D319&lt;12),
Error!$B$46,
IF(AND(_xlpm.baseRow,$E319="Tier 4",OR($D319&lt;6,$D319&gt;=12)),
Error!$B$10,
IF(AND(_xlpm.baseRow,$E319="&lt;6in DSH for Tree Points",OR($D319&gt;=6,$D319="")),
Error!$B$8,
IF(AND(_xlpm.baseRow,$E319="Street Tree for Green Factor",$F319&lt;&gt;"",$F319&lt;&gt;"Retain"),
Error!$B$14,
IF(AND($E319="&lt;6in DSH for Tree Points",$F319="Retain",$H319&lt;&gt;"",ISNA(MATCH($H319,Tables!$B$174:$B$174,0))),
Error!$B$15,
IF(AND($E319="Street Tree for Green Factor",$F319="Retain",$H319&lt;&gt;"",$H319&lt;&gt;"Zoning: Green Factor"),
Error!$B$15,
IF(AND($E319="ECA / Shoreline Tree",$F319="Remove",$H319&lt;&gt;"",ISNA(MATCH($H319,Tables!$B$189:$B$190,0))),
Error!$B$15,
IF(AND($E319="ECA / Shoreline Tree",$F319="Retain",$H319&lt;&gt;"",ISNA(MATCH($H319,Tables!$B$184:$B$186,0))),
Error!$B$15,
IF(AND($E319="Tier 4",$F319="Remove",$H319&lt;&gt;"",ISNA(MATCH($H319,Tables!$B$171,0))),
Error!$B$15,
IF(AND($E319="Tier 4",$F319="Retain",$H319&lt;&gt;"",ISNA(MATCH($H319,Tables!$B$166:$B$168,0))),
Error!$B$15,
IF(AND($E319="Tier 3",$F319="Retain",$H319&lt;&gt;"",ISNA(MATCH($H319,Tables!$B$158:$B$160,0))),
Error!$B$15,
IF(AND($E319="Tier 3",$F319="Remove",$H319&lt;&gt;"",ISNA(MATCH($H319,Tables!$B$163,0))),
Error!$B$15,
IF(AND(OR($E319="Tier 2",$E319="Tier 2 Grove"),$F319="Remove",$H319&lt;&gt;"",ISNA(MATCH($H319,Tables!$B$153:$B$155,0))),
Error!$B$15,
IF(AND(OR($E319="Tier 2",$E319="Tier 2 Grove"),$F319="Retain",$H319&lt;&gt;"",ISNA(MATCH($H319,Tables!$B$147:$B$150,0))),
Error!$B$15,
IF(AND($E319="Tier 1",$F319="Remove",$H319&lt;&gt;"",ISNA(MATCH($H319,Tables!$B$143:$B$144,0))),
Error!$B$15,
IF(AND($E319="Tier 1",$F319="Retain",$H319&lt;&gt;"",ISNA(MATCH($H319,Tables!$B$137:$B$140,0))),
Error!$B$15,
IF(AND($E319&lt;&gt;"Tier 2",$E319&lt;&gt;"Tier 2 Grove",$E319&lt;&gt;"Tier 3",$E319&lt;&gt;"Tier 4",$H319="Zoning: Green Factor",OR($D319="",$D319&lt;6)),
Error!$B$11,
IF(AND(_xlpm.baseRow,$D319&lt;6,$E319="&lt;6in DSH for Tree Points",_xlpm.TreePoints_H=0),
Error!$B$21,
IF(AND(_xlpm.baseRow,$E319&lt;&gt;"",$D319&lt;&gt;"",$F319=""),
Error!$B$4,
IF(AND(_xlpm.baseRow,$F319="Remove",OR($E319="Tier 1",$E319="Tier 2",$E319="Tier 2 Grove"),COUNTBLANK(_xlpm.HRange)&lt;3,_xlpm.uniqueH&gt;=2),
Error!$B$48,
IF(AND(_xlpm.baseRow,$F319="Retain",OR($E319="Tier 1",$E319="Tier 2",$E319="Tier 2 Grove"),COUNTIF(_xlpm.HRange,"Tree Code: Required to Retain Tier 1-2 Tree")=0),
Error!$B$47,
IF(AND(_xlpm.baseRow,$E319&lt;&gt;"",$D319&lt;&gt;"",$F319&lt;&gt;"",COUNTBLANK(_xlpm.HRange)=4),
Error!$B$5,
IF(AND($F319="Remove",$H319&lt;&gt;"",$I319=""),
Error!$B$18,
IF(AND($E319="Tier 4",$F319="Remove",$H319="Tree Protection Code: Tier 3 or Tier 4 Allowance",$H319&lt;&gt;"",ISNA(MATCH($I319,Tables!$B$200,0))),
Error!$B$17,
IF(AND($E319="Tier 3",$F319="Remove",$H319&lt;&gt;"",$H319="Tree Protection Code: Tier 3 or Tier 4 Allowance",OR($I319="",ISNA(MATCH($I319,Tables!$B$193:$B$197,0)))),
Error!$B$17,
IF(AND(OR($E319="Tier 2",$E319="Tier 2 Grove"),$F319="Remove",$H319="Tree Protection Code: Other removal allowance or exemption",$I319&lt;&gt;"",ISNA(MATCH($I319,Tables!$B$215:$B$218,0))),
Error!$B$17,
IF(AND(OR($E319="Tier 2",$E319="Tier 2 Grove"),$F319="Remove",$H319="Tree Protection Code: Development Capacity",$I319&lt;&gt;"",ISNA(MATCH($I319,Tables!$B$193:$B$197,0))),
Error!$B$17,
IF(AND(OR($E319="Tier 2",$E319="Tier 2 Grove"),$F319="Remove",$H319="Tree Protection Code: Necessary for Construction",$I319&lt;&gt;"",ISNA(MATCH($I319,Tables!$B$193:$B$197,0))),
Error!$B$17,
IF(AND($E319="Tier 1",$F319="Remove",$H319="Tree Protection Code: Special Exception",$I319&lt;&gt;"",ISNA(MATCH($I319,Tables!$B$215:$B$218,0))),
Error!$B$17,
IF(AND($E319="Tier 1",$F319="Remove",$H319="Tree Protection Code: Other removal allowance or exemption",$I319&lt;&gt;"",ISNA(MATCH($I319,Tables!$B$215:$B$218,0))),
Error!$B$17,
IF(AND($E319="ECA / Shoreline Tree",$F319="Remove",$H319&lt;&gt;"",OR($H319="Shoreline",$H319="Environmental Critical Area (ECA)"),ISNA(MATCH($I319,Tables!$B$209:$B$212,0))),
Error!$B$17,
IF(AND(_xlpm.baseRow,$F319="Retain",$E319="ECA / Shoreline Tree",_xlpm.ECA_Short=0),
Error!$B$61,
IF(AND($F319="Remove",ISNUMBER(MATCH($E319,{"Tier 1","Tier 2","Tier 3","Tier 4","Tier 2 Grove"},0)),ISNUMBER(MATCH($I319,{"On-site replacement","Off-site replacement"},0)),$J319="",$H319&lt;&gt;""),
Error!$B$19,
IF(AND(_xlpm.baseRow,$E319&lt;&gt;"",$D319&lt;&gt;"",$F319&lt;&gt;"",COUNTBLANK($B319:$C319)&gt;0,COUNTBLANK(_xlpm.HRange)&lt;&gt;4),
Error!$B$22,
IF(AND($H319="Zoning: Tree Points",$K319&lt;&gt;"",ISNA(MATCH($K319,Tables!$B$242:$B$253,0))),
Error!$B$58,
IF(AND($H319="Zoning: Tree Points",$K319="Small",$L319&lt;&gt;"",ISNA(MATCH($L319,Tables!$C$243:$C$244,0))),
Error!$B$59,
IF(AND($H319="Zoning: Tree Points",$K319="Small/Medium",$L319&lt;&gt;"",ISNA(MATCH($L319,Tables!$C$246:$C$247,0))),
Error!$B$59,
IF(AND($H319="Zoning: Tree Points",$K319="Medium/Large",$L319&lt;&gt;"",ISNA(MATCH($L319,Tables!$C$249:$C$250,0))),
Error!$B$59,
IF(AND($H319="Zoning: Tree Points",$K319="Large",$L319&lt;&gt;"",ISNA(MATCH($L319,Tables!$C$252:$C$253,0))),
Error!$B$59,
IF(AND($F319="Retain",$H319="Zoning: Tree Points",$C319&lt;&gt;"",$D319&lt;&gt;"",OR($K319="",$L319="",$M319="")),
Error!$B$20,
""
)))))))))))))))))))))))))))))))))))))))))))))))))))))))),
Error!$B$23))</f>
        <v/>
      </c>
      <c r="O319" s="343" t="str" cm="1">
        <f t="array" aca="1" ref="O319" ca="1">IFERROR(_xlfn.LET(
    _xlpm.txt, $C319,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20" spans="1:15" x14ac:dyDescent="0.3">
      <c r="A320" s="320"/>
      <c r="B320" s="616" t="str">
        <f t="shared" ref="B320:B322" si="346">IF($B319="", "", $B319)</f>
        <v/>
      </c>
      <c r="C320" s="617" t="str">
        <f t="shared" ref="C320:C322" si="347">IF($C319="", "", $C319)</f>
        <v/>
      </c>
      <c r="D320" s="618" t="str">
        <f t="shared" ref="D320:D322" si="348">IF($D319="", "", $D319)</f>
        <v/>
      </c>
      <c r="E320" s="616" t="str">
        <f t="shared" ref="E320:E322" si="349">IF($E319="", "", $E319)</f>
        <v/>
      </c>
      <c r="F320" s="616" t="str">
        <f t="shared" ref="F320:F322" si="350">IF($F319="", "", $F319)</f>
        <v/>
      </c>
      <c r="G320" s="619" t="str">
        <f>IF(Tree_Table1[[#This Row],[Tree Status  &amp;]]="Retain", Tables!$B$237, IF(Tree_Table1[[#This Row],[Tree Status  &amp;]]="Remove", Tables!$B$238, ""))</f>
        <v/>
      </c>
      <c r="H320" s="321"/>
      <c r="I320" s="322"/>
      <c r="J320" s="453"/>
      <c r="K320" s="323" t="str">
        <f>IFERROR(
    IF(
        AND($H320="Zoning: Tree Points", NOT(ISNUMBER(SEARCH("sp.", $C320)))),
        VLOOKUP($C320, 'Tree List'!$C$3:$F$601, 4, FALSE),
        ""
    ),
"")</f>
        <v/>
      </c>
      <c r="L320" s="324" t="str" cm="1">
        <f t="array" ref="L320">IFERROR(
IF(
    AND($H320="Zoning: Tree Points", NOT(ISNUMBER(SEARCH("sp.", $C320)))),
    _xlfn.IFS(
        (COUNTIFS('Tree List'!$C$3:$C$601,$C320,'Tree List'!$D$3:$D$601,"Coniferous")
        + COUNTIFS('Tree List'!$C$3:$C$601,$C320,'Tree List'!$D$3:$D$601,"Deciduous Conifer")) &gt; 0,
            _xlfn.IFS($K320="Small",0.5,$K320="Small/Medium",1,$K320="Medium/Large",1.4,$K320="Large",1.8),
        (COUNTIFS('Tree List'!$C$3:$C$601,$C320,'Tree List'!$D$3:$D$601,"Deciduous")
        + COUNTIFS('Tree List'!$C$3:$C$601,$C320,'Tree List'!$D$3:$D$601,"Broadleaf Evergreen")) &gt; 0,
            _xlfn.IFS($K320="Small",0.4,$K320="Small/Medium",0.8,$K320="Medium/Large",1.2,$K320="Large",1.6)
    ),
    ""
),
"")</f>
        <v/>
      </c>
      <c r="M320" s="475" t="str">
        <f t="shared" si="330"/>
        <v/>
      </c>
      <c r="N320" s="346" t="str" cm="1">
        <f t="array" aca="1" ref="N32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IF(AND(_xlpm.baseRow,ISNA(MATCH($C320,'Tree List'!$C$3:$C$601,0)),SUMPRODUCT(--ISNUMBER(SEARCH(Tables2!$C$677:$C$772,$O320)))&gt;0),
Error!$B$57,
IF(AND(_xlpm.hasDM,$F320="Remove",$H320&lt;&gt;"",OR($I320="On-site replacement",$I320="Off-site replacement",$I320="Payment In Lieu")),
Error!$B$56,
IF(AND(_xlpm.hasDM,$F320="Remove",$H320&lt;&gt;"",$I320="Relocation"),
Error!$B$66,
IF(AND(OR(_xlpm.hasCN,_xlpm.hasPH,_xlpm.hasGR),$H320&lt;&gt;"",COUNTIF(Tables!$B$132:$B$134,$H320)&gt;0,$I320="N/A (No replacement required)"),
Error!$B$62,
IF(AND(_xlpm.baseRow,$E320&lt;&gt;"",ISNA(MATCH($E320,Tables!$B$225:$B$232,0))),
Error!$B$2,
IF(AND(_xlpm.baseRow,$F320&lt;&gt;"",ISNA(MATCH($F320,Tables!$B$234:$B$235,0))),
Error!$B$24,
IF(AND(_xlpm.baseRow,_xlpm.ECA_H&gt;0,_xlpm.Shore_H&gt;0),
Error!$B$16,
IF(AND(_xlpm.baseRow,$E320&lt;&gt;"",$D320=""),
Error!$B$3,
IF(AND(_xlpm.baseRow,OR($E320="Tier 3",$E320="Tier 4"),$C320&lt;&gt;"",$D320&gt;=24,COUNTIF(Tables2!$B$166:$B$674,$C320)&gt;0),
Error!$B$44,
IF(AND(_xlpm.baseRow,OR($E320="Tier 3",$E320="Tier 4"),$C320&lt;&gt;"",$D320&lt;&gt;"",COUNTIF(Tables2!$B$73:$B$152,$C320)&gt;0,
$D320&gt;=IFERROR(INDEX(Tables2!$C$73:$C$152,MATCH($C320,Tables2!$B$73:$B$152,0)),-1)),
Error!$B$44,
IF(AND(_xlpm.baseRow,OR($E320="Tier 2",$E320="Tier 2 Grove"),$C320&lt;&gt;"",$D320&gt;=12,COUNTIF(Tables2!$B$153:$B$162,$C320)&gt;0),
Error!$B$45,
IF(AND(_xlpm.baseRow,$E320="Tier 2 Grove",$D320&lt;12),
Error!$B$41,
IF(AND(_xlpm.baseRow,$E320="Tier 2",$D320&lt;5.88),
Error!$B$40,
IF(AND(_xlpm.baseRow,OR($E320="Tier 2",$E320="Tier 2 Grove"),$C320&lt;&gt;"",$D320&lt;12,$D320&gt;=6,COUNTIF(Tables2!$B$153:$B$162,$C320)&gt;0),
Error!$B$54,
IF(AND(_xlpm.baseRow,$E320="Tier 2",COUNTIF(Tables2!$B$166:$B$674,$C320)&gt;0,$D320&lt;24),
Error!$B$54,
IF(AND(_xlpm.baseRow,$E320="Tier 3",ISNA(MATCH($C320,Tables2!$B$153:$B$162,0)),OR($D320&lt;12,$D320&gt;=24)),
Error!$B$9,
IF(AND(_xlpm.baseRow,$E320="Tier 3",COUNTIF(Tables2!$B$153:$B$162,$C320)&gt;0,$D320&lt;12),
Error!$B$46,
IF(AND(_xlpm.baseRow,$E320="Tier 4",OR($D320&lt;6,$D320&gt;=12)),
Error!$B$10,
IF(AND(_xlpm.baseRow,$E320="&lt;6in DSH for Tree Points",OR($D320&gt;=6,$D320="")),
Error!$B$8,
IF(AND(_xlpm.baseRow,$E320="Street Tree for Green Factor",$F320&lt;&gt;"",$F320&lt;&gt;"Retain"),
Error!$B$14,
IF(AND($E320="&lt;6in DSH for Tree Points",$F320="Retain",$H320&lt;&gt;"",ISNA(MATCH($H320,Tables!$B$174:$B$174,0))),
Error!$B$15,
IF(AND($E320="Street Tree for Green Factor",$F320="Retain",$H320&lt;&gt;"",$H320&lt;&gt;"Zoning: Green Factor"),
Error!$B$15,
IF(AND($E320="ECA / Shoreline Tree",$F320="Remove",$H320&lt;&gt;"",ISNA(MATCH($H320,Tables!$B$189:$B$190,0))),
Error!$B$15,
IF(AND($E320="ECA / Shoreline Tree",$F320="Retain",$H320&lt;&gt;"",ISNA(MATCH($H320,Tables!$B$184:$B$186,0))),
Error!$B$15,
IF(AND($E320="Tier 4",$F320="Remove",$H320&lt;&gt;"",ISNA(MATCH($H320,Tables!$B$171,0))),
Error!$B$15,
IF(AND($E320="Tier 4",$F320="Retain",$H320&lt;&gt;"",ISNA(MATCH($H320,Tables!$B$166:$B$168,0))),
Error!$B$15,
IF(AND($E320="Tier 3",$F320="Retain",$H320&lt;&gt;"",ISNA(MATCH($H320,Tables!$B$158:$B$160,0))),
Error!$B$15,
IF(AND($E320="Tier 3",$F320="Remove",$H320&lt;&gt;"",ISNA(MATCH($H320,Tables!$B$163,0))),
Error!$B$15,
IF(AND(OR($E320="Tier 2",$E320="Tier 2 Grove"),$F320="Remove",$H320&lt;&gt;"",ISNA(MATCH($H320,Tables!$B$153:$B$155,0))),
Error!$B$15,
IF(AND(OR($E320="Tier 2",$E320="Tier 2 Grove"),$F320="Retain",$H320&lt;&gt;"",ISNA(MATCH($H320,Tables!$B$147:$B$150,0))),
Error!$B$15,
IF(AND($E320="Tier 1",$F320="Remove",$H320&lt;&gt;"",ISNA(MATCH($H320,Tables!$B$143:$B$144,0))),
Error!$B$15,
IF(AND($E320="Tier 1",$F320="Retain",$H320&lt;&gt;"",ISNA(MATCH($H320,Tables!$B$137:$B$140,0))),
Error!$B$15,
IF(AND($E320&lt;&gt;"Tier 2",$E320&lt;&gt;"Tier 2 Grove",$E320&lt;&gt;"Tier 3",$E320&lt;&gt;"Tier 4",$H320="Zoning: Green Factor",OR($D320="",$D320&lt;6)),
Error!$B$11,
IF(AND(_xlpm.baseRow,$D320&lt;6,$E320="&lt;6in DSH for Tree Points",_xlpm.TreePoints_H=0),
Error!$B$21,
IF(AND(_xlpm.baseRow,$E320&lt;&gt;"",$D320&lt;&gt;"",$F320=""),
Error!$B$4,
IF(AND(_xlpm.baseRow,$F320="Remove",OR($E320="Tier 1",$E320="Tier 2",$E320="Tier 2 Grove"),COUNTBLANK(_xlpm.HRange)&lt;3,_xlpm.uniqueH&gt;=2),
Error!$B$48,
IF(AND(_xlpm.baseRow,$F320="Retain",OR($E320="Tier 1",$E320="Tier 2",$E320="Tier 2 Grove"),COUNTIF(_xlpm.HRange,"Tree Code: Required to Retain Tier 1-2 Tree")=0),
Error!$B$47,
IF(AND(_xlpm.baseRow,$E320&lt;&gt;"",$D320&lt;&gt;"",$F320&lt;&gt;"",COUNTBLANK(_xlpm.HRange)=4),
Error!$B$5,
IF(AND($F320="Remove",$H320&lt;&gt;"",$I320=""),
Error!$B$18,
IF(AND($E320="Tier 4",$F320="Remove",$H320="Tree Protection Code: Tier 3 or Tier 4 Allowance",$H320&lt;&gt;"",ISNA(MATCH($I320,Tables!$B$200,0))),
Error!$B$17,
IF(AND($E320="Tier 3",$F320="Remove",$H320&lt;&gt;"",$H320="Tree Protection Code: Tier 3 or Tier 4 Allowance",OR($I320="",ISNA(MATCH($I320,Tables!$B$193:$B$197,0)))),
Error!$B$17,
IF(AND(OR($E320="Tier 2",$E320="Tier 2 Grove"),$F320="Remove",$H320="Tree Protection Code: Other removal allowance or exemption",$I320&lt;&gt;"",ISNA(MATCH($I320,Tables!$B$215:$B$218,0))),
Error!$B$17,
IF(AND(OR($E320="Tier 2",$E320="Tier 2 Grove"),$F320="Remove",$H320="Tree Protection Code: Development Capacity",$I320&lt;&gt;"",ISNA(MATCH($I320,Tables!$B$193:$B$197,0))),
Error!$B$17,
IF(AND(OR($E320="Tier 2",$E320="Tier 2 Grove"),$F320="Remove",$H320="Tree Protection Code: Necessary for Construction",$I320&lt;&gt;"",ISNA(MATCH($I320,Tables!$B$193:$B$197,0))),
Error!$B$17,
IF(AND($E320="Tier 1",$F320="Remove",$H320="Tree Protection Code: Special Exception",$I320&lt;&gt;"",ISNA(MATCH($I320,Tables!$B$215:$B$218,0))),
Error!$B$17,
IF(AND($E320="Tier 1",$F320="Remove",$H320="Tree Protection Code: Other removal allowance or exemption",$I320&lt;&gt;"",ISNA(MATCH($I320,Tables!$B$215:$B$218,0))),
Error!$B$17,
IF(AND($E320="ECA / Shoreline Tree",$F320="Remove",$H320&lt;&gt;"",OR($H320="Shoreline",$H320="Environmental Critical Area (ECA)"),ISNA(MATCH($I320,Tables!$B$209:$B$212,0))),
Error!$B$17,
IF(AND(_xlpm.baseRow,$F320="Retain",$E320="ECA / Shoreline Tree",_xlpm.ECA_Short=0),
Error!$B$61,
IF(AND($F320="Remove",ISNUMBER(MATCH($E320,{"Tier 1","Tier 2","Tier 3","Tier 4","Tier 2 Grove"},0)),ISNUMBER(MATCH($I320,{"On-site replacement","Off-site replacement"},0)),$J320="",$H320&lt;&gt;""),
Error!$B$19,
IF(AND(_xlpm.baseRow,$E320&lt;&gt;"",$D320&lt;&gt;"",$F320&lt;&gt;"",COUNTBLANK($B320:$C320)&gt;0,COUNTBLANK(_xlpm.HRange)&lt;&gt;4),
Error!$B$22,
IF(AND($H320="Zoning: Tree Points",$K320&lt;&gt;"",ISNA(MATCH($K320,Tables!$B$242:$B$253,0))),
Error!$B$58,
IF(AND($H320="Zoning: Tree Points",$K320="Small",$L320&lt;&gt;"",ISNA(MATCH($L320,Tables!$C$243:$C$244,0))),
Error!$B$59,
IF(AND($H320="Zoning: Tree Points",$K320="Small/Medium",$L320&lt;&gt;"",ISNA(MATCH($L320,Tables!$C$246:$C$247,0))),
Error!$B$59,
IF(AND($H320="Zoning: Tree Points",$K320="Medium/Large",$L320&lt;&gt;"",ISNA(MATCH($L320,Tables!$C$249:$C$250,0))),
Error!$B$59,
IF(AND($H320="Zoning: Tree Points",$K320="Large",$L320&lt;&gt;"",ISNA(MATCH($L320,Tables!$C$252:$C$253,0))),
Error!$B$59,
IF(AND($F320="Retain",$H320="Zoning: Tree Points",$C320&lt;&gt;"",$D320&lt;&gt;"",OR($K320="",$L320="",$M320="")),
Error!$B$20,
""
)))))))))))))))))))))))))))))))))))))))))))))))))))))))),
Error!$B$23))</f>
        <v/>
      </c>
      <c r="O320" s="343" t="str" cm="1">
        <f t="array" aca="1" ref="O320" ca="1">IFERROR(_xlfn.LET(
    _xlpm.txt, $C320,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21" spans="1:15" x14ac:dyDescent="0.3">
      <c r="A321" s="320"/>
      <c r="B321" s="616" t="str">
        <f t="shared" si="346"/>
        <v/>
      </c>
      <c r="C321" s="617" t="str">
        <f t="shared" si="347"/>
        <v/>
      </c>
      <c r="D321" s="618" t="str">
        <f t="shared" si="348"/>
        <v/>
      </c>
      <c r="E321" s="616" t="str">
        <f t="shared" si="349"/>
        <v/>
      </c>
      <c r="F321" s="616" t="str">
        <f t="shared" si="350"/>
        <v/>
      </c>
      <c r="G321" s="619" t="str">
        <f>IF(Tree_Table1[[#This Row],[Tree Status  &amp;]]="Retain", Tables!$B$237, IF(Tree_Table1[[#This Row],[Tree Status  &amp;]]="Remove", Tables!$B$238, ""))</f>
        <v/>
      </c>
      <c r="H321" s="321"/>
      <c r="I321" s="322"/>
      <c r="J321" s="453"/>
      <c r="K321" s="323" t="str">
        <f>IFERROR(
    IF(
        AND($H321="Zoning: Tree Points", NOT(ISNUMBER(SEARCH("sp.", $C321)))),
        VLOOKUP($C321, 'Tree List'!$C$3:$F$601, 4, FALSE),
        ""
    ),
"")</f>
        <v/>
      </c>
      <c r="L321" s="324" t="str" cm="1">
        <f t="array" ref="L321">IFERROR(
IF(
    AND($H321="Zoning: Tree Points", NOT(ISNUMBER(SEARCH("sp.", $C321)))),
    _xlfn.IFS(
        (COUNTIFS('Tree List'!$C$3:$C$601,$C321,'Tree List'!$D$3:$D$601,"Coniferous")
        + COUNTIFS('Tree List'!$C$3:$C$601,$C321,'Tree List'!$D$3:$D$601,"Deciduous Conifer")) &gt; 0,
            _xlfn.IFS($K321="Small",0.5,$K321="Small/Medium",1,$K321="Medium/Large",1.4,$K321="Large",1.8),
        (COUNTIFS('Tree List'!$C$3:$C$601,$C321,'Tree List'!$D$3:$D$601,"Deciduous")
        + COUNTIFS('Tree List'!$C$3:$C$601,$C321,'Tree List'!$D$3:$D$601,"Broadleaf Evergreen")) &gt; 0,
            _xlfn.IFS($K321="Small",0.4,$K321="Small/Medium",0.8,$K321="Medium/Large",1.2,$K321="Large",1.6)
    ),
    ""
),
"")</f>
        <v/>
      </c>
      <c r="M321" s="475" t="str">
        <f t="shared" si="330"/>
        <v/>
      </c>
      <c r="N321" s="346" t="str" cm="1">
        <f t="array" aca="1" ref="N32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IF(AND(_xlpm.baseRow,ISNA(MATCH($C321,'Tree List'!$C$3:$C$601,0)),SUMPRODUCT(--ISNUMBER(SEARCH(Tables2!$C$677:$C$772,$O321)))&gt;0),
Error!$B$57,
IF(AND(_xlpm.hasDM,$F321="Remove",$H321&lt;&gt;"",OR($I321="On-site replacement",$I321="Off-site replacement",$I321="Payment In Lieu")),
Error!$B$56,
IF(AND(_xlpm.hasDM,$F321="Remove",$H321&lt;&gt;"",$I321="Relocation"),
Error!$B$66,
IF(AND(OR(_xlpm.hasCN,_xlpm.hasPH,_xlpm.hasGR),$H321&lt;&gt;"",COUNTIF(Tables!$B$132:$B$134,$H321)&gt;0,$I321="N/A (No replacement required)"),
Error!$B$62,
IF(AND(_xlpm.baseRow,$E321&lt;&gt;"",ISNA(MATCH($E321,Tables!$B$225:$B$232,0))),
Error!$B$2,
IF(AND(_xlpm.baseRow,$F321&lt;&gt;"",ISNA(MATCH($F321,Tables!$B$234:$B$235,0))),
Error!$B$24,
IF(AND(_xlpm.baseRow,_xlpm.ECA_H&gt;0,_xlpm.Shore_H&gt;0),
Error!$B$16,
IF(AND(_xlpm.baseRow,$E321&lt;&gt;"",$D321=""),
Error!$B$3,
IF(AND(_xlpm.baseRow,OR($E321="Tier 3",$E321="Tier 4"),$C321&lt;&gt;"",$D321&gt;=24,COUNTIF(Tables2!$B$166:$B$674,$C321)&gt;0),
Error!$B$44,
IF(AND(_xlpm.baseRow,OR($E321="Tier 3",$E321="Tier 4"),$C321&lt;&gt;"",$D321&lt;&gt;"",COUNTIF(Tables2!$B$73:$B$152,$C321)&gt;0,
$D321&gt;=IFERROR(INDEX(Tables2!$C$73:$C$152,MATCH($C321,Tables2!$B$73:$B$152,0)),-1)),
Error!$B$44,
IF(AND(_xlpm.baseRow,OR($E321="Tier 2",$E321="Tier 2 Grove"),$C321&lt;&gt;"",$D321&gt;=12,COUNTIF(Tables2!$B$153:$B$162,$C321)&gt;0),
Error!$B$45,
IF(AND(_xlpm.baseRow,$E321="Tier 2 Grove",$D321&lt;12),
Error!$B$41,
IF(AND(_xlpm.baseRow,$E321="Tier 2",$D321&lt;5.88),
Error!$B$40,
IF(AND(_xlpm.baseRow,OR($E321="Tier 2",$E321="Tier 2 Grove"),$C321&lt;&gt;"",$D321&lt;12,$D321&gt;=6,COUNTIF(Tables2!$B$153:$B$162,$C321)&gt;0),
Error!$B$54,
IF(AND(_xlpm.baseRow,$E321="Tier 2",COUNTIF(Tables2!$B$166:$B$674,$C321)&gt;0,$D321&lt;24),
Error!$B$54,
IF(AND(_xlpm.baseRow,$E321="Tier 3",ISNA(MATCH($C321,Tables2!$B$153:$B$162,0)),OR($D321&lt;12,$D321&gt;=24)),
Error!$B$9,
IF(AND(_xlpm.baseRow,$E321="Tier 3",COUNTIF(Tables2!$B$153:$B$162,$C321)&gt;0,$D321&lt;12),
Error!$B$46,
IF(AND(_xlpm.baseRow,$E321="Tier 4",OR($D321&lt;6,$D321&gt;=12)),
Error!$B$10,
IF(AND(_xlpm.baseRow,$E321="&lt;6in DSH for Tree Points",OR($D321&gt;=6,$D321="")),
Error!$B$8,
IF(AND(_xlpm.baseRow,$E321="Street Tree for Green Factor",$F321&lt;&gt;"",$F321&lt;&gt;"Retain"),
Error!$B$14,
IF(AND($E321="&lt;6in DSH for Tree Points",$F321="Retain",$H321&lt;&gt;"",ISNA(MATCH($H321,Tables!$B$174:$B$174,0))),
Error!$B$15,
IF(AND($E321="Street Tree for Green Factor",$F321="Retain",$H321&lt;&gt;"",$H321&lt;&gt;"Zoning: Green Factor"),
Error!$B$15,
IF(AND($E321="ECA / Shoreline Tree",$F321="Remove",$H321&lt;&gt;"",ISNA(MATCH($H321,Tables!$B$189:$B$190,0))),
Error!$B$15,
IF(AND($E321="ECA / Shoreline Tree",$F321="Retain",$H321&lt;&gt;"",ISNA(MATCH($H321,Tables!$B$184:$B$186,0))),
Error!$B$15,
IF(AND($E321="Tier 4",$F321="Remove",$H321&lt;&gt;"",ISNA(MATCH($H321,Tables!$B$171,0))),
Error!$B$15,
IF(AND($E321="Tier 4",$F321="Retain",$H321&lt;&gt;"",ISNA(MATCH($H321,Tables!$B$166:$B$168,0))),
Error!$B$15,
IF(AND($E321="Tier 3",$F321="Retain",$H321&lt;&gt;"",ISNA(MATCH($H321,Tables!$B$158:$B$160,0))),
Error!$B$15,
IF(AND($E321="Tier 3",$F321="Remove",$H321&lt;&gt;"",ISNA(MATCH($H321,Tables!$B$163,0))),
Error!$B$15,
IF(AND(OR($E321="Tier 2",$E321="Tier 2 Grove"),$F321="Remove",$H321&lt;&gt;"",ISNA(MATCH($H321,Tables!$B$153:$B$155,0))),
Error!$B$15,
IF(AND(OR($E321="Tier 2",$E321="Tier 2 Grove"),$F321="Retain",$H321&lt;&gt;"",ISNA(MATCH($H321,Tables!$B$147:$B$150,0))),
Error!$B$15,
IF(AND($E321="Tier 1",$F321="Remove",$H321&lt;&gt;"",ISNA(MATCH($H321,Tables!$B$143:$B$144,0))),
Error!$B$15,
IF(AND($E321="Tier 1",$F321="Retain",$H321&lt;&gt;"",ISNA(MATCH($H321,Tables!$B$137:$B$140,0))),
Error!$B$15,
IF(AND($E321&lt;&gt;"Tier 2",$E321&lt;&gt;"Tier 2 Grove",$E321&lt;&gt;"Tier 3",$E321&lt;&gt;"Tier 4",$H321="Zoning: Green Factor",OR($D321="",$D321&lt;6)),
Error!$B$11,
IF(AND(_xlpm.baseRow,$D321&lt;6,$E321="&lt;6in DSH for Tree Points",_xlpm.TreePoints_H=0),
Error!$B$21,
IF(AND(_xlpm.baseRow,$E321&lt;&gt;"",$D321&lt;&gt;"",$F321=""),
Error!$B$4,
IF(AND(_xlpm.baseRow,$F321="Remove",OR($E321="Tier 1",$E321="Tier 2",$E321="Tier 2 Grove"),COUNTBLANK(_xlpm.HRange)&lt;3,_xlpm.uniqueH&gt;=2),
Error!$B$48,
IF(AND(_xlpm.baseRow,$F321="Retain",OR($E321="Tier 1",$E321="Tier 2",$E321="Tier 2 Grove"),COUNTIF(_xlpm.HRange,"Tree Code: Required to Retain Tier 1-2 Tree")=0),
Error!$B$47,
IF(AND(_xlpm.baseRow,$E321&lt;&gt;"",$D321&lt;&gt;"",$F321&lt;&gt;"",COUNTBLANK(_xlpm.HRange)=4),
Error!$B$5,
IF(AND($F321="Remove",$H321&lt;&gt;"",$I321=""),
Error!$B$18,
IF(AND($E321="Tier 4",$F321="Remove",$H321="Tree Protection Code: Tier 3 or Tier 4 Allowance",$H321&lt;&gt;"",ISNA(MATCH($I321,Tables!$B$200,0))),
Error!$B$17,
IF(AND($E321="Tier 3",$F321="Remove",$H321&lt;&gt;"",$H321="Tree Protection Code: Tier 3 or Tier 4 Allowance",OR($I321="",ISNA(MATCH($I321,Tables!$B$193:$B$197,0)))),
Error!$B$17,
IF(AND(OR($E321="Tier 2",$E321="Tier 2 Grove"),$F321="Remove",$H321="Tree Protection Code: Other removal allowance or exemption",$I321&lt;&gt;"",ISNA(MATCH($I321,Tables!$B$215:$B$218,0))),
Error!$B$17,
IF(AND(OR($E321="Tier 2",$E321="Tier 2 Grove"),$F321="Remove",$H321="Tree Protection Code: Development Capacity",$I321&lt;&gt;"",ISNA(MATCH($I321,Tables!$B$193:$B$197,0))),
Error!$B$17,
IF(AND(OR($E321="Tier 2",$E321="Tier 2 Grove"),$F321="Remove",$H321="Tree Protection Code: Necessary for Construction",$I321&lt;&gt;"",ISNA(MATCH($I321,Tables!$B$193:$B$197,0))),
Error!$B$17,
IF(AND($E321="Tier 1",$F321="Remove",$H321="Tree Protection Code: Special Exception",$I321&lt;&gt;"",ISNA(MATCH($I321,Tables!$B$215:$B$218,0))),
Error!$B$17,
IF(AND($E321="Tier 1",$F321="Remove",$H321="Tree Protection Code: Other removal allowance or exemption",$I321&lt;&gt;"",ISNA(MATCH($I321,Tables!$B$215:$B$218,0))),
Error!$B$17,
IF(AND($E321="ECA / Shoreline Tree",$F321="Remove",$H321&lt;&gt;"",OR($H321="Shoreline",$H321="Environmental Critical Area (ECA)"),ISNA(MATCH($I321,Tables!$B$209:$B$212,0))),
Error!$B$17,
IF(AND(_xlpm.baseRow,$F321="Retain",$E321="ECA / Shoreline Tree",_xlpm.ECA_Short=0),
Error!$B$61,
IF(AND($F321="Remove",ISNUMBER(MATCH($E321,{"Tier 1","Tier 2","Tier 3","Tier 4","Tier 2 Grove"},0)),ISNUMBER(MATCH($I321,{"On-site replacement","Off-site replacement"},0)),$J321="",$H321&lt;&gt;""),
Error!$B$19,
IF(AND(_xlpm.baseRow,$E321&lt;&gt;"",$D321&lt;&gt;"",$F321&lt;&gt;"",COUNTBLANK($B321:$C321)&gt;0,COUNTBLANK(_xlpm.HRange)&lt;&gt;4),
Error!$B$22,
IF(AND($H321="Zoning: Tree Points",$K321&lt;&gt;"",ISNA(MATCH($K321,Tables!$B$242:$B$253,0))),
Error!$B$58,
IF(AND($H321="Zoning: Tree Points",$K321="Small",$L321&lt;&gt;"",ISNA(MATCH($L321,Tables!$C$243:$C$244,0))),
Error!$B$59,
IF(AND($H321="Zoning: Tree Points",$K321="Small/Medium",$L321&lt;&gt;"",ISNA(MATCH($L321,Tables!$C$246:$C$247,0))),
Error!$B$59,
IF(AND($H321="Zoning: Tree Points",$K321="Medium/Large",$L321&lt;&gt;"",ISNA(MATCH($L321,Tables!$C$249:$C$250,0))),
Error!$B$59,
IF(AND($H321="Zoning: Tree Points",$K321="Large",$L321&lt;&gt;"",ISNA(MATCH($L321,Tables!$C$252:$C$253,0))),
Error!$B$59,
IF(AND($F321="Retain",$H321="Zoning: Tree Points",$C321&lt;&gt;"",$D321&lt;&gt;"",OR($K321="",$L321="",$M321="")),
Error!$B$20,
""
)))))))))))))))))))))))))))))))))))))))))))))))))))))))),
Error!$B$23))</f>
        <v/>
      </c>
      <c r="O321" s="343" t="str" cm="1">
        <f t="array" aca="1" ref="O321" ca="1">IFERROR(_xlfn.LET(
    _xlpm.txt, $C321,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22" spans="1:15" ht="15" thickBot="1" x14ac:dyDescent="0.35">
      <c r="A322" s="331"/>
      <c r="B322" s="616" t="str">
        <f t="shared" si="346"/>
        <v/>
      </c>
      <c r="C322" s="617" t="str">
        <f t="shared" si="347"/>
        <v/>
      </c>
      <c r="D322" s="618" t="str">
        <f t="shared" si="348"/>
        <v/>
      </c>
      <c r="E322" s="616" t="str">
        <f t="shared" si="349"/>
        <v/>
      </c>
      <c r="F322" s="616" t="str">
        <f t="shared" si="350"/>
        <v/>
      </c>
      <c r="G322" s="619" t="str">
        <f>IF(Tree_Table1[[#This Row],[Tree Status  &amp;]]="Retain", Tables!$B$237, IF(Tree_Table1[[#This Row],[Tree Status  &amp;]]="Remove", Tables!$B$238, ""))</f>
        <v/>
      </c>
      <c r="H322" s="329"/>
      <c r="I322" s="330"/>
      <c r="J322" s="455"/>
      <c r="K322" s="327" t="str">
        <f>IFERROR(
    IF(
        AND($H322="Zoning: Tree Points", NOT(ISNUMBER(SEARCH("sp.", $C322)))),
        VLOOKUP($C322, 'Tree List'!$C$3:$F$601, 4, FALSE),
        ""
    ),
"")</f>
        <v/>
      </c>
      <c r="L322" s="328" t="str" cm="1">
        <f t="array" ref="L322">IFERROR(
IF(
    AND($H322="Zoning: Tree Points", NOT(ISNUMBER(SEARCH("sp.", $C322)))),
    _xlfn.IFS(
        (COUNTIFS('Tree List'!$C$3:$C$601,$C322,'Tree List'!$D$3:$D$601,"Coniferous")
        + COUNTIFS('Tree List'!$C$3:$C$601,$C322,'Tree List'!$D$3:$D$601,"Deciduous Conifer")) &gt; 0,
            _xlfn.IFS($K322="Small",0.5,$K322="Small/Medium",1,$K322="Medium/Large",1.4,$K322="Large",1.8),
        (COUNTIFS('Tree List'!$C$3:$C$601,$C322,'Tree List'!$D$3:$D$601,"Deciduous")
        + COUNTIFS('Tree List'!$C$3:$C$601,$C322,'Tree List'!$D$3:$D$601,"Broadleaf Evergreen")) &gt; 0,
            _xlfn.IFS($K322="Small",0.4,$K322="Small/Medium",0.8,$K322="Medium/Large",1.2,$K322="Large",1.6)
    ),
    ""
),
"")</f>
        <v/>
      </c>
      <c r="M322" s="476" t="str">
        <f t="shared" si="330"/>
        <v/>
      </c>
      <c r="N322" s="347" t="str" cm="1">
        <f t="array" aca="1" ref="N32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IF(AND(_xlpm.baseRow,ISNA(MATCH($C322,'Tree List'!$C$3:$C$601,0)),SUMPRODUCT(--ISNUMBER(SEARCH(Tables2!$C$677:$C$772,$O322)))&gt;0),
Error!$B$57,
IF(AND(_xlpm.hasDM,$F322="Remove",$H322&lt;&gt;"",OR($I322="On-site replacement",$I322="Off-site replacement",$I322="Payment In Lieu")),
Error!$B$56,
IF(AND(_xlpm.hasDM,$F322="Remove",$H322&lt;&gt;"",$I322="Relocation"),
Error!$B$66,
IF(AND(OR(_xlpm.hasCN,_xlpm.hasPH,_xlpm.hasGR),$H322&lt;&gt;"",COUNTIF(Tables!$B$132:$B$134,$H322)&gt;0,$I322="N/A (No replacement required)"),
Error!$B$62,
IF(AND(_xlpm.baseRow,$E322&lt;&gt;"",ISNA(MATCH($E322,Tables!$B$225:$B$232,0))),
Error!$B$2,
IF(AND(_xlpm.baseRow,$F322&lt;&gt;"",ISNA(MATCH($F322,Tables!$B$234:$B$235,0))),
Error!$B$24,
IF(AND(_xlpm.baseRow,_xlpm.ECA_H&gt;0,_xlpm.Shore_H&gt;0),
Error!$B$16,
IF(AND(_xlpm.baseRow,$E322&lt;&gt;"",$D322=""),
Error!$B$3,
IF(AND(_xlpm.baseRow,OR($E322="Tier 3",$E322="Tier 4"),$C322&lt;&gt;"",$D322&gt;=24,COUNTIF(Tables2!$B$166:$B$674,$C322)&gt;0),
Error!$B$44,
IF(AND(_xlpm.baseRow,OR($E322="Tier 3",$E322="Tier 4"),$C322&lt;&gt;"",$D322&lt;&gt;"",COUNTIF(Tables2!$B$73:$B$152,$C322)&gt;0,
$D322&gt;=IFERROR(INDEX(Tables2!$C$73:$C$152,MATCH($C322,Tables2!$B$73:$B$152,0)),-1)),
Error!$B$44,
IF(AND(_xlpm.baseRow,OR($E322="Tier 2",$E322="Tier 2 Grove"),$C322&lt;&gt;"",$D322&gt;=12,COUNTIF(Tables2!$B$153:$B$162,$C322)&gt;0),
Error!$B$45,
IF(AND(_xlpm.baseRow,$E322="Tier 2 Grove",$D322&lt;12),
Error!$B$41,
IF(AND(_xlpm.baseRow,$E322="Tier 2",$D322&lt;5.88),
Error!$B$40,
IF(AND(_xlpm.baseRow,OR($E322="Tier 2",$E322="Tier 2 Grove"),$C322&lt;&gt;"",$D322&lt;12,$D322&gt;=6,COUNTIF(Tables2!$B$153:$B$162,$C322)&gt;0),
Error!$B$54,
IF(AND(_xlpm.baseRow,$E322="Tier 2",COUNTIF(Tables2!$B$166:$B$674,$C322)&gt;0,$D322&lt;24),
Error!$B$54,
IF(AND(_xlpm.baseRow,$E322="Tier 3",ISNA(MATCH($C322,Tables2!$B$153:$B$162,0)),OR($D322&lt;12,$D322&gt;=24)),
Error!$B$9,
IF(AND(_xlpm.baseRow,$E322="Tier 3",COUNTIF(Tables2!$B$153:$B$162,$C322)&gt;0,$D322&lt;12),
Error!$B$46,
IF(AND(_xlpm.baseRow,$E322="Tier 4",OR($D322&lt;6,$D322&gt;=12)),
Error!$B$10,
IF(AND(_xlpm.baseRow,$E322="&lt;6in DSH for Tree Points",OR($D322&gt;=6,$D322="")),
Error!$B$8,
IF(AND(_xlpm.baseRow,$E322="Street Tree for Green Factor",$F322&lt;&gt;"",$F322&lt;&gt;"Retain"),
Error!$B$14,
IF(AND($E322="&lt;6in DSH for Tree Points",$F322="Retain",$H322&lt;&gt;"",ISNA(MATCH($H322,Tables!$B$174:$B$174,0))),
Error!$B$15,
IF(AND($E322="Street Tree for Green Factor",$F322="Retain",$H322&lt;&gt;"",$H322&lt;&gt;"Zoning: Green Factor"),
Error!$B$15,
IF(AND($E322="ECA / Shoreline Tree",$F322="Remove",$H322&lt;&gt;"",ISNA(MATCH($H322,Tables!$B$189:$B$190,0))),
Error!$B$15,
IF(AND($E322="ECA / Shoreline Tree",$F322="Retain",$H322&lt;&gt;"",ISNA(MATCH($H322,Tables!$B$184:$B$186,0))),
Error!$B$15,
IF(AND($E322="Tier 4",$F322="Remove",$H322&lt;&gt;"",ISNA(MATCH($H322,Tables!$B$171,0))),
Error!$B$15,
IF(AND($E322="Tier 4",$F322="Retain",$H322&lt;&gt;"",ISNA(MATCH($H322,Tables!$B$166:$B$168,0))),
Error!$B$15,
IF(AND($E322="Tier 3",$F322="Retain",$H322&lt;&gt;"",ISNA(MATCH($H322,Tables!$B$158:$B$160,0))),
Error!$B$15,
IF(AND($E322="Tier 3",$F322="Remove",$H322&lt;&gt;"",ISNA(MATCH($H322,Tables!$B$163,0))),
Error!$B$15,
IF(AND(OR($E322="Tier 2",$E322="Tier 2 Grove"),$F322="Remove",$H322&lt;&gt;"",ISNA(MATCH($H322,Tables!$B$153:$B$155,0))),
Error!$B$15,
IF(AND(OR($E322="Tier 2",$E322="Tier 2 Grove"),$F322="Retain",$H322&lt;&gt;"",ISNA(MATCH($H322,Tables!$B$147:$B$150,0))),
Error!$B$15,
IF(AND($E322="Tier 1",$F322="Remove",$H322&lt;&gt;"",ISNA(MATCH($H322,Tables!$B$143:$B$144,0))),
Error!$B$15,
IF(AND($E322="Tier 1",$F322="Retain",$H322&lt;&gt;"",ISNA(MATCH($H322,Tables!$B$137:$B$140,0))),
Error!$B$15,
IF(AND($E322&lt;&gt;"Tier 2",$E322&lt;&gt;"Tier 2 Grove",$E322&lt;&gt;"Tier 3",$E322&lt;&gt;"Tier 4",$H322="Zoning: Green Factor",OR($D322="",$D322&lt;6)),
Error!$B$11,
IF(AND(_xlpm.baseRow,$D322&lt;6,$E322="&lt;6in DSH for Tree Points",_xlpm.TreePoints_H=0),
Error!$B$21,
IF(AND(_xlpm.baseRow,$E322&lt;&gt;"",$D322&lt;&gt;"",$F322=""),
Error!$B$4,
IF(AND(_xlpm.baseRow,$F322="Remove",OR($E322="Tier 1",$E322="Tier 2",$E322="Tier 2 Grove"),COUNTBLANK(_xlpm.HRange)&lt;3,_xlpm.uniqueH&gt;=2),
Error!$B$48,
IF(AND(_xlpm.baseRow,$F322="Retain",OR($E322="Tier 1",$E322="Tier 2",$E322="Tier 2 Grove"),COUNTIF(_xlpm.HRange,"Tree Code: Required to Retain Tier 1-2 Tree")=0),
Error!$B$47,
IF(AND(_xlpm.baseRow,$E322&lt;&gt;"",$D322&lt;&gt;"",$F322&lt;&gt;"",COUNTBLANK(_xlpm.HRange)=4),
Error!$B$5,
IF(AND($F322="Remove",$H322&lt;&gt;"",$I322=""),
Error!$B$18,
IF(AND($E322="Tier 4",$F322="Remove",$H322="Tree Protection Code: Tier 3 or Tier 4 Allowance",$H322&lt;&gt;"",ISNA(MATCH($I322,Tables!$B$200,0))),
Error!$B$17,
IF(AND($E322="Tier 3",$F322="Remove",$H322&lt;&gt;"",$H322="Tree Protection Code: Tier 3 or Tier 4 Allowance",OR($I322="",ISNA(MATCH($I322,Tables!$B$193:$B$197,0)))),
Error!$B$17,
IF(AND(OR($E322="Tier 2",$E322="Tier 2 Grove"),$F322="Remove",$H322="Tree Protection Code: Other removal allowance or exemption",$I322&lt;&gt;"",ISNA(MATCH($I322,Tables!$B$215:$B$218,0))),
Error!$B$17,
IF(AND(OR($E322="Tier 2",$E322="Tier 2 Grove"),$F322="Remove",$H322="Tree Protection Code: Development Capacity",$I322&lt;&gt;"",ISNA(MATCH($I322,Tables!$B$193:$B$197,0))),
Error!$B$17,
IF(AND(OR($E322="Tier 2",$E322="Tier 2 Grove"),$F322="Remove",$H322="Tree Protection Code: Necessary for Construction",$I322&lt;&gt;"",ISNA(MATCH($I322,Tables!$B$193:$B$197,0))),
Error!$B$17,
IF(AND($E322="Tier 1",$F322="Remove",$H322="Tree Protection Code: Special Exception",$I322&lt;&gt;"",ISNA(MATCH($I322,Tables!$B$215:$B$218,0))),
Error!$B$17,
IF(AND($E322="Tier 1",$F322="Remove",$H322="Tree Protection Code: Other removal allowance or exemption",$I322&lt;&gt;"",ISNA(MATCH($I322,Tables!$B$215:$B$218,0))),
Error!$B$17,
IF(AND($E322="ECA / Shoreline Tree",$F322="Remove",$H322&lt;&gt;"",OR($H322="Shoreline",$H322="Environmental Critical Area (ECA)"),ISNA(MATCH($I322,Tables!$B$209:$B$212,0))),
Error!$B$17,
IF(AND(_xlpm.baseRow,$F322="Retain",$E322="ECA / Shoreline Tree",_xlpm.ECA_Short=0),
Error!$B$61,
IF(AND($F322="Remove",ISNUMBER(MATCH($E322,{"Tier 1","Tier 2","Tier 3","Tier 4","Tier 2 Grove"},0)),ISNUMBER(MATCH($I322,{"On-site replacement","Off-site replacement"},0)),$J322="",$H322&lt;&gt;""),
Error!$B$19,
IF(AND(_xlpm.baseRow,$E322&lt;&gt;"",$D322&lt;&gt;"",$F322&lt;&gt;"",COUNTBLANK($B322:$C322)&gt;0,COUNTBLANK(_xlpm.HRange)&lt;&gt;4),
Error!$B$22,
IF(AND($H322="Zoning: Tree Points",$K322&lt;&gt;"",ISNA(MATCH($K322,Tables!$B$242:$B$253,0))),
Error!$B$58,
IF(AND($H322="Zoning: Tree Points",$K322="Small",$L322&lt;&gt;"",ISNA(MATCH($L322,Tables!$C$243:$C$244,0))),
Error!$B$59,
IF(AND($H322="Zoning: Tree Points",$K322="Small/Medium",$L322&lt;&gt;"",ISNA(MATCH($L322,Tables!$C$246:$C$247,0))),
Error!$B$59,
IF(AND($H322="Zoning: Tree Points",$K322="Medium/Large",$L322&lt;&gt;"",ISNA(MATCH($L322,Tables!$C$249:$C$250,0))),
Error!$B$59,
IF(AND($H322="Zoning: Tree Points",$K322="Large",$L322&lt;&gt;"",ISNA(MATCH($L322,Tables!$C$252:$C$253,0))),
Error!$B$59,
IF(AND($F322="Retain",$H322="Zoning: Tree Points",$C322&lt;&gt;"",$D322&lt;&gt;"",OR($K322="",$L322="",$M322="")),
Error!$B$20,
""
)))))))))))))))))))))))))))))))))))))))))))))))))))))))),
Error!$B$23))</f>
        <v/>
      </c>
      <c r="O322" s="343" t="str" cm="1">
        <f t="array" aca="1" ref="O322" ca="1">IFERROR(_xlfn.LET(
    _xlpm.txt, $C322,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23" spans="1:15" ht="15" thickBot="1" x14ac:dyDescent="0.35">
      <c r="A323" s="311">
        <v>79</v>
      </c>
      <c r="B323" s="312"/>
      <c r="C323" s="313"/>
      <c r="D323" s="478"/>
      <c r="E323" s="314"/>
      <c r="F323" s="314"/>
      <c r="G323" s="315" t="str">
        <f>IF(Tree_Table1[[#This Row],[Tree Status  &amp;]]="Retain", Tables!$B$237, IF(Tree_Table1[[#This Row],[Tree Status  &amp;]]="Remove", Tables!$B$238, ""))</f>
        <v/>
      </c>
      <c r="H323" s="316"/>
      <c r="I323" s="317"/>
      <c r="J323" s="452"/>
      <c r="K323" s="318" t="str">
        <f>IFERROR(
    IF(
        AND($H323="Zoning: Tree Points", NOT(ISNUMBER(SEARCH("sp.", $C323)))),
        VLOOKUP($C323, 'Tree List'!$C$3:$F$601, 4, FALSE),
        ""
    ),
"")</f>
        <v/>
      </c>
      <c r="L323" s="319" t="str" cm="1">
        <f t="array" ref="L323">IFERROR(
IF(
    AND($H323="Zoning: Tree Points", NOT(ISNUMBER(SEARCH("sp.", $C323)))),
    _xlfn.IFS(
        (COUNTIFS('Tree List'!$C$3:$C$601,$C323,'Tree List'!$D$3:$D$601,"Coniferous")
        + COUNTIFS('Tree List'!$C$3:$C$601,$C323,'Tree List'!$D$3:$D$601,"Deciduous Conifer")) &gt; 0,
            _xlfn.IFS($K323="Small",0.5,$K323="Small/Medium",1,$K323="Medium/Large",1.4,$K323="Large",1.8),
        (COUNTIFS('Tree List'!$C$3:$C$601,$C323,'Tree List'!$D$3:$D$601,"Deciduous")
        + COUNTIFS('Tree List'!$C$3:$C$601,$C323,'Tree List'!$D$3:$D$601,"Broadleaf Evergreen")) &gt; 0,
            _xlfn.IFS($K323="Small",0.4,$K323="Small/Medium",0.8,$K323="Medium/Large",1.2,$K323="Large",1.6)
    ),
    ""
),
"")</f>
        <v/>
      </c>
      <c r="M323" s="474" t="str">
        <f t="shared" si="330"/>
        <v/>
      </c>
      <c r="N323" s="620" t="str" cm="1">
        <f t="array" aca="1" ref="N32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IF(AND(_xlpm.baseRow,ISNA(MATCH($C323,'Tree List'!$C$3:$C$601,0)),SUMPRODUCT(--ISNUMBER(SEARCH(Tables2!$C$677:$C$772,$O323)))&gt;0),
Error!$B$57,
IF(AND(_xlpm.hasDM,$F323="Remove",$H323&lt;&gt;"",OR($I323="On-site replacement",$I323="Off-site replacement",$I323="Payment In Lieu")),
Error!$B$56,
IF(AND(_xlpm.hasDM,$F323="Remove",$H323&lt;&gt;"",$I323="Relocation"),
Error!$B$66,
IF(AND(OR(_xlpm.hasCN,_xlpm.hasPH,_xlpm.hasGR),$H323&lt;&gt;"",COUNTIF(Tables!$B$132:$B$134,$H323)&gt;0,$I323="N/A (No replacement required)"),
Error!$B$62,
IF(AND(_xlpm.baseRow,$E323&lt;&gt;"",ISNA(MATCH($E323,Tables!$B$225:$B$232,0))),
Error!$B$2,
IF(AND(_xlpm.baseRow,$F323&lt;&gt;"",ISNA(MATCH($F323,Tables!$B$234:$B$235,0))),
Error!$B$24,
IF(AND(_xlpm.baseRow,_xlpm.ECA_H&gt;0,_xlpm.Shore_H&gt;0),
Error!$B$16,
IF(AND(_xlpm.baseRow,$E323&lt;&gt;"",$D323=""),
Error!$B$3,
IF(AND(_xlpm.baseRow,OR($E323="Tier 3",$E323="Tier 4"),$C323&lt;&gt;"",$D323&gt;=24,COUNTIF(Tables2!$B$166:$B$674,$C323)&gt;0),
Error!$B$44,
IF(AND(_xlpm.baseRow,OR($E323="Tier 3",$E323="Tier 4"),$C323&lt;&gt;"",$D323&lt;&gt;"",COUNTIF(Tables2!$B$73:$B$152,$C323)&gt;0,
$D323&gt;=IFERROR(INDEX(Tables2!$C$73:$C$152,MATCH($C323,Tables2!$B$73:$B$152,0)),-1)),
Error!$B$44,
IF(AND(_xlpm.baseRow,OR($E323="Tier 2",$E323="Tier 2 Grove"),$C323&lt;&gt;"",$D323&gt;=12,COUNTIF(Tables2!$B$153:$B$162,$C323)&gt;0),
Error!$B$45,
IF(AND(_xlpm.baseRow,$E323="Tier 2 Grove",$D323&lt;12),
Error!$B$41,
IF(AND(_xlpm.baseRow,$E323="Tier 2",$D323&lt;5.88),
Error!$B$40,
IF(AND(_xlpm.baseRow,OR($E323="Tier 2",$E323="Tier 2 Grove"),$C323&lt;&gt;"",$D323&lt;12,$D323&gt;=6,COUNTIF(Tables2!$B$153:$B$162,$C323)&gt;0),
Error!$B$54,
IF(AND(_xlpm.baseRow,$E323="Tier 2",COUNTIF(Tables2!$B$166:$B$674,$C323)&gt;0,$D323&lt;24),
Error!$B$54,
IF(AND(_xlpm.baseRow,$E323="Tier 3",ISNA(MATCH($C323,Tables2!$B$153:$B$162,0)),OR($D323&lt;12,$D323&gt;=24)),
Error!$B$9,
IF(AND(_xlpm.baseRow,$E323="Tier 3",COUNTIF(Tables2!$B$153:$B$162,$C323)&gt;0,$D323&lt;12),
Error!$B$46,
IF(AND(_xlpm.baseRow,$E323="Tier 4",OR($D323&lt;6,$D323&gt;=12)),
Error!$B$10,
IF(AND(_xlpm.baseRow,$E323="&lt;6in DSH for Tree Points",OR($D323&gt;=6,$D323="")),
Error!$B$8,
IF(AND(_xlpm.baseRow,$E323="Street Tree for Green Factor",$F323&lt;&gt;"",$F323&lt;&gt;"Retain"),
Error!$B$14,
IF(AND($E323="&lt;6in DSH for Tree Points",$F323="Retain",$H323&lt;&gt;"",ISNA(MATCH($H323,Tables!$B$174:$B$174,0))),
Error!$B$15,
IF(AND($E323="Street Tree for Green Factor",$F323="Retain",$H323&lt;&gt;"",$H323&lt;&gt;"Zoning: Green Factor"),
Error!$B$15,
IF(AND($E323="ECA / Shoreline Tree",$F323="Remove",$H323&lt;&gt;"",ISNA(MATCH($H323,Tables!$B$189:$B$190,0))),
Error!$B$15,
IF(AND($E323="ECA / Shoreline Tree",$F323="Retain",$H323&lt;&gt;"",ISNA(MATCH($H323,Tables!$B$184:$B$186,0))),
Error!$B$15,
IF(AND($E323="Tier 4",$F323="Remove",$H323&lt;&gt;"",ISNA(MATCH($H323,Tables!$B$171,0))),
Error!$B$15,
IF(AND($E323="Tier 4",$F323="Retain",$H323&lt;&gt;"",ISNA(MATCH($H323,Tables!$B$166:$B$168,0))),
Error!$B$15,
IF(AND($E323="Tier 3",$F323="Retain",$H323&lt;&gt;"",ISNA(MATCH($H323,Tables!$B$158:$B$160,0))),
Error!$B$15,
IF(AND($E323="Tier 3",$F323="Remove",$H323&lt;&gt;"",ISNA(MATCH($H323,Tables!$B$163,0))),
Error!$B$15,
IF(AND(OR($E323="Tier 2",$E323="Tier 2 Grove"),$F323="Remove",$H323&lt;&gt;"",ISNA(MATCH($H323,Tables!$B$153:$B$155,0))),
Error!$B$15,
IF(AND(OR($E323="Tier 2",$E323="Tier 2 Grove"),$F323="Retain",$H323&lt;&gt;"",ISNA(MATCH($H323,Tables!$B$147:$B$150,0))),
Error!$B$15,
IF(AND($E323="Tier 1",$F323="Remove",$H323&lt;&gt;"",ISNA(MATCH($H323,Tables!$B$143:$B$144,0))),
Error!$B$15,
IF(AND($E323="Tier 1",$F323="Retain",$H323&lt;&gt;"",ISNA(MATCH($H323,Tables!$B$137:$B$140,0))),
Error!$B$15,
IF(AND($E323&lt;&gt;"Tier 2",$E323&lt;&gt;"Tier 2 Grove",$E323&lt;&gt;"Tier 3",$E323&lt;&gt;"Tier 4",$H323="Zoning: Green Factor",OR($D323="",$D323&lt;6)),
Error!$B$11,
IF(AND(_xlpm.baseRow,$D323&lt;6,$E323="&lt;6in DSH for Tree Points",_xlpm.TreePoints_H=0),
Error!$B$21,
IF(AND(_xlpm.baseRow,$E323&lt;&gt;"",$D323&lt;&gt;"",$F323=""),
Error!$B$4,
IF(AND(_xlpm.baseRow,$F323="Remove",OR($E323="Tier 1",$E323="Tier 2",$E323="Tier 2 Grove"),COUNTBLANK(_xlpm.HRange)&lt;3,_xlpm.uniqueH&gt;=2),
Error!$B$48,
IF(AND(_xlpm.baseRow,$F323="Retain",OR($E323="Tier 1",$E323="Tier 2",$E323="Tier 2 Grove"),COUNTIF(_xlpm.HRange,"Tree Code: Required to Retain Tier 1-2 Tree")=0),
Error!$B$47,
IF(AND(_xlpm.baseRow,$E323&lt;&gt;"",$D323&lt;&gt;"",$F323&lt;&gt;"",COUNTBLANK(_xlpm.HRange)=4),
Error!$B$5,
IF(AND($F323="Remove",$H323&lt;&gt;"",$I323=""),
Error!$B$18,
IF(AND($E323="Tier 4",$F323="Remove",$H323="Tree Protection Code: Tier 3 or Tier 4 Allowance",$H323&lt;&gt;"",ISNA(MATCH($I323,Tables!$B$200,0))),
Error!$B$17,
IF(AND($E323="Tier 3",$F323="Remove",$H323&lt;&gt;"",$H323="Tree Protection Code: Tier 3 or Tier 4 Allowance",OR($I323="",ISNA(MATCH($I323,Tables!$B$193:$B$197,0)))),
Error!$B$17,
IF(AND(OR($E323="Tier 2",$E323="Tier 2 Grove"),$F323="Remove",$H323="Tree Protection Code: Other removal allowance or exemption",$I323&lt;&gt;"",ISNA(MATCH($I323,Tables!$B$215:$B$218,0))),
Error!$B$17,
IF(AND(OR($E323="Tier 2",$E323="Tier 2 Grove"),$F323="Remove",$H323="Tree Protection Code: Development Capacity",$I323&lt;&gt;"",ISNA(MATCH($I323,Tables!$B$193:$B$197,0))),
Error!$B$17,
IF(AND(OR($E323="Tier 2",$E323="Tier 2 Grove"),$F323="Remove",$H323="Tree Protection Code: Necessary for Construction",$I323&lt;&gt;"",ISNA(MATCH($I323,Tables!$B$193:$B$197,0))),
Error!$B$17,
IF(AND($E323="Tier 1",$F323="Remove",$H323="Tree Protection Code: Special Exception",$I323&lt;&gt;"",ISNA(MATCH($I323,Tables!$B$215:$B$218,0))),
Error!$B$17,
IF(AND($E323="Tier 1",$F323="Remove",$H323="Tree Protection Code: Other removal allowance or exemption",$I323&lt;&gt;"",ISNA(MATCH($I323,Tables!$B$215:$B$218,0))),
Error!$B$17,
IF(AND($E323="ECA / Shoreline Tree",$F323="Remove",$H323&lt;&gt;"",OR($H323="Shoreline",$H323="Environmental Critical Area (ECA)"),ISNA(MATCH($I323,Tables!$B$209:$B$212,0))),
Error!$B$17,
IF(AND(_xlpm.baseRow,$F323="Retain",$E323="ECA / Shoreline Tree",_xlpm.ECA_Short=0),
Error!$B$61,
IF(AND($F323="Remove",ISNUMBER(MATCH($E323,{"Tier 1","Tier 2","Tier 3","Tier 4","Tier 2 Grove"},0)),ISNUMBER(MATCH($I323,{"On-site replacement","Off-site replacement"},0)),$J323="",$H323&lt;&gt;""),
Error!$B$19,
IF(AND(_xlpm.baseRow,$E323&lt;&gt;"",$D323&lt;&gt;"",$F323&lt;&gt;"",COUNTBLANK($B323:$C323)&gt;0,COUNTBLANK(_xlpm.HRange)&lt;&gt;4),
Error!$B$22,
IF(AND($H323="Zoning: Tree Points",$K323&lt;&gt;"",ISNA(MATCH($K323,Tables!$B$242:$B$253,0))),
Error!$B$58,
IF(AND($H323="Zoning: Tree Points",$K323="Small",$L323&lt;&gt;"",ISNA(MATCH($L323,Tables!$C$243:$C$244,0))),
Error!$B$59,
IF(AND($H323="Zoning: Tree Points",$K323="Small/Medium",$L323&lt;&gt;"",ISNA(MATCH($L323,Tables!$C$246:$C$247,0))),
Error!$B$59,
IF(AND($H323="Zoning: Tree Points",$K323="Medium/Large",$L323&lt;&gt;"",ISNA(MATCH($L323,Tables!$C$249:$C$250,0))),
Error!$B$59,
IF(AND($H323="Zoning: Tree Points",$K323="Large",$L323&lt;&gt;"",ISNA(MATCH($L323,Tables!$C$252:$C$253,0))),
Error!$B$59,
IF(AND($F323="Retain",$H323="Zoning: Tree Points",$C323&lt;&gt;"",$D323&lt;&gt;"",OR($K323="",$L323="",$M323="")),
Error!$B$20,
""
)))))))))))))))))))))))))))))))))))))))))))))))))))))))),
Error!$B$23))</f>
        <v/>
      </c>
      <c r="O323" s="343" t="str" cm="1">
        <f t="array" aca="1" ref="O323" ca="1">IFERROR(_xlfn.LET(
    _xlpm.txt, $C323,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24" spans="1:15" x14ac:dyDescent="0.3">
      <c r="A324" s="320"/>
      <c r="B324" s="616" t="str">
        <f t="shared" ref="B324:B326" si="351">IF($B323="", "", $B323)</f>
        <v/>
      </c>
      <c r="C324" s="617" t="str">
        <f t="shared" ref="C324:C326" si="352">IF($C323="", "", $C323)</f>
        <v/>
      </c>
      <c r="D324" s="618" t="str">
        <f t="shared" ref="D324:D326" si="353">IF($D323="", "", $D323)</f>
        <v/>
      </c>
      <c r="E324" s="616" t="str">
        <f t="shared" ref="E324:E326" si="354">IF($E323="", "", $E323)</f>
        <v/>
      </c>
      <c r="F324" s="616" t="str">
        <f t="shared" ref="F324:F326" si="355">IF($F323="", "", $F323)</f>
        <v/>
      </c>
      <c r="G324" s="619" t="str">
        <f>IF(Tree_Table1[[#This Row],[Tree Status  &amp;]]="Retain", Tables!$B$237, IF(Tree_Table1[[#This Row],[Tree Status  &amp;]]="Remove", Tables!$B$238, ""))</f>
        <v/>
      </c>
      <c r="H324" s="321"/>
      <c r="I324" s="322"/>
      <c r="J324" s="453"/>
      <c r="K324" s="323" t="str">
        <f>IFERROR(
    IF(
        AND($H324="Zoning: Tree Points", NOT(ISNUMBER(SEARCH("sp.", $C324)))),
        VLOOKUP($C324, 'Tree List'!$C$3:$F$601, 4, FALSE),
        ""
    ),
"")</f>
        <v/>
      </c>
      <c r="L324" s="324" t="str" cm="1">
        <f t="array" ref="L324">IFERROR(
IF(
    AND($H324="Zoning: Tree Points", NOT(ISNUMBER(SEARCH("sp.", $C324)))),
    _xlfn.IFS(
        (COUNTIFS('Tree List'!$C$3:$C$601,$C324,'Tree List'!$D$3:$D$601,"Coniferous")
        + COUNTIFS('Tree List'!$C$3:$C$601,$C324,'Tree List'!$D$3:$D$601,"Deciduous Conifer")) &gt; 0,
            _xlfn.IFS($K324="Small",0.5,$K324="Small/Medium",1,$K324="Medium/Large",1.4,$K324="Large",1.8),
        (COUNTIFS('Tree List'!$C$3:$C$601,$C324,'Tree List'!$D$3:$D$601,"Deciduous")
        + COUNTIFS('Tree List'!$C$3:$C$601,$C324,'Tree List'!$D$3:$D$601,"Broadleaf Evergreen")) &gt; 0,
            _xlfn.IFS($K324="Small",0.4,$K324="Small/Medium",0.8,$K324="Medium/Large",1.2,$K324="Large",1.6)
    ),
    ""
),
"")</f>
        <v/>
      </c>
      <c r="M324" s="475" t="str">
        <f t="shared" si="330"/>
        <v/>
      </c>
      <c r="N324" s="346" t="str" cm="1">
        <f t="array" aca="1" ref="N32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IF(AND(_xlpm.baseRow,ISNA(MATCH($C324,'Tree List'!$C$3:$C$601,0)),SUMPRODUCT(--ISNUMBER(SEARCH(Tables2!$C$677:$C$772,$O324)))&gt;0),
Error!$B$57,
IF(AND(_xlpm.hasDM,$F324="Remove",$H324&lt;&gt;"",OR($I324="On-site replacement",$I324="Off-site replacement",$I324="Payment In Lieu")),
Error!$B$56,
IF(AND(_xlpm.hasDM,$F324="Remove",$H324&lt;&gt;"",$I324="Relocation"),
Error!$B$66,
IF(AND(OR(_xlpm.hasCN,_xlpm.hasPH,_xlpm.hasGR),$H324&lt;&gt;"",COUNTIF(Tables!$B$132:$B$134,$H324)&gt;0,$I324="N/A (No replacement required)"),
Error!$B$62,
IF(AND(_xlpm.baseRow,$E324&lt;&gt;"",ISNA(MATCH($E324,Tables!$B$225:$B$232,0))),
Error!$B$2,
IF(AND(_xlpm.baseRow,$F324&lt;&gt;"",ISNA(MATCH($F324,Tables!$B$234:$B$235,0))),
Error!$B$24,
IF(AND(_xlpm.baseRow,_xlpm.ECA_H&gt;0,_xlpm.Shore_H&gt;0),
Error!$B$16,
IF(AND(_xlpm.baseRow,$E324&lt;&gt;"",$D324=""),
Error!$B$3,
IF(AND(_xlpm.baseRow,OR($E324="Tier 3",$E324="Tier 4"),$C324&lt;&gt;"",$D324&gt;=24,COUNTIF(Tables2!$B$166:$B$674,$C324)&gt;0),
Error!$B$44,
IF(AND(_xlpm.baseRow,OR($E324="Tier 3",$E324="Tier 4"),$C324&lt;&gt;"",$D324&lt;&gt;"",COUNTIF(Tables2!$B$73:$B$152,$C324)&gt;0,
$D324&gt;=IFERROR(INDEX(Tables2!$C$73:$C$152,MATCH($C324,Tables2!$B$73:$B$152,0)),-1)),
Error!$B$44,
IF(AND(_xlpm.baseRow,OR($E324="Tier 2",$E324="Tier 2 Grove"),$C324&lt;&gt;"",$D324&gt;=12,COUNTIF(Tables2!$B$153:$B$162,$C324)&gt;0),
Error!$B$45,
IF(AND(_xlpm.baseRow,$E324="Tier 2 Grove",$D324&lt;12),
Error!$B$41,
IF(AND(_xlpm.baseRow,$E324="Tier 2",$D324&lt;5.88),
Error!$B$40,
IF(AND(_xlpm.baseRow,OR($E324="Tier 2",$E324="Tier 2 Grove"),$C324&lt;&gt;"",$D324&lt;12,$D324&gt;=6,COUNTIF(Tables2!$B$153:$B$162,$C324)&gt;0),
Error!$B$54,
IF(AND(_xlpm.baseRow,$E324="Tier 2",COUNTIF(Tables2!$B$166:$B$674,$C324)&gt;0,$D324&lt;24),
Error!$B$54,
IF(AND(_xlpm.baseRow,$E324="Tier 3",ISNA(MATCH($C324,Tables2!$B$153:$B$162,0)),OR($D324&lt;12,$D324&gt;=24)),
Error!$B$9,
IF(AND(_xlpm.baseRow,$E324="Tier 3",COUNTIF(Tables2!$B$153:$B$162,$C324)&gt;0,$D324&lt;12),
Error!$B$46,
IF(AND(_xlpm.baseRow,$E324="Tier 4",OR($D324&lt;6,$D324&gt;=12)),
Error!$B$10,
IF(AND(_xlpm.baseRow,$E324="&lt;6in DSH for Tree Points",OR($D324&gt;=6,$D324="")),
Error!$B$8,
IF(AND(_xlpm.baseRow,$E324="Street Tree for Green Factor",$F324&lt;&gt;"",$F324&lt;&gt;"Retain"),
Error!$B$14,
IF(AND($E324="&lt;6in DSH for Tree Points",$F324="Retain",$H324&lt;&gt;"",ISNA(MATCH($H324,Tables!$B$174:$B$174,0))),
Error!$B$15,
IF(AND($E324="Street Tree for Green Factor",$F324="Retain",$H324&lt;&gt;"",$H324&lt;&gt;"Zoning: Green Factor"),
Error!$B$15,
IF(AND($E324="ECA / Shoreline Tree",$F324="Remove",$H324&lt;&gt;"",ISNA(MATCH($H324,Tables!$B$189:$B$190,0))),
Error!$B$15,
IF(AND($E324="ECA / Shoreline Tree",$F324="Retain",$H324&lt;&gt;"",ISNA(MATCH($H324,Tables!$B$184:$B$186,0))),
Error!$B$15,
IF(AND($E324="Tier 4",$F324="Remove",$H324&lt;&gt;"",ISNA(MATCH($H324,Tables!$B$171,0))),
Error!$B$15,
IF(AND($E324="Tier 4",$F324="Retain",$H324&lt;&gt;"",ISNA(MATCH($H324,Tables!$B$166:$B$168,0))),
Error!$B$15,
IF(AND($E324="Tier 3",$F324="Retain",$H324&lt;&gt;"",ISNA(MATCH($H324,Tables!$B$158:$B$160,0))),
Error!$B$15,
IF(AND($E324="Tier 3",$F324="Remove",$H324&lt;&gt;"",ISNA(MATCH($H324,Tables!$B$163,0))),
Error!$B$15,
IF(AND(OR($E324="Tier 2",$E324="Tier 2 Grove"),$F324="Remove",$H324&lt;&gt;"",ISNA(MATCH($H324,Tables!$B$153:$B$155,0))),
Error!$B$15,
IF(AND(OR($E324="Tier 2",$E324="Tier 2 Grove"),$F324="Retain",$H324&lt;&gt;"",ISNA(MATCH($H324,Tables!$B$147:$B$150,0))),
Error!$B$15,
IF(AND($E324="Tier 1",$F324="Remove",$H324&lt;&gt;"",ISNA(MATCH($H324,Tables!$B$143:$B$144,0))),
Error!$B$15,
IF(AND($E324="Tier 1",$F324="Retain",$H324&lt;&gt;"",ISNA(MATCH($H324,Tables!$B$137:$B$140,0))),
Error!$B$15,
IF(AND($E324&lt;&gt;"Tier 2",$E324&lt;&gt;"Tier 2 Grove",$E324&lt;&gt;"Tier 3",$E324&lt;&gt;"Tier 4",$H324="Zoning: Green Factor",OR($D324="",$D324&lt;6)),
Error!$B$11,
IF(AND(_xlpm.baseRow,$D324&lt;6,$E324="&lt;6in DSH for Tree Points",_xlpm.TreePoints_H=0),
Error!$B$21,
IF(AND(_xlpm.baseRow,$E324&lt;&gt;"",$D324&lt;&gt;"",$F324=""),
Error!$B$4,
IF(AND(_xlpm.baseRow,$F324="Remove",OR($E324="Tier 1",$E324="Tier 2",$E324="Tier 2 Grove"),COUNTBLANK(_xlpm.HRange)&lt;3,_xlpm.uniqueH&gt;=2),
Error!$B$48,
IF(AND(_xlpm.baseRow,$F324="Retain",OR($E324="Tier 1",$E324="Tier 2",$E324="Tier 2 Grove"),COUNTIF(_xlpm.HRange,"Tree Code: Required to Retain Tier 1-2 Tree")=0),
Error!$B$47,
IF(AND(_xlpm.baseRow,$E324&lt;&gt;"",$D324&lt;&gt;"",$F324&lt;&gt;"",COUNTBLANK(_xlpm.HRange)=4),
Error!$B$5,
IF(AND($F324="Remove",$H324&lt;&gt;"",$I324=""),
Error!$B$18,
IF(AND($E324="Tier 4",$F324="Remove",$H324="Tree Protection Code: Tier 3 or Tier 4 Allowance",$H324&lt;&gt;"",ISNA(MATCH($I324,Tables!$B$200,0))),
Error!$B$17,
IF(AND($E324="Tier 3",$F324="Remove",$H324&lt;&gt;"",$H324="Tree Protection Code: Tier 3 or Tier 4 Allowance",OR($I324="",ISNA(MATCH($I324,Tables!$B$193:$B$197,0)))),
Error!$B$17,
IF(AND(OR($E324="Tier 2",$E324="Tier 2 Grove"),$F324="Remove",$H324="Tree Protection Code: Other removal allowance or exemption",$I324&lt;&gt;"",ISNA(MATCH($I324,Tables!$B$215:$B$218,0))),
Error!$B$17,
IF(AND(OR($E324="Tier 2",$E324="Tier 2 Grove"),$F324="Remove",$H324="Tree Protection Code: Development Capacity",$I324&lt;&gt;"",ISNA(MATCH($I324,Tables!$B$193:$B$197,0))),
Error!$B$17,
IF(AND(OR($E324="Tier 2",$E324="Tier 2 Grove"),$F324="Remove",$H324="Tree Protection Code: Necessary for Construction",$I324&lt;&gt;"",ISNA(MATCH($I324,Tables!$B$193:$B$197,0))),
Error!$B$17,
IF(AND($E324="Tier 1",$F324="Remove",$H324="Tree Protection Code: Special Exception",$I324&lt;&gt;"",ISNA(MATCH($I324,Tables!$B$215:$B$218,0))),
Error!$B$17,
IF(AND($E324="Tier 1",$F324="Remove",$H324="Tree Protection Code: Other removal allowance or exemption",$I324&lt;&gt;"",ISNA(MATCH($I324,Tables!$B$215:$B$218,0))),
Error!$B$17,
IF(AND($E324="ECA / Shoreline Tree",$F324="Remove",$H324&lt;&gt;"",OR($H324="Shoreline",$H324="Environmental Critical Area (ECA)"),ISNA(MATCH($I324,Tables!$B$209:$B$212,0))),
Error!$B$17,
IF(AND(_xlpm.baseRow,$F324="Retain",$E324="ECA / Shoreline Tree",_xlpm.ECA_Short=0),
Error!$B$61,
IF(AND($F324="Remove",ISNUMBER(MATCH($E324,{"Tier 1","Tier 2","Tier 3","Tier 4","Tier 2 Grove"},0)),ISNUMBER(MATCH($I324,{"On-site replacement","Off-site replacement"},0)),$J324="",$H324&lt;&gt;""),
Error!$B$19,
IF(AND(_xlpm.baseRow,$E324&lt;&gt;"",$D324&lt;&gt;"",$F324&lt;&gt;"",COUNTBLANK($B324:$C324)&gt;0,COUNTBLANK(_xlpm.HRange)&lt;&gt;4),
Error!$B$22,
IF(AND($H324="Zoning: Tree Points",$K324&lt;&gt;"",ISNA(MATCH($K324,Tables!$B$242:$B$253,0))),
Error!$B$58,
IF(AND($H324="Zoning: Tree Points",$K324="Small",$L324&lt;&gt;"",ISNA(MATCH($L324,Tables!$C$243:$C$244,0))),
Error!$B$59,
IF(AND($H324="Zoning: Tree Points",$K324="Small/Medium",$L324&lt;&gt;"",ISNA(MATCH($L324,Tables!$C$246:$C$247,0))),
Error!$B$59,
IF(AND($H324="Zoning: Tree Points",$K324="Medium/Large",$L324&lt;&gt;"",ISNA(MATCH($L324,Tables!$C$249:$C$250,0))),
Error!$B$59,
IF(AND($H324="Zoning: Tree Points",$K324="Large",$L324&lt;&gt;"",ISNA(MATCH($L324,Tables!$C$252:$C$253,0))),
Error!$B$59,
IF(AND($F324="Retain",$H324="Zoning: Tree Points",$C324&lt;&gt;"",$D324&lt;&gt;"",OR($K324="",$L324="",$M324="")),
Error!$B$20,
""
)))))))))))))))))))))))))))))))))))))))))))))))))))))))),
Error!$B$23))</f>
        <v/>
      </c>
      <c r="O324" s="343" t="str" cm="1">
        <f t="array" aca="1" ref="O324" ca="1">IFERROR(_xlfn.LET(
    _xlpm.txt, $C324,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25" spans="1:15" x14ac:dyDescent="0.3">
      <c r="A325" s="320"/>
      <c r="B325" s="616" t="str">
        <f t="shared" si="351"/>
        <v/>
      </c>
      <c r="C325" s="617" t="str">
        <f t="shared" si="352"/>
        <v/>
      </c>
      <c r="D325" s="618" t="str">
        <f t="shared" si="353"/>
        <v/>
      </c>
      <c r="E325" s="616" t="str">
        <f t="shared" si="354"/>
        <v/>
      </c>
      <c r="F325" s="616" t="str">
        <f t="shared" si="355"/>
        <v/>
      </c>
      <c r="G325" s="619" t="str">
        <f>IF(Tree_Table1[[#This Row],[Tree Status  &amp;]]="Retain", Tables!$B$237, IF(Tree_Table1[[#This Row],[Tree Status  &amp;]]="Remove", Tables!$B$238, ""))</f>
        <v/>
      </c>
      <c r="H325" s="321"/>
      <c r="I325" s="322"/>
      <c r="J325" s="453"/>
      <c r="K325" s="323" t="str">
        <f>IFERROR(
    IF(
        AND($H325="Zoning: Tree Points", NOT(ISNUMBER(SEARCH("sp.", $C325)))),
        VLOOKUP($C325, 'Tree List'!$C$3:$F$601, 4, FALSE),
        ""
    ),
"")</f>
        <v/>
      </c>
      <c r="L325" s="324" t="str" cm="1">
        <f t="array" ref="L325">IFERROR(
IF(
    AND($H325="Zoning: Tree Points", NOT(ISNUMBER(SEARCH("sp.", $C325)))),
    _xlfn.IFS(
        (COUNTIFS('Tree List'!$C$3:$C$601,$C325,'Tree List'!$D$3:$D$601,"Coniferous")
        + COUNTIFS('Tree List'!$C$3:$C$601,$C325,'Tree List'!$D$3:$D$601,"Deciduous Conifer")) &gt; 0,
            _xlfn.IFS($K325="Small",0.5,$K325="Small/Medium",1,$K325="Medium/Large",1.4,$K325="Large",1.8),
        (COUNTIFS('Tree List'!$C$3:$C$601,$C325,'Tree List'!$D$3:$D$601,"Deciduous")
        + COUNTIFS('Tree List'!$C$3:$C$601,$C325,'Tree List'!$D$3:$D$601,"Broadleaf Evergreen")) &gt; 0,
            _xlfn.IFS($K325="Small",0.4,$K325="Small/Medium",0.8,$K325="Medium/Large",1.2,$K325="Large",1.6)
    ),
    ""
),
"")</f>
        <v/>
      </c>
      <c r="M325" s="475" t="str">
        <f t="shared" si="330"/>
        <v/>
      </c>
      <c r="N325" s="346" t="str" cm="1">
        <f t="array" aca="1" ref="N32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IF(AND(_xlpm.baseRow,ISNA(MATCH($C325,'Tree List'!$C$3:$C$601,0)),SUMPRODUCT(--ISNUMBER(SEARCH(Tables2!$C$677:$C$772,$O325)))&gt;0),
Error!$B$57,
IF(AND(_xlpm.hasDM,$F325="Remove",$H325&lt;&gt;"",OR($I325="On-site replacement",$I325="Off-site replacement",$I325="Payment In Lieu")),
Error!$B$56,
IF(AND(_xlpm.hasDM,$F325="Remove",$H325&lt;&gt;"",$I325="Relocation"),
Error!$B$66,
IF(AND(OR(_xlpm.hasCN,_xlpm.hasPH,_xlpm.hasGR),$H325&lt;&gt;"",COUNTIF(Tables!$B$132:$B$134,$H325)&gt;0,$I325="N/A (No replacement required)"),
Error!$B$62,
IF(AND(_xlpm.baseRow,$E325&lt;&gt;"",ISNA(MATCH($E325,Tables!$B$225:$B$232,0))),
Error!$B$2,
IF(AND(_xlpm.baseRow,$F325&lt;&gt;"",ISNA(MATCH($F325,Tables!$B$234:$B$235,0))),
Error!$B$24,
IF(AND(_xlpm.baseRow,_xlpm.ECA_H&gt;0,_xlpm.Shore_H&gt;0),
Error!$B$16,
IF(AND(_xlpm.baseRow,$E325&lt;&gt;"",$D325=""),
Error!$B$3,
IF(AND(_xlpm.baseRow,OR($E325="Tier 3",$E325="Tier 4"),$C325&lt;&gt;"",$D325&gt;=24,COUNTIF(Tables2!$B$166:$B$674,$C325)&gt;0),
Error!$B$44,
IF(AND(_xlpm.baseRow,OR($E325="Tier 3",$E325="Tier 4"),$C325&lt;&gt;"",$D325&lt;&gt;"",COUNTIF(Tables2!$B$73:$B$152,$C325)&gt;0,
$D325&gt;=IFERROR(INDEX(Tables2!$C$73:$C$152,MATCH($C325,Tables2!$B$73:$B$152,0)),-1)),
Error!$B$44,
IF(AND(_xlpm.baseRow,OR($E325="Tier 2",$E325="Tier 2 Grove"),$C325&lt;&gt;"",$D325&gt;=12,COUNTIF(Tables2!$B$153:$B$162,$C325)&gt;0),
Error!$B$45,
IF(AND(_xlpm.baseRow,$E325="Tier 2 Grove",$D325&lt;12),
Error!$B$41,
IF(AND(_xlpm.baseRow,$E325="Tier 2",$D325&lt;5.88),
Error!$B$40,
IF(AND(_xlpm.baseRow,OR($E325="Tier 2",$E325="Tier 2 Grove"),$C325&lt;&gt;"",$D325&lt;12,$D325&gt;=6,COUNTIF(Tables2!$B$153:$B$162,$C325)&gt;0),
Error!$B$54,
IF(AND(_xlpm.baseRow,$E325="Tier 2",COUNTIF(Tables2!$B$166:$B$674,$C325)&gt;0,$D325&lt;24),
Error!$B$54,
IF(AND(_xlpm.baseRow,$E325="Tier 3",ISNA(MATCH($C325,Tables2!$B$153:$B$162,0)),OR($D325&lt;12,$D325&gt;=24)),
Error!$B$9,
IF(AND(_xlpm.baseRow,$E325="Tier 3",COUNTIF(Tables2!$B$153:$B$162,$C325)&gt;0,$D325&lt;12),
Error!$B$46,
IF(AND(_xlpm.baseRow,$E325="Tier 4",OR($D325&lt;6,$D325&gt;=12)),
Error!$B$10,
IF(AND(_xlpm.baseRow,$E325="&lt;6in DSH for Tree Points",OR($D325&gt;=6,$D325="")),
Error!$B$8,
IF(AND(_xlpm.baseRow,$E325="Street Tree for Green Factor",$F325&lt;&gt;"",$F325&lt;&gt;"Retain"),
Error!$B$14,
IF(AND($E325="&lt;6in DSH for Tree Points",$F325="Retain",$H325&lt;&gt;"",ISNA(MATCH($H325,Tables!$B$174:$B$174,0))),
Error!$B$15,
IF(AND($E325="Street Tree for Green Factor",$F325="Retain",$H325&lt;&gt;"",$H325&lt;&gt;"Zoning: Green Factor"),
Error!$B$15,
IF(AND($E325="ECA / Shoreline Tree",$F325="Remove",$H325&lt;&gt;"",ISNA(MATCH($H325,Tables!$B$189:$B$190,0))),
Error!$B$15,
IF(AND($E325="ECA / Shoreline Tree",$F325="Retain",$H325&lt;&gt;"",ISNA(MATCH($H325,Tables!$B$184:$B$186,0))),
Error!$B$15,
IF(AND($E325="Tier 4",$F325="Remove",$H325&lt;&gt;"",ISNA(MATCH($H325,Tables!$B$171,0))),
Error!$B$15,
IF(AND($E325="Tier 4",$F325="Retain",$H325&lt;&gt;"",ISNA(MATCH($H325,Tables!$B$166:$B$168,0))),
Error!$B$15,
IF(AND($E325="Tier 3",$F325="Retain",$H325&lt;&gt;"",ISNA(MATCH($H325,Tables!$B$158:$B$160,0))),
Error!$B$15,
IF(AND($E325="Tier 3",$F325="Remove",$H325&lt;&gt;"",ISNA(MATCH($H325,Tables!$B$163,0))),
Error!$B$15,
IF(AND(OR($E325="Tier 2",$E325="Tier 2 Grove"),$F325="Remove",$H325&lt;&gt;"",ISNA(MATCH($H325,Tables!$B$153:$B$155,0))),
Error!$B$15,
IF(AND(OR($E325="Tier 2",$E325="Tier 2 Grove"),$F325="Retain",$H325&lt;&gt;"",ISNA(MATCH($H325,Tables!$B$147:$B$150,0))),
Error!$B$15,
IF(AND($E325="Tier 1",$F325="Remove",$H325&lt;&gt;"",ISNA(MATCH($H325,Tables!$B$143:$B$144,0))),
Error!$B$15,
IF(AND($E325="Tier 1",$F325="Retain",$H325&lt;&gt;"",ISNA(MATCH($H325,Tables!$B$137:$B$140,0))),
Error!$B$15,
IF(AND($E325&lt;&gt;"Tier 2",$E325&lt;&gt;"Tier 2 Grove",$E325&lt;&gt;"Tier 3",$E325&lt;&gt;"Tier 4",$H325="Zoning: Green Factor",OR($D325="",$D325&lt;6)),
Error!$B$11,
IF(AND(_xlpm.baseRow,$D325&lt;6,$E325="&lt;6in DSH for Tree Points",_xlpm.TreePoints_H=0),
Error!$B$21,
IF(AND(_xlpm.baseRow,$E325&lt;&gt;"",$D325&lt;&gt;"",$F325=""),
Error!$B$4,
IF(AND(_xlpm.baseRow,$F325="Remove",OR($E325="Tier 1",$E325="Tier 2",$E325="Tier 2 Grove"),COUNTBLANK(_xlpm.HRange)&lt;3,_xlpm.uniqueH&gt;=2),
Error!$B$48,
IF(AND(_xlpm.baseRow,$F325="Retain",OR($E325="Tier 1",$E325="Tier 2",$E325="Tier 2 Grove"),COUNTIF(_xlpm.HRange,"Tree Code: Required to Retain Tier 1-2 Tree")=0),
Error!$B$47,
IF(AND(_xlpm.baseRow,$E325&lt;&gt;"",$D325&lt;&gt;"",$F325&lt;&gt;"",COUNTBLANK(_xlpm.HRange)=4),
Error!$B$5,
IF(AND($F325="Remove",$H325&lt;&gt;"",$I325=""),
Error!$B$18,
IF(AND($E325="Tier 4",$F325="Remove",$H325="Tree Protection Code: Tier 3 or Tier 4 Allowance",$H325&lt;&gt;"",ISNA(MATCH($I325,Tables!$B$200,0))),
Error!$B$17,
IF(AND($E325="Tier 3",$F325="Remove",$H325&lt;&gt;"",$H325="Tree Protection Code: Tier 3 or Tier 4 Allowance",OR($I325="",ISNA(MATCH($I325,Tables!$B$193:$B$197,0)))),
Error!$B$17,
IF(AND(OR($E325="Tier 2",$E325="Tier 2 Grove"),$F325="Remove",$H325="Tree Protection Code: Other removal allowance or exemption",$I325&lt;&gt;"",ISNA(MATCH($I325,Tables!$B$215:$B$218,0))),
Error!$B$17,
IF(AND(OR($E325="Tier 2",$E325="Tier 2 Grove"),$F325="Remove",$H325="Tree Protection Code: Development Capacity",$I325&lt;&gt;"",ISNA(MATCH($I325,Tables!$B$193:$B$197,0))),
Error!$B$17,
IF(AND(OR($E325="Tier 2",$E325="Tier 2 Grove"),$F325="Remove",$H325="Tree Protection Code: Necessary for Construction",$I325&lt;&gt;"",ISNA(MATCH($I325,Tables!$B$193:$B$197,0))),
Error!$B$17,
IF(AND($E325="Tier 1",$F325="Remove",$H325="Tree Protection Code: Special Exception",$I325&lt;&gt;"",ISNA(MATCH($I325,Tables!$B$215:$B$218,0))),
Error!$B$17,
IF(AND($E325="Tier 1",$F325="Remove",$H325="Tree Protection Code: Other removal allowance or exemption",$I325&lt;&gt;"",ISNA(MATCH($I325,Tables!$B$215:$B$218,0))),
Error!$B$17,
IF(AND($E325="ECA / Shoreline Tree",$F325="Remove",$H325&lt;&gt;"",OR($H325="Shoreline",$H325="Environmental Critical Area (ECA)"),ISNA(MATCH($I325,Tables!$B$209:$B$212,0))),
Error!$B$17,
IF(AND(_xlpm.baseRow,$F325="Retain",$E325="ECA / Shoreline Tree",_xlpm.ECA_Short=0),
Error!$B$61,
IF(AND($F325="Remove",ISNUMBER(MATCH($E325,{"Tier 1","Tier 2","Tier 3","Tier 4","Tier 2 Grove"},0)),ISNUMBER(MATCH($I325,{"On-site replacement","Off-site replacement"},0)),$J325="",$H325&lt;&gt;""),
Error!$B$19,
IF(AND(_xlpm.baseRow,$E325&lt;&gt;"",$D325&lt;&gt;"",$F325&lt;&gt;"",COUNTBLANK($B325:$C325)&gt;0,COUNTBLANK(_xlpm.HRange)&lt;&gt;4),
Error!$B$22,
IF(AND($H325="Zoning: Tree Points",$K325&lt;&gt;"",ISNA(MATCH($K325,Tables!$B$242:$B$253,0))),
Error!$B$58,
IF(AND($H325="Zoning: Tree Points",$K325="Small",$L325&lt;&gt;"",ISNA(MATCH($L325,Tables!$C$243:$C$244,0))),
Error!$B$59,
IF(AND($H325="Zoning: Tree Points",$K325="Small/Medium",$L325&lt;&gt;"",ISNA(MATCH($L325,Tables!$C$246:$C$247,0))),
Error!$B$59,
IF(AND($H325="Zoning: Tree Points",$K325="Medium/Large",$L325&lt;&gt;"",ISNA(MATCH($L325,Tables!$C$249:$C$250,0))),
Error!$B$59,
IF(AND($H325="Zoning: Tree Points",$K325="Large",$L325&lt;&gt;"",ISNA(MATCH($L325,Tables!$C$252:$C$253,0))),
Error!$B$59,
IF(AND($F325="Retain",$H325="Zoning: Tree Points",$C325&lt;&gt;"",$D325&lt;&gt;"",OR($K325="",$L325="",$M325="")),
Error!$B$20,
""
)))))))))))))))))))))))))))))))))))))))))))))))))))))))),
Error!$B$23))</f>
        <v/>
      </c>
      <c r="O325" s="343" t="str" cm="1">
        <f t="array" aca="1" ref="O325" ca="1">IFERROR(_xlfn.LET(
    _xlpm.txt, $C325,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26" spans="1:15" ht="15" thickBot="1" x14ac:dyDescent="0.35">
      <c r="A326" s="331"/>
      <c r="B326" s="616" t="str">
        <f t="shared" si="351"/>
        <v/>
      </c>
      <c r="C326" s="617" t="str">
        <f t="shared" si="352"/>
        <v/>
      </c>
      <c r="D326" s="618" t="str">
        <f t="shared" si="353"/>
        <v/>
      </c>
      <c r="E326" s="616" t="str">
        <f t="shared" si="354"/>
        <v/>
      </c>
      <c r="F326" s="616" t="str">
        <f t="shared" si="355"/>
        <v/>
      </c>
      <c r="G326" s="619" t="str">
        <f>IF(Tree_Table1[[#This Row],[Tree Status  &amp;]]="Retain", Tables!$B$237, IF(Tree_Table1[[#This Row],[Tree Status  &amp;]]="Remove", Tables!$B$238, ""))</f>
        <v/>
      </c>
      <c r="H326" s="329"/>
      <c r="I326" s="330"/>
      <c r="J326" s="455"/>
      <c r="K326" s="327" t="str">
        <f>IFERROR(
    IF(
        AND($H326="Zoning: Tree Points", NOT(ISNUMBER(SEARCH("sp.", $C326)))),
        VLOOKUP($C326, 'Tree List'!$C$3:$F$601, 4, FALSE),
        ""
    ),
"")</f>
        <v/>
      </c>
      <c r="L326" s="328" t="str" cm="1">
        <f t="array" ref="L326">IFERROR(
IF(
    AND($H326="Zoning: Tree Points", NOT(ISNUMBER(SEARCH("sp.", $C326)))),
    _xlfn.IFS(
        (COUNTIFS('Tree List'!$C$3:$C$601,$C326,'Tree List'!$D$3:$D$601,"Coniferous")
        + COUNTIFS('Tree List'!$C$3:$C$601,$C326,'Tree List'!$D$3:$D$601,"Deciduous Conifer")) &gt; 0,
            _xlfn.IFS($K326="Small",0.5,$K326="Small/Medium",1,$K326="Medium/Large",1.4,$K326="Large",1.8),
        (COUNTIFS('Tree List'!$C$3:$C$601,$C326,'Tree List'!$D$3:$D$601,"Deciduous")
        + COUNTIFS('Tree List'!$C$3:$C$601,$C326,'Tree List'!$D$3:$D$601,"Broadleaf Evergreen")) &gt; 0,
            _xlfn.IFS($K326="Small",0.4,$K326="Small/Medium",0.8,$K326="Medium/Large",1.2,$K326="Large",1.6)
    ),
    ""
),
"")</f>
        <v/>
      </c>
      <c r="M326" s="476" t="str">
        <f t="shared" si="330"/>
        <v/>
      </c>
      <c r="N326" s="347" t="str" cm="1">
        <f t="array" aca="1" ref="N32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IF(AND(_xlpm.baseRow,ISNA(MATCH($C326,'Tree List'!$C$3:$C$601,0)),SUMPRODUCT(--ISNUMBER(SEARCH(Tables2!$C$677:$C$772,$O326)))&gt;0),
Error!$B$57,
IF(AND(_xlpm.hasDM,$F326="Remove",$H326&lt;&gt;"",OR($I326="On-site replacement",$I326="Off-site replacement",$I326="Payment In Lieu")),
Error!$B$56,
IF(AND(_xlpm.hasDM,$F326="Remove",$H326&lt;&gt;"",$I326="Relocation"),
Error!$B$66,
IF(AND(OR(_xlpm.hasCN,_xlpm.hasPH,_xlpm.hasGR),$H326&lt;&gt;"",COUNTIF(Tables!$B$132:$B$134,$H326)&gt;0,$I326="N/A (No replacement required)"),
Error!$B$62,
IF(AND(_xlpm.baseRow,$E326&lt;&gt;"",ISNA(MATCH($E326,Tables!$B$225:$B$232,0))),
Error!$B$2,
IF(AND(_xlpm.baseRow,$F326&lt;&gt;"",ISNA(MATCH($F326,Tables!$B$234:$B$235,0))),
Error!$B$24,
IF(AND(_xlpm.baseRow,_xlpm.ECA_H&gt;0,_xlpm.Shore_H&gt;0),
Error!$B$16,
IF(AND(_xlpm.baseRow,$E326&lt;&gt;"",$D326=""),
Error!$B$3,
IF(AND(_xlpm.baseRow,OR($E326="Tier 3",$E326="Tier 4"),$C326&lt;&gt;"",$D326&gt;=24,COUNTIF(Tables2!$B$166:$B$674,$C326)&gt;0),
Error!$B$44,
IF(AND(_xlpm.baseRow,OR($E326="Tier 3",$E326="Tier 4"),$C326&lt;&gt;"",$D326&lt;&gt;"",COUNTIF(Tables2!$B$73:$B$152,$C326)&gt;0,
$D326&gt;=IFERROR(INDEX(Tables2!$C$73:$C$152,MATCH($C326,Tables2!$B$73:$B$152,0)),-1)),
Error!$B$44,
IF(AND(_xlpm.baseRow,OR($E326="Tier 2",$E326="Tier 2 Grove"),$C326&lt;&gt;"",$D326&gt;=12,COUNTIF(Tables2!$B$153:$B$162,$C326)&gt;0),
Error!$B$45,
IF(AND(_xlpm.baseRow,$E326="Tier 2 Grove",$D326&lt;12),
Error!$B$41,
IF(AND(_xlpm.baseRow,$E326="Tier 2",$D326&lt;5.88),
Error!$B$40,
IF(AND(_xlpm.baseRow,OR($E326="Tier 2",$E326="Tier 2 Grove"),$C326&lt;&gt;"",$D326&lt;12,$D326&gt;=6,COUNTIF(Tables2!$B$153:$B$162,$C326)&gt;0),
Error!$B$54,
IF(AND(_xlpm.baseRow,$E326="Tier 2",COUNTIF(Tables2!$B$166:$B$674,$C326)&gt;0,$D326&lt;24),
Error!$B$54,
IF(AND(_xlpm.baseRow,$E326="Tier 3",ISNA(MATCH($C326,Tables2!$B$153:$B$162,0)),OR($D326&lt;12,$D326&gt;=24)),
Error!$B$9,
IF(AND(_xlpm.baseRow,$E326="Tier 3",COUNTIF(Tables2!$B$153:$B$162,$C326)&gt;0,$D326&lt;12),
Error!$B$46,
IF(AND(_xlpm.baseRow,$E326="Tier 4",OR($D326&lt;6,$D326&gt;=12)),
Error!$B$10,
IF(AND(_xlpm.baseRow,$E326="&lt;6in DSH for Tree Points",OR($D326&gt;=6,$D326="")),
Error!$B$8,
IF(AND(_xlpm.baseRow,$E326="Street Tree for Green Factor",$F326&lt;&gt;"",$F326&lt;&gt;"Retain"),
Error!$B$14,
IF(AND($E326="&lt;6in DSH for Tree Points",$F326="Retain",$H326&lt;&gt;"",ISNA(MATCH($H326,Tables!$B$174:$B$174,0))),
Error!$B$15,
IF(AND($E326="Street Tree for Green Factor",$F326="Retain",$H326&lt;&gt;"",$H326&lt;&gt;"Zoning: Green Factor"),
Error!$B$15,
IF(AND($E326="ECA / Shoreline Tree",$F326="Remove",$H326&lt;&gt;"",ISNA(MATCH($H326,Tables!$B$189:$B$190,0))),
Error!$B$15,
IF(AND($E326="ECA / Shoreline Tree",$F326="Retain",$H326&lt;&gt;"",ISNA(MATCH($H326,Tables!$B$184:$B$186,0))),
Error!$B$15,
IF(AND($E326="Tier 4",$F326="Remove",$H326&lt;&gt;"",ISNA(MATCH($H326,Tables!$B$171,0))),
Error!$B$15,
IF(AND($E326="Tier 4",$F326="Retain",$H326&lt;&gt;"",ISNA(MATCH($H326,Tables!$B$166:$B$168,0))),
Error!$B$15,
IF(AND($E326="Tier 3",$F326="Retain",$H326&lt;&gt;"",ISNA(MATCH($H326,Tables!$B$158:$B$160,0))),
Error!$B$15,
IF(AND($E326="Tier 3",$F326="Remove",$H326&lt;&gt;"",ISNA(MATCH($H326,Tables!$B$163,0))),
Error!$B$15,
IF(AND(OR($E326="Tier 2",$E326="Tier 2 Grove"),$F326="Remove",$H326&lt;&gt;"",ISNA(MATCH($H326,Tables!$B$153:$B$155,0))),
Error!$B$15,
IF(AND(OR($E326="Tier 2",$E326="Tier 2 Grove"),$F326="Retain",$H326&lt;&gt;"",ISNA(MATCH($H326,Tables!$B$147:$B$150,0))),
Error!$B$15,
IF(AND($E326="Tier 1",$F326="Remove",$H326&lt;&gt;"",ISNA(MATCH($H326,Tables!$B$143:$B$144,0))),
Error!$B$15,
IF(AND($E326="Tier 1",$F326="Retain",$H326&lt;&gt;"",ISNA(MATCH($H326,Tables!$B$137:$B$140,0))),
Error!$B$15,
IF(AND($E326&lt;&gt;"Tier 2",$E326&lt;&gt;"Tier 2 Grove",$E326&lt;&gt;"Tier 3",$E326&lt;&gt;"Tier 4",$H326="Zoning: Green Factor",OR($D326="",$D326&lt;6)),
Error!$B$11,
IF(AND(_xlpm.baseRow,$D326&lt;6,$E326="&lt;6in DSH for Tree Points",_xlpm.TreePoints_H=0),
Error!$B$21,
IF(AND(_xlpm.baseRow,$E326&lt;&gt;"",$D326&lt;&gt;"",$F326=""),
Error!$B$4,
IF(AND(_xlpm.baseRow,$F326="Remove",OR($E326="Tier 1",$E326="Tier 2",$E326="Tier 2 Grove"),COUNTBLANK(_xlpm.HRange)&lt;3,_xlpm.uniqueH&gt;=2),
Error!$B$48,
IF(AND(_xlpm.baseRow,$F326="Retain",OR($E326="Tier 1",$E326="Tier 2",$E326="Tier 2 Grove"),COUNTIF(_xlpm.HRange,"Tree Code: Required to Retain Tier 1-2 Tree")=0),
Error!$B$47,
IF(AND(_xlpm.baseRow,$E326&lt;&gt;"",$D326&lt;&gt;"",$F326&lt;&gt;"",COUNTBLANK(_xlpm.HRange)=4),
Error!$B$5,
IF(AND($F326="Remove",$H326&lt;&gt;"",$I326=""),
Error!$B$18,
IF(AND($E326="Tier 4",$F326="Remove",$H326="Tree Protection Code: Tier 3 or Tier 4 Allowance",$H326&lt;&gt;"",ISNA(MATCH($I326,Tables!$B$200,0))),
Error!$B$17,
IF(AND($E326="Tier 3",$F326="Remove",$H326&lt;&gt;"",$H326="Tree Protection Code: Tier 3 or Tier 4 Allowance",OR($I326="",ISNA(MATCH($I326,Tables!$B$193:$B$197,0)))),
Error!$B$17,
IF(AND(OR($E326="Tier 2",$E326="Tier 2 Grove"),$F326="Remove",$H326="Tree Protection Code: Other removal allowance or exemption",$I326&lt;&gt;"",ISNA(MATCH($I326,Tables!$B$215:$B$218,0))),
Error!$B$17,
IF(AND(OR($E326="Tier 2",$E326="Tier 2 Grove"),$F326="Remove",$H326="Tree Protection Code: Development Capacity",$I326&lt;&gt;"",ISNA(MATCH($I326,Tables!$B$193:$B$197,0))),
Error!$B$17,
IF(AND(OR($E326="Tier 2",$E326="Tier 2 Grove"),$F326="Remove",$H326="Tree Protection Code: Necessary for Construction",$I326&lt;&gt;"",ISNA(MATCH($I326,Tables!$B$193:$B$197,0))),
Error!$B$17,
IF(AND($E326="Tier 1",$F326="Remove",$H326="Tree Protection Code: Special Exception",$I326&lt;&gt;"",ISNA(MATCH($I326,Tables!$B$215:$B$218,0))),
Error!$B$17,
IF(AND($E326="Tier 1",$F326="Remove",$H326="Tree Protection Code: Other removal allowance or exemption",$I326&lt;&gt;"",ISNA(MATCH($I326,Tables!$B$215:$B$218,0))),
Error!$B$17,
IF(AND($E326="ECA / Shoreline Tree",$F326="Remove",$H326&lt;&gt;"",OR($H326="Shoreline",$H326="Environmental Critical Area (ECA)"),ISNA(MATCH($I326,Tables!$B$209:$B$212,0))),
Error!$B$17,
IF(AND(_xlpm.baseRow,$F326="Retain",$E326="ECA / Shoreline Tree",_xlpm.ECA_Short=0),
Error!$B$61,
IF(AND($F326="Remove",ISNUMBER(MATCH($E326,{"Tier 1","Tier 2","Tier 3","Tier 4","Tier 2 Grove"},0)),ISNUMBER(MATCH($I326,{"On-site replacement","Off-site replacement"},0)),$J326="",$H326&lt;&gt;""),
Error!$B$19,
IF(AND(_xlpm.baseRow,$E326&lt;&gt;"",$D326&lt;&gt;"",$F326&lt;&gt;"",COUNTBLANK($B326:$C326)&gt;0,COUNTBLANK(_xlpm.HRange)&lt;&gt;4),
Error!$B$22,
IF(AND($H326="Zoning: Tree Points",$K326&lt;&gt;"",ISNA(MATCH($K326,Tables!$B$242:$B$253,0))),
Error!$B$58,
IF(AND($H326="Zoning: Tree Points",$K326="Small",$L326&lt;&gt;"",ISNA(MATCH($L326,Tables!$C$243:$C$244,0))),
Error!$B$59,
IF(AND($H326="Zoning: Tree Points",$K326="Small/Medium",$L326&lt;&gt;"",ISNA(MATCH($L326,Tables!$C$246:$C$247,0))),
Error!$B$59,
IF(AND($H326="Zoning: Tree Points",$K326="Medium/Large",$L326&lt;&gt;"",ISNA(MATCH($L326,Tables!$C$249:$C$250,0))),
Error!$B$59,
IF(AND($H326="Zoning: Tree Points",$K326="Large",$L326&lt;&gt;"",ISNA(MATCH($L326,Tables!$C$252:$C$253,0))),
Error!$B$59,
IF(AND($F326="Retain",$H326="Zoning: Tree Points",$C326&lt;&gt;"",$D326&lt;&gt;"",OR($K326="",$L326="",$M326="")),
Error!$B$20,
""
)))))))))))))))))))))))))))))))))))))))))))))))))))))))),
Error!$B$23))</f>
        <v/>
      </c>
      <c r="O326" s="343" t="str" cm="1">
        <f t="array" aca="1" ref="O326" ca="1">IFERROR(_xlfn.LET(
    _xlpm.txt, $C326,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27" spans="1:15" ht="15" thickBot="1" x14ac:dyDescent="0.35">
      <c r="A327" s="311">
        <v>80</v>
      </c>
      <c r="B327" s="312"/>
      <c r="C327" s="313"/>
      <c r="D327" s="478"/>
      <c r="E327" s="314"/>
      <c r="F327" s="314"/>
      <c r="G327" s="315" t="str">
        <f>IF(Tree_Table1[[#This Row],[Tree Status  &amp;]]="Retain", Tables!$B$237, IF(Tree_Table1[[#This Row],[Tree Status  &amp;]]="Remove", Tables!$B$238, ""))</f>
        <v/>
      </c>
      <c r="H327" s="316"/>
      <c r="I327" s="317"/>
      <c r="J327" s="452"/>
      <c r="K327" s="318" t="str">
        <f>IFERROR(
    IF(
        AND($H327="Zoning: Tree Points", NOT(ISNUMBER(SEARCH("sp.", $C327)))),
        VLOOKUP($C327, 'Tree List'!$C$3:$F$601, 4, FALSE),
        ""
    ),
"")</f>
        <v/>
      </c>
      <c r="L327" s="319" t="str" cm="1">
        <f t="array" ref="L327">IFERROR(
IF(
    AND($H327="Zoning: Tree Points", NOT(ISNUMBER(SEARCH("sp.", $C327)))),
    _xlfn.IFS(
        (COUNTIFS('Tree List'!$C$3:$C$601,$C327,'Tree List'!$D$3:$D$601,"Coniferous")
        + COUNTIFS('Tree List'!$C$3:$C$601,$C327,'Tree List'!$D$3:$D$601,"Deciduous Conifer")) &gt; 0,
            _xlfn.IFS($K327="Small",0.5,$K327="Small/Medium",1,$K327="Medium/Large",1.4,$K327="Large",1.8),
        (COUNTIFS('Tree List'!$C$3:$C$601,$C327,'Tree List'!$D$3:$D$601,"Deciduous")
        + COUNTIFS('Tree List'!$C$3:$C$601,$C327,'Tree List'!$D$3:$D$601,"Broadleaf Evergreen")) &gt; 0,
            _xlfn.IFS($K327="Small",0.4,$K327="Small/Medium",0.8,$K327="Medium/Large",1.2,$K327="Large",1.6)
    ),
    ""
),
"")</f>
        <v/>
      </c>
      <c r="M327" s="474" t="str">
        <f t="shared" si="330"/>
        <v/>
      </c>
      <c r="N327" s="620" t="str" cm="1">
        <f t="array" aca="1" ref="N32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IF(AND(_xlpm.baseRow,ISNA(MATCH($C327,'Tree List'!$C$3:$C$601,0)),SUMPRODUCT(--ISNUMBER(SEARCH(Tables2!$C$677:$C$772,$O327)))&gt;0),
Error!$B$57,
IF(AND(_xlpm.hasDM,$F327="Remove",$H327&lt;&gt;"",OR($I327="On-site replacement",$I327="Off-site replacement",$I327="Payment In Lieu")),
Error!$B$56,
IF(AND(_xlpm.hasDM,$F327="Remove",$H327&lt;&gt;"",$I327="Relocation"),
Error!$B$66,
IF(AND(OR(_xlpm.hasCN,_xlpm.hasPH,_xlpm.hasGR),$H327&lt;&gt;"",COUNTIF(Tables!$B$132:$B$134,$H327)&gt;0,$I327="N/A (No replacement required)"),
Error!$B$62,
IF(AND(_xlpm.baseRow,$E327&lt;&gt;"",ISNA(MATCH($E327,Tables!$B$225:$B$232,0))),
Error!$B$2,
IF(AND(_xlpm.baseRow,$F327&lt;&gt;"",ISNA(MATCH($F327,Tables!$B$234:$B$235,0))),
Error!$B$24,
IF(AND(_xlpm.baseRow,_xlpm.ECA_H&gt;0,_xlpm.Shore_H&gt;0),
Error!$B$16,
IF(AND(_xlpm.baseRow,$E327&lt;&gt;"",$D327=""),
Error!$B$3,
IF(AND(_xlpm.baseRow,OR($E327="Tier 3",$E327="Tier 4"),$C327&lt;&gt;"",$D327&gt;=24,COUNTIF(Tables2!$B$166:$B$674,$C327)&gt;0),
Error!$B$44,
IF(AND(_xlpm.baseRow,OR($E327="Tier 3",$E327="Tier 4"),$C327&lt;&gt;"",$D327&lt;&gt;"",COUNTIF(Tables2!$B$73:$B$152,$C327)&gt;0,
$D327&gt;=IFERROR(INDEX(Tables2!$C$73:$C$152,MATCH($C327,Tables2!$B$73:$B$152,0)),-1)),
Error!$B$44,
IF(AND(_xlpm.baseRow,OR($E327="Tier 2",$E327="Tier 2 Grove"),$C327&lt;&gt;"",$D327&gt;=12,COUNTIF(Tables2!$B$153:$B$162,$C327)&gt;0),
Error!$B$45,
IF(AND(_xlpm.baseRow,$E327="Tier 2 Grove",$D327&lt;12),
Error!$B$41,
IF(AND(_xlpm.baseRow,$E327="Tier 2",$D327&lt;5.88),
Error!$B$40,
IF(AND(_xlpm.baseRow,OR($E327="Tier 2",$E327="Tier 2 Grove"),$C327&lt;&gt;"",$D327&lt;12,$D327&gt;=6,COUNTIF(Tables2!$B$153:$B$162,$C327)&gt;0),
Error!$B$54,
IF(AND(_xlpm.baseRow,$E327="Tier 2",COUNTIF(Tables2!$B$166:$B$674,$C327)&gt;0,$D327&lt;24),
Error!$B$54,
IF(AND(_xlpm.baseRow,$E327="Tier 3",ISNA(MATCH($C327,Tables2!$B$153:$B$162,0)),OR($D327&lt;12,$D327&gt;=24)),
Error!$B$9,
IF(AND(_xlpm.baseRow,$E327="Tier 3",COUNTIF(Tables2!$B$153:$B$162,$C327)&gt;0,$D327&lt;12),
Error!$B$46,
IF(AND(_xlpm.baseRow,$E327="Tier 4",OR($D327&lt;6,$D327&gt;=12)),
Error!$B$10,
IF(AND(_xlpm.baseRow,$E327="&lt;6in DSH for Tree Points",OR($D327&gt;=6,$D327="")),
Error!$B$8,
IF(AND(_xlpm.baseRow,$E327="Street Tree for Green Factor",$F327&lt;&gt;"",$F327&lt;&gt;"Retain"),
Error!$B$14,
IF(AND($E327="&lt;6in DSH for Tree Points",$F327="Retain",$H327&lt;&gt;"",ISNA(MATCH($H327,Tables!$B$174:$B$174,0))),
Error!$B$15,
IF(AND($E327="Street Tree for Green Factor",$F327="Retain",$H327&lt;&gt;"",$H327&lt;&gt;"Zoning: Green Factor"),
Error!$B$15,
IF(AND($E327="ECA / Shoreline Tree",$F327="Remove",$H327&lt;&gt;"",ISNA(MATCH($H327,Tables!$B$189:$B$190,0))),
Error!$B$15,
IF(AND($E327="ECA / Shoreline Tree",$F327="Retain",$H327&lt;&gt;"",ISNA(MATCH($H327,Tables!$B$184:$B$186,0))),
Error!$B$15,
IF(AND($E327="Tier 4",$F327="Remove",$H327&lt;&gt;"",ISNA(MATCH($H327,Tables!$B$171,0))),
Error!$B$15,
IF(AND($E327="Tier 4",$F327="Retain",$H327&lt;&gt;"",ISNA(MATCH($H327,Tables!$B$166:$B$168,0))),
Error!$B$15,
IF(AND($E327="Tier 3",$F327="Retain",$H327&lt;&gt;"",ISNA(MATCH($H327,Tables!$B$158:$B$160,0))),
Error!$B$15,
IF(AND($E327="Tier 3",$F327="Remove",$H327&lt;&gt;"",ISNA(MATCH($H327,Tables!$B$163,0))),
Error!$B$15,
IF(AND(OR($E327="Tier 2",$E327="Tier 2 Grove"),$F327="Remove",$H327&lt;&gt;"",ISNA(MATCH($H327,Tables!$B$153:$B$155,0))),
Error!$B$15,
IF(AND(OR($E327="Tier 2",$E327="Tier 2 Grove"),$F327="Retain",$H327&lt;&gt;"",ISNA(MATCH($H327,Tables!$B$147:$B$150,0))),
Error!$B$15,
IF(AND($E327="Tier 1",$F327="Remove",$H327&lt;&gt;"",ISNA(MATCH($H327,Tables!$B$143:$B$144,0))),
Error!$B$15,
IF(AND($E327="Tier 1",$F327="Retain",$H327&lt;&gt;"",ISNA(MATCH($H327,Tables!$B$137:$B$140,0))),
Error!$B$15,
IF(AND($E327&lt;&gt;"Tier 2",$E327&lt;&gt;"Tier 2 Grove",$E327&lt;&gt;"Tier 3",$E327&lt;&gt;"Tier 4",$H327="Zoning: Green Factor",OR($D327="",$D327&lt;6)),
Error!$B$11,
IF(AND(_xlpm.baseRow,$D327&lt;6,$E327="&lt;6in DSH for Tree Points",_xlpm.TreePoints_H=0),
Error!$B$21,
IF(AND(_xlpm.baseRow,$E327&lt;&gt;"",$D327&lt;&gt;"",$F327=""),
Error!$B$4,
IF(AND(_xlpm.baseRow,$F327="Remove",OR($E327="Tier 1",$E327="Tier 2",$E327="Tier 2 Grove"),COUNTBLANK(_xlpm.HRange)&lt;3,_xlpm.uniqueH&gt;=2),
Error!$B$48,
IF(AND(_xlpm.baseRow,$F327="Retain",OR($E327="Tier 1",$E327="Tier 2",$E327="Tier 2 Grove"),COUNTIF(_xlpm.HRange,"Tree Code: Required to Retain Tier 1-2 Tree")=0),
Error!$B$47,
IF(AND(_xlpm.baseRow,$E327&lt;&gt;"",$D327&lt;&gt;"",$F327&lt;&gt;"",COUNTBLANK(_xlpm.HRange)=4),
Error!$B$5,
IF(AND($F327="Remove",$H327&lt;&gt;"",$I327=""),
Error!$B$18,
IF(AND($E327="Tier 4",$F327="Remove",$H327="Tree Protection Code: Tier 3 or Tier 4 Allowance",$H327&lt;&gt;"",ISNA(MATCH($I327,Tables!$B$200,0))),
Error!$B$17,
IF(AND($E327="Tier 3",$F327="Remove",$H327&lt;&gt;"",$H327="Tree Protection Code: Tier 3 or Tier 4 Allowance",OR($I327="",ISNA(MATCH($I327,Tables!$B$193:$B$197,0)))),
Error!$B$17,
IF(AND(OR($E327="Tier 2",$E327="Tier 2 Grove"),$F327="Remove",$H327="Tree Protection Code: Other removal allowance or exemption",$I327&lt;&gt;"",ISNA(MATCH($I327,Tables!$B$215:$B$218,0))),
Error!$B$17,
IF(AND(OR($E327="Tier 2",$E327="Tier 2 Grove"),$F327="Remove",$H327="Tree Protection Code: Development Capacity",$I327&lt;&gt;"",ISNA(MATCH($I327,Tables!$B$193:$B$197,0))),
Error!$B$17,
IF(AND(OR($E327="Tier 2",$E327="Tier 2 Grove"),$F327="Remove",$H327="Tree Protection Code: Necessary for Construction",$I327&lt;&gt;"",ISNA(MATCH($I327,Tables!$B$193:$B$197,0))),
Error!$B$17,
IF(AND($E327="Tier 1",$F327="Remove",$H327="Tree Protection Code: Special Exception",$I327&lt;&gt;"",ISNA(MATCH($I327,Tables!$B$215:$B$218,0))),
Error!$B$17,
IF(AND($E327="Tier 1",$F327="Remove",$H327="Tree Protection Code: Other removal allowance or exemption",$I327&lt;&gt;"",ISNA(MATCH($I327,Tables!$B$215:$B$218,0))),
Error!$B$17,
IF(AND($E327="ECA / Shoreline Tree",$F327="Remove",$H327&lt;&gt;"",OR($H327="Shoreline",$H327="Environmental Critical Area (ECA)"),ISNA(MATCH($I327,Tables!$B$209:$B$212,0))),
Error!$B$17,
IF(AND(_xlpm.baseRow,$F327="Retain",$E327="ECA / Shoreline Tree",_xlpm.ECA_Short=0),
Error!$B$61,
IF(AND($F327="Remove",ISNUMBER(MATCH($E327,{"Tier 1","Tier 2","Tier 3","Tier 4","Tier 2 Grove"},0)),ISNUMBER(MATCH($I327,{"On-site replacement","Off-site replacement"},0)),$J327="",$H327&lt;&gt;""),
Error!$B$19,
IF(AND(_xlpm.baseRow,$E327&lt;&gt;"",$D327&lt;&gt;"",$F327&lt;&gt;"",COUNTBLANK($B327:$C327)&gt;0,COUNTBLANK(_xlpm.HRange)&lt;&gt;4),
Error!$B$22,
IF(AND($H327="Zoning: Tree Points",$K327&lt;&gt;"",ISNA(MATCH($K327,Tables!$B$242:$B$253,0))),
Error!$B$58,
IF(AND($H327="Zoning: Tree Points",$K327="Small",$L327&lt;&gt;"",ISNA(MATCH($L327,Tables!$C$243:$C$244,0))),
Error!$B$59,
IF(AND($H327="Zoning: Tree Points",$K327="Small/Medium",$L327&lt;&gt;"",ISNA(MATCH($L327,Tables!$C$246:$C$247,0))),
Error!$B$59,
IF(AND($H327="Zoning: Tree Points",$K327="Medium/Large",$L327&lt;&gt;"",ISNA(MATCH($L327,Tables!$C$249:$C$250,0))),
Error!$B$59,
IF(AND($H327="Zoning: Tree Points",$K327="Large",$L327&lt;&gt;"",ISNA(MATCH($L327,Tables!$C$252:$C$253,0))),
Error!$B$59,
IF(AND($F327="Retain",$H327="Zoning: Tree Points",$C327&lt;&gt;"",$D327&lt;&gt;"",OR($K327="",$L327="",$M327="")),
Error!$B$20,
""
)))))))))))))))))))))))))))))))))))))))))))))))))))))))),
Error!$B$23))</f>
        <v/>
      </c>
      <c r="O327" s="343" t="str" cm="1">
        <f t="array" aca="1" ref="O327" ca="1">IFERROR(_xlfn.LET(
    _xlpm.txt, $C327,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28" spans="1:15" x14ac:dyDescent="0.3">
      <c r="A328" s="320"/>
      <c r="B328" s="616" t="str">
        <f t="shared" ref="B328:B330" si="356">IF($B327="", "", $B327)</f>
        <v/>
      </c>
      <c r="C328" s="617" t="str">
        <f t="shared" ref="C328:C330" si="357">IF($C327="", "", $C327)</f>
        <v/>
      </c>
      <c r="D328" s="618" t="str">
        <f t="shared" ref="D328:D330" si="358">IF($D327="", "", $D327)</f>
        <v/>
      </c>
      <c r="E328" s="616" t="str">
        <f t="shared" ref="E328:E330" si="359">IF($E327="", "", $E327)</f>
        <v/>
      </c>
      <c r="F328" s="616" t="str">
        <f t="shared" ref="F328:F330" si="360">IF($F327="", "", $F327)</f>
        <v/>
      </c>
      <c r="G328" s="619" t="str">
        <f>IF(Tree_Table1[[#This Row],[Tree Status  &amp;]]="Retain", Tables!$B$237, IF(Tree_Table1[[#This Row],[Tree Status  &amp;]]="Remove", Tables!$B$238, ""))</f>
        <v/>
      </c>
      <c r="H328" s="321"/>
      <c r="I328" s="322"/>
      <c r="J328" s="453"/>
      <c r="K328" s="323" t="str">
        <f>IFERROR(
    IF(
        AND($H328="Zoning: Tree Points", NOT(ISNUMBER(SEARCH("sp.", $C328)))),
        VLOOKUP($C328, 'Tree List'!$C$3:$F$601, 4, FALSE),
        ""
    ),
"")</f>
        <v/>
      </c>
      <c r="L328" s="324" t="str" cm="1">
        <f t="array" ref="L328">IFERROR(
IF(
    AND($H328="Zoning: Tree Points", NOT(ISNUMBER(SEARCH("sp.", $C328)))),
    _xlfn.IFS(
        (COUNTIFS('Tree List'!$C$3:$C$601,$C328,'Tree List'!$D$3:$D$601,"Coniferous")
        + COUNTIFS('Tree List'!$C$3:$C$601,$C328,'Tree List'!$D$3:$D$601,"Deciduous Conifer")) &gt; 0,
            _xlfn.IFS($K328="Small",0.5,$K328="Small/Medium",1,$K328="Medium/Large",1.4,$K328="Large",1.8),
        (COUNTIFS('Tree List'!$C$3:$C$601,$C328,'Tree List'!$D$3:$D$601,"Deciduous")
        + COUNTIFS('Tree List'!$C$3:$C$601,$C328,'Tree List'!$D$3:$D$601,"Broadleaf Evergreen")) &gt; 0,
            _xlfn.IFS($K328="Small",0.4,$K328="Small/Medium",0.8,$K328="Medium/Large",1.2,$K328="Large",1.6)
    ),
    ""
),
"")</f>
        <v/>
      </c>
      <c r="M328" s="475" t="str">
        <f t="shared" si="330"/>
        <v/>
      </c>
      <c r="N328" s="346" t="str" cm="1">
        <f t="array" aca="1" ref="N32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IF(AND(_xlpm.baseRow,ISNA(MATCH($C328,'Tree List'!$C$3:$C$601,0)),SUMPRODUCT(--ISNUMBER(SEARCH(Tables2!$C$677:$C$772,$O328)))&gt;0),
Error!$B$57,
IF(AND(_xlpm.hasDM,$F328="Remove",$H328&lt;&gt;"",OR($I328="On-site replacement",$I328="Off-site replacement",$I328="Payment In Lieu")),
Error!$B$56,
IF(AND(_xlpm.hasDM,$F328="Remove",$H328&lt;&gt;"",$I328="Relocation"),
Error!$B$66,
IF(AND(OR(_xlpm.hasCN,_xlpm.hasPH,_xlpm.hasGR),$H328&lt;&gt;"",COUNTIF(Tables!$B$132:$B$134,$H328)&gt;0,$I328="N/A (No replacement required)"),
Error!$B$62,
IF(AND(_xlpm.baseRow,$E328&lt;&gt;"",ISNA(MATCH($E328,Tables!$B$225:$B$232,0))),
Error!$B$2,
IF(AND(_xlpm.baseRow,$F328&lt;&gt;"",ISNA(MATCH($F328,Tables!$B$234:$B$235,0))),
Error!$B$24,
IF(AND(_xlpm.baseRow,_xlpm.ECA_H&gt;0,_xlpm.Shore_H&gt;0),
Error!$B$16,
IF(AND(_xlpm.baseRow,$E328&lt;&gt;"",$D328=""),
Error!$B$3,
IF(AND(_xlpm.baseRow,OR($E328="Tier 3",$E328="Tier 4"),$C328&lt;&gt;"",$D328&gt;=24,COUNTIF(Tables2!$B$166:$B$674,$C328)&gt;0),
Error!$B$44,
IF(AND(_xlpm.baseRow,OR($E328="Tier 3",$E328="Tier 4"),$C328&lt;&gt;"",$D328&lt;&gt;"",COUNTIF(Tables2!$B$73:$B$152,$C328)&gt;0,
$D328&gt;=IFERROR(INDEX(Tables2!$C$73:$C$152,MATCH($C328,Tables2!$B$73:$B$152,0)),-1)),
Error!$B$44,
IF(AND(_xlpm.baseRow,OR($E328="Tier 2",$E328="Tier 2 Grove"),$C328&lt;&gt;"",$D328&gt;=12,COUNTIF(Tables2!$B$153:$B$162,$C328)&gt;0),
Error!$B$45,
IF(AND(_xlpm.baseRow,$E328="Tier 2 Grove",$D328&lt;12),
Error!$B$41,
IF(AND(_xlpm.baseRow,$E328="Tier 2",$D328&lt;5.88),
Error!$B$40,
IF(AND(_xlpm.baseRow,OR($E328="Tier 2",$E328="Tier 2 Grove"),$C328&lt;&gt;"",$D328&lt;12,$D328&gt;=6,COUNTIF(Tables2!$B$153:$B$162,$C328)&gt;0),
Error!$B$54,
IF(AND(_xlpm.baseRow,$E328="Tier 2",COUNTIF(Tables2!$B$166:$B$674,$C328)&gt;0,$D328&lt;24),
Error!$B$54,
IF(AND(_xlpm.baseRow,$E328="Tier 3",ISNA(MATCH($C328,Tables2!$B$153:$B$162,0)),OR($D328&lt;12,$D328&gt;=24)),
Error!$B$9,
IF(AND(_xlpm.baseRow,$E328="Tier 3",COUNTIF(Tables2!$B$153:$B$162,$C328)&gt;0,$D328&lt;12),
Error!$B$46,
IF(AND(_xlpm.baseRow,$E328="Tier 4",OR($D328&lt;6,$D328&gt;=12)),
Error!$B$10,
IF(AND(_xlpm.baseRow,$E328="&lt;6in DSH for Tree Points",OR($D328&gt;=6,$D328="")),
Error!$B$8,
IF(AND(_xlpm.baseRow,$E328="Street Tree for Green Factor",$F328&lt;&gt;"",$F328&lt;&gt;"Retain"),
Error!$B$14,
IF(AND($E328="&lt;6in DSH for Tree Points",$F328="Retain",$H328&lt;&gt;"",ISNA(MATCH($H328,Tables!$B$174:$B$174,0))),
Error!$B$15,
IF(AND($E328="Street Tree for Green Factor",$F328="Retain",$H328&lt;&gt;"",$H328&lt;&gt;"Zoning: Green Factor"),
Error!$B$15,
IF(AND($E328="ECA / Shoreline Tree",$F328="Remove",$H328&lt;&gt;"",ISNA(MATCH($H328,Tables!$B$189:$B$190,0))),
Error!$B$15,
IF(AND($E328="ECA / Shoreline Tree",$F328="Retain",$H328&lt;&gt;"",ISNA(MATCH($H328,Tables!$B$184:$B$186,0))),
Error!$B$15,
IF(AND($E328="Tier 4",$F328="Remove",$H328&lt;&gt;"",ISNA(MATCH($H328,Tables!$B$171,0))),
Error!$B$15,
IF(AND($E328="Tier 4",$F328="Retain",$H328&lt;&gt;"",ISNA(MATCH($H328,Tables!$B$166:$B$168,0))),
Error!$B$15,
IF(AND($E328="Tier 3",$F328="Retain",$H328&lt;&gt;"",ISNA(MATCH($H328,Tables!$B$158:$B$160,0))),
Error!$B$15,
IF(AND($E328="Tier 3",$F328="Remove",$H328&lt;&gt;"",ISNA(MATCH($H328,Tables!$B$163,0))),
Error!$B$15,
IF(AND(OR($E328="Tier 2",$E328="Tier 2 Grove"),$F328="Remove",$H328&lt;&gt;"",ISNA(MATCH($H328,Tables!$B$153:$B$155,0))),
Error!$B$15,
IF(AND(OR($E328="Tier 2",$E328="Tier 2 Grove"),$F328="Retain",$H328&lt;&gt;"",ISNA(MATCH($H328,Tables!$B$147:$B$150,0))),
Error!$B$15,
IF(AND($E328="Tier 1",$F328="Remove",$H328&lt;&gt;"",ISNA(MATCH($H328,Tables!$B$143:$B$144,0))),
Error!$B$15,
IF(AND($E328="Tier 1",$F328="Retain",$H328&lt;&gt;"",ISNA(MATCH($H328,Tables!$B$137:$B$140,0))),
Error!$B$15,
IF(AND($E328&lt;&gt;"Tier 2",$E328&lt;&gt;"Tier 2 Grove",$E328&lt;&gt;"Tier 3",$E328&lt;&gt;"Tier 4",$H328="Zoning: Green Factor",OR($D328="",$D328&lt;6)),
Error!$B$11,
IF(AND(_xlpm.baseRow,$D328&lt;6,$E328="&lt;6in DSH for Tree Points",_xlpm.TreePoints_H=0),
Error!$B$21,
IF(AND(_xlpm.baseRow,$E328&lt;&gt;"",$D328&lt;&gt;"",$F328=""),
Error!$B$4,
IF(AND(_xlpm.baseRow,$F328="Remove",OR($E328="Tier 1",$E328="Tier 2",$E328="Tier 2 Grove"),COUNTBLANK(_xlpm.HRange)&lt;3,_xlpm.uniqueH&gt;=2),
Error!$B$48,
IF(AND(_xlpm.baseRow,$F328="Retain",OR($E328="Tier 1",$E328="Tier 2",$E328="Tier 2 Grove"),COUNTIF(_xlpm.HRange,"Tree Code: Required to Retain Tier 1-2 Tree")=0),
Error!$B$47,
IF(AND(_xlpm.baseRow,$E328&lt;&gt;"",$D328&lt;&gt;"",$F328&lt;&gt;"",COUNTBLANK(_xlpm.HRange)=4),
Error!$B$5,
IF(AND($F328="Remove",$H328&lt;&gt;"",$I328=""),
Error!$B$18,
IF(AND($E328="Tier 4",$F328="Remove",$H328="Tree Protection Code: Tier 3 or Tier 4 Allowance",$H328&lt;&gt;"",ISNA(MATCH($I328,Tables!$B$200,0))),
Error!$B$17,
IF(AND($E328="Tier 3",$F328="Remove",$H328&lt;&gt;"",$H328="Tree Protection Code: Tier 3 or Tier 4 Allowance",OR($I328="",ISNA(MATCH($I328,Tables!$B$193:$B$197,0)))),
Error!$B$17,
IF(AND(OR($E328="Tier 2",$E328="Tier 2 Grove"),$F328="Remove",$H328="Tree Protection Code: Other removal allowance or exemption",$I328&lt;&gt;"",ISNA(MATCH($I328,Tables!$B$215:$B$218,0))),
Error!$B$17,
IF(AND(OR($E328="Tier 2",$E328="Tier 2 Grove"),$F328="Remove",$H328="Tree Protection Code: Development Capacity",$I328&lt;&gt;"",ISNA(MATCH($I328,Tables!$B$193:$B$197,0))),
Error!$B$17,
IF(AND(OR($E328="Tier 2",$E328="Tier 2 Grove"),$F328="Remove",$H328="Tree Protection Code: Necessary for Construction",$I328&lt;&gt;"",ISNA(MATCH($I328,Tables!$B$193:$B$197,0))),
Error!$B$17,
IF(AND($E328="Tier 1",$F328="Remove",$H328="Tree Protection Code: Special Exception",$I328&lt;&gt;"",ISNA(MATCH($I328,Tables!$B$215:$B$218,0))),
Error!$B$17,
IF(AND($E328="Tier 1",$F328="Remove",$H328="Tree Protection Code: Other removal allowance or exemption",$I328&lt;&gt;"",ISNA(MATCH($I328,Tables!$B$215:$B$218,0))),
Error!$B$17,
IF(AND($E328="ECA / Shoreline Tree",$F328="Remove",$H328&lt;&gt;"",OR($H328="Shoreline",$H328="Environmental Critical Area (ECA)"),ISNA(MATCH($I328,Tables!$B$209:$B$212,0))),
Error!$B$17,
IF(AND(_xlpm.baseRow,$F328="Retain",$E328="ECA / Shoreline Tree",_xlpm.ECA_Short=0),
Error!$B$61,
IF(AND($F328="Remove",ISNUMBER(MATCH($E328,{"Tier 1","Tier 2","Tier 3","Tier 4","Tier 2 Grove"},0)),ISNUMBER(MATCH($I328,{"On-site replacement","Off-site replacement"},0)),$J328="",$H328&lt;&gt;""),
Error!$B$19,
IF(AND(_xlpm.baseRow,$E328&lt;&gt;"",$D328&lt;&gt;"",$F328&lt;&gt;"",COUNTBLANK($B328:$C328)&gt;0,COUNTBLANK(_xlpm.HRange)&lt;&gt;4),
Error!$B$22,
IF(AND($H328="Zoning: Tree Points",$K328&lt;&gt;"",ISNA(MATCH($K328,Tables!$B$242:$B$253,0))),
Error!$B$58,
IF(AND($H328="Zoning: Tree Points",$K328="Small",$L328&lt;&gt;"",ISNA(MATCH($L328,Tables!$C$243:$C$244,0))),
Error!$B$59,
IF(AND($H328="Zoning: Tree Points",$K328="Small/Medium",$L328&lt;&gt;"",ISNA(MATCH($L328,Tables!$C$246:$C$247,0))),
Error!$B$59,
IF(AND($H328="Zoning: Tree Points",$K328="Medium/Large",$L328&lt;&gt;"",ISNA(MATCH($L328,Tables!$C$249:$C$250,0))),
Error!$B$59,
IF(AND($H328="Zoning: Tree Points",$K328="Large",$L328&lt;&gt;"",ISNA(MATCH($L328,Tables!$C$252:$C$253,0))),
Error!$B$59,
IF(AND($F328="Retain",$H328="Zoning: Tree Points",$C328&lt;&gt;"",$D328&lt;&gt;"",OR($K328="",$L328="",$M328="")),
Error!$B$20,
""
)))))))))))))))))))))))))))))))))))))))))))))))))))))))),
Error!$B$23))</f>
        <v/>
      </c>
      <c r="O328" s="343" t="str" cm="1">
        <f t="array" aca="1" ref="O328" ca="1">IFERROR(_xlfn.LET(
    _xlpm.txt, $C328,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29" spans="1:15" x14ac:dyDescent="0.3">
      <c r="A329" s="320"/>
      <c r="B329" s="616" t="str">
        <f t="shared" si="356"/>
        <v/>
      </c>
      <c r="C329" s="617" t="str">
        <f t="shared" si="357"/>
        <v/>
      </c>
      <c r="D329" s="618" t="str">
        <f t="shared" si="358"/>
        <v/>
      </c>
      <c r="E329" s="616" t="str">
        <f t="shared" si="359"/>
        <v/>
      </c>
      <c r="F329" s="616" t="str">
        <f t="shared" si="360"/>
        <v/>
      </c>
      <c r="G329" s="619" t="str">
        <f>IF(Tree_Table1[[#This Row],[Tree Status  &amp;]]="Retain", Tables!$B$237, IF(Tree_Table1[[#This Row],[Tree Status  &amp;]]="Remove", Tables!$B$238, ""))</f>
        <v/>
      </c>
      <c r="H329" s="321"/>
      <c r="I329" s="322"/>
      <c r="J329" s="453"/>
      <c r="K329" s="323" t="str">
        <f>IFERROR(
    IF(
        AND($H329="Zoning: Tree Points", NOT(ISNUMBER(SEARCH("sp.", $C329)))),
        VLOOKUP($C329, 'Tree List'!$C$3:$F$601, 4, FALSE),
        ""
    ),
"")</f>
        <v/>
      </c>
      <c r="L329" s="324" t="str" cm="1">
        <f t="array" ref="L329">IFERROR(
IF(
    AND($H329="Zoning: Tree Points", NOT(ISNUMBER(SEARCH("sp.", $C329)))),
    _xlfn.IFS(
        (COUNTIFS('Tree List'!$C$3:$C$601,$C329,'Tree List'!$D$3:$D$601,"Coniferous")
        + COUNTIFS('Tree List'!$C$3:$C$601,$C329,'Tree List'!$D$3:$D$601,"Deciduous Conifer")) &gt; 0,
            _xlfn.IFS($K329="Small",0.5,$K329="Small/Medium",1,$K329="Medium/Large",1.4,$K329="Large",1.8),
        (COUNTIFS('Tree List'!$C$3:$C$601,$C329,'Tree List'!$D$3:$D$601,"Deciduous")
        + COUNTIFS('Tree List'!$C$3:$C$601,$C329,'Tree List'!$D$3:$D$601,"Broadleaf Evergreen")) &gt; 0,
            _xlfn.IFS($K329="Small",0.4,$K329="Small/Medium",0.8,$K329="Medium/Large",1.2,$K329="Large",1.6)
    ),
    ""
),
"")</f>
        <v/>
      </c>
      <c r="M329" s="475" t="str">
        <f t="shared" si="330"/>
        <v/>
      </c>
      <c r="N329" s="346" t="str" cm="1">
        <f t="array" aca="1" ref="N32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IF(AND(_xlpm.baseRow,ISNA(MATCH($C329,'Tree List'!$C$3:$C$601,0)),SUMPRODUCT(--ISNUMBER(SEARCH(Tables2!$C$677:$C$772,$O329)))&gt;0),
Error!$B$57,
IF(AND(_xlpm.hasDM,$F329="Remove",$H329&lt;&gt;"",OR($I329="On-site replacement",$I329="Off-site replacement",$I329="Payment In Lieu")),
Error!$B$56,
IF(AND(_xlpm.hasDM,$F329="Remove",$H329&lt;&gt;"",$I329="Relocation"),
Error!$B$66,
IF(AND(OR(_xlpm.hasCN,_xlpm.hasPH,_xlpm.hasGR),$H329&lt;&gt;"",COUNTIF(Tables!$B$132:$B$134,$H329)&gt;0,$I329="N/A (No replacement required)"),
Error!$B$62,
IF(AND(_xlpm.baseRow,$E329&lt;&gt;"",ISNA(MATCH($E329,Tables!$B$225:$B$232,0))),
Error!$B$2,
IF(AND(_xlpm.baseRow,$F329&lt;&gt;"",ISNA(MATCH($F329,Tables!$B$234:$B$235,0))),
Error!$B$24,
IF(AND(_xlpm.baseRow,_xlpm.ECA_H&gt;0,_xlpm.Shore_H&gt;0),
Error!$B$16,
IF(AND(_xlpm.baseRow,$E329&lt;&gt;"",$D329=""),
Error!$B$3,
IF(AND(_xlpm.baseRow,OR($E329="Tier 3",$E329="Tier 4"),$C329&lt;&gt;"",$D329&gt;=24,COUNTIF(Tables2!$B$166:$B$674,$C329)&gt;0),
Error!$B$44,
IF(AND(_xlpm.baseRow,OR($E329="Tier 3",$E329="Tier 4"),$C329&lt;&gt;"",$D329&lt;&gt;"",COUNTIF(Tables2!$B$73:$B$152,$C329)&gt;0,
$D329&gt;=IFERROR(INDEX(Tables2!$C$73:$C$152,MATCH($C329,Tables2!$B$73:$B$152,0)),-1)),
Error!$B$44,
IF(AND(_xlpm.baseRow,OR($E329="Tier 2",$E329="Tier 2 Grove"),$C329&lt;&gt;"",$D329&gt;=12,COUNTIF(Tables2!$B$153:$B$162,$C329)&gt;0),
Error!$B$45,
IF(AND(_xlpm.baseRow,$E329="Tier 2 Grove",$D329&lt;12),
Error!$B$41,
IF(AND(_xlpm.baseRow,$E329="Tier 2",$D329&lt;5.88),
Error!$B$40,
IF(AND(_xlpm.baseRow,OR($E329="Tier 2",$E329="Tier 2 Grove"),$C329&lt;&gt;"",$D329&lt;12,$D329&gt;=6,COUNTIF(Tables2!$B$153:$B$162,$C329)&gt;0),
Error!$B$54,
IF(AND(_xlpm.baseRow,$E329="Tier 2",COUNTIF(Tables2!$B$166:$B$674,$C329)&gt;0,$D329&lt;24),
Error!$B$54,
IF(AND(_xlpm.baseRow,$E329="Tier 3",ISNA(MATCH($C329,Tables2!$B$153:$B$162,0)),OR($D329&lt;12,$D329&gt;=24)),
Error!$B$9,
IF(AND(_xlpm.baseRow,$E329="Tier 3",COUNTIF(Tables2!$B$153:$B$162,$C329)&gt;0,$D329&lt;12),
Error!$B$46,
IF(AND(_xlpm.baseRow,$E329="Tier 4",OR($D329&lt;6,$D329&gt;=12)),
Error!$B$10,
IF(AND(_xlpm.baseRow,$E329="&lt;6in DSH for Tree Points",OR($D329&gt;=6,$D329="")),
Error!$B$8,
IF(AND(_xlpm.baseRow,$E329="Street Tree for Green Factor",$F329&lt;&gt;"",$F329&lt;&gt;"Retain"),
Error!$B$14,
IF(AND($E329="&lt;6in DSH for Tree Points",$F329="Retain",$H329&lt;&gt;"",ISNA(MATCH($H329,Tables!$B$174:$B$174,0))),
Error!$B$15,
IF(AND($E329="Street Tree for Green Factor",$F329="Retain",$H329&lt;&gt;"",$H329&lt;&gt;"Zoning: Green Factor"),
Error!$B$15,
IF(AND($E329="ECA / Shoreline Tree",$F329="Remove",$H329&lt;&gt;"",ISNA(MATCH($H329,Tables!$B$189:$B$190,0))),
Error!$B$15,
IF(AND($E329="ECA / Shoreline Tree",$F329="Retain",$H329&lt;&gt;"",ISNA(MATCH($H329,Tables!$B$184:$B$186,0))),
Error!$B$15,
IF(AND($E329="Tier 4",$F329="Remove",$H329&lt;&gt;"",ISNA(MATCH($H329,Tables!$B$171,0))),
Error!$B$15,
IF(AND($E329="Tier 4",$F329="Retain",$H329&lt;&gt;"",ISNA(MATCH($H329,Tables!$B$166:$B$168,0))),
Error!$B$15,
IF(AND($E329="Tier 3",$F329="Retain",$H329&lt;&gt;"",ISNA(MATCH($H329,Tables!$B$158:$B$160,0))),
Error!$B$15,
IF(AND($E329="Tier 3",$F329="Remove",$H329&lt;&gt;"",ISNA(MATCH($H329,Tables!$B$163,0))),
Error!$B$15,
IF(AND(OR($E329="Tier 2",$E329="Tier 2 Grove"),$F329="Remove",$H329&lt;&gt;"",ISNA(MATCH($H329,Tables!$B$153:$B$155,0))),
Error!$B$15,
IF(AND(OR($E329="Tier 2",$E329="Tier 2 Grove"),$F329="Retain",$H329&lt;&gt;"",ISNA(MATCH($H329,Tables!$B$147:$B$150,0))),
Error!$B$15,
IF(AND($E329="Tier 1",$F329="Remove",$H329&lt;&gt;"",ISNA(MATCH($H329,Tables!$B$143:$B$144,0))),
Error!$B$15,
IF(AND($E329="Tier 1",$F329="Retain",$H329&lt;&gt;"",ISNA(MATCH($H329,Tables!$B$137:$B$140,0))),
Error!$B$15,
IF(AND($E329&lt;&gt;"Tier 2",$E329&lt;&gt;"Tier 2 Grove",$E329&lt;&gt;"Tier 3",$E329&lt;&gt;"Tier 4",$H329="Zoning: Green Factor",OR($D329="",$D329&lt;6)),
Error!$B$11,
IF(AND(_xlpm.baseRow,$D329&lt;6,$E329="&lt;6in DSH for Tree Points",_xlpm.TreePoints_H=0),
Error!$B$21,
IF(AND(_xlpm.baseRow,$E329&lt;&gt;"",$D329&lt;&gt;"",$F329=""),
Error!$B$4,
IF(AND(_xlpm.baseRow,$F329="Remove",OR($E329="Tier 1",$E329="Tier 2",$E329="Tier 2 Grove"),COUNTBLANK(_xlpm.HRange)&lt;3,_xlpm.uniqueH&gt;=2),
Error!$B$48,
IF(AND(_xlpm.baseRow,$F329="Retain",OR($E329="Tier 1",$E329="Tier 2",$E329="Tier 2 Grove"),COUNTIF(_xlpm.HRange,"Tree Code: Required to Retain Tier 1-2 Tree")=0),
Error!$B$47,
IF(AND(_xlpm.baseRow,$E329&lt;&gt;"",$D329&lt;&gt;"",$F329&lt;&gt;"",COUNTBLANK(_xlpm.HRange)=4),
Error!$B$5,
IF(AND($F329="Remove",$H329&lt;&gt;"",$I329=""),
Error!$B$18,
IF(AND($E329="Tier 4",$F329="Remove",$H329="Tree Protection Code: Tier 3 or Tier 4 Allowance",$H329&lt;&gt;"",ISNA(MATCH($I329,Tables!$B$200,0))),
Error!$B$17,
IF(AND($E329="Tier 3",$F329="Remove",$H329&lt;&gt;"",$H329="Tree Protection Code: Tier 3 or Tier 4 Allowance",OR($I329="",ISNA(MATCH($I329,Tables!$B$193:$B$197,0)))),
Error!$B$17,
IF(AND(OR($E329="Tier 2",$E329="Tier 2 Grove"),$F329="Remove",$H329="Tree Protection Code: Other removal allowance or exemption",$I329&lt;&gt;"",ISNA(MATCH($I329,Tables!$B$215:$B$218,0))),
Error!$B$17,
IF(AND(OR($E329="Tier 2",$E329="Tier 2 Grove"),$F329="Remove",$H329="Tree Protection Code: Development Capacity",$I329&lt;&gt;"",ISNA(MATCH($I329,Tables!$B$193:$B$197,0))),
Error!$B$17,
IF(AND(OR($E329="Tier 2",$E329="Tier 2 Grove"),$F329="Remove",$H329="Tree Protection Code: Necessary for Construction",$I329&lt;&gt;"",ISNA(MATCH($I329,Tables!$B$193:$B$197,0))),
Error!$B$17,
IF(AND($E329="Tier 1",$F329="Remove",$H329="Tree Protection Code: Special Exception",$I329&lt;&gt;"",ISNA(MATCH($I329,Tables!$B$215:$B$218,0))),
Error!$B$17,
IF(AND($E329="Tier 1",$F329="Remove",$H329="Tree Protection Code: Other removal allowance or exemption",$I329&lt;&gt;"",ISNA(MATCH($I329,Tables!$B$215:$B$218,0))),
Error!$B$17,
IF(AND($E329="ECA / Shoreline Tree",$F329="Remove",$H329&lt;&gt;"",OR($H329="Shoreline",$H329="Environmental Critical Area (ECA)"),ISNA(MATCH($I329,Tables!$B$209:$B$212,0))),
Error!$B$17,
IF(AND(_xlpm.baseRow,$F329="Retain",$E329="ECA / Shoreline Tree",_xlpm.ECA_Short=0),
Error!$B$61,
IF(AND($F329="Remove",ISNUMBER(MATCH($E329,{"Tier 1","Tier 2","Tier 3","Tier 4","Tier 2 Grove"},0)),ISNUMBER(MATCH($I329,{"On-site replacement","Off-site replacement"},0)),$J329="",$H329&lt;&gt;""),
Error!$B$19,
IF(AND(_xlpm.baseRow,$E329&lt;&gt;"",$D329&lt;&gt;"",$F329&lt;&gt;"",COUNTBLANK($B329:$C329)&gt;0,COUNTBLANK(_xlpm.HRange)&lt;&gt;4),
Error!$B$22,
IF(AND($H329="Zoning: Tree Points",$K329&lt;&gt;"",ISNA(MATCH($K329,Tables!$B$242:$B$253,0))),
Error!$B$58,
IF(AND($H329="Zoning: Tree Points",$K329="Small",$L329&lt;&gt;"",ISNA(MATCH($L329,Tables!$C$243:$C$244,0))),
Error!$B$59,
IF(AND($H329="Zoning: Tree Points",$K329="Small/Medium",$L329&lt;&gt;"",ISNA(MATCH($L329,Tables!$C$246:$C$247,0))),
Error!$B$59,
IF(AND($H329="Zoning: Tree Points",$K329="Medium/Large",$L329&lt;&gt;"",ISNA(MATCH($L329,Tables!$C$249:$C$250,0))),
Error!$B$59,
IF(AND($H329="Zoning: Tree Points",$K329="Large",$L329&lt;&gt;"",ISNA(MATCH($L329,Tables!$C$252:$C$253,0))),
Error!$B$59,
IF(AND($F329="Retain",$H329="Zoning: Tree Points",$C329&lt;&gt;"",$D329&lt;&gt;"",OR($K329="",$L329="",$M329="")),
Error!$B$20,
""
)))))))))))))))))))))))))))))))))))))))))))))))))))))))),
Error!$B$23))</f>
        <v/>
      </c>
      <c r="O329" s="343" t="str" cm="1">
        <f t="array" aca="1" ref="O329" ca="1">IFERROR(_xlfn.LET(
    _xlpm.txt, $C329,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30" spans="1:15" ht="15" thickBot="1" x14ac:dyDescent="0.35">
      <c r="A330" s="331"/>
      <c r="B330" s="616" t="str">
        <f t="shared" si="356"/>
        <v/>
      </c>
      <c r="C330" s="617" t="str">
        <f t="shared" si="357"/>
        <v/>
      </c>
      <c r="D330" s="618" t="str">
        <f t="shared" si="358"/>
        <v/>
      </c>
      <c r="E330" s="616" t="str">
        <f t="shared" si="359"/>
        <v/>
      </c>
      <c r="F330" s="616" t="str">
        <f t="shared" si="360"/>
        <v/>
      </c>
      <c r="G330" s="619" t="str">
        <f>IF(Tree_Table1[[#This Row],[Tree Status  &amp;]]="Retain", Tables!$B$237, IF(Tree_Table1[[#This Row],[Tree Status  &amp;]]="Remove", Tables!$B$238, ""))</f>
        <v/>
      </c>
      <c r="H330" s="329"/>
      <c r="I330" s="330"/>
      <c r="J330" s="455"/>
      <c r="K330" s="327" t="str">
        <f>IFERROR(
    IF(
        AND($H330="Zoning: Tree Points", NOT(ISNUMBER(SEARCH("sp.", $C330)))),
        VLOOKUP($C330, 'Tree List'!$C$3:$F$601, 4, FALSE),
        ""
    ),
"")</f>
        <v/>
      </c>
      <c r="L330" s="328" t="str" cm="1">
        <f t="array" ref="L330">IFERROR(
IF(
    AND($H330="Zoning: Tree Points", NOT(ISNUMBER(SEARCH("sp.", $C330)))),
    _xlfn.IFS(
        (COUNTIFS('Tree List'!$C$3:$C$601,$C330,'Tree List'!$D$3:$D$601,"Coniferous")
        + COUNTIFS('Tree List'!$C$3:$C$601,$C330,'Tree List'!$D$3:$D$601,"Deciduous Conifer")) &gt; 0,
            _xlfn.IFS($K330="Small",0.5,$K330="Small/Medium",1,$K330="Medium/Large",1.4,$K330="Large",1.8),
        (COUNTIFS('Tree List'!$C$3:$C$601,$C330,'Tree List'!$D$3:$D$601,"Deciduous")
        + COUNTIFS('Tree List'!$C$3:$C$601,$C330,'Tree List'!$D$3:$D$601,"Broadleaf Evergreen")) &gt; 0,
            _xlfn.IFS($K330="Small",0.4,$K330="Small/Medium",0.8,$K330="Medium/Large",1.2,$K330="Large",1.6)
    ),
    ""
),
"")</f>
        <v/>
      </c>
      <c r="M330" s="476" t="str">
        <f t="shared" si="330"/>
        <v/>
      </c>
      <c r="N330" s="347" t="str" cm="1">
        <f t="array" aca="1" ref="N33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IF(AND(_xlpm.baseRow,ISNA(MATCH($C330,'Tree List'!$C$3:$C$601,0)),SUMPRODUCT(--ISNUMBER(SEARCH(Tables2!$C$677:$C$772,$O330)))&gt;0),
Error!$B$57,
IF(AND(_xlpm.hasDM,$F330="Remove",$H330&lt;&gt;"",OR($I330="On-site replacement",$I330="Off-site replacement",$I330="Payment In Lieu")),
Error!$B$56,
IF(AND(_xlpm.hasDM,$F330="Remove",$H330&lt;&gt;"",$I330="Relocation"),
Error!$B$66,
IF(AND(OR(_xlpm.hasCN,_xlpm.hasPH,_xlpm.hasGR),$H330&lt;&gt;"",COUNTIF(Tables!$B$132:$B$134,$H330)&gt;0,$I330="N/A (No replacement required)"),
Error!$B$62,
IF(AND(_xlpm.baseRow,$E330&lt;&gt;"",ISNA(MATCH($E330,Tables!$B$225:$B$232,0))),
Error!$B$2,
IF(AND(_xlpm.baseRow,$F330&lt;&gt;"",ISNA(MATCH($F330,Tables!$B$234:$B$235,0))),
Error!$B$24,
IF(AND(_xlpm.baseRow,_xlpm.ECA_H&gt;0,_xlpm.Shore_H&gt;0),
Error!$B$16,
IF(AND(_xlpm.baseRow,$E330&lt;&gt;"",$D330=""),
Error!$B$3,
IF(AND(_xlpm.baseRow,OR($E330="Tier 3",$E330="Tier 4"),$C330&lt;&gt;"",$D330&gt;=24,COUNTIF(Tables2!$B$166:$B$674,$C330)&gt;0),
Error!$B$44,
IF(AND(_xlpm.baseRow,OR($E330="Tier 3",$E330="Tier 4"),$C330&lt;&gt;"",$D330&lt;&gt;"",COUNTIF(Tables2!$B$73:$B$152,$C330)&gt;0,
$D330&gt;=IFERROR(INDEX(Tables2!$C$73:$C$152,MATCH($C330,Tables2!$B$73:$B$152,0)),-1)),
Error!$B$44,
IF(AND(_xlpm.baseRow,OR($E330="Tier 2",$E330="Tier 2 Grove"),$C330&lt;&gt;"",$D330&gt;=12,COUNTIF(Tables2!$B$153:$B$162,$C330)&gt;0),
Error!$B$45,
IF(AND(_xlpm.baseRow,$E330="Tier 2 Grove",$D330&lt;12),
Error!$B$41,
IF(AND(_xlpm.baseRow,$E330="Tier 2",$D330&lt;5.88),
Error!$B$40,
IF(AND(_xlpm.baseRow,OR($E330="Tier 2",$E330="Tier 2 Grove"),$C330&lt;&gt;"",$D330&lt;12,$D330&gt;=6,COUNTIF(Tables2!$B$153:$B$162,$C330)&gt;0),
Error!$B$54,
IF(AND(_xlpm.baseRow,$E330="Tier 2",COUNTIF(Tables2!$B$166:$B$674,$C330)&gt;0,$D330&lt;24),
Error!$B$54,
IF(AND(_xlpm.baseRow,$E330="Tier 3",ISNA(MATCH($C330,Tables2!$B$153:$B$162,0)),OR($D330&lt;12,$D330&gt;=24)),
Error!$B$9,
IF(AND(_xlpm.baseRow,$E330="Tier 3",COUNTIF(Tables2!$B$153:$B$162,$C330)&gt;0,$D330&lt;12),
Error!$B$46,
IF(AND(_xlpm.baseRow,$E330="Tier 4",OR($D330&lt;6,$D330&gt;=12)),
Error!$B$10,
IF(AND(_xlpm.baseRow,$E330="&lt;6in DSH for Tree Points",OR($D330&gt;=6,$D330="")),
Error!$B$8,
IF(AND(_xlpm.baseRow,$E330="Street Tree for Green Factor",$F330&lt;&gt;"",$F330&lt;&gt;"Retain"),
Error!$B$14,
IF(AND($E330="&lt;6in DSH for Tree Points",$F330="Retain",$H330&lt;&gt;"",ISNA(MATCH($H330,Tables!$B$174:$B$174,0))),
Error!$B$15,
IF(AND($E330="Street Tree for Green Factor",$F330="Retain",$H330&lt;&gt;"",$H330&lt;&gt;"Zoning: Green Factor"),
Error!$B$15,
IF(AND($E330="ECA / Shoreline Tree",$F330="Remove",$H330&lt;&gt;"",ISNA(MATCH($H330,Tables!$B$189:$B$190,0))),
Error!$B$15,
IF(AND($E330="ECA / Shoreline Tree",$F330="Retain",$H330&lt;&gt;"",ISNA(MATCH($H330,Tables!$B$184:$B$186,0))),
Error!$B$15,
IF(AND($E330="Tier 4",$F330="Remove",$H330&lt;&gt;"",ISNA(MATCH($H330,Tables!$B$171,0))),
Error!$B$15,
IF(AND($E330="Tier 4",$F330="Retain",$H330&lt;&gt;"",ISNA(MATCH($H330,Tables!$B$166:$B$168,0))),
Error!$B$15,
IF(AND($E330="Tier 3",$F330="Retain",$H330&lt;&gt;"",ISNA(MATCH($H330,Tables!$B$158:$B$160,0))),
Error!$B$15,
IF(AND($E330="Tier 3",$F330="Remove",$H330&lt;&gt;"",ISNA(MATCH($H330,Tables!$B$163,0))),
Error!$B$15,
IF(AND(OR($E330="Tier 2",$E330="Tier 2 Grove"),$F330="Remove",$H330&lt;&gt;"",ISNA(MATCH($H330,Tables!$B$153:$B$155,0))),
Error!$B$15,
IF(AND(OR($E330="Tier 2",$E330="Tier 2 Grove"),$F330="Retain",$H330&lt;&gt;"",ISNA(MATCH($H330,Tables!$B$147:$B$150,0))),
Error!$B$15,
IF(AND($E330="Tier 1",$F330="Remove",$H330&lt;&gt;"",ISNA(MATCH($H330,Tables!$B$143:$B$144,0))),
Error!$B$15,
IF(AND($E330="Tier 1",$F330="Retain",$H330&lt;&gt;"",ISNA(MATCH($H330,Tables!$B$137:$B$140,0))),
Error!$B$15,
IF(AND($E330&lt;&gt;"Tier 2",$E330&lt;&gt;"Tier 2 Grove",$E330&lt;&gt;"Tier 3",$E330&lt;&gt;"Tier 4",$H330="Zoning: Green Factor",OR($D330="",$D330&lt;6)),
Error!$B$11,
IF(AND(_xlpm.baseRow,$D330&lt;6,$E330="&lt;6in DSH for Tree Points",_xlpm.TreePoints_H=0),
Error!$B$21,
IF(AND(_xlpm.baseRow,$E330&lt;&gt;"",$D330&lt;&gt;"",$F330=""),
Error!$B$4,
IF(AND(_xlpm.baseRow,$F330="Remove",OR($E330="Tier 1",$E330="Tier 2",$E330="Tier 2 Grove"),COUNTBLANK(_xlpm.HRange)&lt;3,_xlpm.uniqueH&gt;=2),
Error!$B$48,
IF(AND(_xlpm.baseRow,$F330="Retain",OR($E330="Tier 1",$E330="Tier 2",$E330="Tier 2 Grove"),COUNTIF(_xlpm.HRange,"Tree Code: Required to Retain Tier 1-2 Tree")=0),
Error!$B$47,
IF(AND(_xlpm.baseRow,$E330&lt;&gt;"",$D330&lt;&gt;"",$F330&lt;&gt;"",COUNTBLANK(_xlpm.HRange)=4),
Error!$B$5,
IF(AND($F330="Remove",$H330&lt;&gt;"",$I330=""),
Error!$B$18,
IF(AND($E330="Tier 4",$F330="Remove",$H330="Tree Protection Code: Tier 3 or Tier 4 Allowance",$H330&lt;&gt;"",ISNA(MATCH($I330,Tables!$B$200,0))),
Error!$B$17,
IF(AND($E330="Tier 3",$F330="Remove",$H330&lt;&gt;"",$H330="Tree Protection Code: Tier 3 or Tier 4 Allowance",OR($I330="",ISNA(MATCH($I330,Tables!$B$193:$B$197,0)))),
Error!$B$17,
IF(AND(OR($E330="Tier 2",$E330="Tier 2 Grove"),$F330="Remove",$H330="Tree Protection Code: Other removal allowance or exemption",$I330&lt;&gt;"",ISNA(MATCH($I330,Tables!$B$215:$B$218,0))),
Error!$B$17,
IF(AND(OR($E330="Tier 2",$E330="Tier 2 Grove"),$F330="Remove",$H330="Tree Protection Code: Development Capacity",$I330&lt;&gt;"",ISNA(MATCH($I330,Tables!$B$193:$B$197,0))),
Error!$B$17,
IF(AND(OR($E330="Tier 2",$E330="Tier 2 Grove"),$F330="Remove",$H330="Tree Protection Code: Necessary for Construction",$I330&lt;&gt;"",ISNA(MATCH($I330,Tables!$B$193:$B$197,0))),
Error!$B$17,
IF(AND($E330="Tier 1",$F330="Remove",$H330="Tree Protection Code: Special Exception",$I330&lt;&gt;"",ISNA(MATCH($I330,Tables!$B$215:$B$218,0))),
Error!$B$17,
IF(AND($E330="Tier 1",$F330="Remove",$H330="Tree Protection Code: Other removal allowance or exemption",$I330&lt;&gt;"",ISNA(MATCH($I330,Tables!$B$215:$B$218,0))),
Error!$B$17,
IF(AND($E330="ECA / Shoreline Tree",$F330="Remove",$H330&lt;&gt;"",OR($H330="Shoreline",$H330="Environmental Critical Area (ECA)"),ISNA(MATCH($I330,Tables!$B$209:$B$212,0))),
Error!$B$17,
IF(AND(_xlpm.baseRow,$F330="Retain",$E330="ECA / Shoreline Tree",_xlpm.ECA_Short=0),
Error!$B$61,
IF(AND($F330="Remove",ISNUMBER(MATCH($E330,{"Tier 1","Tier 2","Tier 3","Tier 4","Tier 2 Grove"},0)),ISNUMBER(MATCH($I330,{"On-site replacement","Off-site replacement"},0)),$J330="",$H330&lt;&gt;""),
Error!$B$19,
IF(AND(_xlpm.baseRow,$E330&lt;&gt;"",$D330&lt;&gt;"",$F330&lt;&gt;"",COUNTBLANK($B330:$C330)&gt;0,COUNTBLANK(_xlpm.HRange)&lt;&gt;4),
Error!$B$22,
IF(AND($H330="Zoning: Tree Points",$K330&lt;&gt;"",ISNA(MATCH($K330,Tables!$B$242:$B$253,0))),
Error!$B$58,
IF(AND($H330="Zoning: Tree Points",$K330="Small",$L330&lt;&gt;"",ISNA(MATCH($L330,Tables!$C$243:$C$244,0))),
Error!$B$59,
IF(AND($H330="Zoning: Tree Points",$K330="Small/Medium",$L330&lt;&gt;"",ISNA(MATCH($L330,Tables!$C$246:$C$247,0))),
Error!$B$59,
IF(AND($H330="Zoning: Tree Points",$K330="Medium/Large",$L330&lt;&gt;"",ISNA(MATCH($L330,Tables!$C$249:$C$250,0))),
Error!$B$59,
IF(AND($H330="Zoning: Tree Points",$K330="Large",$L330&lt;&gt;"",ISNA(MATCH($L330,Tables!$C$252:$C$253,0))),
Error!$B$59,
IF(AND($F330="Retain",$H330="Zoning: Tree Points",$C330&lt;&gt;"",$D330&lt;&gt;"",OR($K330="",$L330="",$M330="")),
Error!$B$20,
""
)))))))))))))))))))))))))))))))))))))))))))))))))))))))),
Error!$B$23))</f>
        <v/>
      </c>
      <c r="O330" s="343" t="str" cm="1">
        <f t="array" aca="1" ref="O330" ca="1">IFERROR(_xlfn.LET(
    _xlpm.txt, $C330,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31" spans="1:15" ht="15" thickBot="1" x14ac:dyDescent="0.35">
      <c r="A331" s="311">
        <v>81</v>
      </c>
      <c r="B331" s="312"/>
      <c r="C331" s="313"/>
      <c r="D331" s="478"/>
      <c r="E331" s="314"/>
      <c r="F331" s="314"/>
      <c r="G331" s="315" t="str">
        <f>IF(Tree_Table1[[#This Row],[Tree Status  &amp;]]="Retain", Tables!$B$237, IF(Tree_Table1[[#This Row],[Tree Status  &amp;]]="Remove", Tables!$B$238, ""))</f>
        <v/>
      </c>
      <c r="H331" s="316"/>
      <c r="I331" s="317"/>
      <c r="J331" s="452"/>
      <c r="K331" s="318" t="str">
        <f>IFERROR(
    IF(
        AND($H331="Zoning: Tree Points", NOT(ISNUMBER(SEARCH("sp.", $C331)))),
        VLOOKUP($C331, 'Tree List'!$C$3:$F$601, 4, FALSE),
        ""
    ),
"")</f>
        <v/>
      </c>
      <c r="L331" s="319" t="str" cm="1">
        <f t="array" ref="L331">IFERROR(
IF(
    AND($H331="Zoning: Tree Points", NOT(ISNUMBER(SEARCH("sp.", $C331)))),
    _xlfn.IFS(
        (COUNTIFS('Tree List'!$C$3:$C$601,$C331,'Tree List'!$D$3:$D$601,"Coniferous")
        + COUNTIFS('Tree List'!$C$3:$C$601,$C331,'Tree List'!$D$3:$D$601,"Deciduous Conifer")) &gt; 0,
            _xlfn.IFS($K331="Small",0.5,$K331="Small/Medium",1,$K331="Medium/Large",1.4,$K331="Large",1.8),
        (COUNTIFS('Tree List'!$C$3:$C$601,$C331,'Tree List'!$D$3:$D$601,"Deciduous")
        + COUNTIFS('Tree List'!$C$3:$C$601,$C331,'Tree List'!$D$3:$D$601,"Broadleaf Evergreen")) &gt; 0,
            _xlfn.IFS($K331="Small",0.4,$K331="Small/Medium",0.8,$K331="Medium/Large",1.2,$K331="Large",1.6)
    ),
    ""
),
"")</f>
        <v/>
      </c>
      <c r="M331" s="474" t="str">
        <f t="shared" si="330"/>
        <v/>
      </c>
      <c r="N331" s="620" t="str" cm="1">
        <f t="array" aca="1" ref="N33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IF(AND(_xlpm.baseRow,ISNA(MATCH($C331,'Tree List'!$C$3:$C$601,0)),SUMPRODUCT(--ISNUMBER(SEARCH(Tables2!$C$677:$C$772,$O331)))&gt;0),
Error!$B$57,
IF(AND(_xlpm.hasDM,$F331="Remove",$H331&lt;&gt;"",OR($I331="On-site replacement",$I331="Off-site replacement",$I331="Payment In Lieu")),
Error!$B$56,
IF(AND(_xlpm.hasDM,$F331="Remove",$H331&lt;&gt;"",$I331="Relocation"),
Error!$B$66,
IF(AND(OR(_xlpm.hasCN,_xlpm.hasPH,_xlpm.hasGR),$H331&lt;&gt;"",COUNTIF(Tables!$B$132:$B$134,$H331)&gt;0,$I331="N/A (No replacement required)"),
Error!$B$62,
IF(AND(_xlpm.baseRow,$E331&lt;&gt;"",ISNA(MATCH($E331,Tables!$B$225:$B$232,0))),
Error!$B$2,
IF(AND(_xlpm.baseRow,$F331&lt;&gt;"",ISNA(MATCH($F331,Tables!$B$234:$B$235,0))),
Error!$B$24,
IF(AND(_xlpm.baseRow,_xlpm.ECA_H&gt;0,_xlpm.Shore_H&gt;0),
Error!$B$16,
IF(AND(_xlpm.baseRow,$E331&lt;&gt;"",$D331=""),
Error!$B$3,
IF(AND(_xlpm.baseRow,OR($E331="Tier 3",$E331="Tier 4"),$C331&lt;&gt;"",$D331&gt;=24,COUNTIF(Tables2!$B$166:$B$674,$C331)&gt;0),
Error!$B$44,
IF(AND(_xlpm.baseRow,OR($E331="Tier 3",$E331="Tier 4"),$C331&lt;&gt;"",$D331&lt;&gt;"",COUNTIF(Tables2!$B$73:$B$152,$C331)&gt;0,
$D331&gt;=IFERROR(INDEX(Tables2!$C$73:$C$152,MATCH($C331,Tables2!$B$73:$B$152,0)),-1)),
Error!$B$44,
IF(AND(_xlpm.baseRow,OR($E331="Tier 2",$E331="Tier 2 Grove"),$C331&lt;&gt;"",$D331&gt;=12,COUNTIF(Tables2!$B$153:$B$162,$C331)&gt;0),
Error!$B$45,
IF(AND(_xlpm.baseRow,$E331="Tier 2 Grove",$D331&lt;12),
Error!$B$41,
IF(AND(_xlpm.baseRow,$E331="Tier 2",$D331&lt;5.88),
Error!$B$40,
IF(AND(_xlpm.baseRow,OR($E331="Tier 2",$E331="Tier 2 Grove"),$C331&lt;&gt;"",$D331&lt;12,$D331&gt;=6,COUNTIF(Tables2!$B$153:$B$162,$C331)&gt;0),
Error!$B$54,
IF(AND(_xlpm.baseRow,$E331="Tier 2",COUNTIF(Tables2!$B$166:$B$674,$C331)&gt;0,$D331&lt;24),
Error!$B$54,
IF(AND(_xlpm.baseRow,$E331="Tier 3",ISNA(MATCH($C331,Tables2!$B$153:$B$162,0)),OR($D331&lt;12,$D331&gt;=24)),
Error!$B$9,
IF(AND(_xlpm.baseRow,$E331="Tier 3",COUNTIF(Tables2!$B$153:$B$162,$C331)&gt;0,$D331&lt;12),
Error!$B$46,
IF(AND(_xlpm.baseRow,$E331="Tier 4",OR($D331&lt;6,$D331&gt;=12)),
Error!$B$10,
IF(AND(_xlpm.baseRow,$E331="&lt;6in DSH for Tree Points",OR($D331&gt;=6,$D331="")),
Error!$B$8,
IF(AND(_xlpm.baseRow,$E331="Street Tree for Green Factor",$F331&lt;&gt;"",$F331&lt;&gt;"Retain"),
Error!$B$14,
IF(AND($E331="&lt;6in DSH for Tree Points",$F331="Retain",$H331&lt;&gt;"",ISNA(MATCH($H331,Tables!$B$174:$B$174,0))),
Error!$B$15,
IF(AND($E331="Street Tree for Green Factor",$F331="Retain",$H331&lt;&gt;"",$H331&lt;&gt;"Zoning: Green Factor"),
Error!$B$15,
IF(AND($E331="ECA / Shoreline Tree",$F331="Remove",$H331&lt;&gt;"",ISNA(MATCH($H331,Tables!$B$189:$B$190,0))),
Error!$B$15,
IF(AND($E331="ECA / Shoreline Tree",$F331="Retain",$H331&lt;&gt;"",ISNA(MATCH($H331,Tables!$B$184:$B$186,0))),
Error!$B$15,
IF(AND($E331="Tier 4",$F331="Remove",$H331&lt;&gt;"",ISNA(MATCH($H331,Tables!$B$171,0))),
Error!$B$15,
IF(AND($E331="Tier 4",$F331="Retain",$H331&lt;&gt;"",ISNA(MATCH($H331,Tables!$B$166:$B$168,0))),
Error!$B$15,
IF(AND($E331="Tier 3",$F331="Retain",$H331&lt;&gt;"",ISNA(MATCH($H331,Tables!$B$158:$B$160,0))),
Error!$B$15,
IF(AND($E331="Tier 3",$F331="Remove",$H331&lt;&gt;"",ISNA(MATCH($H331,Tables!$B$163,0))),
Error!$B$15,
IF(AND(OR($E331="Tier 2",$E331="Tier 2 Grove"),$F331="Remove",$H331&lt;&gt;"",ISNA(MATCH($H331,Tables!$B$153:$B$155,0))),
Error!$B$15,
IF(AND(OR($E331="Tier 2",$E331="Tier 2 Grove"),$F331="Retain",$H331&lt;&gt;"",ISNA(MATCH($H331,Tables!$B$147:$B$150,0))),
Error!$B$15,
IF(AND($E331="Tier 1",$F331="Remove",$H331&lt;&gt;"",ISNA(MATCH($H331,Tables!$B$143:$B$144,0))),
Error!$B$15,
IF(AND($E331="Tier 1",$F331="Retain",$H331&lt;&gt;"",ISNA(MATCH($H331,Tables!$B$137:$B$140,0))),
Error!$B$15,
IF(AND($E331&lt;&gt;"Tier 2",$E331&lt;&gt;"Tier 2 Grove",$E331&lt;&gt;"Tier 3",$E331&lt;&gt;"Tier 4",$H331="Zoning: Green Factor",OR($D331="",$D331&lt;6)),
Error!$B$11,
IF(AND(_xlpm.baseRow,$D331&lt;6,$E331="&lt;6in DSH for Tree Points",_xlpm.TreePoints_H=0),
Error!$B$21,
IF(AND(_xlpm.baseRow,$E331&lt;&gt;"",$D331&lt;&gt;"",$F331=""),
Error!$B$4,
IF(AND(_xlpm.baseRow,$F331="Remove",OR($E331="Tier 1",$E331="Tier 2",$E331="Tier 2 Grove"),COUNTBLANK(_xlpm.HRange)&lt;3,_xlpm.uniqueH&gt;=2),
Error!$B$48,
IF(AND(_xlpm.baseRow,$F331="Retain",OR($E331="Tier 1",$E331="Tier 2",$E331="Tier 2 Grove"),COUNTIF(_xlpm.HRange,"Tree Code: Required to Retain Tier 1-2 Tree")=0),
Error!$B$47,
IF(AND(_xlpm.baseRow,$E331&lt;&gt;"",$D331&lt;&gt;"",$F331&lt;&gt;"",COUNTBLANK(_xlpm.HRange)=4),
Error!$B$5,
IF(AND($F331="Remove",$H331&lt;&gt;"",$I331=""),
Error!$B$18,
IF(AND($E331="Tier 4",$F331="Remove",$H331="Tree Protection Code: Tier 3 or Tier 4 Allowance",$H331&lt;&gt;"",ISNA(MATCH($I331,Tables!$B$200,0))),
Error!$B$17,
IF(AND($E331="Tier 3",$F331="Remove",$H331&lt;&gt;"",$H331="Tree Protection Code: Tier 3 or Tier 4 Allowance",OR($I331="",ISNA(MATCH($I331,Tables!$B$193:$B$197,0)))),
Error!$B$17,
IF(AND(OR($E331="Tier 2",$E331="Tier 2 Grove"),$F331="Remove",$H331="Tree Protection Code: Other removal allowance or exemption",$I331&lt;&gt;"",ISNA(MATCH($I331,Tables!$B$215:$B$218,0))),
Error!$B$17,
IF(AND(OR($E331="Tier 2",$E331="Tier 2 Grove"),$F331="Remove",$H331="Tree Protection Code: Development Capacity",$I331&lt;&gt;"",ISNA(MATCH($I331,Tables!$B$193:$B$197,0))),
Error!$B$17,
IF(AND(OR($E331="Tier 2",$E331="Tier 2 Grove"),$F331="Remove",$H331="Tree Protection Code: Necessary for Construction",$I331&lt;&gt;"",ISNA(MATCH($I331,Tables!$B$193:$B$197,0))),
Error!$B$17,
IF(AND($E331="Tier 1",$F331="Remove",$H331="Tree Protection Code: Special Exception",$I331&lt;&gt;"",ISNA(MATCH($I331,Tables!$B$215:$B$218,0))),
Error!$B$17,
IF(AND($E331="Tier 1",$F331="Remove",$H331="Tree Protection Code: Other removal allowance or exemption",$I331&lt;&gt;"",ISNA(MATCH($I331,Tables!$B$215:$B$218,0))),
Error!$B$17,
IF(AND($E331="ECA / Shoreline Tree",$F331="Remove",$H331&lt;&gt;"",OR($H331="Shoreline",$H331="Environmental Critical Area (ECA)"),ISNA(MATCH($I331,Tables!$B$209:$B$212,0))),
Error!$B$17,
IF(AND(_xlpm.baseRow,$F331="Retain",$E331="ECA / Shoreline Tree",_xlpm.ECA_Short=0),
Error!$B$61,
IF(AND($F331="Remove",ISNUMBER(MATCH($E331,{"Tier 1","Tier 2","Tier 3","Tier 4","Tier 2 Grove"},0)),ISNUMBER(MATCH($I331,{"On-site replacement","Off-site replacement"},0)),$J331="",$H331&lt;&gt;""),
Error!$B$19,
IF(AND(_xlpm.baseRow,$E331&lt;&gt;"",$D331&lt;&gt;"",$F331&lt;&gt;"",COUNTBLANK($B331:$C331)&gt;0,COUNTBLANK(_xlpm.HRange)&lt;&gt;4),
Error!$B$22,
IF(AND($H331="Zoning: Tree Points",$K331&lt;&gt;"",ISNA(MATCH($K331,Tables!$B$242:$B$253,0))),
Error!$B$58,
IF(AND($H331="Zoning: Tree Points",$K331="Small",$L331&lt;&gt;"",ISNA(MATCH($L331,Tables!$C$243:$C$244,0))),
Error!$B$59,
IF(AND($H331="Zoning: Tree Points",$K331="Small/Medium",$L331&lt;&gt;"",ISNA(MATCH($L331,Tables!$C$246:$C$247,0))),
Error!$B$59,
IF(AND($H331="Zoning: Tree Points",$K331="Medium/Large",$L331&lt;&gt;"",ISNA(MATCH($L331,Tables!$C$249:$C$250,0))),
Error!$B$59,
IF(AND($H331="Zoning: Tree Points",$K331="Large",$L331&lt;&gt;"",ISNA(MATCH($L331,Tables!$C$252:$C$253,0))),
Error!$B$59,
IF(AND($F331="Retain",$H331="Zoning: Tree Points",$C331&lt;&gt;"",$D331&lt;&gt;"",OR($K331="",$L331="",$M331="")),
Error!$B$20,
""
)))))))))))))))))))))))))))))))))))))))))))))))))))))))),
Error!$B$23))</f>
        <v/>
      </c>
      <c r="O331" s="343" t="str" cm="1">
        <f t="array" aca="1" ref="O331" ca="1">IFERROR(_xlfn.LET(
    _xlpm.txt, $C331,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32" spans="1:15" x14ac:dyDescent="0.3">
      <c r="A332" s="320"/>
      <c r="B332" s="616" t="str">
        <f t="shared" ref="B332:B334" si="361">IF($B331="", "", $B331)</f>
        <v/>
      </c>
      <c r="C332" s="617" t="str">
        <f t="shared" ref="C332:C334" si="362">IF($C331="", "", $C331)</f>
        <v/>
      </c>
      <c r="D332" s="618" t="str">
        <f t="shared" ref="D332:D334" si="363">IF($D331="", "", $D331)</f>
        <v/>
      </c>
      <c r="E332" s="616" t="str">
        <f t="shared" ref="E332:E334" si="364">IF($E331="", "", $E331)</f>
        <v/>
      </c>
      <c r="F332" s="616" t="str">
        <f t="shared" ref="F332:F334" si="365">IF($F331="", "", $F331)</f>
        <v/>
      </c>
      <c r="G332" s="619" t="str">
        <f>IF(Tree_Table1[[#This Row],[Tree Status  &amp;]]="Retain", Tables!$B$237, IF(Tree_Table1[[#This Row],[Tree Status  &amp;]]="Remove", Tables!$B$238, ""))</f>
        <v/>
      </c>
      <c r="H332" s="321"/>
      <c r="I332" s="322"/>
      <c r="J332" s="453"/>
      <c r="K332" s="323" t="str">
        <f>IFERROR(
    IF(
        AND($H332="Zoning: Tree Points", NOT(ISNUMBER(SEARCH("sp.", $C332)))),
        VLOOKUP($C332, 'Tree List'!$C$3:$F$601, 4, FALSE),
        ""
    ),
"")</f>
        <v/>
      </c>
      <c r="L332" s="324" t="str" cm="1">
        <f t="array" ref="L332">IFERROR(
IF(
    AND($H332="Zoning: Tree Points", NOT(ISNUMBER(SEARCH("sp.", $C332)))),
    _xlfn.IFS(
        (COUNTIFS('Tree List'!$C$3:$C$601,$C332,'Tree List'!$D$3:$D$601,"Coniferous")
        + COUNTIFS('Tree List'!$C$3:$C$601,$C332,'Tree List'!$D$3:$D$601,"Deciduous Conifer")) &gt; 0,
            _xlfn.IFS($K332="Small",0.5,$K332="Small/Medium",1,$K332="Medium/Large",1.4,$K332="Large",1.8),
        (COUNTIFS('Tree List'!$C$3:$C$601,$C332,'Tree List'!$D$3:$D$601,"Deciduous")
        + COUNTIFS('Tree List'!$C$3:$C$601,$C332,'Tree List'!$D$3:$D$601,"Broadleaf Evergreen")) &gt; 0,
            _xlfn.IFS($K332="Small",0.4,$K332="Small/Medium",0.8,$K332="Medium/Large",1.2,$K332="Large",1.6)
    ),
    ""
),
"")</f>
        <v/>
      </c>
      <c r="M332" s="475" t="str">
        <f t="shared" si="330"/>
        <v/>
      </c>
      <c r="N332" s="346" t="str" cm="1">
        <f t="array" aca="1" ref="N33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IF(AND(_xlpm.baseRow,ISNA(MATCH($C332,'Tree List'!$C$3:$C$601,0)),SUMPRODUCT(--ISNUMBER(SEARCH(Tables2!$C$677:$C$772,$O332)))&gt;0),
Error!$B$57,
IF(AND(_xlpm.hasDM,$F332="Remove",$H332&lt;&gt;"",OR($I332="On-site replacement",$I332="Off-site replacement",$I332="Payment In Lieu")),
Error!$B$56,
IF(AND(_xlpm.hasDM,$F332="Remove",$H332&lt;&gt;"",$I332="Relocation"),
Error!$B$66,
IF(AND(OR(_xlpm.hasCN,_xlpm.hasPH,_xlpm.hasGR),$H332&lt;&gt;"",COUNTIF(Tables!$B$132:$B$134,$H332)&gt;0,$I332="N/A (No replacement required)"),
Error!$B$62,
IF(AND(_xlpm.baseRow,$E332&lt;&gt;"",ISNA(MATCH($E332,Tables!$B$225:$B$232,0))),
Error!$B$2,
IF(AND(_xlpm.baseRow,$F332&lt;&gt;"",ISNA(MATCH($F332,Tables!$B$234:$B$235,0))),
Error!$B$24,
IF(AND(_xlpm.baseRow,_xlpm.ECA_H&gt;0,_xlpm.Shore_H&gt;0),
Error!$B$16,
IF(AND(_xlpm.baseRow,$E332&lt;&gt;"",$D332=""),
Error!$B$3,
IF(AND(_xlpm.baseRow,OR($E332="Tier 3",$E332="Tier 4"),$C332&lt;&gt;"",$D332&gt;=24,COUNTIF(Tables2!$B$166:$B$674,$C332)&gt;0),
Error!$B$44,
IF(AND(_xlpm.baseRow,OR($E332="Tier 3",$E332="Tier 4"),$C332&lt;&gt;"",$D332&lt;&gt;"",COUNTIF(Tables2!$B$73:$B$152,$C332)&gt;0,
$D332&gt;=IFERROR(INDEX(Tables2!$C$73:$C$152,MATCH($C332,Tables2!$B$73:$B$152,0)),-1)),
Error!$B$44,
IF(AND(_xlpm.baseRow,OR($E332="Tier 2",$E332="Tier 2 Grove"),$C332&lt;&gt;"",$D332&gt;=12,COUNTIF(Tables2!$B$153:$B$162,$C332)&gt;0),
Error!$B$45,
IF(AND(_xlpm.baseRow,$E332="Tier 2 Grove",$D332&lt;12),
Error!$B$41,
IF(AND(_xlpm.baseRow,$E332="Tier 2",$D332&lt;5.88),
Error!$B$40,
IF(AND(_xlpm.baseRow,OR($E332="Tier 2",$E332="Tier 2 Grove"),$C332&lt;&gt;"",$D332&lt;12,$D332&gt;=6,COUNTIF(Tables2!$B$153:$B$162,$C332)&gt;0),
Error!$B$54,
IF(AND(_xlpm.baseRow,$E332="Tier 2",COUNTIF(Tables2!$B$166:$B$674,$C332)&gt;0,$D332&lt;24),
Error!$B$54,
IF(AND(_xlpm.baseRow,$E332="Tier 3",ISNA(MATCH($C332,Tables2!$B$153:$B$162,0)),OR($D332&lt;12,$D332&gt;=24)),
Error!$B$9,
IF(AND(_xlpm.baseRow,$E332="Tier 3",COUNTIF(Tables2!$B$153:$B$162,$C332)&gt;0,$D332&lt;12),
Error!$B$46,
IF(AND(_xlpm.baseRow,$E332="Tier 4",OR($D332&lt;6,$D332&gt;=12)),
Error!$B$10,
IF(AND(_xlpm.baseRow,$E332="&lt;6in DSH for Tree Points",OR($D332&gt;=6,$D332="")),
Error!$B$8,
IF(AND(_xlpm.baseRow,$E332="Street Tree for Green Factor",$F332&lt;&gt;"",$F332&lt;&gt;"Retain"),
Error!$B$14,
IF(AND($E332="&lt;6in DSH for Tree Points",$F332="Retain",$H332&lt;&gt;"",ISNA(MATCH($H332,Tables!$B$174:$B$174,0))),
Error!$B$15,
IF(AND($E332="Street Tree for Green Factor",$F332="Retain",$H332&lt;&gt;"",$H332&lt;&gt;"Zoning: Green Factor"),
Error!$B$15,
IF(AND($E332="ECA / Shoreline Tree",$F332="Remove",$H332&lt;&gt;"",ISNA(MATCH($H332,Tables!$B$189:$B$190,0))),
Error!$B$15,
IF(AND($E332="ECA / Shoreline Tree",$F332="Retain",$H332&lt;&gt;"",ISNA(MATCH($H332,Tables!$B$184:$B$186,0))),
Error!$B$15,
IF(AND($E332="Tier 4",$F332="Remove",$H332&lt;&gt;"",ISNA(MATCH($H332,Tables!$B$171,0))),
Error!$B$15,
IF(AND($E332="Tier 4",$F332="Retain",$H332&lt;&gt;"",ISNA(MATCH($H332,Tables!$B$166:$B$168,0))),
Error!$B$15,
IF(AND($E332="Tier 3",$F332="Retain",$H332&lt;&gt;"",ISNA(MATCH($H332,Tables!$B$158:$B$160,0))),
Error!$B$15,
IF(AND($E332="Tier 3",$F332="Remove",$H332&lt;&gt;"",ISNA(MATCH($H332,Tables!$B$163,0))),
Error!$B$15,
IF(AND(OR($E332="Tier 2",$E332="Tier 2 Grove"),$F332="Remove",$H332&lt;&gt;"",ISNA(MATCH($H332,Tables!$B$153:$B$155,0))),
Error!$B$15,
IF(AND(OR($E332="Tier 2",$E332="Tier 2 Grove"),$F332="Retain",$H332&lt;&gt;"",ISNA(MATCH($H332,Tables!$B$147:$B$150,0))),
Error!$B$15,
IF(AND($E332="Tier 1",$F332="Remove",$H332&lt;&gt;"",ISNA(MATCH($H332,Tables!$B$143:$B$144,0))),
Error!$B$15,
IF(AND($E332="Tier 1",$F332="Retain",$H332&lt;&gt;"",ISNA(MATCH($H332,Tables!$B$137:$B$140,0))),
Error!$B$15,
IF(AND($E332&lt;&gt;"Tier 2",$E332&lt;&gt;"Tier 2 Grove",$E332&lt;&gt;"Tier 3",$E332&lt;&gt;"Tier 4",$H332="Zoning: Green Factor",OR($D332="",$D332&lt;6)),
Error!$B$11,
IF(AND(_xlpm.baseRow,$D332&lt;6,$E332="&lt;6in DSH for Tree Points",_xlpm.TreePoints_H=0),
Error!$B$21,
IF(AND(_xlpm.baseRow,$E332&lt;&gt;"",$D332&lt;&gt;"",$F332=""),
Error!$B$4,
IF(AND(_xlpm.baseRow,$F332="Remove",OR($E332="Tier 1",$E332="Tier 2",$E332="Tier 2 Grove"),COUNTBLANK(_xlpm.HRange)&lt;3,_xlpm.uniqueH&gt;=2),
Error!$B$48,
IF(AND(_xlpm.baseRow,$F332="Retain",OR($E332="Tier 1",$E332="Tier 2",$E332="Tier 2 Grove"),COUNTIF(_xlpm.HRange,"Tree Code: Required to Retain Tier 1-2 Tree")=0),
Error!$B$47,
IF(AND(_xlpm.baseRow,$E332&lt;&gt;"",$D332&lt;&gt;"",$F332&lt;&gt;"",COUNTBLANK(_xlpm.HRange)=4),
Error!$B$5,
IF(AND($F332="Remove",$H332&lt;&gt;"",$I332=""),
Error!$B$18,
IF(AND($E332="Tier 4",$F332="Remove",$H332="Tree Protection Code: Tier 3 or Tier 4 Allowance",$H332&lt;&gt;"",ISNA(MATCH($I332,Tables!$B$200,0))),
Error!$B$17,
IF(AND($E332="Tier 3",$F332="Remove",$H332&lt;&gt;"",$H332="Tree Protection Code: Tier 3 or Tier 4 Allowance",OR($I332="",ISNA(MATCH($I332,Tables!$B$193:$B$197,0)))),
Error!$B$17,
IF(AND(OR($E332="Tier 2",$E332="Tier 2 Grove"),$F332="Remove",$H332="Tree Protection Code: Other removal allowance or exemption",$I332&lt;&gt;"",ISNA(MATCH($I332,Tables!$B$215:$B$218,0))),
Error!$B$17,
IF(AND(OR($E332="Tier 2",$E332="Tier 2 Grove"),$F332="Remove",$H332="Tree Protection Code: Development Capacity",$I332&lt;&gt;"",ISNA(MATCH($I332,Tables!$B$193:$B$197,0))),
Error!$B$17,
IF(AND(OR($E332="Tier 2",$E332="Tier 2 Grove"),$F332="Remove",$H332="Tree Protection Code: Necessary for Construction",$I332&lt;&gt;"",ISNA(MATCH($I332,Tables!$B$193:$B$197,0))),
Error!$B$17,
IF(AND($E332="Tier 1",$F332="Remove",$H332="Tree Protection Code: Special Exception",$I332&lt;&gt;"",ISNA(MATCH($I332,Tables!$B$215:$B$218,0))),
Error!$B$17,
IF(AND($E332="Tier 1",$F332="Remove",$H332="Tree Protection Code: Other removal allowance or exemption",$I332&lt;&gt;"",ISNA(MATCH($I332,Tables!$B$215:$B$218,0))),
Error!$B$17,
IF(AND($E332="ECA / Shoreline Tree",$F332="Remove",$H332&lt;&gt;"",OR($H332="Shoreline",$H332="Environmental Critical Area (ECA)"),ISNA(MATCH($I332,Tables!$B$209:$B$212,0))),
Error!$B$17,
IF(AND(_xlpm.baseRow,$F332="Retain",$E332="ECA / Shoreline Tree",_xlpm.ECA_Short=0),
Error!$B$61,
IF(AND($F332="Remove",ISNUMBER(MATCH($E332,{"Tier 1","Tier 2","Tier 3","Tier 4","Tier 2 Grove"},0)),ISNUMBER(MATCH($I332,{"On-site replacement","Off-site replacement"},0)),$J332="",$H332&lt;&gt;""),
Error!$B$19,
IF(AND(_xlpm.baseRow,$E332&lt;&gt;"",$D332&lt;&gt;"",$F332&lt;&gt;"",COUNTBLANK($B332:$C332)&gt;0,COUNTBLANK(_xlpm.HRange)&lt;&gt;4),
Error!$B$22,
IF(AND($H332="Zoning: Tree Points",$K332&lt;&gt;"",ISNA(MATCH($K332,Tables!$B$242:$B$253,0))),
Error!$B$58,
IF(AND($H332="Zoning: Tree Points",$K332="Small",$L332&lt;&gt;"",ISNA(MATCH($L332,Tables!$C$243:$C$244,0))),
Error!$B$59,
IF(AND($H332="Zoning: Tree Points",$K332="Small/Medium",$L332&lt;&gt;"",ISNA(MATCH($L332,Tables!$C$246:$C$247,0))),
Error!$B$59,
IF(AND($H332="Zoning: Tree Points",$K332="Medium/Large",$L332&lt;&gt;"",ISNA(MATCH($L332,Tables!$C$249:$C$250,0))),
Error!$B$59,
IF(AND($H332="Zoning: Tree Points",$K332="Large",$L332&lt;&gt;"",ISNA(MATCH($L332,Tables!$C$252:$C$253,0))),
Error!$B$59,
IF(AND($F332="Retain",$H332="Zoning: Tree Points",$C332&lt;&gt;"",$D332&lt;&gt;"",OR($K332="",$L332="",$M332="")),
Error!$B$20,
""
)))))))))))))))))))))))))))))))))))))))))))))))))))))))),
Error!$B$23))</f>
        <v/>
      </c>
      <c r="O332" s="343" t="str" cm="1">
        <f t="array" aca="1" ref="O332" ca="1">IFERROR(_xlfn.LET(
    _xlpm.txt, $C332,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33" spans="1:15" x14ac:dyDescent="0.3">
      <c r="A333" s="320"/>
      <c r="B333" s="616" t="str">
        <f t="shared" si="361"/>
        <v/>
      </c>
      <c r="C333" s="617" t="str">
        <f t="shared" si="362"/>
        <v/>
      </c>
      <c r="D333" s="618" t="str">
        <f t="shared" si="363"/>
        <v/>
      </c>
      <c r="E333" s="616" t="str">
        <f t="shared" si="364"/>
        <v/>
      </c>
      <c r="F333" s="616" t="str">
        <f t="shared" si="365"/>
        <v/>
      </c>
      <c r="G333" s="619" t="str">
        <f>IF(Tree_Table1[[#This Row],[Tree Status  &amp;]]="Retain", Tables!$B$237, IF(Tree_Table1[[#This Row],[Tree Status  &amp;]]="Remove", Tables!$B$238, ""))</f>
        <v/>
      </c>
      <c r="H333" s="321"/>
      <c r="I333" s="322"/>
      <c r="J333" s="453"/>
      <c r="K333" s="323" t="str">
        <f>IFERROR(
    IF(
        AND($H333="Zoning: Tree Points", NOT(ISNUMBER(SEARCH("sp.", $C333)))),
        VLOOKUP($C333, 'Tree List'!$C$3:$F$601, 4, FALSE),
        ""
    ),
"")</f>
        <v/>
      </c>
      <c r="L333" s="324" t="str" cm="1">
        <f t="array" ref="L333">IFERROR(
IF(
    AND($H333="Zoning: Tree Points", NOT(ISNUMBER(SEARCH("sp.", $C333)))),
    _xlfn.IFS(
        (COUNTIFS('Tree List'!$C$3:$C$601,$C333,'Tree List'!$D$3:$D$601,"Coniferous")
        + COUNTIFS('Tree List'!$C$3:$C$601,$C333,'Tree List'!$D$3:$D$601,"Deciduous Conifer")) &gt; 0,
            _xlfn.IFS($K333="Small",0.5,$K333="Small/Medium",1,$K333="Medium/Large",1.4,$K333="Large",1.8),
        (COUNTIFS('Tree List'!$C$3:$C$601,$C333,'Tree List'!$D$3:$D$601,"Deciduous")
        + COUNTIFS('Tree List'!$C$3:$C$601,$C333,'Tree List'!$D$3:$D$601,"Broadleaf Evergreen")) &gt; 0,
            _xlfn.IFS($K333="Small",0.4,$K333="Small/Medium",0.8,$K333="Medium/Large",1.2,$K333="Large",1.6)
    ),
    ""
),
"")</f>
        <v/>
      </c>
      <c r="M333" s="475" t="str">
        <f t="shared" si="330"/>
        <v/>
      </c>
      <c r="N333" s="346" t="str" cm="1">
        <f t="array" aca="1" ref="N33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IF(AND(_xlpm.baseRow,ISNA(MATCH($C333,'Tree List'!$C$3:$C$601,0)),SUMPRODUCT(--ISNUMBER(SEARCH(Tables2!$C$677:$C$772,$O333)))&gt;0),
Error!$B$57,
IF(AND(_xlpm.hasDM,$F333="Remove",$H333&lt;&gt;"",OR($I333="On-site replacement",$I333="Off-site replacement",$I333="Payment In Lieu")),
Error!$B$56,
IF(AND(_xlpm.hasDM,$F333="Remove",$H333&lt;&gt;"",$I333="Relocation"),
Error!$B$66,
IF(AND(OR(_xlpm.hasCN,_xlpm.hasPH,_xlpm.hasGR),$H333&lt;&gt;"",COUNTIF(Tables!$B$132:$B$134,$H333)&gt;0,$I333="N/A (No replacement required)"),
Error!$B$62,
IF(AND(_xlpm.baseRow,$E333&lt;&gt;"",ISNA(MATCH($E333,Tables!$B$225:$B$232,0))),
Error!$B$2,
IF(AND(_xlpm.baseRow,$F333&lt;&gt;"",ISNA(MATCH($F333,Tables!$B$234:$B$235,0))),
Error!$B$24,
IF(AND(_xlpm.baseRow,_xlpm.ECA_H&gt;0,_xlpm.Shore_H&gt;0),
Error!$B$16,
IF(AND(_xlpm.baseRow,$E333&lt;&gt;"",$D333=""),
Error!$B$3,
IF(AND(_xlpm.baseRow,OR($E333="Tier 3",$E333="Tier 4"),$C333&lt;&gt;"",$D333&gt;=24,COUNTIF(Tables2!$B$166:$B$674,$C333)&gt;0),
Error!$B$44,
IF(AND(_xlpm.baseRow,OR($E333="Tier 3",$E333="Tier 4"),$C333&lt;&gt;"",$D333&lt;&gt;"",COUNTIF(Tables2!$B$73:$B$152,$C333)&gt;0,
$D333&gt;=IFERROR(INDEX(Tables2!$C$73:$C$152,MATCH($C333,Tables2!$B$73:$B$152,0)),-1)),
Error!$B$44,
IF(AND(_xlpm.baseRow,OR($E333="Tier 2",$E333="Tier 2 Grove"),$C333&lt;&gt;"",$D333&gt;=12,COUNTIF(Tables2!$B$153:$B$162,$C333)&gt;0),
Error!$B$45,
IF(AND(_xlpm.baseRow,$E333="Tier 2 Grove",$D333&lt;12),
Error!$B$41,
IF(AND(_xlpm.baseRow,$E333="Tier 2",$D333&lt;5.88),
Error!$B$40,
IF(AND(_xlpm.baseRow,OR($E333="Tier 2",$E333="Tier 2 Grove"),$C333&lt;&gt;"",$D333&lt;12,$D333&gt;=6,COUNTIF(Tables2!$B$153:$B$162,$C333)&gt;0),
Error!$B$54,
IF(AND(_xlpm.baseRow,$E333="Tier 2",COUNTIF(Tables2!$B$166:$B$674,$C333)&gt;0,$D333&lt;24),
Error!$B$54,
IF(AND(_xlpm.baseRow,$E333="Tier 3",ISNA(MATCH($C333,Tables2!$B$153:$B$162,0)),OR($D333&lt;12,$D333&gt;=24)),
Error!$B$9,
IF(AND(_xlpm.baseRow,$E333="Tier 3",COUNTIF(Tables2!$B$153:$B$162,$C333)&gt;0,$D333&lt;12),
Error!$B$46,
IF(AND(_xlpm.baseRow,$E333="Tier 4",OR($D333&lt;6,$D333&gt;=12)),
Error!$B$10,
IF(AND(_xlpm.baseRow,$E333="&lt;6in DSH for Tree Points",OR($D333&gt;=6,$D333="")),
Error!$B$8,
IF(AND(_xlpm.baseRow,$E333="Street Tree for Green Factor",$F333&lt;&gt;"",$F333&lt;&gt;"Retain"),
Error!$B$14,
IF(AND($E333="&lt;6in DSH for Tree Points",$F333="Retain",$H333&lt;&gt;"",ISNA(MATCH($H333,Tables!$B$174:$B$174,0))),
Error!$B$15,
IF(AND($E333="Street Tree for Green Factor",$F333="Retain",$H333&lt;&gt;"",$H333&lt;&gt;"Zoning: Green Factor"),
Error!$B$15,
IF(AND($E333="ECA / Shoreline Tree",$F333="Remove",$H333&lt;&gt;"",ISNA(MATCH($H333,Tables!$B$189:$B$190,0))),
Error!$B$15,
IF(AND($E333="ECA / Shoreline Tree",$F333="Retain",$H333&lt;&gt;"",ISNA(MATCH($H333,Tables!$B$184:$B$186,0))),
Error!$B$15,
IF(AND($E333="Tier 4",$F333="Remove",$H333&lt;&gt;"",ISNA(MATCH($H333,Tables!$B$171,0))),
Error!$B$15,
IF(AND($E333="Tier 4",$F333="Retain",$H333&lt;&gt;"",ISNA(MATCH($H333,Tables!$B$166:$B$168,0))),
Error!$B$15,
IF(AND($E333="Tier 3",$F333="Retain",$H333&lt;&gt;"",ISNA(MATCH($H333,Tables!$B$158:$B$160,0))),
Error!$B$15,
IF(AND($E333="Tier 3",$F333="Remove",$H333&lt;&gt;"",ISNA(MATCH($H333,Tables!$B$163,0))),
Error!$B$15,
IF(AND(OR($E333="Tier 2",$E333="Tier 2 Grove"),$F333="Remove",$H333&lt;&gt;"",ISNA(MATCH($H333,Tables!$B$153:$B$155,0))),
Error!$B$15,
IF(AND(OR($E333="Tier 2",$E333="Tier 2 Grove"),$F333="Retain",$H333&lt;&gt;"",ISNA(MATCH($H333,Tables!$B$147:$B$150,0))),
Error!$B$15,
IF(AND($E333="Tier 1",$F333="Remove",$H333&lt;&gt;"",ISNA(MATCH($H333,Tables!$B$143:$B$144,0))),
Error!$B$15,
IF(AND($E333="Tier 1",$F333="Retain",$H333&lt;&gt;"",ISNA(MATCH($H333,Tables!$B$137:$B$140,0))),
Error!$B$15,
IF(AND($E333&lt;&gt;"Tier 2",$E333&lt;&gt;"Tier 2 Grove",$E333&lt;&gt;"Tier 3",$E333&lt;&gt;"Tier 4",$H333="Zoning: Green Factor",OR($D333="",$D333&lt;6)),
Error!$B$11,
IF(AND(_xlpm.baseRow,$D333&lt;6,$E333="&lt;6in DSH for Tree Points",_xlpm.TreePoints_H=0),
Error!$B$21,
IF(AND(_xlpm.baseRow,$E333&lt;&gt;"",$D333&lt;&gt;"",$F333=""),
Error!$B$4,
IF(AND(_xlpm.baseRow,$F333="Remove",OR($E333="Tier 1",$E333="Tier 2",$E333="Tier 2 Grove"),COUNTBLANK(_xlpm.HRange)&lt;3,_xlpm.uniqueH&gt;=2),
Error!$B$48,
IF(AND(_xlpm.baseRow,$F333="Retain",OR($E333="Tier 1",$E333="Tier 2",$E333="Tier 2 Grove"),COUNTIF(_xlpm.HRange,"Tree Code: Required to Retain Tier 1-2 Tree")=0),
Error!$B$47,
IF(AND(_xlpm.baseRow,$E333&lt;&gt;"",$D333&lt;&gt;"",$F333&lt;&gt;"",COUNTBLANK(_xlpm.HRange)=4),
Error!$B$5,
IF(AND($F333="Remove",$H333&lt;&gt;"",$I333=""),
Error!$B$18,
IF(AND($E333="Tier 4",$F333="Remove",$H333="Tree Protection Code: Tier 3 or Tier 4 Allowance",$H333&lt;&gt;"",ISNA(MATCH($I333,Tables!$B$200,0))),
Error!$B$17,
IF(AND($E333="Tier 3",$F333="Remove",$H333&lt;&gt;"",$H333="Tree Protection Code: Tier 3 or Tier 4 Allowance",OR($I333="",ISNA(MATCH($I333,Tables!$B$193:$B$197,0)))),
Error!$B$17,
IF(AND(OR($E333="Tier 2",$E333="Tier 2 Grove"),$F333="Remove",$H333="Tree Protection Code: Other removal allowance or exemption",$I333&lt;&gt;"",ISNA(MATCH($I333,Tables!$B$215:$B$218,0))),
Error!$B$17,
IF(AND(OR($E333="Tier 2",$E333="Tier 2 Grove"),$F333="Remove",$H333="Tree Protection Code: Development Capacity",$I333&lt;&gt;"",ISNA(MATCH($I333,Tables!$B$193:$B$197,0))),
Error!$B$17,
IF(AND(OR($E333="Tier 2",$E333="Tier 2 Grove"),$F333="Remove",$H333="Tree Protection Code: Necessary for Construction",$I333&lt;&gt;"",ISNA(MATCH($I333,Tables!$B$193:$B$197,0))),
Error!$B$17,
IF(AND($E333="Tier 1",$F333="Remove",$H333="Tree Protection Code: Special Exception",$I333&lt;&gt;"",ISNA(MATCH($I333,Tables!$B$215:$B$218,0))),
Error!$B$17,
IF(AND($E333="Tier 1",$F333="Remove",$H333="Tree Protection Code: Other removal allowance or exemption",$I333&lt;&gt;"",ISNA(MATCH($I333,Tables!$B$215:$B$218,0))),
Error!$B$17,
IF(AND($E333="ECA / Shoreline Tree",$F333="Remove",$H333&lt;&gt;"",OR($H333="Shoreline",$H333="Environmental Critical Area (ECA)"),ISNA(MATCH($I333,Tables!$B$209:$B$212,0))),
Error!$B$17,
IF(AND(_xlpm.baseRow,$F333="Retain",$E333="ECA / Shoreline Tree",_xlpm.ECA_Short=0),
Error!$B$61,
IF(AND($F333="Remove",ISNUMBER(MATCH($E333,{"Tier 1","Tier 2","Tier 3","Tier 4","Tier 2 Grove"},0)),ISNUMBER(MATCH($I333,{"On-site replacement","Off-site replacement"},0)),$J333="",$H333&lt;&gt;""),
Error!$B$19,
IF(AND(_xlpm.baseRow,$E333&lt;&gt;"",$D333&lt;&gt;"",$F333&lt;&gt;"",COUNTBLANK($B333:$C333)&gt;0,COUNTBLANK(_xlpm.HRange)&lt;&gt;4),
Error!$B$22,
IF(AND($H333="Zoning: Tree Points",$K333&lt;&gt;"",ISNA(MATCH($K333,Tables!$B$242:$B$253,0))),
Error!$B$58,
IF(AND($H333="Zoning: Tree Points",$K333="Small",$L333&lt;&gt;"",ISNA(MATCH($L333,Tables!$C$243:$C$244,0))),
Error!$B$59,
IF(AND($H333="Zoning: Tree Points",$K333="Small/Medium",$L333&lt;&gt;"",ISNA(MATCH($L333,Tables!$C$246:$C$247,0))),
Error!$B$59,
IF(AND($H333="Zoning: Tree Points",$K333="Medium/Large",$L333&lt;&gt;"",ISNA(MATCH($L333,Tables!$C$249:$C$250,0))),
Error!$B$59,
IF(AND($H333="Zoning: Tree Points",$K333="Large",$L333&lt;&gt;"",ISNA(MATCH($L333,Tables!$C$252:$C$253,0))),
Error!$B$59,
IF(AND($F333="Retain",$H333="Zoning: Tree Points",$C333&lt;&gt;"",$D333&lt;&gt;"",OR($K333="",$L333="",$M333="")),
Error!$B$20,
""
)))))))))))))))))))))))))))))))))))))))))))))))))))))))),
Error!$B$23))</f>
        <v/>
      </c>
      <c r="O333" s="343" t="str" cm="1">
        <f t="array" aca="1" ref="O333" ca="1">IFERROR(_xlfn.LET(
    _xlpm.txt, $C333,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34" spans="1:15" ht="15" thickBot="1" x14ac:dyDescent="0.35">
      <c r="A334" s="331"/>
      <c r="B334" s="616" t="str">
        <f t="shared" si="361"/>
        <v/>
      </c>
      <c r="C334" s="617" t="str">
        <f t="shared" si="362"/>
        <v/>
      </c>
      <c r="D334" s="618" t="str">
        <f t="shared" si="363"/>
        <v/>
      </c>
      <c r="E334" s="616" t="str">
        <f t="shared" si="364"/>
        <v/>
      </c>
      <c r="F334" s="616" t="str">
        <f t="shared" si="365"/>
        <v/>
      </c>
      <c r="G334" s="619" t="str">
        <f>IF(Tree_Table1[[#This Row],[Tree Status  &amp;]]="Retain", Tables!$B$237, IF(Tree_Table1[[#This Row],[Tree Status  &amp;]]="Remove", Tables!$B$238, ""))</f>
        <v/>
      </c>
      <c r="H334" s="329"/>
      <c r="I334" s="330"/>
      <c r="J334" s="455"/>
      <c r="K334" s="327" t="str">
        <f>IFERROR(
    IF(
        AND($H334="Zoning: Tree Points", NOT(ISNUMBER(SEARCH("sp.", $C334)))),
        VLOOKUP($C334, 'Tree List'!$C$3:$F$601, 4, FALSE),
        ""
    ),
"")</f>
        <v/>
      </c>
      <c r="L334" s="328" t="str" cm="1">
        <f t="array" ref="L334">IFERROR(
IF(
    AND($H334="Zoning: Tree Points", NOT(ISNUMBER(SEARCH("sp.", $C334)))),
    _xlfn.IFS(
        (COUNTIFS('Tree List'!$C$3:$C$601,$C334,'Tree List'!$D$3:$D$601,"Coniferous")
        + COUNTIFS('Tree List'!$C$3:$C$601,$C334,'Tree List'!$D$3:$D$601,"Deciduous Conifer")) &gt; 0,
            _xlfn.IFS($K334="Small",0.5,$K334="Small/Medium",1,$K334="Medium/Large",1.4,$K334="Large",1.8),
        (COUNTIFS('Tree List'!$C$3:$C$601,$C334,'Tree List'!$D$3:$D$601,"Deciduous")
        + COUNTIFS('Tree List'!$C$3:$C$601,$C334,'Tree List'!$D$3:$D$601,"Broadleaf Evergreen")) &gt; 0,
            _xlfn.IFS($K334="Small",0.4,$K334="Small/Medium",0.8,$K334="Medium/Large",1.2,$K334="Large",1.6)
    ),
    ""
),
"")</f>
        <v/>
      </c>
      <c r="M334" s="476" t="str">
        <f t="shared" si="330"/>
        <v/>
      </c>
      <c r="N334" s="347" t="str" cm="1">
        <f t="array" aca="1" ref="N33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IF(AND(_xlpm.baseRow,ISNA(MATCH($C334,'Tree List'!$C$3:$C$601,0)),SUMPRODUCT(--ISNUMBER(SEARCH(Tables2!$C$677:$C$772,$O334)))&gt;0),
Error!$B$57,
IF(AND(_xlpm.hasDM,$F334="Remove",$H334&lt;&gt;"",OR($I334="On-site replacement",$I334="Off-site replacement",$I334="Payment In Lieu")),
Error!$B$56,
IF(AND(_xlpm.hasDM,$F334="Remove",$H334&lt;&gt;"",$I334="Relocation"),
Error!$B$66,
IF(AND(OR(_xlpm.hasCN,_xlpm.hasPH,_xlpm.hasGR),$H334&lt;&gt;"",COUNTIF(Tables!$B$132:$B$134,$H334)&gt;0,$I334="N/A (No replacement required)"),
Error!$B$62,
IF(AND(_xlpm.baseRow,$E334&lt;&gt;"",ISNA(MATCH($E334,Tables!$B$225:$B$232,0))),
Error!$B$2,
IF(AND(_xlpm.baseRow,$F334&lt;&gt;"",ISNA(MATCH($F334,Tables!$B$234:$B$235,0))),
Error!$B$24,
IF(AND(_xlpm.baseRow,_xlpm.ECA_H&gt;0,_xlpm.Shore_H&gt;0),
Error!$B$16,
IF(AND(_xlpm.baseRow,$E334&lt;&gt;"",$D334=""),
Error!$B$3,
IF(AND(_xlpm.baseRow,OR($E334="Tier 3",$E334="Tier 4"),$C334&lt;&gt;"",$D334&gt;=24,COUNTIF(Tables2!$B$166:$B$674,$C334)&gt;0),
Error!$B$44,
IF(AND(_xlpm.baseRow,OR($E334="Tier 3",$E334="Tier 4"),$C334&lt;&gt;"",$D334&lt;&gt;"",COUNTIF(Tables2!$B$73:$B$152,$C334)&gt;0,
$D334&gt;=IFERROR(INDEX(Tables2!$C$73:$C$152,MATCH($C334,Tables2!$B$73:$B$152,0)),-1)),
Error!$B$44,
IF(AND(_xlpm.baseRow,OR($E334="Tier 2",$E334="Tier 2 Grove"),$C334&lt;&gt;"",$D334&gt;=12,COUNTIF(Tables2!$B$153:$B$162,$C334)&gt;0),
Error!$B$45,
IF(AND(_xlpm.baseRow,$E334="Tier 2 Grove",$D334&lt;12),
Error!$B$41,
IF(AND(_xlpm.baseRow,$E334="Tier 2",$D334&lt;5.88),
Error!$B$40,
IF(AND(_xlpm.baseRow,OR($E334="Tier 2",$E334="Tier 2 Grove"),$C334&lt;&gt;"",$D334&lt;12,$D334&gt;=6,COUNTIF(Tables2!$B$153:$B$162,$C334)&gt;0),
Error!$B$54,
IF(AND(_xlpm.baseRow,$E334="Tier 2",COUNTIF(Tables2!$B$166:$B$674,$C334)&gt;0,$D334&lt;24),
Error!$B$54,
IF(AND(_xlpm.baseRow,$E334="Tier 3",ISNA(MATCH($C334,Tables2!$B$153:$B$162,0)),OR($D334&lt;12,$D334&gt;=24)),
Error!$B$9,
IF(AND(_xlpm.baseRow,$E334="Tier 3",COUNTIF(Tables2!$B$153:$B$162,$C334)&gt;0,$D334&lt;12),
Error!$B$46,
IF(AND(_xlpm.baseRow,$E334="Tier 4",OR($D334&lt;6,$D334&gt;=12)),
Error!$B$10,
IF(AND(_xlpm.baseRow,$E334="&lt;6in DSH for Tree Points",OR($D334&gt;=6,$D334="")),
Error!$B$8,
IF(AND(_xlpm.baseRow,$E334="Street Tree for Green Factor",$F334&lt;&gt;"",$F334&lt;&gt;"Retain"),
Error!$B$14,
IF(AND($E334="&lt;6in DSH for Tree Points",$F334="Retain",$H334&lt;&gt;"",ISNA(MATCH($H334,Tables!$B$174:$B$174,0))),
Error!$B$15,
IF(AND($E334="Street Tree for Green Factor",$F334="Retain",$H334&lt;&gt;"",$H334&lt;&gt;"Zoning: Green Factor"),
Error!$B$15,
IF(AND($E334="ECA / Shoreline Tree",$F334="Remove",$H334&lt;&gt;"",ISNA(MATCH($H334,Tables!$B$189:$B$190,0))),
Error!$B$15,
IF(AND($E334="ECA / Shoreline Tree",$F334="Retain",$H334&lt;&gt;"",ISNA(MATCH($H334,Tables!$B$184:$B$186,0))),
Error!$B$15,
IF(AND($E334="Tier 4",$F334="Remove",$H334&lt;&gt;"",ISNA(MATCH($H334,Tables!$B$171,0))),
Error!$B$15,
IF(AND($E334="Tier 4",$F334="Retain",$H334&lt;&gt;"",ISNA(MATCH($H334,Tables!$B$166:$B$168,0))),
Error!$B$15,
IF(AND($E334="Tier 3",$F334="Retain",$H334&lt;&gt;"",ISNA(MATCH($H334,Tables!$B$158:$B$160,0))),
Error!$B$15,
IF(AND($E334="Tier 3",$F334="Remove",$H334&lt;&gt;"",ISNA(MATCH($H334,Tables!$B$163,0))),
Error!$B$15,
IF(AND(OR($E334="Tier 2",$E334="Tier 2 Grove"),$F334="Remove",$H334&lt;&gt;"",ISNA(MATCH($H334,Tables!$B$153:$B$155,0))),
Error!$B$15,
IF(AND(OR($E334="Tier 2",$E334="Tier 2 Grove"),$F334="Retain",$H334&lt;&gt;"",ISNA(MATCH($H334,Tables!$B$147:$B$150,0))),
Error!$B$15,
IF(AND($E334="Tier 1",$F334="Remove",$H334&lt;&gt;"",ISNA(MATCH($H334,Tables!$B$143:$B$144,0))),
Error!$B$15,
IF(AND($E334="Tier 1",$F334="Retain",$H334&lt;&gt;"",ISNA(MATCH($H334,Tables!$B$137:$B$140,0))),
Error!$B$15,
IF(AND($E334&lt;&gt;"Tier 2",$E334&lt;&gt;"Tier 2 Grove",$E334&lt;&gt;"Tier 3",$E334&lt;&gt;"Tier 4",$H334="Zoning: Green Factor",OR($D334="",$D334&lt;6)),
Error!$B$11,
IF(AND(_xlpm.baseRow,$D334&lt;6,$E334="&lt;6in DSH for Tree Points",_xlpm.TreePoints_H=0),
Error!$B$21,
IF(AND(_xlpm.baseRow,$E334&lt;&gt;"",$D334&lt;&gt;"",$F334=""),
Error!$B$4,
IF(AND(_xlpm.baseRow,$F334="Remove",OR($E334="Tier 1",$E334="Tier 2",$E334="Tier 2 Grove"),COUNTBLANK(_xlpm.HRange)&lt;3,_xlpm.uniqueH&gt;=2),
Error!$B$48,
IF(AND(_xlpm.baseRow,$F334="Retain",OR($E334="Tier 1",$E334="Tier 2",$E334="Tier 2 Grove"),COUNTIF(_xlpm.HRange,"Tree Code: Required to Retain Tier 1-2 Tree")=0),
Error!$B$47,
IF(AND(_xlpm.baseRow,$E334&lt;&gt;"",$D334&lt;&gt;"",$F334&lt;&gt;"",COUNTBLANK(_xlpm.HRange)=4),
Error!$B$5,
IF(AND($F334="Remove",$H334&lt;&gt;"",$I334=""),
Error!$B$18,
IF(AND($E334="Tier 4",$F334="Remove",$H334="Tree Protection Code: Tier 3 or Tier 4 Allowance",$H334&lt;&gt;"",ISNA(MATCH($I334,Tables!$B$200,0))),
Error!$B$17,
IF(AND($E334="Tier 3",$F334="Remove",$H334&lt;&gt;"",$H334="Tree Protection Code: Tier 3 or Tier 4 Allowance",OR($I334="",ISNA(MATCH($I334,Tables!$B$193:$B$197,0)))),
Error!$B$17,
IF(AND(OR($E334="Tier 2",$E334="Tier 2 Grove"),$F334="Remove",$H334="Tree Protection Code: Other removal allowance or exemption",$I334&lt;&gt;"",ISNA(MATCH($I334,Tables!$B$215:$B$218,0))),
Error!$B$17,
IF(AND(OR($E334="Tier 2",$E334="Tier 2 Grove"),$F334="Remove",$H334="Tree Protection Code: Development Capacity",$I334&lt;&gt;"",ISNA(MATCH($I334,Tables!$B$193:$B$197,0))),
Error!$B$17,
IF(AND(OR($E334="Tier 2",$E334="Tier 2 Grove"),$F334="Remove",$H334="Tree Protection Code: Necessary for Construction",$I334&lt;&gt;"",ISNA(MATCH($I334,Tables!$B$193:$B$197,0))),
Error!$B$17,
IF(AND($E334="Tier 1",$F334="Remove",$H334="Tree Protection Code: Special Exception",$I334&lt;&gt;"",ISNA(MATCH($I334,Tables!$B$215:$B$218,0))),
Error!$B$17,
IF(AND($E334="Tier 1",$F334="Remove",$H334="Tree Protection Code: Other removal allowance or exemption",$I334&lt;&gt;"",ISNA(MATCH($I334,Tables!$B$215:$B$218,0))),
Error!$B$17,
IF(AND($E334="ECA / Shoreline Tree",$F334="Remove",$H334&lt;&gt;"",OR($H334="Shoreline",$H334="Environmental Critical Area (ECA)"),ISNA(MATCH($I334,Tables!$B$209:$B$212,0))),
Error!$B$17,
IF(AND(_xlpm.baseRow,$F334="Retain",$E334="ECA / Shoreline Tree",_xlpm.ECA_Short=0),
Error!$B$61,
IF(AND($F334="Remove",ISNUMBER(MATCH($E334,{"Tier 1","Tier 2","Tier 3","Tier 4","Tier 2 Grove"},0)),ISNUMBER(MATCH($I334,{"On-site replacement","Off-site replacement"},0)),$J334="",$H334&lt;&gt;""),
Error!$B$19,
IF(AND(_xlpm.baseRow,$E334&lt;&gt;"",$D334&lt;&gt;"",$F334&lt;&gt;"",COUNTBLANK($B334:$C334)&gt;0,COUNTBLANK(_xlpm.HRange)&lt;&gt;4),
Error!$B$22,
IF(AND($H334="Zoning: Tree Points",$K334&lt;&gt;"",ISNA(MATCH($K334,Tables!$B$242:$B$253,0))),
Error!$B$58,
IF(AND($H334="Zoning: Tree Points",$K334="Small",$L334&lt;&gt;"",ISNA(MATCH($L334,Tables!$C$243:$C$244,0))),
Error!$B$59,
IF(AND($H334="Zoning: Tree Points",$K334="Small/Medium",$L334&lt;&gt;"",ISNA(MATCH($L334,Tables!$C$246:$C$247,0))),
Error!$B$59,
IF(AND($H334="Zoning: Tree Points",$K334="Medium/Large",$L334&lt;&gt;"",ISNA(MATCH($L334,Tables!$C$249:$C$250,0))),
Error!$B$59,
IF(AND($H334="Zoning: Tree Points",$K334="Large",$L334&lt;&gt;"",ISNA(MATCH($L334,Tables!$C$252:$C$253,0))),
Error!$B$59,
IF(AND($F334="Retain",$H334="Zoning: Tree Points",$C334&lt;&gt;"",$D334&lt;&gt;"",OR($K334="",$L334="",$M334="")),
Error!$B$20,
""
)))))))))))))))))))))))))))))))))))))))))))))))))))))))),
Error!$B$23))</f>
        <v/>
      </c>
      <c r="O334" s="343" t="str" cm="1">
        <f t="array" aca="1" ref="O334" ca="1">IFERROR(_xlfn.LET(
    _xlpm.txt, $C334,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35" spans="1:15" ht="15" thickBot="1" x14ac:dyDescent="0.35">
      <c r="A335" s="311">
        <v>82</v>
      </c>
      <c r="B335" s="312"/>
      <c r="C335" s="313"/>
      <c r="D335" s="478"/>
      <c r="E335" s="314"/>
      <c r="F335" s="314"/>
      <c r="G335" s="315" t="str">
        <f>IF(Tree_Table1[[#This Row],[Tree Status  &amp;]]="Retain", Tables!$B$237, IF(Tree_Table1[[#This Row],[Tree Status  &amp;]]="Remove", Tables!$B$238, ""))</f>
        <v/>
      </c>
      <c r="H335" s="316"/>
      <c r="I335" s="317"/>
      <c r="J335" s="452"/>
      <c r="K335" s="318" t="str">
        <f>IFERROR(
    IF(
        AND($H335="Zoning: Tree Points", NOT(ISNUMBER(SEARCH("sp.", $C335)))),
        VLOOKUP($C335, 'Tree List'!$C$3:$F$601, 4, FALSE),
        ""
    ),
"")</f>
        <v/>
      </c>
      <c r="L335" s="319" t="str" cm="1">
        <f t="array" ref="L335">IFERROR(
IF(
    AND($H335="Zoning: Tree Points", NOT(ISNUMBER(SEARCH("sp.", $C335)))),
    _xlfn.IFS(
        (COUNTIFS('Tree List'!$C$3:$C$601,$C335,'Tree List'!$D$3:$D$601,"Coniferous")
        + COUNTIFS('Tree List'!$C$3:$C$601,$C335,'Tree List'!$D$3:$D$601,"Deciduous Conifer")) &gt; 0,
            _xlfn.IFS($K335="Small",0.5,$K335="Small/Medium",1,$K335="Medium/Large",1.4,$K335="Large",1.8),
        (COUNTIFS('Tree List'!$C$3:$C$601,$C335,'Tree List'!$D$3:$D$601,"Deciduous")
        + COUNTIFS('Tree List'!$C$3:$C$601,$C335,'Tree List'!$D$3:$D$601,"Broadleaf Evergreen")) &gt; 0,
            _xlfn.IFS($K335="Small",0.4,$K335="Small/Medium",0.8,$K335="Medium/Large",1.2,$K335="Large",1.6)
    ),
    ""
),
"")</f>
        <v/>
      </c>
      <c r="M335" s="474" t="str">
        <f t="shared" si="330"/>
        <v/>
      </c>
      <c r="N335" s="620" t="str" cm="1">
        <f t="array" aca="1" ref="N33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IF(AND(_xlpm.baseRow,ISNA(MATCH($C335,'Tree List'!$C$3:$C$601,0)),SUMPRODUCT(--ISNUMBER(SEARCH(Tables2!$C$677:$C$772,$O335)))&gt;0),
Error!$B$57,
IF(AND(_xlpm.hasDM,$F335="Remove",$H335&lt;&gt;"",OR($I335="On-site replacement",$I335="Off-site replacement",$I335="Payment In Lieu")),
Error!$B$56,
IF(AND(_xlpm.hasDM,$F335="Remove",$H335&lt;&gt;"",$I335="Relocation"),
Error!$B$66,
IF(AND(OR(_xlpm.hasCN,_xlpm.hasPH,_xlpm.hasGR),$H335&lt;&gt;"",COUNTIF(Tables!$B$132:$B$134,$H335)&gt;0,$I335="N/A (No replacement required)"),
Error!$B$62,
IF(AND(_xlpm.baseRow,$E335&lt;&gt;"",ISNA(MATCH($E335,Tables!$B$225:$B$232,0))),
Error!$B$2,
IF(AND(_xlpm.baseRow,$F335&lt;&gt;"",ISNA(MATCH($F335,Tables!$B$234:$B$235,0))),
Error!$B$24,
IF(AND(_xlpm.baseRow,_xlpm.ECA_H&gt;0,_xlpm.Shore_H&gt;0),
Error!$B$16,
IF(AND(_xlpm.baseRow,$E335&lt;&gt;"",$D335=""),
Error!$B$3,
IF(AND(_xlpm.baseRow,OR($E335="Tier 3",$E335="Tier 4"),$C335&lt;&gt;"",$D335&gt;=24,COUNTIF(Tables2!$B$166:$B$674,$C335)&gt;0),
Error!$B$44,
IF(AND(_xlpm.baseRow,OR($E335="Tier 3",$E335="Tier 4"),$C335&lt;&gt;"",$D335&lt;&gt;"",COUNTIF(Tables2!$B$73:$B$152,$C335)&gt;0,
$D335&gt;=IFERROR(INDEX(Tables2!$C$73:$C$152,MATCH($C335,Tables2!$B$73:$B$152,0)),-1)),
Error!$B$44,
IF(AND(_xlpm.baseRow,OR($E335="Tier 2",$E335="Tier 2 Grove"),$C335&lt;&gt;"",$D335&gt;=12,COUNTIF(Tables2!$B$153:$B$162,$C335)&gt;0),
Error!$B$45,
IF(AND(_xlpm.baseRow,$E335="Tier 2 Grove",$D335&lt;12),
Error!$B$41,
IF(AND(_xlpm.baseRow,$E335="Tier 2",$D335&lt;5.88),
Error!$B$40,
IF(AND(_xlpm.baseRow,OR($E335="Tier 2",$E335="Tier 2 Grove"),$C335&lt;&gt;"",$D335&lt;12,$D335&gt;=6,COUNTIF(Tables2!$B$153:$B$162,$C335)&gt;0),
Error!$B$54,
IF(AND(_xlpm.baseRow,$E335="Tier 2",COUNTIF(Tables2!$B$166:$B$674,$C335)&gt;0,$D335&lt;24),
Error!$B$54,
IF(AND(_xlpm.baseRow,$E335="Tier 3",ISNA(MATCH($C335,Tables2!$B$153:$B$162,0)),OR($D335&lt;12,$D335&gt;=24)),
Error!$B$9,
IF(AND(_xlpm.baseRow,$E335="Tier 3",COUNTIF(Tables2!$B$153:$B$162,$C335)&gt;0,$D335&lt;12),
Error!$B$46,
IF(AND(_xlpm.baseRow,$E335="Tier 4",OR($D335&lt;6,$D335&gt;=12)),
Error!$B$10,
IF(AND(_xlpm.baseRow,$E335="&lt;6in DSH for Tree Points",OR($D335&gt;=6,$D335="")),
Error!$B$8,
IF(AND(_xlpm.baseRow,$E335="Street Tree for Green Factor",$F335&lt;&gt;"",$F335&lt;&gt;"Retain"),
Error!$B$14,
IF(AND($E335="&lt;6in DSH for Tree Points",$F335="Retain",$H335&lt;&gt;"",ISNA(MATCH($H335,Tables!$B$174:$B$174,0))),
Error!$B$15,
IF(AND($E335="Street Tree for Green Factor",$F335="Retain",$H335&lt;&gt;"",$H335&lt;&gt;"Zoning: Green Factor"),
Error!$B$15,
IF(AND($E335="ECA / Shoreline Tree",$F335="Remove",$H335&lt;&gt;"",ISNA(MATCH($H335,Tables!$B$189:$B$190,0))),
Error!$B$15,
IF(AND($E335="ECA / Shoreline Tree",$F335="Retain",$H335&lt;&gt;"",ISNA(MATCH($H335,Tables!$B$184:$B$186,0))),
Error!$B$15,
IF(AND($E335="Tier 4",$F335="Remove",$H335&lt;&gt;"",ISNA(MATCH($H335,Tables!$B$171,0))),
Error!$B$15,
IF(AND($E335="Tier 4",$F335="Retain",$H335&lt;&gt;"",ISNA(MATCH($H335,Tables!$B$166:$B$168,0))),
Error!$B$15,
IF(AND($E335="Tier 3",$F335="Retain",$H335&lt;&gt;"",ISNA(MATCH($H335,Tables!$B$158:$B$160,0))),
Error!$B$15,
IF(AND($E335="Tier 3",$F335="Remove",$H335&lt;&gt;"",ISNA(MATCH($H335,Tables!$B$163,0))),
Error!$B$15,
IF(AND(OR($E335="Tier 2",$E335="Tier 2 Grove"),$F335="Remove",$H335&lt;&gt;"",ISNA(MATCH($H335,Tables!$B$153:$B$155,0))),
Error!$B$15,
IF(AND(OR($E335="Tier 2",$E335="Tier 2 Grove"),$F335="Retain",$H335&lt;&gt;"",ISNA(MATCH($H335,Tables!$B$147:$B$150,0))),
Error!$B$15,
IF(AND($E335="Tier 1",$F335="Remove",$H335&lt;&gt;"",ISNA(MATCH($H335,Tables!$B$143:$B$144,0))),
Error!$B$15,
IF(AND($E335="Tier 1",$F335="Retain",$H335&lt;&gt;"",ISNA(MATCH($H335,Tables!$B$137:$B$140,0))),
Error!$B$15,
IF(AND($E335&lt;&gt;"Tier 2",$E335&lt;&gt;"Tier 2 Grove",$E335&lt;&gt;"Tier 3",$E335&lt;&gt;"Tier 4",$H335="Zoning: Green Factor",OR($D335="",$D335&lt;6)),
Error!$B$11,
IF(AND(_xlpm.baseRow,$D335&lt;6,$E335="&lt;6in DSH for Tree Points",_xlpm.TreePoints_H=0),
Error!$B$21,
IF(AND(_xlpm.baseRow,$E335&lt;&gt;"",$D335&lt;&gt;"",$F335=""),
Error!$B$4,
IF(AND(_xlpm.baseRow,$F335="Remove",OR($E335="Tier 1",$E335="Tier 2",$E335="Tier 2 Grove"),COUNTBLANK(_xlpm.HRange)&lt;3,_xlpm.uniqueH&gt;=2),
Error!$B$48,
IF(AND(_xlpm.baseRow,$F335="Retain",OR($E335="Tier 1",$E335="Tier 2",$E335="Tier 2 Grove"),COUNTIF(_xlpm.HRange,"Tree Code: Required to Retain Tier 1-2 Tree")=0),
Error!$B$47,
IF(AND(_xlpm.baseRow,$E335&lt;&gt;"",$D335&lt;&gt;"",$F335&lt;&gt;"",COUNTBLANK(_xlpm.HRange)=4),
Error!$B$5,
IF(AND($F335="Remove",$H335&lt;&gt;"",$I335=""),
Error!$B$18,
IF(AND($E335="Tier 4",$F335="Remove",$H335="Tree Protection Code: Tier 3 or Tier 4 Allowance",$H335&lt;&gt;"",ISNA(MATCH($I335,Tables!$B$200,0))),
Error!$B$17,
IF(AND($E335="Tier 3",$F335="Remove",$H335&lt;&gt;"",$H335="Tree Protection Code: Tier 3 or Tier 4 Allowance",OR($I335="",ISNA(MATCH($I335,Tables!$B$193:$B$197,0)))),
Error!$B$17,
IF(AND(OR($E335="Tier 2",$E335="Tier 2 Grove"),$F335="Remove",$H335="Tree Protection Code: Other removal allowance or exemption",$I335&lt;&gt;"",ISNA(MATCH($I335,Tables!$B$215:$B$218,0))),
Error!$B$17,
IF(AND(OR($E335="Tier 2",$E335="Tier 2 Grove"),$F335="Remove",$H335="Tree Protection Code: Development Capacity",$I335&lt;&gt;"",ISNA(MATCH($I335,Tables!$B$193:$B$197,0))),
Error!$B$17,
IF(AND(OR($E335="Tier 2",$E335="Tier 2 Grove"),$F335="Remove",$H335="Tree Protection Code: Necessary for Construction",$I335&lt;&gt;"",ISNA(MATCH($I335,Tables!$B$193:$B$197,0))),
Error!$B$17,
IF(AND($E335="Tier 1",$F335="Remove",$H335="Tree Protection Code: Special Exception",$I335&lt;&gt;"",ISNA(MATCH($I335,Tables!$B$215:$B$218,0))),
Error!$B$17,
IF(AND($E335="Tier 1",$F335="Remove",$H335="Tree Protection Code: Other removal allowance or exemption",$I335&lt;&gt;"",ISNA(MATCH($I335,Tables!$B$215:$B$218,0))),
Error!$B$17,
IF(AND($E335="ECA / Shoreline Tree",$F335="Remove",$H335&lt;&gt;"",OR($H335="Shoreline",$H335="Environmental Critical Area (ECA)"),ISNA(MATCH($I335,Tables!$B$209:$B$212,0))),
Error!$B$17,
IF(AND(_xlpm.baseRow,$F335="Retain",$E335="ECA / Shoreline Tree",_xlpm.ECA_Short=0),
Error!$B$61,
IF(AND($F335="Remove",ISNUMBER(MATCH($E335,{"Tier 1","Tier 2","Tier 3","Tier 4","Tier 2 Grove"},0)),ISNUMBER(MATCH($I335,{"On-site replacement","Off-site replacement"},0)),$J335="",$H335&lt;&gt;""),
Error!$B$19,
IF(AND(_xlpm.baseRow,$E335&lt;&gt;"",$D335&lt;&gt;"",$F335&lt;&gt;"",COUNTBLANK($B335:$C335)&gt;0,COUNTBLANK(_xlpm.HRange)&lt;&gt;4),
Error!$B$22,
IF(AND($H335="Zoning: Tree Points",$K335&lt;&gt;"",ISNA(MATCH($K335,Tables!$B$242:$B$253,0))),
Error!$B$58,
IF(AND($H335="Zoning: Tree Points",$K335="Small",$L335&lt;&gt;"",ISNA(MATCH($L335,Tables!$C$243:$C$244,0))),
Error!$B$59,
IF(AND($H335="Zoning: Tree Points",$K335="Small/Medium",$L335&lt;&gt;"",ISNA(MATCH($L335,Tables!$C$246:$C$247,0))),
Error!$B$59,
IF(AND($H335="Zoning: Tree Points",$K335="Medium/Large",$L335&lt;&gt;"",ISNA(MATCH($L335,Tables!$C$249:$C$250,0))),
Error!$B$59,
IF(AND($H335="Zoning: Tree Points",$K335="Large",$L335&lt;&gt;"",ISNA(MATCH($L335,Tables!$C$252:$C$253,0))),
Error!$B$59,
IF(AND($F335="Retain",$H335="Zoning: Tree Points",$C335&lt;&gt;"",$D335&lt;&gt;"",OR($K335="",$L335="",$M335="")),
Error!$B$20,
""
)))))))))))))))))))))))))))))))))))))))))))))))))))))))),
Error!$B$23))</f>
        <v/>
      </c>
      <c r="O335" s="343" t="str" cm="1">
        <f t="array" aca="1" ref="O335" ca="1">IFERROR(_xlfn.LET(
    _xlpm.txt, $C335,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36" spans="1:15" x14ac:dyDescent="0.3">
      <c r="A336" s="320"/>
      <c r="B336" s="616" t="str">
        <f t="shared" ref="B336:B338" si="366">IF($B335="", "", $B335)</f>
        <v/>
      </c>
      <c r="C336" s="617" t="str">
        <f t="shared" ref="C336:C338" si="367">IF($C335="", "", $C335)</f>
        <v/>
      </c>
      <c r="D336" s="618" t="str">
        <f t="shared" ref="D336:D338" si="368">IF($D335="", "", $D335)</f>
        <v/>
      </c>
      <c r="E336" s="616" t="str">
        <f t="shared" ref="E336:E338" si="369">IF($E335="", "", $E335)</f>
        <v/>
      </c>
      <c r="F336" s="616" t="str">
        <f t="shared" ref="F336:F338" si="370">IF($F335="", "", $F335)</f>
        <v/>
      </c>
      <c r="G336" s="619" t="str">
        <f>IF(Tree_Table1[[#This Row],[Tree Status  &amp;]]="Retain", Tables!$B$237, IF(Tree_Table1[[#This Row],[Tree Status  &amp;]]="Remove", Tables!$B$238, ""))</f>
        <v/>
      </c>
      <c r="H336" s="321"/>
      <c r="I336" s="322"/>
      <c r="J336" s="453"/>
      <c r="K336" s="323" t="str">
        <f>IFERROR(
    IF(
        AND($H336="Zoning: Tree Points", NOT(ISNUMBER(SEARCH("sp.", $C336)))),
        VLOOKUP($C336, 'Tree List'!$C$3:$F$601, 4, FALSE),
        ""
    ),
"")</f>
        <v/>
      </c>
      <c r="L336" s="324" t="str" cm="1">
        <f t="array" ref="L336">IFERROR(
IF(
    AND($H336="Zoning: Tree Points", NOT(ISNUMBER(SEARCH("sp.", $C336)))),
    _xlfn.IFS(
        (COUNTIFS('Tree List'!$C$3:$C$601,$C336,'Tree List'!$D$3:$D$601,"Coniferous")
        + COUNTIFS('Tree List'!$C$3:$C$601,$C336,'Tree List'!$D$3:$D$601,"Deciduous Conifer")) &gt; 0,
            _xlfn.IFS($K336="Small",0.5,$K336="Small/Medium",1,$K336="Medium/Large",1.4,$K336="Large",1.8),
        (COUNTIFS('Tree List'!$C$3:$C$601,$C336,'Tree List'!$D$3:$D$601,"Deciduous")
        + COUNTIFS('Tree List'!$C$3:$C$601,$C336,'Tree List'!$D$3:$D$601,"Broadleaf Evergreen")) &gt; 0,
            _xlfn.IFS($K336="Small",0.4,$K336="Small/Medium",0.8,$K336="Medium/Large",1.2,$K336="Large",1.6)
    ),
    ""
),
"")</f>
        <v/>
      </c>
      <c r="M336" s="475" t="str">
        <f t="shared" si="330"/>
        <v/>
      </c>
      <c r="N336" s="346" t="str" cm="1">
        <f t="array" aca="1" ref="N33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IF(AND(_xlpm.baseRow,ISNA(MATCH($C336,'Tree List'!$C$3:$C$601,0)),SUMPRODUCT(--ISNUMBER(SEARCH(Tables2!$C$677:$C$772,$O336)))&gt;0),
Error!$B$57,
IF(AND(_xlpm.hasDM,$F336="Remove",$H336&lt;&gt;"",OR($I336="On-site replacement",$I336="Off-site replacement",$I336="Payment In Lieu")),
Error!$B$56,
IF(AND(_xlpm.hasDM,$F336="Remove",$H336&lt;&gt;"",$I336="Relocation"),
Error!$B$66,
IF(AND(OR(_xlpm.hasCN,_xlpm.hasPH,_xlpm.hasGR),$H336&lt;&gt;"",COUNTIF(Tables!$B$132:$B$134,$H336)&gt;0,$I336="N/A (No replacement required)"),
Error!$B$62,
IF(AND(_xlpm.baseRow,$E336&lt;&gt;"",ISNA(MATCH($E336,Tables!$B$225:$B$232,0))),
Error!$B$2,
IF(AND(_xlpm.baseRow,$F336&lt;&gt;"",ISNA(MATCH($F336,Tables!$B$234:$B$235,0))),
Error!$B$24,
IF(AND(_xlpm.baseRow,_xlpm.ECA_H&gt;0,_xlpm.Shore_H&gt;0),
Error!$B$16,
IF(AND(_xlpm.baseRow,$E336&lt;&gt;"",$D336=""),
Error!$B$3,
IF(AND(_xlpm.baseRow,OR($E336="Tier 3",$E336="Tier 4"),$C336&lt;&gt;"",$D336&gt;=24,COUNTIF(Tables2!$B$166:$B$674,$C336)&gt;0),
Error!$B$44,
IF(AND(_xlpm.baseRow,OR($E336="Tier 3",$E336="Tier 4"),$C336&lt;&gt;"",$D336&lt;&gt;"",COUNTIF(Tables2!$B$73:$B$152,$C336)&gt;0,
$D336&gt;=IFERROR(INDEX(Tables2!$C$73:$C$152,MATCH($C336,Tables2!$B$73:$B$152,0)),-1)),
Error!$B$44,
IF(AND(_xlpm.baseRow,OR($E336="Tier 2",$E336="Tier 2 Grove"),$C336&lt;&gt;"",$D336&gt;=12,COUNTIF(Tables2!$B$153:$B$162,$C336)&gt;0),
Error!$B$45,
IF(AND(_xlpm.baseRow,$E336="Tier 2 Grove",$D336&lt;12),
Error!$B$41,
IF(AND(_xlpm.baseRow,$E336="Tier 2",$D336&lt;5.88),
Error!$B$40,
IF(AND(_xlpm.baseRow,OR($E336="Tier 2",$E336="Tier 2 Grove"),$C336&lt;&gt;"",$D336&lt;12,$D336&gt;=6,COUNTIF(Tables2!$B$153:$B$162,$C336)&gt;0),
Error!$B$54,
IF(AND(_xlpm.baseRow,$E336="Tier 2",COUNTIF(Tables2!$B$166:$B$674,$C336)&gt;0,$D336&lt;24),
Error!$B$54,
IF(AND(_xlpm.baseRow,$E336="Tier 3",ISNA(MATCH($C336,Tables2!$B$153:$B$162,0)),OR($D336&lt;12,$D336&gt;=24)),
Error!$B$9,
IF(AND(_xlpm.baseRow,$E336="Tier 3",COUNTIF(Tables2!$B$153:$B$162,$C336)&gt;0,$D336&lt;12),
Error!$B$46,
IF(AND(_xlpm.baseRow,$E336="Tier 4",OR($D336&lt;6,$D336&gt;=12)),
Error!$B$10,
IF(AND(_xlpm.baseRow,$E336="&lt;6in DSH for Tree Points",OR($D336&gt;=6,$D336="")),
Error!$B$8,
IF(AND(_xlpm.baseRow,$E336="Street Tree for Green Factor",$F336&lt;&gt;"",$F336&lt;&gt;"Retain"),
Error!$B$14,
IF(AND($E336="&lt;6in DSH for Tree Points",$F336="Retain",$H336&lt;&gt;"",ISNA(MATCH($H336,Tables!$B$174:$B$174,0))),
Error!$B$15,
IF(AND($E336="Street Tree for Green Factor",$F336="Retain",$H336&lt;&gt;"",$H336&lt;&gt;"Zoning: Green Factor"),
Error!$B$15,
IF(AND($E336="ECA / Shoreline Tree",$F336="Remove",$H336&lt;&gt;"",ISNA(MATCH($H336,Tables!$B$189:$B$190,0))),
Error!$B$15,
IF(AND($E336="ECA / Shoreline Tree",$F336="Retain",$H336&lt;&gt;"",ISNA(MATCH($H336,Tables!$B$184:$B$186,0))),
Error!$B$15,
IF(AND($E336="Tier 4",$F336="Remove",$H336&lt;&gt;"",ISNA(MATCH($H336,Tables!$B$171,0))),
Error!$B$15,
IF(AND($E336="Tier 4",$F336="Retain",$H336&lt;&gt;"",ISNA(MATCH($H336,Tables!$B$166:$B$168,0))),
Error!$B$15,
IF(AND($E336="Tier 3",$F336="Retain",$H336&lt;&gt;"",ISNA(MATCH($H336,Tables!$B$158:$B$160,0))),
Error!$B$15,
IF(AND($E336="Tier 3",$F336="Remove",$H336&lt;&gt;"",ISNA(MATCH($H336,Tables!$B$163,0))),
Error!$B$15,
IF(AND(OR($E336="Tier 2",$E336="Tier 2 Grove"),$F336="Remove",$H336&lt;&gt;"",ISNA(MATCH($H336,Tables!$B$153:$B$155,0))),
Error!$B$15,
IF(AND(OR($E336="Tier 2",$E336="Tier 2 Grove"),$F336="Retain",$H336&lt;&gt;"",ISNA(MATCH($H336,Tables!$B$147:$B$150,0))),
Error!$B$15,
IF(AND($E336="Tier 1",$F336="Remove",$H336&lt;&gt;"",ISNA(MATCH($H336,Tables!$B$143:$B$144,0))),
Error!$B$15,
IF(AND($E336="Tier 1",$F336="Retain",$H336&lt;&gt;"",ISNA(MATCH($H336,Tables!$B$137:$B$140,0))),
Error!$B$15,
IF(AND($E336&lt;&gt;"Tier 2",$E336&lt;&gt;"Tier 2 Grove",$E336&lt;&gt;"Tier 3",$E336&lt;&gt;"Tier 4",$H336="Zoning: Green Factor",OR($D336="",$D336&lt;6)),
Error!$B$11,
IF(AND(_xlpm.baseRow,$D336&lt;6,$E336="&lt;6in DSH for Tree Points",_xlpm.TreePoints_H=0),
Error!$B$21,
IF(AND(_xlpm.baseRow,$E336&lt;&gt;"",$D336&lt;&gt;"",$F336=""),
Error!$B$4,
IF(AND(_xlpm.baseRow,$F336="Remove",OR($E336="Tier 1",$E336="Tier 2",$E336="Tier 2 Grove"),COUNTBLANK(_xlpm.HRange)&lt;3,_xlpm.uniqueH&gt;=2),
Error!$B$48,
IF(AND(_xlpm.baseRow,$F336="Retain",OR($E336="Tier 1",$E336="Tier 2",$E336="Tier 2 Grove"),COUNTIF(_xlpm.HRange,"Tree Code: Required to Retain Tier 1-2 Tree")=0),
Error!$B$47,
IF(AND(_xlpm.baseRow,$E336&lt;&gt;"",$D336&lt;&gt;"",$F336&lt;&gt;"",COUNTBLANK(_xlpm.HRange)=4),
Error!$B$5,
IF(AND($F336="Remove",$H336&lt;&gt;"",$I336=""),
Error!$B$18,
IF(AND($E336="Tier 4",$F336="Remove",$H336="Tree Protection Code: Tier 3 or Tier 4 Allowance",$H336&lt;&gt;"",ISNA(MATCH($I336,Tables!$B$200,0))),
Error!$B$17,
IF(AND($E336="Tier 3",$F336="Remove",$H336&lt;&gt;"",$H336="Tree Protection Code: Tier 3 or Tier 4 Allowance",OR($I336="",ISNA(MATCH($I336,Tables!$B$193:$B$197,0)))),
Error!$B$17,
IF(AND(OR($E336="Tier 2",$E336="Tier 2 Grove"),$F336="Remove",$H336="Tree Protection Code: Other removal allowance or exemption",$I336&lt;&gt;"",ISNA(MATCH($I336,Tables!$B$215:$B$218,0))),
Error!$B$17,
IF(AND(OR($E336="Tier 2",$E336="Tier 2 Grove"),$F336="Remove",$H336="Tree Protection Code: Development Capacity",$I336&lt;&gt;"",ISNA(MATCH($I336,Tables!$B$193:$B$197,0))),
Error!$B$17,
IF(AND(OR($E336="Tier 2",$E336="Tier 2 Grove"),$F336="Remove",$H336="Tree Protection Code: Necessary for Construction",$I336&lt;&gt;"",ISNA(MATCH($I336,Tables!$B$193:$B$197,0))),
Error!$B$17,
IF(AND($E336="Tier 1",$F336="Remove",$H336="Tree Protection Code: Special Exception",$I336&lt;&gt;"",ISNA(MATCH($I336,Tables!$B$215:$B$218,0))),
Error!$B$17,
IF(AND($E336="Tier 1",$F336="Remove",$H336="Tree Protection Code: Other removal allowance or exemption",$I336&lt;&gt;"",ISNA(MATCH($I336,Tables!$B$215:$B$218,0))),
Error!$B$17,
IF(AND($E336="ECA / Shoreline Tree",$F336="Remove",$H336&lt;&gt;"",OR($H336="Shoreline",$H336="Environmental Critical Area (ECA)"),ISNA(MATCH($I336,Tables!$B$209:$B$212,0))),
Error!$B$17,
IF(AND(_xlpm.baseRow,$F336="Retain",$E336="ECA / Shoreline Tree",_xlpm.ECA_Short=0),
Error!$B$61,
IF(AND($F336="Remove",ISNUMBER(MATCH($E336,{"Tier 1","Tier 2","Tier 3","Tier 4","Tier 2 Grove"},0)),ISNUMBER(MATCH($I336,{"On-site replacement","Off-site replacement"},0)),$J336="",$H336&lt;&gt;""),
Error!$B$19,
IF(AND(_xlpm.baseRow,$E336&lt;&gt;"",$D336&lt;&gt;"",$F336&lt;&gt;"",COUNTBLANK($B336:$C336)&gt;0,COUNTBLANK(_xlpm.HRange)&lt;&gt;4),
Error!$B$22,
IF(AND($H336="Zoning: Tree Points",$K336&lt;&gt;"",ISNA(MATCH($K336,Tables!$B$242:$B$253,0))),
Error!$B$58,
IF(AND($H336="Zoning: Tree Points",$K336="Small",$L336&lt;&gt;"",ISNA(MATCH($L336,Tables!$C$243:$C$244,0))),
Error!$B$59,
IF(AND($H336="Zoning: Tree Points",$K336="Small/Medium",$L336&lt;&gt;"",ISNA(MATCH($L336,Tables!$C$246:$C$247,0))),
Error!$B$59,
IF(AND($H336="Zoning: Tree Points",$K336="Medium/Large",$L336&lt;&gt;"",ISNA(MATCH($L336,Tables!$C$249:$C$250,0))),
Error!$B$59,
IF(AND($H336="Zoning: Tree Points",$K336="Large",$L336&lt;&gt;"",ISNA(MATCH($L336,Tables!$C$252:$C$253,0))),
Error!$B$59,
IF(AND($F336="Retain",$H336="Zoning: Tree Points",$C336&lt;&gt;"",$D336&lt;&gt;"",OR($K336="",$L336="",$M336="")),
Error!$B$20,
""
)))))))))))))))))))))))))))))))))))))))))))))))))))))))),
Error!$B$23))</f>
        <v/>
      </c>
      <c r="O336" s="343" t="str" cm="1">
        <f t="array" aca="1" ref="O336" ca="1">IFERROR(_xlfn.LET(
    _xlpm.txt, $C336,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37" spans="1:15" x14ac:dyDescent="0.3">
      <c r="A337" s="320"/>
      <c r="B337" s="616" t="str">
        <f t="shared" si="366"/>
        <v/>
      </c>
      <c r="C337" s="617" t="str">
        <f t="shared" si="367"/>
        <v/>
      </c>
      <c r="D337" s="618" t="str">
        <f t="shared" si="368"/>
        <v/>
      </c>
      <c r="E337" s="616" t="str">
        <f t="shared" si="369"/>
        <v/>
      </c>
      <c r="F337" s="616" t="str">
        <f t="shared" si="370"/>
        <v/>
      </c>
      <c r="G337" s="619" t="str">
        <f>IF(Tree_Table1[[#This Row],[Tree Status  &amp;]]="Retain", Tables!$B$237, IF(Tree_Table1[[#This Row],[Tree Status  &amp;]]="Remove", Tables!$B$238, ""))</f>
        <v/>
      </c>
      <c r="H337" s="321"/>
      <c r="I337" s="322"/>
      <c r="J337" s="453"/>
      <c r="K337" s="323" t="str">
        <f>IFERROR(
    IF(
        AND($H337="Zoning: Tree Points", NOT(ISNUMBER(SEARCH("sp.", $C337)))),
        VLOOKUP($C337, 'Tree List'!$C$3:$F$601, 4, FALSE),
        ""
    ),
"")</f>
        <v/>
      </c>
      <c r="L337" s="324" t="str" cm="1">
        <f t="array" ref="L337">IFERROR(
IF(
    AND($H337="Zoning: Tree Points", NOT(ISNUMBER(SEARCH("sp.", $C337)))),
    _xlfn.IFS(
        (COUNTIFS('Tree List'!$C$3:$C$601,$C337,'Tree List'!$D$3:$D$601,"Coniferous")
        + COUNTIFS('Tree List'!$C$3:$C$601,$C337,'Tree List'!$D$3:$D$601,"Deciduous Conifer")) &gt; 0,
            _xlfn.IFS($K337="Small",0.5,$K337="Small/Medium",1,$K337="Medium/Large",1.4,$K337="Large",1.8),
        (COUNTIFS('Tree List'!$C$3:$C$601,$C337,'Tree List'!$D$3:$D$601,"Deciduous")
        + COUNTIFS('Tree List'!$C$3:$C$601,$C337,'Tree List'!$D$3:$D$601,"Broadleaf Evergreen")) &gt; 0,
            _xlfn.IFS($K337="Small",0.4,$K337="Small/Medium",0.8,$K337="Medium/Large",1.2,$K337="Large",1.6)
    ),
    ""
),
"")</f>
        <v/>
      </c>
      <c r="M337" s="475" t="str">
        <f t="shared" si="330"/>
        <v/>
      </c>
      <c r="N337" s="346" t="str" cm="1">
        <f t="array" aca="1" ref="N33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IF(AND(_xlpm.baseRow,ISNA(MATCH($C337,'Tree List'!$C$3:$C$601,0)),SUMPRODUCT(--ISNUMBER(SEARCH(Tables2!$C$677:$C$772,$O337)))&gt;0),
Error!$B$57,
IF(AND(_xlpm.hasDM,$F337="Remove",$H337&lt;&gt;"",OR($I337="On-site replacement",$I337="Off-site replacement",$I337="Payment In Lieu")),
Error!$B$56,
IF(AND(_xlpm.hasDM,$F337="Remove",$H337&lt;&gt;"",$I337="Relocation"),
Error!$B$66,
IF(AND(OR(_xlpm.hasCN,_xlpm.hasPH,_xlpm.hasGR),$H337&lt;&gt;"",COUNTIF(Tables!$B$132:$B$134,$H337)&gt;0,$I337="N/A (No replacement required)"),
Error!$B$62,
IF(AND(_xlpm.baseRow,$E337&lt;&gt;"",ISNA(MATCH($E337,Tables!$B$225:$B$232,0))),
Error!$B$2,
IF(AND(_xlpm.baseRow,$F337&lt;&gt;"",ISNA(MATCH($F337,Tables!$B$234:$B$235,0))),
Error!$B$24,
IF(AND(_xlpm.baseRow,_xlpm.ECA_H&gt;0,_xlpm.Shore_H&gt;0),
Error!$B$16,
IF(AND(_xlpm.baseRow,$E337&lt;&gt;"",$D337=""),
Error!$B$3,
IF(AND(_xlpm.baseRow,OR($E337="Tier 3",$E337="Tier 4"),$C337&lt;&gt;"",$D337&gt;=24,COUNTIF(Tables2!$B$166:$B$674,$C337)&gt;0),
Error!$B$44,
IF(AND(_xlpm.baseRow,OR($E337="Tier 3",$E337="Tier 4"),$C337&lt;&gt;"",$D337&lt;&gt;"",COUNTIF(Tables2!$B$73:$B$152,$C337)&gt;0,
$D337&gt;=IFERROR(INDEX(Tables2!$C$73:$C$152,MATCH($C337,Tables2!$B$73:$B$152,0)),-1)),
Error!$B$44,
IF(AND(_xlpm.baseRow,OR($E337="Tier 2",$E337="Tier 2 Grove"),$C337&lt;&gt;"",$D337&gt;=12,COUNTIF(Tables2!$B$153:$B$162,$C337)&gt;0),
Error!$B$45,
IF(AND(_xlpm.baseRow,$E337="Tier 2 Grove",$D337&lt;12),
Error!$B$41,
IF(AND(_xlpm.baseRow,$E337="Tier 2",$D337&lt;5.88),
Error!$B$40,
IF(AND(_xlpm.baseRow,OR($E337="Tier 2",$E337="Tier 2 Grove"),$C337&lt;&gt;"",$D337&lt;12,$D337&gt;=6,COUNTIF(Tables2!$B$153:$B$162,$C337)&gt;0),
Error!$B$54,
IF(AND(_xlpm.baseRow,$E337="Tier 2",COUNTIF(Tables2!$B$166:$B$674,$C337)&gt;0,$D337&lt;24),
Error!$B$54,
IF(AND(_xlpm.baseRow,$E337="Tier 3",ISNA(MATCH($C337,Tables2!$B$153:$B$162,0)),OR($D337&lt;12,$D337&gt;=24)),
Error!$B$9,
IF(AND(_xlpm.baseRow,$E337="Tier 3",COUNTIF(Tables2!$B$153:$B$162,$C337)&gt;0,$D337&lt;12),
Error!$B$46,
IF(AND(_xlpm.baseRow,$E337="Tier 4",OR($D337&lt;6,$D337&gt;=12)),
Error!$B$10,
IF(AND(_xlpm.baseRow,$E337="&lt;6in DSH for Tree Points",OR($D337&gt;=6,$D337="")),
Error!$B$8,
IF(AND(_xlpm.baseRow,$E337="Street Tree for Green Factor",$F337&lt;&gt;"",$F337&lt;&gt;"Retain"),
Error!$B$14,
IF(AND($E337="&lt;6in DSH for Tree Points",$F337="Retain",$H337&lt;&gt;"",ISNA(MATCH($H337,Tables!$B$174:$B$174,0))),
Error!$B$15,
IF(AND($E337="Street Tree for Green Factor",$F337="Retain",$H337&lt;&gt;"",$H337&lt;&gt;"Zoning: Green Factor"),
Error!$B$15,
IF(AND($E337="ECA / Shoreline Tree",$F337="Remove",$H337&lt;&gt;"",ISNA(MATCH($H337,Tables!$B$189:$B$190,0))),
Error!$B$15,
IF(AND($E337="ECA / Shoreline Tree",$F337="Retain",$H337&lt;&gt;"",ISNA(MATCH($H337,Tables!$B$184:$B$186,0))),
Error!$B$15,
IF(AND($E337="Tier 4",$F337="Remove",$H337&lt;&gt;"",ISNA(MATCH($H337,Tables!$B$171,0))),
Error!$B$15,
IF(AND($E337="Tier 4",$F337="Retain",$H337&lt;&gt;"",ISNA(MATCH($H337,Tables!$B$166:$B$168,0))),
Error!$B$15,
IF(AND($E337="Tier 3",$F337="Retain",$H337&lt;&gt;"",ISNA(MATCH($H337,Tables!$B$158:$B$160,0))),
Error!$B$15,
IF(AND($E337="Tier 3",$F337="Remove",$H337&lt;&gt;"",ISNA(MATCH($H337,Tables!$B$163,0))),
Error!$B$15,
IF(AND(OR($E337="Tier 2",$E337="Tier 2 Grove"),$F337="Remove",$H337&lt;&gt;"",ISNA(MATCH($H337,Tables!$B$153:$B$155,0))),
Error!$B$15,
IF(AND(OR($E337="Tier 2",$E337="Tier 2 Grove"),$F337="Retain",$H337&lt;&gt;"",ISNA(MATCH($H337,Tables!$B$147:$B$150,0))),
Error!$B$15,
IF(AND($E337="Tier 1",$F337="Remove",$H337&lt;&gt;"",ISNA(MATCH($H337,Tables!$B$143:$B$144,0))),
Error!$B$15,
IF(AND($E337="Tier 1",$F337="Retain",$H337&lt;&gt;"",ISNA(MATCH($H337,Tables!$B$137:$B$140,0))),
Error!$B$15,
IF(AND($E337&lt;&gt;"Tier 2",$E337&lt;&gt;"Tier 2 Grove",$E337&lt;&gt;"Tier 3",$E337&lt;&gt;"Tier 4",$H337="Zoning: Green Factor",OR($D337="",$D337&lt;6)),
Error!$B$11,
IF(AND(_xlpm.baseRow,$D337&lt;6,$E337="&lt;6in DSH for Tree Points",_xlpm.TreePoints_H=0),
Error!$B$21,
IF(AND(_xlpm.baseRow,$E337&lt;&gt;"",$D337&lt;&gt;"",$F337=""),
Error!$B$4,
IF(AND(_xlpm.baseRow,$F337="Remove",OR($E337="Tier 1",$E337="Tier 2",$E337="Tier 2 Grove"),COUNTBLANK(_xlpm.HRange)&lt;3,_xlpm.uniqueH&gt;=2),
Error!$B$48,
IF(AND(_xlpm.baseRow,$F337="Retain",OR($E337="Tier 1",$E337="Tier 2",$E337="Tier 2 Grove"),COUNTIF(_xlpm.HRange,"Tree Code: Required to Retain Tier 1-2 Tree")=0),
Error!$B$47,
IF(AND(_xlpm.baseRow,$E337&lt;&gt;"",$D337&lt;&gt;"",$F337&lt;&gt;"",COUNTBLANK(_xlpm.HRange)=4),
Error!$B$5,
IF(AND($F337="Remove",$H337&lt;&gt;"",$I337=""),
Error!$B$18,
IF(AND($E337="Tier 4",$F337="Remove",$H337="Tree Protection Code: Tier 3 or Tier 4 Allowance",$H337&lt;&gt;"",ISNA(MATCH($I337,Tables!$B$200,0))),
Error!$B$17,
IF(AND($E337="Tier 3",$F337="Remove",$H337&lt;&gt;"",$H337="Tree Protection Code: Tier 3 or Tier 4 Allowance",OR($I337="",ISNA(MATCH($I337,Tables!$B$193:$B$197,0)))),
Error!$B$17,
IF(AND(OR($E337="Tier 2",$E337="Tier 2 Grove"),$F337="Remove",$H337="Tree Protection Code: Other removal allowance or exemption",$I337&lt;&gt;"",ISNA(MATCH($I337,Tables!$B$215:$B$218,0))),
Error!$B$17,
IF(AND(OR($E337="Tier 2",$E337="Tier 2 Grove"),$F337="Remove",$H337="Tree Protection Code: Development Capacity",$I337&lt;&gt;"",ISNA(MATCH($I337,Tables!$B$193:$B$197,0))),
Error!$B$17,
IF(AND(OR($E337="Tier 2",$E337="Tier 2 Grove"),$F337="Remove",$H337="Tree Protection Code: Necessary for Construction",$I337&lt;&gt;"",ISNA(MATCH($I337,Tables!$B$193:$B$197,0))),
Error!$B$17,
IF(AND($E337="Tier 1",$F337="Remove",$H337="Tree Protection Code: Special Exception",$I337&lt;&gt;"",ISNA(MATCH($I337,Tables!$B$215:$B$218,0))),
Error!$B$17,
IF(AND($E337="Tier 1",$F337="Remove",$H337="Tree Protection Code: Other removal allowance or exemption",$I337&lt;&gt;"",ISNA(MATCH($I337,Tables!$B$215:$B$218,0))),
Error!$B$17,
IF(AND($E337="ECA / Shoreline Tree",$F337="Remove",$H337&lt;&gt;"",OR($H337="Shoreline",$H337="Environmental Critical Area (ECA)"),ISNA(MATCH($I337,Tables!$B$209:$B$212,0))),
Error!$B$17,
IF(AND(_xlpm.baseRow,$F337="Retain",$E337="ECA / Shoreline Tree",_xlpm.ECA_Short=0),
Error!$B$61,
IF(AND($F337="Remove",ISNUMBER(MATCH($E337,{"Tier 1","Tier 2","Tier 3","Tier 4","Tier 2 Grove"},0)),ISNUMBER(MATCH($I337,{"On-site replacement","Off-site replacement"},0)),$J337="",$H337&lt;&gt;""),
Error!$B$19,
IF(AND(_xlpm.baseRow,$E337&lt;&gt;"",$D337&lt;&gt;"",$F337&lt;&gt;"",COUNTBLANK($B337:$C337)&gt;0,COUNTBLANK(_xlpm.HRange)&lt;&gt;4),
Error!$B$22,
IF(AND($H337="Zoning: Tree Points",$K337&lt;&gt;"",ISNA(MATCH($K337,Tables!$B$242:$B$253,0))),
Error!$B$58,
IF(AND($H337="Zoning: Tree Points",$K337="Small",$L337&lt;&gt;"",ISNA(MATCH($L337,Tables!$C$243:$C$244,0))),
Error!$B$59,
IF(AND($H337="Zoning: Tree Points",$K337="Small/Medium",$L337&lt;&gt;"",ISNA(MATCH($L337,Tables!$C$246:$C$247,0))),
Error!$B$59,
IF(AND($H337="Zoning: Tree Points",$K337="Medium/Large",$L337&lt;&gt;"",ISNA(MATCH($L337,Tables!$C$249:$C$250,0))),
Error!$B$59,
IF(AND($H337="Zoning: Tree Points",$K337="Large",$L337&lt;&gt;"",ISNA(MATCH($L337,Tables!$C$252:$C$253,0))),
Error!$B$59,
IF(AND($F337="Retain",$H337="Zoning: Tree Points",$C337&lt;&gt;"",$D337&lt;&gt;"",OR($K337="",$L337="",$M337="")),
Error!$B$20,
""
)))))))))))))))))))))))))))))))))))))))))))))))))))))))),
Error!$B$23))</f>
        <v/>
      </c>
      <c r="O337" s="343" t="str" cm="1">
        <f t="array" aca="1" ref="O337" ca="1">IFERROR(_xlfn.LET(
    _xlpm.txt, $C337,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38" spans="1:15" ht="15" thickBot="1" x14ac:dyDescent="0.35">
      <c r="A338" s="331"/>
      <c r="B338" s="616" t="str">
        <f t="shared" si="366"/>
        <v/>
      </c>
      <c r="C338" s="617" t="str">
        <f t="shared" si="367"/>
        <v/>
      </c>
      <c r="D338" s="618" t="str">
        <f t="shared" si="368"/>
        <v/>
      </c>
      <c r="E338" s="616" t="str">
        <f t="shared" si="369"/>
        <v/>
      </c>
      <c r="F338" s="616" t="str">
        <f t="shared" si="370"/>
        <v/>
      </c>
      <c r="G338" s="619" t="str">
        <f>IF(Tree_Table1[[#This Row],[Tree Status  &amp;]]="Retain", Tables!$B$237, IF(Tree_Table1[[#This Row],[Tree Status  &amp;]]="Remove", Tables!$B$238, ""))</f>
        <v/>
      </c>
      <c r="H338" s="329"/>
      <c r="I338" s="330"/>
      <c r="J338" s="455"/>
      <c r="K338" s="327" t="str">
        <f>IFERROR(
    IF(
        AND($H338="Zoning: Tree Points", NOT(ISNUMBER(SEARCH("sp.", $C338)))),
        VLOOKUP($C338, 'Tree List'!$C$3:$F$601, 4, FALSE),
        ""
    ),
"")</f>
        <v/>
      </c>
      <c r="L338" s="328" t="str" cm="1">
        <f t="array" ref="L338">IFERROR(
IF(
    AND($H338="Zoning: Tree Points", NOT(ISNUMBER(SEARCH("sp.", $C338)))),
    _xlfn.IFS(
        (COUNTIFS('Tree List'!$C$3:$C$601,$C338,'Tree List'!$D$3:$D$601,"Coniferous")
        + COUNTIFS('Tree List'!$C$3:$C$601,$C338,'Tree List'!$D$3:$D$601,"Deciduous Conifer")) &gt; 0,
            _xlfn.IFS($K338="Small",0.5,$K338="Small/Medium",1,$K338="Medium/Large",1.4,$K338="Large",1.8),
        (COUNTIFS('Tree List'!$C$3:$C$601,$C338,'Tree List'!$D$3:$D$601,"Deciduous")
        + COUNTIFS('Tree List'!$C$3:$C$601,$C338,'Tree List'!$D$3:$D$601,"Broadleaf Evergreen")) &gt; 0,
            _xlfn.IFS($K338="Small",0.4,$K338="Small/Medium",0.8,$K338="Medium/Large",1.2,$K338="Large",1.6)
    ),
    ""
),
"")</f>
        <v/>
      </c>
      <c r="M338" s="476" t="str">
        <f t="shared" si="330"/>
        <v/>
      </c>
      <c r="N338" s="347" t="str" cm="1">
        <f t="array" aca="1" ref="N33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IF(AND(_xlpm.baseRow,ISNA(MATCH($C338,'Tree List'!$C$3:$C$601,0)),SUMPRODUCT(--ISNUMBER(SEARCH(Tables2!$C$677:$C$772,$O338)))&gt;0),
Error!$B$57,
IF(AND(_xlpm.hasDM,$F338="Remove",$H338&lt;&gt;"",OR($I338="On-site replacement",$I338="Off-site replacement",$I338="Payment In Lieu")),
Error!$B$56,
IF(AND(_xlpm.hasDM,$F338="Remove",$H338&lt;&gt;"",$I338="Relocation"),
Error!$B$66,
IF(AND(OR(_xlpm.hasCN,_xlpm.hasPH,_xlpm.hasGR),$H338&lt;&gt;"",COUNTIF(Tables!$B$132:$B$134,$H338)&gt;0,$I338="N/A (No replacement required)"),
Error!$B$62,
IF(AND(_xlpm.baseRow,$E338&lt;&gt;"",ISNA(MATCH($E338,Tables!$B$225:$B$232,0))),
Error!$B$2,
IF(AND(_xlpm.baseRow,$F338&lt;&gt;"",ISNA(MATCH($F338,Tables!$B$234:$B$235,0))),
Error!$B$24,
IF(AND(_xlpm.baseRow,_xlpm.ECA_H&gt;0,_xlpm.Shore_H&gt;0),
Error!$B$16,
IF(AND(_xlpm.baseRow,$E338&lt;&gt;"",$D338=""),
Error!$B$3,
IF(AND(_xlpm.baseRow,OR($E338="Tier 3",$E338="Tier 4"),$C338&lt;&gt;"",$D338&gt;=24,COUNTIF(Tables2!$B$166:$B$674,$C338)&gt;0),
Error!$B$44,
IF(AND(_xlpm.baseRow,OR($E338="Tier 3",$E338="Tier 4"),$C338&lt;&gt;"",$D338&lt;&gt;"",COUNTIF(Tables2!$B$73:$B$152,$C338)&gt;0,
$D338&gt;=IFERROR(INDEX(Tables2!$C$73:$C$152,MATCH($C338,Tables2!$B$73:$B$152,0)),-1)),
Error!$B$44,
IF(AND(_xlpm.baseRow,OR($E338="Tier 2",$E338="Tier 2 Grove"),$C338&lt;&gt;"",$D338&gt;=12,COUNTIF(Tables2!$B$153:$B$162,$C338)&gt;0),
Error!$B$45,
IF(AND(_xlpm.baseRow,$E338="Tier 2 Grove",$D338&lt;12),
Error!$B$41,
IF(AND(_xlpm.baseRow,$E338="Tier 2",$D338&lt;5.88),
Error!$B$40,
IF(AND(_xlpm.baseRow,OR($E338="Tier 2",$E338="Tier 2 Grove"),$C338&lt;&gt;"",$D338&lt;12,$D338&gt;=6,COUNTIF(Tables2!$B$153:$B$162,$C338)&gt;0),
Error!$B$54,
IF(AND(_xlpm.baseRow,$E338="Tier 2",COUNTIF(Tables2!$B$166:$B$674,$C338)&gt;0,$D338&lt;24),
Error!$B$54,
IF(AND(_xlpm.baseRow,$E338="Tier 3",ISNA(MATCH($C338,Tables2!$B$153:$B$162,0)),OR($D338&lt;12,$D338&gt;=24)),
Error!$B$9,
IF(AND(_xlpm.baseRow,$E338="Tier 3",COUNTIF(Tables2!$B$153:$B$162,$C338)&gt;0,$D338&lt;12),
Error!$B$46,
IF(AND(_xlpm.baseRow,$E338="Tier 4",OR($D338&lt;6,$D338&gt;=12)),
Error!$B$10,
IF(AND(_xlpm.baseRow,$E338="&lt;6in DSH for Tree Points",OR($D338&gt;=6,$D338="")),
Error!$B$8,
IF(AND(_xlpm.baseRow,$E338="Street Tree for Green Factor",$F338&lt;&gt;"",$F338&lt;&gt;"Retain"),
Error!$B$14,
IF(AND($E338="&lt;6in DSH for Tree Points",$F338="Retain",$H338&lt;&gt;"",ISNA(MATCH($H338,Tables!$B$174:$B$174,0))),
Error!$B$15,
IF(AND($E338="Street Tree for Green Factor",$F338="Retain",$H338&lt;&gt;"",$H338&lt;&gt;"Zoning: Green Factor"),
Error!$B$15,
IF(AND($E338="ECA / Shoreline Tree",$F338="Remove",$H338&lt;&gt;"",ISNA(MATCH($H338,Tables!$B$189:$B$190,0))),
Error!$B$15,
IF(AND($E338="ECA / Shoreline Tree",$F338="Retain",$H338&lt;&gt;"",ISNA(MATCH($H338,Tables!$B$184:$B$186,0))),
Error!$B$15,
IF(AND($E338="Tier 4",$F338="Remove",$H338&lt;&gt;"",ISNA(MATCH($H338,Tables!$B$171,0))),
Error!$B$15,
IF(AND($E338="Tier 4",$F338="Retain",$H338&lt;&gt;"",ISNA(MATCH($H338,Tables!$B$166:$B$168,0))),
Error!$B$15,
IF(AND($E338="Tier 3",$F338="Retain",$H338&lt;&gt;"",ISNA(MATCH($H338,Tables!$B$158:$B$160,0))),
Error!$B$15,
IF(AND($E338="Tier 3",$F338="Remove",$H338&lt;&gt;"",ISNA(MATCH($H338,Tables!$B$163,0))),
Error!$B$15,
IF(AND(OR($E338="Tier 2",$E338="Tier 2 Grove"),$F338="Remove",$H338&lt;&gt;"",ISNA(MATCH($H338,Tables!$B$153:$B$155,0))),
Error!$B$15,
IF(AND(OR($E338="Tier 2",$E338="Tier 2 Grove"),$F338="Retain",$H338&lt;&gt;"",ISNA(MATCH($H338,Tables!$B$147:$B$150,0))),
Error!$B$15,
IF(AND($E338="Tier 1",$F338="Remove",$H338&lt;&gt;"",ISNA(MATCH($H338,Tables!$B$143:$B$144,0))),
Error!$B$15,
IF(AND($E338="Tier 1",$F338="Retain",$H338&lt;&gt;"",ISNA(MATCH($H338,Tables!$B$137:$B$140,0))),
Error!$B$15,
IF(AND($E338&lt;&gt;"Tier 2",$E338&lt;&gt;"Tier 2 Grove",$E338&lt;&gt;"Tier 3",$E338&lt;&gt;"Tier 4",$H338="Zoning: Green Factor",OR($D338="",$D338&lt;6)),
Error!$B$11,
IF(AND(_xlpm.baseRow,$D338&lt;6,$E338="&lt;6in DSH for Tree Points",_xlpm.TreePoints_H=0),
Error!$B$21,
IF(AND(_xlpm.baseRow,$E338&lt;&gt;"",$D338&lt;&gt;"",$F338=""),
Error!$B$4,
IF(AND(_xlpm.baseRow,$F338="Remove",OR($E338="Tier 1",$E338="Tier 2",$E338="Tier 2 Grove"),COUNTBLANK(_xlpm.HRange)&lt;3,_xlpm.uniqueH&gt;=2),
Error!$B$48,
IF(AND(_xlpm.baseRow,$F338="Retain",OR($E338="Tier 1",$E338="Tier 2",$E338="Tier 2 Grove"),COUNTIF(_xlpm.HRange,"Tree Code: Required to Retain Tier 1-2 Tree")=0),
Error!$B$47,
IF(AND(_xlpm.baseRow,$E338&lt;&gt;"",$D338&lt;&gt;"",$F338&lt;&gt;"",COUNTBLANK(_xlpm.HRange)=4),
Error!$B$5,
IF(AND($F338="Remove",$H338&lt;&gt;"",$I338=""),
Error!$B$18,
IF(AND($E338="Tier 4",$F338="Remove",$H338="Tree Protection Code: Tier 3 or Tier 4 Allowance",$H338&lt;&gt;"",ISNA(MATCH($I338,Tables!$B$200,0))),
Error!$B$17,
IF(AND($E338="Tier 3",$F338="Remove",$H338&lt;&gt;"",$H338="Tree Protection Code: Tier 3 or Tier 4 Allowance",OR($I338="",ISNA(MATCH($I338,Tables!$B$193:$B$197,0)))),
Error!$B$17,
IF(AND(OR($E338="Tier 2",$E338="Tier 2 Grove"),$F338="Remove",$H338="Tree Protection Code: Other removal allowance or exemption",$I338&lt;&gt;"",ISNA(MATCH($I338,Tables!$B$215:$B$218,0))),
Error!$B$17,
IF(AND(OR($E338="Tier 2",$E338="Tier 2 Grove"),$F338="Remove",$H338="Tree Protection Code: Development Capacity",$I338&lt;&gt;"",ISNA(MATCH($I338,Tables!$B$193:$B$197,0))),
Error!$B$17,
IF(AND(OR($E338="Tier 2",$E338="Tier 2 Grove"),$F338="Remove",$H338="Tree Protection Code: Necessary for Construction",$I338&lt;&gt;"",ISNA(MATCH($I338,Tables!$B$193:$B$197,0))),
Error!$B$17,
IF(AND($E338="Tier 1",$F338="Remove",$H338="Tree Protection Code: Special Exception",$I338&lt;&gt;"",ISNA(MATCH($I338,Tables!$B$215:$B$218,0))),
Error!$B$17,
IF(AND($E338="Tier 1",$F338="Remove",$H338="Tree Protection Code: Other removal allowance or exemption",$I338&lt;&gt;"",ISNA(MATCH($I338,Tables!$B$215:$B$218,0))),
Error!$B$17,
IF(AND($E338="ECA / Shoreline Tree",$F338="Remove",$H338&lt;&gt;"",OR($H338="Shoreline",$H338="Environmental Critical Area (ECA)"),ISNA(MATCH($I338,Tables!$B$209:$B$212,0))),
Error!$B$17,
IF(AND(_xlpm.baseRow,$F338="Retain",$E338="ECA / Shoreline Tree",_xlpm.ECA_Short=0),
Error!$B$61,
IF(AND($F338="Remove",ISNUMBER(MATCH($E338,{"Tier 1","Tier 2","Tier 3","Tier 4","Tier 2 Grove"},0)),ISNUMBER(MATCH($I338,{"On-site replacement","Off-site replacement"},0)),$J338="",$H338&lt;&gt;""),
Error!$B$19,
IF(AND(_xlpm.baseRow,$E338&lt;&gt;"",$D338&lt;&gt;"",$F338&lt;&gt;"",COUNTBLANK($B338:$C338)&gt;0,COUNTBLANK(_xlpm.HRange)&lt;&gt;4),
Error!$B$22,
IF(AND($H338="Zoning: Tree Points",$K338&lt;&gt;"",ISNA(MATCH($K338,Tables!$B$242:$B$253,0))),
Error!$B$58,
IF(AND($H338="Zoning: Tree Points",$K338="Small",$L338&lt;&gt;"",ISNA(MATCH($L338,Tables!$C$243:$C$244,0))),
Error!$B$59,
IF(AND($H338="Zoning: Tree Points",$K338="Small/Medium",$L338&lt;&gt;"",ISNA(MATCH($L338,Tables!$C$246:$C$247,0))),
Error!$B$59,
IF(AND($H338="Zoning: Tree Points",$K338="Medium/Large",$L338&lt;&gt;"",ISNA(MATCH($L338,Tables!$C$249:$C$250,0))),
Error!$B$59,
IF(AND($H338="Zoning: Tree Points",$K338="Large",$L338&lt;&gt;"",ISNA(MATCH($L338,Tables!$C$252:$C$253,0))),
Error!$B$59,
IF(AND($F338="Retain",$H338="Zoning: Tree Points",$C338&lt;&gt;"",$D338&lt;&gt;"",OR($K338="",$L338="",$M338="")),
Error!$B$20,
""
)))))))))))))))))))))))))))))))))))))))))))))))))))))))),
Error!$B$23))</f>
        <v/>
      </c>
      <c r="O338" s="343" t="str" cm="1">
        <f t="array" aca="1" ref="O338" ca="1">IFERROR(_xlfn.LET(
    _xlpm.txt, $C338,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39" spans="1:15" ht="15" thickBot="1" x14ac:dyDescent="0.35">
      <c r="A339" s="311">
        <v>83</v>
      </c>
      <c r="B339" s="312"/>
      <c r="C339" s="313"/>
      <c r="D339" s="478"/>
      <c r="E339" s="314"/>
      <c r="F339" s="314"/>
      <c r="G339" s="315" t="str">
        <f>IF(Tree_Table1[[#This Row],[Tree Status  &amp;]]="Retain", Tables!$B$237, IF(Tree_Table1[[#This Row],[Tree Status  &amp;]]="Remove", Tables!$B$238, ""))</f>
        <v/>
      </c>
      <c r="H339" s="316"/>
      <c r="I339" s="317"/>
      <c r="J339" s="452"/>
      <c r="K339" s="318" t="str">
        <f>IFERROR(
    IF(
        AND($H339="Zoning: Tree Points", NOT(ISNUMBER(SEARCH("sp.", $C339)))),
        VLOOKUP($C339, 'Tree List'!$C$3:$F$601, 4, FALSE),
        ""
    ),
"")</f>
        <v/>
      </c>
      <c r="L339" s="319" t="str" cm="1">
        <f t="array" ref="L339">IFERROR(
IF(
    AND($H339="Zoning: Tree Points", NOT(ISNUMBER(SEARCH("sp.", $C339)))),
    _xlfn.IFS(
        (COUNTIFS('Tree List'!$C$3:$C$601,$C339,'Tree List'!$D$3:$D$601,"Coniferous")
        + COUNTIFS('Tree List'!$C$3:$C$601,$C339,'Tree List'!$D$3:$D$601,"Deciduous Conifer")) &gt; 0,
            _xlfn.IFS($K339="Small",0.5,$K339="Small/Medium",1,$K339="Medium/Large",1.4,$K339="Large",1.8),
        (COUNTIFS('Tree List'!$C$3:$C$601,$C339,'Tree List'!$D$3:$D$601,"Deciduous")
        + COUNTIFS('Tree List'!$C$3:$C$601,$C339,'Tree List'!$D$3:$D$601,"Broadleaf Evergreen")) &gt; 0,
            _xlfn.IFS($K339="Small",0.4,$K339="Small/Medium",0.8,$K339="Medium/Large",1.2,$K339="Large",1.6)
    ),
    ""
),
"")</f>
        <v/>
      </c>
      <c r="M339" s="474" t="str">
        <f t="shared" si="330"/>
        <v/>
      </c>
      <c r="N339" s="620" t="str" cm="1">
        <f t="array" aca="1" ref="N33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IF(AND(_xlpm.baseRow,ISNA(MATCH($C339,'Tree List'!$C$3:$C$601,0)),SUMPRODUCT(--ISNUMBER(SEARCH(Tables2!$C$677:$C$772,$O339)))&gt;0),
Error!$B$57,
IF(AND(_xlpm.hasDM,$F339="Remove",$H339&lt;&gt;"",OR($I339="On-site replacement",$I339="Off-site replacement",$I339="Payment In Lieu")),
Error!$B$56,
IF(AND(_xlpm.hasDM,$F339="Remove",$H339&lt;&gt;"",$I339="Relocation"),
Error!$B$66,
IF(AND(OR(_xlpm.hasCN,_xlpm.hasPH,_xlpm.hasGR),$H339&lt;&gt;"",COUNTIF(Tables!$B$132:$B$134,$H339)&gt;0,$I339="N/A (No replacement required)"),
Error!$B$62,
IF(AND(_xlpm.baseRow,$E339&lt;&gt;"",ISNA(MATCH($E339,Tables!$B$225:$B$232,0))),
Error!$B$2,
IF(AND(_xlpm.baseRow,$F339&lt;&gt;"",ISNA(MATCH($F339,Tables!$B$234:$B$235,0))),
Error!$B$24,
IF(AND(_xlpm.baseRow,_xlpm.ECA_H&gt;0,_xlpm.Shore_H&gt;0),
Error!$B$16,
IF(AND(_xlpm.baseRow,$E339&lt;&gt;"",$D339=""),
Error!$B$3,
IF(AND(_xlpm.baseRow,OR($E339="Tier 3",$E339="Tier 4"),$C339&lt;&gt;"",$D339&gt;=24,COUNTIF(Tables2!$B$166:$B$674,$C339)&gt;0),
Error!$B$44,
IF(AND(_xlpm.baseRow,OR($E339="Tier 3",$E339="Tier 4"),$C339&lt;&gt;"",$D339&lt;&gt;"",COUNTIF(Tables2!$B$73:$B$152,$C339)&gt;0,
$D339&gt;=IFERROR(INDEX(Tables2!$C$73:$C$152,MATCH($C339,Tables2!$B$73:$B$152,0)),-1)),
Error!$B$44,
IF(AND(_xlpm.baseRow,OR($E339="Tier 2",$E339="Tier 2 Grove"),$C339&lt;&gt;"",$D339&gt;=12,COUNTIF(Tables2!$B$153:$B$162,$C339)&gt;0),
Error!$B$45,
IF(AND(_xlpm.baseRow,$E339="Tier 2 Grove",$D339&lt;12),
Error!$B$41,
IF(AND(_xlpm.baseRow,$E339="Tier 2",$D339&lt;5.88),
Error!$B$40,
IF(AND(_xlpm.baseRow,OR($E339="Tier 2",$E339="Tier 2 Grove"),$C339&lt;&gt;"",$D339&lt;12,$D339&gt;=6,COUNTIF(Tables2!$B$153:$B$162,$C339)&gt;0),
Error!$B$54,
IF(AND(_xlpm.baseRow,$E339="Tier 2",COUNTIF(Tables2!$B$166:$B$674,$C339)&gt;0,$D339&lt;24),
Error!$B$54,
IF(AND(_xlpm.baseRow,$E339="Tier 3",ISNA(MATCH($C339,Tables2!$B$153:$B$162,0)),OR($D339&lt;12,$D339&gt;=24)),
Error!$B$9,
IF(AND(_xlpm.baseRow,$E339="Tier 3",COUNTIF(Tables2!$B$153:$B$162,$C339)&gt;0,$D339&lt;12),
Error!$B$46,
IF(AND(_xlpm.baseRow,$E339="Tier 4",OR($D339&lt;6,$D339&gt;=12)),
Error!$B$10,
IF(AND(_xlpm.baseRow,$E339="&lt;6in DSH for Tree Points",OR($D339&gt;=6,$D339="")),
Error!$B$8,
IF(AND(_xlpm.baseRow,$E339="Street Tree for Green Factor",$F339&lt;&gt;"",$F339&lt;&gt;"Retain"),
Error!$B$14,
IF(AND($E339="&lt;6in DSH for Tree Points",$F339="Retain",$H339&lt;&gt;"",ISNA(MATCH($H339,Tables!$B$174:$B$174,0))),
Error!$B$15,
IF(AND($E339="Street Tree for Green Factor",$F339="Retain",$H339&lt;&gt;"",$H339&lt;&gt;"Zoning: Green Factor"),
Error!$B$15,
IF(AND($E339="ECA / Shoreline Tree",$F339="Remove",$H339&lt;&gt;"",ISNA(MATCH($H339,Tables!$B$189:$B$190,0))),
Error!$B$15,
IF(AND($E339="ECA / Shoreline Tree",$F339="Retain",$H339&lt;&gt;"",ISNA(MATCH($H339,Tables!$B$184:$B$186,0))),
Error!$B$15,
IF(AND($E339="Tier 4",$F339="Remove",$H339&lt;&gt;"",ISNA(MATCH($H339,Tables!$B$171,0))),
Error!$B$15,
IF(AND($E339="Tier 4",$F339="Retain",$H339&lt;&gt;"",ISNA(MATCH($H339,Tables!$B$166:$B$168,0))),
Error!$B$15,
IF(AND($E339="Tier 3",$F339="Retain",$H339&lt;&gt;"",ISNA(MATCH($H339,Tables!$B$158:$B$160,0))),
Error!$B$15,
IF(AND($E339="Tier 3",$F339="Remove",$H339&lt;&gt;"",ISNA(MATCH($H339,Tables!$B$163,0))),
Error!$B$15,
IF(AND(OR($E339="Tier 2",$E339="Tier 2 Grove"),$F339="Remove",$H339&lt;&gt;"",ISNA(MATCH($H339,Tables!$B$153:$B$155,0))),
Error!$B$15,
IF(AND(OR($E339="Tier 2",$E339="Tier 2 Grove"),$F339="Retain",$H339&lt;&gt;"",ISNA(MATCH($H339,Tables!$B$147:$B$150,0))),
Error!$B$15,
IF(AND($E339="Tier 1",$F339="Remove",$H339&lt;&gt;"",ISNA(MATCH($H339,Tables!$B$143:$B$144,0))),
Error!$B$15,
IF(AND($E339="Tier 1",$F339="Retain",$H339&lt;&gt;"",ISNA(MATCH($H339,Tables!$B$137:$B$140,0))),
Error!$B$15,
IF(AND($E339&lt;&gt;"Tier 2",$E339&lt;&gt;"Tier 2 Grove",$E339&lt;&gt;"Tier 3",$E339&lt;&gt;"Tier 4",$H339="Zoning: Green Factor",OR($D339="",$D339&lt;6)),
Error!$B$11,
IF(AND(_xlpm.baseRow,$D339&lt;6,$E339="&lt;6in DSH for Tree Points",_xlpm.TreePoints_H=0),
Error!$B$21,
IF(AND(_xlpm.baseRow,$E339&lt;&gt;"",$D339&lt;&gt;"",$F339=""),
Error!$B$4,
IF(AND(_xlpm.baseRow,$F339="Remove",OR($E339="Tier 1",$E339="Tier 2",$E339="Tier 2 Grove"),COUNTBLANK(_xlpm.HRange)&lt;3,_xlpm.uniqueH&gt;=2),
Error!$B$48,
IF(AND(_xlpm.baseRow,$F339="Retain",OR($E339="Tier 1",$E339="Tier 2",$E339="Tier 2 Grove"),COUNTIF(_xlpm.HRange,"Tree Code: Required to Retain Tier 1-2 Tree")=0),
Error!$B$47,
IF(AND(_xlpm.baseRow,$E339&lt;&gt;"",$D339&lt;&gt;"",$F339&lt;&gt;"",COUNTBLANK(_xlpm.HRange)=4),
Error!$B$5,
IF(AND($F339="Remove",$H339&lt;&gt;"",$I339=""),
Error!$B$18,
IF(AND($E339="Tier 4",$F339="Remove",$H339="Tree Protection Code: Tier 3 or Tier 4 Allowance",$H339&lt;&gt;"",ISNA(MATCH($I339,Tables!$B$200,0))),
Error!$B$17,
IF(AND($E339="Tier 3",$F339="Remove",$H339&lt;&gt;"",$H339="Tree Protection Code: Tier 3 or Tier 4 Allowance",OR($I339="",ISNA(MATCH($I339,Tables!$B$193:$B$197,0)))),
Error!$B$17,
IF(AND(OR($E339="Tier 2",$E339="Tier 2 Grove"),$F339="Remove",$H339="Tree Protection Code: Other removal allowance or exemption",$I339&lt;&gt;"",ISNA(MATCH($I339,Tables!$B$215:$B$218,0))),
Error!$B$17,
IF(AND(OR($E339="Tier 2",$E339="Tier 2 Grove"),$F339="Remove",$H339="Tree Protection Code: Development Capacity",$I339&lt;&gt;"",ISNA(MATCH($I339,Tables!$B$193:$B$197,0))),
Error!$B$17,
IF(AND(OR($E339="Tier 2",$E339="Tier 2 Grove"),$F339="Remove",$H339="Tree Protection Code: Necessary for Construction",$I339&lt;&gt;"",ISNA(MATCH($I339,Tables!$B$193:$B$197,0))),
Error!$B$17,
IF(AND($E339="Tier 1",$F339="Remove",$H339="Tree Protection Code: Special Exception",$I339&lt;&gt;"",ISNA(MATCH($I339,Tables!$B$215:$B$218,0))),
Error!$B$17,
IF(AND($E339="Tier 1",$F339="Remove",$H339="Tree Protection Code: Other removal allowance or exemption",$I339&lt;&gt;"",ISNA(MATCH($I339,Tables!$B$215:$B$218,0))),
Error!$B$17,
IF(AND($E339="ECA / Shoreline Tree",$F339="Remove",$H339&lt;&gt;"",OR($H339="Shoreline",$H339="Environmental Critical Area (ECA)"),ISNA(MATCH($I339,Tables!$B$209:$B$212,0))),
Error!$B$17,
IF(AND(_xlpm.baseRow,$F339="Retain",$E339="ECA / Shoreline Tree",_xlpm.ECA_Short=0),
Error!$B$61,
IF(AND($F339="Remove",ISNUMBER(MATCH($E339,{"Tier 1","Tier 2","Tier 3","Tier 4","Tier 2 Grove"},0)),ISNUMBER(MATCH($I339,{"On-site replacement","Off-site replacement"},0)),$J339="",$H339&lt;&gt;""),
Error!$B$19,
IF(AND(_xlpm.baseRow,$E339&lt;&gt;"",$D339&lt;&gt;"",$F339&lt;&gt;"",COUNTBLANK($B339:$C339)&gt;0,COUNTBLANK(_xlpm.HRange)&lt;&gt;4),
Error!$B$22,
IF(AND($H339="Zoning: Tree Points",$K339&lt;&gt;"",ISNA(MATCH($K339,Tables!$B$242:$B$253,0))),
Error!$B$58,
IF(AND($H339="Zoning: Tree Points",$K339="Small",$L339&lt;&gt;"",ISNA(MATCH($L339,Tables!$C$243:$C$244,0))),
Error!$B$59,
IF(AND($H339="Zoning: Tree Points",$K339="Small/Medium",$L339&lt;&gt;"",ISNA(MATCH($L339,Tables!$C$246:$C$247,0))),
Error!$B$59,
IF(AND($H339="Zoning: Tree Points",$K339="Medium/Large",$L339&lt;&gt;"",ISNA(MATCH($L339,Tables!$C$249:$C$250,0))),
Error!$B$59,
IF(AND($H339="Zoning: Tree Points",$K339="Large",$L339&lt;&gt;"",ISNA(MATCH($L339,Tables!$C$252:$C$253,0))),
Error!$B$59,
IF(AND($F339="Retain",$H339="Zoning: Tree Points",$C339&lt;&gt;"",$D339&lt;&gt;"",OR($K339="",$L339="",$M339="")),
Error!$B$20,
""
)))))))))))))))))))))))))))))))))))))))))))))))))))))))),
Error!$B$23))</f>
        <v/>
      </c>
      <c r="O339" s="343" t="str" cm="1">
        <f t="array" aca="1" ref="O339" ca="1">IFERROR(_xlfn.LET(
    _xlpm.txt, $C339,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40" spans="1:15" x14ac:dyDescent="0.3">
      <c r="A340" s="320"/>
      <c r="B340" s="616" t="str">
        <f t="shared" ref="B340:B342" si="371">IF($B339="", "", $B339)</f>
        <v/>
      </c>
      <c r="C340" s="617" t="str">
        <f t="shared" ref="C340:C342" si="372">IF($C339="", "", $C339)</f>
        <v/>
      </c>
      <c r="D340" s="618" t="str">
        <f t="shared" ref="D340:D342" si="373">IF($D339="", "", $D339)</f>
        <v/>
      </c>
      <c r="E340" s="616" t="str">
        <f t="shared" ref="E340:E342" si="374">IF($E339="", "", $E339)</f>
        <v/>
      </c>
      <c r="F340" s="616" t="str">
        <f t="shared" ref="F340:F342" si="375">IF($F339="", "", $F339)</f>
        <v/>
      </c>
      <c r="G340" s="619" t="str">
        <f>IF(Tree_Table1[[#This Row],[Tree Status  &amp;]]="Retain", Tables!$B$237, IF(Tree_Table1[[#This Row],[Tree Status  &amp;]]="Remove", Tables!$B$238, ""))</f>
        <v/>
      </c>
      <c r="H340" s="321"/>
      <c r="I340" s="322"/>
      <c r="J340" s="453"/>
      <c r="K340" s="323" t="str">
        <f>IFERROR(
    IF(
        AND($H340="Zoning: Tree Points", NOT(ISNUMBER(SEARCH("sp.", $C340)))),
        VLOOKUP($C340, 'Tree List'!$C$3:$F$601, 4, FALSE),
        ""
    ),
"")</f>
        <v/>
      </c>
      <c r="L340" s="324" t="str" cm="1">
        <f t="array" ref="L340">IFERROR(
IF(
    AND($H340="Zoning: Tree Points", NOT(ISNUMBER(SEARCH("sp.", $C340)))),
    _xlfn.IFS(
        (COUNTIFS('Tree List'!$C$3:$C$601,$C340,'Tree List'!$D$3:$D$601,"Coniferous")
        + COUNTIFS('Tree List'!$C$3:$C$601,$C340,'Tree List'!$D$3:$D$601,"Deciduous Conifer")) &gt; 0,
            _xlfn.IFS($K340="Small",0.5,$K340="Small/Medium",1,$K340="Medium/Large",1.4,$K340="Large",1.8),
        (COUNTIFS('Tree List'!$C$3:$C$601,$C340,'Tree List'!$D$3:$D$601,"Deciduous")
        + COUNTIFS('Tree List'!$C$3:$C$601,$C340,'Tree List'!$D$3:$D$601,"Broadleaf Evergreen")) &gt; 0,
            _xlfn.IFS($K340="Small",0.4,$K340="Small/Medium",0.8,$K340="Medium/Large",1.2,$K340="Large",1.6)
    ),
    ""
),
"")</f>
        <v/>
      </c>
      <c r="M340" s="475" t="str">
        <f t="shared" si="330"/>
        <v/>
      </c>
      <c r="N340" s="346" t="str" cm="1">
        <f t="array" aca="1" ref="N34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IF(AND(_xlpm.baseRow,ISNA(MATCH($C340,'Tree List'!$C$3:$C$601,0)),SUMPRODUCT(--ISNUMBER(SEARCH(Tables2!$C$677:$C$772,$O340)))&gt;0),
Error!$B$57,
IF(AND(_xlpm.hasDM,$F340="Remove",$H340&lt;&gt;"",OR($I340="On-site replacement",$I340="Off-site replacement",$I340="Payment In Lieu")),
Error!$B$56,
IF(AND(_xlpm.hasDM,$F340="Remove",$H340&lt;&gt;"",$I340="Relocation"),
Error!$B$66,
IF(AND(OR(_xlpm.hasCN,_xlpm.hasPH,_xlpm.hasGR),$H340&lt;&gt;"",COUNTIF(Tables!$B$132:$B$134,$H340)&gt;0,$I340="N/A (No replacement required)"),
Error!$B$62,
IF(AND(_xlpm.baseRow,$E340&lt;&gt;"",ISNA(MATCH($E340,Tables!$B$225:$B$232,0))),
Error!$B$2,
IF(AND(_xlpm.baseRow,$F340&lt;&gt;"",ISNA(MATCH($F340,Tables!$B$234:$B$235,0))),
Error!$B$24,
IF(AND(_xlpm.baseRow,_xlpm.ECA_H&gt;0,_xlpm.Shore_H&gt;0),
Error!$B$16,
IF(AND(_xlpm.baseRow,$E340&lt;&gt;"",$D340=""),
Error!$B$3,
IF(AND(_xlpm.baseRow,OR($E340="Tier 3",$E340="Tier 4"),$C340&lt;&gt;"",$D340&gt;=24,COUNTIF(Tables2!$B$166:$B$674,$C340)&gt;0),
Error!$B$44,
IF(AND(_xlpm.baseRow,OR($E340="Tier 3",$E340="Tier 4"),$C340&lt;&gt;"",$D340&lt;&gt;"",COUNTIF(Tables2!$B$73:$B$152,$C340)&gt;0,
$D340&gt;=IFERROR(INDEX(Tables2!$C$73:$C$152,MATCH($C340,Tables2!$B$73:$B$152,0)),-1)),
Error!$B$44,
IF(AND(_xlpm.baseRow,OR($E340="Tier 2",$E340="Tier 2 Grove"),$C340&lt;&gt;"",$D340&gt;=12,COUNTIF(Tables2!$B$153:$B$162,$C340)&gt;0),
Error!$B$45,
IF(AND(_xlpm.baseRow,$E340="Tier 2 Grove",$D340&lt;12),
Error!$B$41,
IF(AND(_xlpm.baseRow,$E340="Tier 2",$D340&lt;5.88),
Error!$B$40,
IF(AND(_xlpm.baseRow,OR($E340="Tier 2",$E340="Tier 2 Grove"),$C340&lt;&gt;"",$D340&lt;12,$D340&gt;=6,COUNTIF(Tables2!$B$153:$B$162,$C340)&gt;0),
Error!$B$54,
IF(AND(_xlpm.baseRow,$E340="Tier 2",COUNTIF(Tables2!$B$166:$B$674,$C340)&gt;0,$D340&lt;24),
Error!$B$54,
IF(AND(_xlpm.baseRow,$E340="Tier 3",ISNA(MATCH($C340,Tables2!$B$153:$B$162,0)),OR($D340&lt;12,$D340&gt;=24)),
Error!$B$9,
IF(AND(_xlpm.baseRow,$E340="Tier 3",COUNTIF(Tables2!$B$153:$B$162,$C340)&gt;0,$D340&lt;12),
Error!$B$46,
IF(AND(_xlpm.baseRow,$E340="Tier 4",OR($D340&lt;6,$D340&gt;=12)),
Error!$B$10,
IF(AND(_xlpm.baseRow,$E340="&lt;6in DSH for Tree Points",OR($D340&gt;=6,$D340="")),
Error!$B$8,
IF(AND(_xlpm.baseRow,$E340="Street Tree for Green Factor",$F340&lt;&gt;"",$F340&lt;&gt;"Retain"),
Error!$B$14,
IF(AND($E340="&lt;6in DSH for Tree Points",$F340="Retain",$H340&lt;&gt;"",ISNA(MATCH($H340,Tables!$B$174:$B$174,0))),
Error!$B$15,
IF(AND($E340="Street Tree for Green Factor",$F340="Retain",$H340&lt;&gt;"",$H340&lt;&gt;"Zoning: Green Factor"),
Error!$B$15,
IF(AND($E340="ECA / Shoreline Tree",$F340="Remove",$H340&lt;&gt;"",ISNA(MATCH($H340,Tables!$B$189:$B$190,0))),
Error!$B$15,
IF(AND($E340="ECA / Shoreline Tree",$F340="Retain",$H340&lt;&gt;"",ISNA(MATCH($H340,Tables!$B$184:$B$186,0))),
Error!$B$15,
IF(AND($E340="Tier 4",$F340="Remove",$H340&lt;&gt;"",ISNA(MATCH($H340,Tables!$B$171,0))),
Error!$B$15,
IF(AND($E340="Tier 4",$F340="Retain",$H340&lt;&gt;"",ISNA(MATCH($H340,Tables!$B$166:$B$168,0))),
Error!$B$15,
IF(AND($E340="Tier 3",$F340="Retain",$H340&lt;&gt;"",ISNA(MATCH($H340,Tables!$B$158:$B$160,0))),
Error!$B$15,
IF(AND($E340="Tier 3",$F340="Remove",$H340&lt;&gt;"",ISNA(MATCH($H340,Tables!$B$163,0))),
Error!$B$15,
IF(AND(OR($E340="Tier 2",$E340="Tier 2 Grove"),$F340="Remove",$H340&lt;&gt;"",ISNA(MATCH($H340,Tables!$B$153:$B$155,0))),
Error!$B$15,
IF(AND(OR($E340="Tier 2",$E340="Tier 2 Grove"),$F340="Retain",$H340&lt;&gt;"",ISNA(MATCH($H340,Tables!$B$147:$B$150,0))),
Error!$B$15,
IF(AND($E340="Tier 1",$F340="Remove",$H340&lt;&gt;"",ISNA(MATCH($H340,Tables!$B$143:$B$144,0))),
Error!$B$15,
IF(AND($E340="Tier 1",$F340="Retain",$H340&lt;&gt;"",ISNA(MATCH($H340,Tables!$B$137:$B$140,0))),
Error!$B$15,
IF(AND($E340&lt;&gt;"Tier 2",$E340&lt;&gt;"Tier 2 Grove",$E340&lt;&gt;"Tier 3",$E340&lt;&gt;"Tier 4",$H340="Zoning: Green Factor",OR($D340="",$D340&lt;6)),
Error!$B$11,
IF(AND(_xlpm.baseRow,$D340&lt;6,$E340="&lt;6in DSH for Tree Points",_xlpm.TreePoints_H=0),
Error!$B$21,
IF(AND(_xlpm.baseRow,$E340&lt;&gt;"",$D340&lt;&gt;"",$F340=""),
Error!$B$4,
IF(AND(_xlpm.baseRow,$F340="Remove",OR($E340="Tier 1",$E340="Tier 2",$E340="Tier 2 Grove"),COUNTBLANK(_xlpm.HRange)&lt;3,_xlpm.uniqueH&gt;=2),
Error!$B$48,
IF(AND(_xlpm.baseRow,$F340="Retain",OR($E340="Tier 1",$E340="Tier 2",$E340="Tier 2 Grove"),COUNTIF(_xlpm.HRange,"Tree Code: Required to Retain Tier 1-2 Tree")=0),
Error!$B$47,
IF(AND(_xlpm.baseRow,$E340&lt;&gt;"",$D340&lt;&gt;"",$F340&lt;&gt;"",COUNTBLANK(_xlpm.HRange)=4),
Error!$B$5,
IF(AND($F340="Remove",$H340&lt;&gt;"",$I340=""),
Error!$B$18,
IF(AND($E340="Tier 4",$F340="Remove",$H340="Tree Protection Code: Tier 3 or Tier 4 Allowance",$H340&lt;&gt;"",ISNA(MATCH($I340,Tables!$B$200,0))),
Error!$B$17,
IF(AND($E340="Tier 3",$F340="Remove",$H340&lt;&gt;"",$H340="Tree Protection Code: Tier 3 or Tier 4 Allowance",OR($I340="",ISNA(MATCH($I340,Tables!$B$193:$B$197,0)))),
Error!$B$17,
IF(AND(OR($E340="Tier 2",$E340="Tier 2 Grove"),$F340="Remove",$H340="Tree Protection Code: Other removal allowance or exemption",$I340&lt;&gt;"",ISNA(MATCH($I340,Tables!$B$215:$B$218,0))),
Error!$B$17,
IF(AND(OR($E340="Tier 2",$E340="Tier 2 Grove"),$F340="Remove",$H340="Tree Protection Code: Development Capacity",$I340&lt;&gt;"",ISNA(MATCH($I340,Tables!$B$193:$B$197,0))),
Error!$B$17,
IF(AND(OR($E340="Tier 2",$E340="Tier 2 Grove"),$F340="Remove",$H340="Tree Protection Code: Necessary for Construction",$I340&lt;&gt;"",ISNA(MATCH($I340,Tables!$B$193:$B$197,0))),
Error!$B$17,
IF(AND($E340="Tier 1",$F340="Remove",$H340="Tree Protection Code: Special Exception",$I340&lt;&gt;"",ISNA(MATCH($I340,Tables!$B$215:$B$218,0))),
Error!$B$17,
IF(AND($E340="Tier 1",$F340="Remove",$H340="Tree Protection Code: Other removal allowance or exemption",$I340&lt;&gt;"",ISNA(MATCH($I340,Tables!$B$215:$B$218,0))),
Error!$B$17,
IF(AND($E340="ECA / Shoreline Tree",$F340="Remove",$H340&lt;&gt;"",OR($H340="Shoreline",$H340="Environmental Critical Area (ECA)"),ISNA(MATCH($I340,Tables!$B$209:$B$212,0))),
Error!$B$17,
IF(AND(_xlpm.baseRow,$F340="Retain",$E340="ECA / Shoreline Tree",_xlpm.ECA_Short=0),
Error!$B$61,
IF(AND($F340="Remove",ISNUMBER(MATCH($E340,{"Tier 1","Tier 2","Tier 3","Tier 4","Tier 2 Grove"},0)),ISNUMBER(MATCH($I340,{"On-site replacement","Off-site replacement"},0)),$J340="",$H340&lt;&gt;""),
Error!$B$19,
IF(AND(_xlpm.baseRow,$E340&lt;&gt;"",$D340&lt;&gt;"",$F340&lt;&gt;"",COUNTBLANK($B340:$C340)&gt;0,COUNTBLANK(_xlpm.HRange)&lt;&gt;4),
Error!$B$22,
IF(AND($H340="Zoning: Tree Points",$K340&lt;&gt;"",ISNA(MATCH($K340,Tables!$B$242:$B$253,0))),
Error!$B$58,
IF(AND($H340="Zoning: Tree Points",$K340="Small",$L340&lt;&gt;"",ISNA(MATCH($L340,Tables!$C$243:$C$244,0))),
Error!$B$59,
IF(AND($H340="Zoning: Tree Points",$K340="Small/Medium",$L340&lt;&gt;"",ISNA(MATCH($L340,Tables!$C$246:$C$247,0))),
Error!$B$59,
IF(AND($H340="Zoning: Tree Points",$K340="Medium/Large",$L340&lt;&gt;"",ISNA(MATCH($L340,Tables!$C$249:$C$250,0))),
Error!$B$59,
IF(AND($H340="Zoning: Tree Points",$K340="Large",$L340&lt;&gt;"",ISNA(MATCH($L340,Tables!$C$252:$C$253,0))),
Error!$B$59,
IF(AND($F340="Retain",$H340="Zoning: Tree Points",$C340&lt;&gt;"",$D340&lt;&gt;"",OR($K340="",$L340="",$M340="")),
Error!$B$20,
""
)))))))))))))))))))))))))))))))))))))))))))))))))))))))),
Error!$B$23))</f>
        <v/>
      </c>
      <c r="O340" s="343" t="str" cm="1">
        <f t="array" aca="1" ref="O340" ca="1">IFERROR(_xlfn.LET(
    _xlpm.txt, $C340,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41" spans="1:15" x14ac:dyDescent="0.3">
      <c r="A341" s="320"/>
      <c r="B341" s="616" t="str">
        <f t="shared" si="371"/>
        <v/>
      </c>
      <c r="C341" s="617" t="str">
        <f t="shared" si="372"/>
        <v/>
      </c>
      <c r="D341" s="618" t="str">
        <f t="shared" si="373"/>
        <v/>
      </c>
      <c r="E341" s="616" t="str">
        <f t="shared" si="374"/>
        <v/>
      </c>
      <c r="F341" s="616" t="str">
        <f t="shared" si="375"/>
        <v/>
      </c>
      <c r="G341" s="619" t="str">
        <f>IF(Tree_Table1[[#This Row],[Tree Status  &amp;]]="Retain", Tables!$B$237, IF(Tree_Table1[[#This Row],[Tree Status  &amp;]]="Remove", Tables!$B$238, ""))</f>
        <v/>
      </c>
      <c r="H341" s="321"/>
      <c r="I341" s="322"/>
      <c r="J341" s="453"/>
      <c r="K341" s="323" t="str">
        <f>IFERROR(
    IF(
        AND($H341="Zoning: Tree Points", NOT(ISNUMBER(SEARCH("sp.", $C341)))),
        VLOOKUP($C341, 'Tree List'!$C$3:$F$601, 4, FALSE),
        ""
    ),
"")</f>
        <v/>
      </c>
      <c r="L341" s="324" t="str" cm="1">
        <f t="array" ref="L341">IFERROR(
IF(
    AND($H341="Zoning: Tree Points", NOT(ISNUMBER(SEARCH("sp.", $C341)))),
    _xlfn.IFS(
        (COUNTIFS('Tree List'!$C$3:$C$601,$C341,'Tree List'!$D$3:$D$601,"Coniferous")
        + COUNTIFS('Tree List'!$C$3:$C$601,$C341,'Tree List'!$D$3:$D$601,"Deciduous Conifer")) &gt; 0,
            _xlfn.IFS($K341="Small",0.5,$K341="Small/Medium",1,$K341="Medium/Large",1.4,$K341="Large",1.8),
        (COUNTIFS('Tree List'!$C$3:$C$601,$C341,'Tree List'!$D$3:$D$601,"Deciduous")
        + COUNTIFS('Tree List'!$C$3:$C$601,$C341,'Tree List'!$D$3:$D$601,"Broadleaf Evergreen")) &gt; 0,
            _xlfn.IFS($K341="Small",0.4,$K341="Small/Medium",0.8,$K341="Medium/Large",1.2,$K341="Large",1.6)
    ),
    ""
),
"")</f>
        <v/>
      </c>
      <c r="M341" s="475" t="str">
        <f t="shared" si="330"/>
        <v/>
      </c>
      <c r="N341" s="346" t="str" cm="1">
        <f t="array" aca="1" ref="N34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IF(AND(_xlpm.baseRow,ISNA(MATCH($C341,'Tree List'!$C$3:$C$601,0)),SUMPRODUCT(--ISNUMBER(SEARCH(Tables2!$C$677:$C$772,$O341)))&gt;0),
Error!$B$57,
IF(AND(_xlpm.hasDM,$F341="Remove",$H341&lt;&gt;"",OR($I341="On-site replacement",$I341="Off-site replacement",$I341="Payment In Lieu")),
Error!$B$56,
IF(AND(_xlpm.hasDM,$F341="Remove",$H341&lt;&gt;"",$I341="Relocation"),
Error!$B$66,
IF(AND(OR(_xlpm.hasCN,_xlpm.hasPH,_xlpm.hasGR),$H341&lt;&gt;"",COUNTIF(Tables!$B$132:$B$134,$H341)&gt;0,$I341="N/A (No replacement required)"),
Error!$B$62,
IF(AND(_xlpm.baseRow,$E341&lt;&gt;"",ISNA(MATCH($E341,Tables!$B$225:$B$232,0))),
Error!$B$2,
IF(AND(_xlpm.baseRow,$F341&lt;&gt;"",ISNA(MATCH($F341,Tables!$B$234:$B$235,0))),
Error!$B$24,
IF(AND(_xlpm.baseRow,_xlpm.ECA_H&gt;0,_xlpm.Shore_H&gt;0),
Error!$B$16,
IF(AND(_xlpm.baseRow,$E341&lt;&gt;"",$D341=""),
Error!$B$3,
IF(AND(_xlpm.baseRow,OR($E341="Tier 3",$E341="Tier 4"),$C341&lt;&gt;"",$D341&gt;=24,COUNTIF(Tables2!$B$166:$B$674,$C341)&gt;0),
Error!$B$44,
IF(AND(_xlpm.baseRow,OR($E341="Tier 3",$E341="Tier 4"),$C341&lt;&gt;"",$D341&lt;&gt;"",COUNTIF(Tables2!$B$73:$B$152,$C341)&gt;0,
$D341&gt;=IFERROR(INDEX(Tables2!$C$73:$C$152,MATCH($C341,Tables2!$B$73:$B$152,0)),-1)),
Error!$B$44,
IF(AND(_xlpm.baseRow,OR($E341="Tier 2",$E341="Tier 2 Grove"),$C341&lt;&gt;"",$D341&gt;=12,COUNTIF(Tables2!$B$153:$B$162,$C341)&gt;0),
Error!$B$45,
IF(AND(_xlpm.baseRow,$E341="Tier 2 Grove",$D341&lt;12),
Error!$B$41,
IF(AND(_xlpm.baseRow,$E341="Tier 2",$D341&lt;5.88),
Error!$B$40,
IF(AND(_xlpm.baseRow,OR($E341="Tier 2",$E341="Tier 2 Grove"),$C341&lt;&gt;"",$D341&lt;12,$D341&gt;=6,COUNTIF(Tables2!$B$153:$B$162,$C341)&gt;0),
Error!$B$54,
IF(AND(_xlpm.baseRow,$E341="Tier 2",COUNTIF(Tables2!$B$166:$B$674,$C341)&gt;0,$D341&lt;24),
Error!$B$54,
IF(AND(_xlpm.baseRow,$E341="Tier 3",ISNA(MATCH($C341,Tables2!$B$153:$B$162,0)),OR($D341&lt;12,$D341&gt;=24)),
Error!$B$9,
IF(AND(_xlpm.baseRow,$E341="Tier 3",COUNTIF(Tables2!$B$153:$B$162,$C341)&gt;0,$D341&lt;12),
Error!$B$46,
IF(AND(_xlpm.baseRow,$E341="Tier 4",OR($D341&lt;6,$D341&gt;=12)),
Error!$B$10,
IF(AND(_xlpm.baseRow,$E341="&lt;6in DSH for Tree Points",OR($D341&gt;=6,$D341="")),
Error!$B$8,
IF(AND(_xlpm.baseRow,$E341="Street Tree for Green Factor",$F341&lt;&gt;"",$F341&lt;&gt;"Retain"),
Error!$B$14,
IF(AND($E341="&lt;6in DSH for Tree Points",$F341="Retain",$H341&lt;&gt;"",ISNA(MATCH($H341,Tables!$B$174:$B$174,0))),
Error!$B$15,
IF(AND($E341="Street Tree for Green Factor",$F341="Retain",$H341&lt;&gt;"",$H341&lt;&gt;"Zoning: Green Factor"),
Error!$B$15,
IF(AND($E341="ECA / Shoreline Tree",$F341="Remove",$H341&lt;&gt;"",ISNA(MATCH($H341,Tables!$B$189:$B$190,0))),
Error!$B$15,
IF(AND($E341="ECA / Shoreline Tree",$F341="Retain",$H341&lt;&gt;"",ISNA(MATCH($H341,Tables!$B$184:$B$186,0))),
Error!$B$15,
IF(AND($E341="Tier 4",$F341="Remove",$H341&lt;&gt;"",ISNA(MATCH($H341,Tables!$B$171,0))),
Error!$B$15,
IF(AND($E341="Tier 4",$F341="Retain",$H341&lt;&gt;"",ISNA(MATCH($H341,Tables!$B$166:$B$168,0))),
Error!$B$15,
IF(AND($E341="Tier 3",$F341="Retain",$H341&lt;&gt;"",ISNA(MATCH($H341,Tables!$B$158:$B$160,0))),
Error!$B$15,
IF(AND($E341="Tier 3",$F341="Remove",$H341&lt;&gt;"",ISNA(MATCH($H341,Tables!$B$163,0))),
Error!$B$15,
IF(AND(OR($E341="Tier 2",$E341="Tier 2 Grove"),$F341="Remove",$H341&lt;&gt;"",ISNA(MATCH($H341,Tables!$B$153:$B$155,0))),
Error!$B$15,
IF(AND(OR($E341="Tier 2",$E341="Tier 2 Grove"),$F341="Retain",$H341&lt;&gt;"",ISNA(MATCH($H341,Tables!$B$147:$B$150,0))),
Error!$B$15,
IF(AND($E341="Tier 1",$F341="Remove",$H341&lt;&gt;"",ISNA(MATCH($H341,Tables!$B$143:$B$144,0))),
Error!$B$15,
IF(AND($E341="Tier 1",$F341="Retain",$H341&lt;&gt;"",ISNA(MATCH($H341,Tables!$B$137:$B$140,0))),
Error!$B$15,
IF(AND($E341&lt;&gt;"Tier 2",$E341&lt;&gt;"Tier 2 Grove",$E341&lt;&gt;"Tier 3",$E341&lt;&gt;"Tier 4",$H341="Zoning: Green Factor",OR($D341="",$D341&lt;6)),
Error!$B$11,
IF(AND(_xlpm.baseRow,$D341&lt;6,$E341="&lt;6in DSH for Tree Points",_xlpm.TreePoints_H=0),
Error!$B$21,
IF(AND(_xlpm.baseRow,$E341&lt;&gt;"",$D341&lt;&gt;"",$F341=""),
Error!$B$4,
IF(AND(_xlpm.baseRow,$F341="Remove",OR($E341="Tier 1",$E341="Tier 2",$E341="Tier 2 Grove"),COUNTBLANK(_xlpm.HRange)&lt;3,_xlpm.uniqueH&gt;=2),
Error!$B$48,
IF(AND(_xlpm.baseRow,$F341="Retain",OR($E341="Tier 1",$E341="Tier 2",$E341="Tier 2 Grove"),COUNTIF(_xlpm.HRange,"Tree Code: Required to Retain Tier 1-2 Tree")=0),
Error!$B$47,
IF(AND(_xlpm.baseRow,$E341&lt;&gt;"",$D341&lt;&gt;"",$F341&lt;&gt;"",COUNTBLANK(_xlpm.HRange)=4),
Error!$B$5,
IF(AND($F341="Remove",$H341&lt;&gt;"",$I341=""),
Error!$B$18,
IF(AND($E341="Tier 4",$F341="Remove",$H341="Tree Protection Code: Tier 3 or Tier 4 Allowance",$H341&lt;&gt;"",ISNA(MATCH($I341,Tables!$B$200,0))),
Error!$B$17,
IF(AND($E341="Tier 3",$F341="Remove",$H341&lt;&gt;"",$H341="Tree Protection Code: Tier 3 or Tier 4 Allowance",OR($I341="",ISNA(MATCH($I341,Tables!$B$193:$B$197,0)))),
Error!$B$17,
IF(AND(OR($E341="Tier 2",$E341="Tier 2 Grove"),$F341="Remove",$H341="Tree Protection Code: Other removal allowance or exemption",$I341&lt;&gt;"",ISNA(MATCH($I341,Tables!$B$215:$B$218,0))),
Error!$B$17,
IF(AND(OR($E341="Tier 2",$E341="Tier 2 Grove"),$F341="Remove",$H341="Tree Protection Code: Development Capacity",$I341&lt;&gt;"",ISNA(MATCH($I341,Tables!$B$193:$B$197,0))),
Error!$B$17,
IF(AND(OR($E341="Tier 2",$E341="Tier 2 Grove"),$F341="Remove",$H341="Tree Protection Code: Necessary for Construction",$I341&lt;&gt;"",ISNA(MATCH($I341,Tables!$B$193:$B$197,0))),
Error!$B$17,
IF(AND($E341="Tier 1",$F341="Remove",$H341="Tree Protection Code: Special Exception",$I341&lt;&gt;"",ISNA(MATCH($I341,Tables!$B$215:$B$218,0))),
Error!$B$17,
IF(AND($E341="Tier 1",$F341="Remove",$H341="Tree Protection Code: Other removal allowance or exemption",$I341&lt;&gt;"",ISNA(MATCH($I341,Tables!$B$215:$B$218,0))),
Error!$B$17,
IF(AND($E341="ECA / Shoreline Tree",$F341="Remove",$H341&lt;&gt;"",OR($H341="Shoreline",$H341="Environmental Critical Area (ECA)"),ISNA(MATCH($I341,Tables!$B$209:$B$212,0))),
Error!$B$17,
IF(AND(_xlpm.baseRow,$F341="Retain",$E341="ECA / Shoreline Tree",_xlpm.ECA_Short=0),
Error!$B$61,
IF(AND($F341="Remove",ISNUMBER(MATCH($E341,{"Tier 1","Tier 2","Tier 3","Tier 4","Tier 2 Grove"},0)),ISNUMBER(MATCH($I341,{"On-site replacement","Off-site replacement"},0)),$J341="",$H341&lt;&gt;""),
Error!$B$19,
IF(AND(_xlpm.baseRow,$E341&lt;&gt;"",$D341&lt;&gt;"",$F341&lt;&gt;"",COUNTBLANK($B341:$C341)&gt;0,COUNTBLANK(_xlpm.HRange)&lt;&gt;4),
Error!$B$22,
IF(AND($H341="Zoning: Tree Points",$K341&lt;&gt;"",ISNA(MATCH($K341,Tables!$B$242:$B$253,0))),
Error!$B$58,
IF(AND($H341="Zoning: Tree Points",$K341="Small",$L341&lt;&gt;"",ISNA(MATCH($L341,Tables!$C$243:$C$244,0))),
Error!$B$59,
IF(AND($H341="Zoning: Tree Points",$K341="Small/Medium",$L341&lt;&gt;"",ISNA(MATCH($L341,Tables!$C$246:$C$247,0))),
Error!$B$59,
IF(AND($H341="Zoning: Tree Points",$K341="Medium/Large",$L341&lt;&gt;"",ISNA(MATCH($L341,Tables!$C$249:$C$250,0))),
Error!$B$59,
IF(AND($H341="Zoning: Tree Points",$K341="Large",$L341&lt;&gt;"",ISNA(MATCH($L341,Tables!$C$252:$C$253,0))),
Error!$B$59,
IF(AND($F341="Retain",$H341="Zoning: Tree Points",$C341&lt;&gt;"",$D341&lt;&gt;"",OR($K341="",$L341="",$M341="")),
Error!$B$20,
""
)))))))))))))))))))))))))))))))))))))))))))))))))))))))),
Error!$B$23))</f>
        <v/>
      </c>
      <c r="O341" s="343" t="str" cm="1">
        <f t="array" aca="1" ref="O341" ca="1">IFERROR(_xlfn.LET(
    _xlpm.txt, $C341,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42" spans="1:15" ht="15" thickBot="1" x14ac:dyDescent="0.35">
      <c r="A342" s="331"/>
      <c r="B342" s="616" t="str">
        <f t="shared" si="371"/>
        <v/>
      </c>
      <c r="C342" s="617" t="str">
        <f t="shared" si="372"/>
        <v/>
      </c>
      <c r="D342" s="618" t="str">
        <f t="shared" si="373"/>
        <v/>
      </c>
      <c r="E342" s="616" t="str">
        <f t="shared" si="374"/>
        <v/>
      </c>
      <c r="F342" s="616" t="str">
        <f t="shared" si="375"/>
        <v/>
      </c>
      <c r="G342" s="619" t="str">
        <f>IF(Tree_Table1[[#This Row],[Tree Status  &amp;]]="Retain", Tables!$B$237, IF(Tree_Table1[[#This Row],[Tree Status  &amp;]]="Remove", Tables!$B$238, ""))</f>
        <v/>
      </c>
      <c r="H342" s="329"/>
      <c r="I342" s="330"/>
      <c r="J342" s="455"/>
      <c r="K342" s="327" t="str">
        <f>IFERROR(
    IF(
        AND($H342="Zoning: Tree Points", NOT(ISNUMBER(SEARCH("sp.", $C342)))),
        VLOOKUP($C342, 'Tree List'!$C$3:$F$601, 4, FALSE),
        ""
    ),
"")</f>
        <v/>
      </c>
      <c r="L342" s="328" t="str" cm="1">
        <f t="array" ref="L342">IFERROR(
IF(
    AND($H342="Zoning: Tree Points", NOT(ISNUMBER(SEARCH("sp.", $C342)))),
    _xlfn.IFS(
        (COUNTIFS('Tree List'!$C$3:$C$601,$C342,'Tree List'!$D$3:$D$601,"Coniferous")
        + COUNTIFS('Tree List'!$C$3:$C$601,$C342,'Tree List'!$D$3:$D$601,"Deciduous Conifer")) &gt; 0,
            _xlfn.IFS($K342="Small",0.5,$K342="Small/Medium",1,$K342="Medium/Large",1.4,$K342="Large",1.8),
        (COUNTIFS('Tree List'!$C$3:$C$601,$C342,'Tree List'!$D$3:$D$601,"Deciduous")
        + COUNTIFS('Tree List'!$C$3:$C$601,$C342,'Tree List'!$D$3:$D$601,"Broadleaf Evergreen")) &gt; 0,
            _xlfn.IFS($K342="Small",0.4,$K342="Small/Medium",0.8,$K342="Medium/Large",1.2,$K342="Large",1.6)
    ),
    ""
),
"")</f>
        <v/>
      </c>
      <c r="M342" s="476" t="str">
        <f t="shared" si="330"/>
        <v/>
      </c>
      <c r="N342" s="347" t="str" cm="1">
        <f t="array" aca="1" ref="N34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IF(AND(_xlpm.baseRow,ISNA(MATCH($C342,'Tree List'!$C$3:$C$601,0)),SUMPRODUCT(--ISNUMBER(SEARCH(Tables2!$C$677:$C$772,$O342)))&gt;0),
Error!$B$57,
IF(AND(_xlpm.hasDM,$F342="Remove",$H342&lt;&gt;"",OR($I342="On-site replacement",$I342="Off-site replacement",$I342="Payment In Lieu")),
Error!$B$56,
IF(AND(_xlpm.hasDM,$F342="Remove",$H342&lt;&gt;"",$I342="Relocation"),
Error!$B$66,
IF(AND(OR(_xlpm.hasCN,_xlpm.hasPH,_xlpm.hasGR),$H342&lt;&gt;"",COUNTIF(Tables!$B$132:$B$134,$H342)&gt;0,$I342="N/A (No replacement required)"),
Error!$B$62,
IF(AND(_xlpm.baseRow,$E342&lt;&gt;"",ISNA(MATCH($E342,Tables!$B$225:$B$232,0))),
Error!$B$2,
IF(AND(_xlpm.baseRow,$F342&lt;&gt;"",ISNA(MATCH($F342,Tables!$B$234:$B$235,0))),
Error!$B$24,
IF(AND(_xlpm.baseRow,_xlpm.ECA_H&gt;0,_xlpm.Shore_H&gt;0),
Error!$B$16,
IF(AND(_xlpm.baseRow,$E342&lt;&gt;"",$D342=""),
Error!$B$3,
IF(AND(_xlpm.baseRow,OR($E342="Tier 3",$E342="Tier 4"),$C342&lt;&gt;"",$D342&gt;=24,COUNTIF(Tables2!$B$166:$B$674,$C342)&gt;0),
Error!$B$44,
IF(AND(_xlpm.baseRow,OR($E342="Tier 3",$E342="Tier 4"),$C342&lt;&gt;"",$D342&lt;&gt;"",COUNTIF(Tables2!$B$73:$B$152,$C342)&gt;0,
$D342&gt;=IFERROR(INDEX(Tables2!$C$73:$C$152,MATCH($C342,Tables2!$B$73:$B$152,0)),-1)),
Error!$B$44,
IF(AND(_xlpm.baseRow,OR($E342="Tier 2",$E342="Tier 2 Grove"),$C342&lt;&gt;"",$D342&gt;=12,COUNTIF(Tables2!$B$153:$B$162,$C342)&gt;0),
Error!$B$45,
IF(AND(_xlpm.baseRow,$E342="Tier 2 Grove",$D342&lt;12),
Error!$B$41,
IF(AND(_xlpm.baseRow,$E342="Tier 2",$D342&lt;5.88),
Error!$B$40,
IF(AND(_xlpm.baseRow,OR($E342="Tier 2",$E342="Tier 2 Grove"),$C342&lt;&gt;"",$D342&lt;12,$D342&gt;=6,COUNTIF(Tables2!$B$153:$B$162,$C342)&gt;0),
Error!$B$54,
IF(AND(_xlpm.baseRow,$E342="Tier 2",COUNTIF(Tables2!$B$166:$B$674,$C342)&gt;0,$D342&lt;24),
Error!$B$54,
IF(AND(_xlpm.baseRow,$E342="Tier 3",ISNA(MATCH($C342,Tables2!$B$153:$B$162,0)),OR($D342&lt;12,$D342&gt;=24)),
Error!$B$9,
IF(AND(_xlpm.baseRow,$E342="Tier 3",COUNTIF(Tables2!$B$153:$B$162,$C342)&gt;0,$D342&lt;12),
Error!$B$46,
IF(AND(_xlpm.baseRow,$E342="Tier 4",OR($D342&lt;6,$D342&gt;=12)),
Error!$B$10,
IF(AND(_xlpm.baseRow,$E342="&lt;6in DSH for Tree Points",OR($D342&gt;=6,$D342="")),
Error!$B$8,
IF(AND(_xlpm.baseRow,$E342="Street Tree for Green Factor",$F342&lt;&gt;"",$F342&lt;&gt;"Retain"),
Error!$B$14,
IF(AND($E342="&lt;6in DSH for Tree Points",$F342="Retain",$H342&lt;&gt;"",ISNA(MATCH($H342,Tables!$B$174:$B$174,0))),
Error!$B$15,
IF(AND($E342="Street Tree for Green Factor",$F342="Retain",$H342&lt;&gt;"",$H342&lt;&gt;"Zoning: Green Factor"),
Error!$B$15,
IF(AND($E342="ECA / Shoreline Tree",$F342="Remove",$H342&lt;&gt;"",ISNA(MATCH($H342,Tables!$B$189:$B$190,0))),
Error!$B$15,
IF(AND($E342="ECA / Shoreline Tree",$F342="Retain",$H342&lt;&gt;"",ISNA(MATCH($H342,Tables!$B$184:$B$186,0))),
Error!$B$15,
IF(AND($E342="Tier 4",$F342="Remove",$H342&lt;&gt;"",ISNA(MATCH($H342,Tables!$B$171,0))),
Error!$B$15,
IF(AND($E342="Tier 4",$F342="Retain",$H342&lt;&gt;"",ISNA(MATCH($H342,Tables!$B$166:$B$168,0))),
Error!$B$15,
IF(AND($E342="Tier 3",$F342="Retain",$H342&lt;&gt;"",ISNA(MATCH($H342,Tables!$B$158:$B$160,0))),
Error!$B$15,
IF(AND($E342="Tier 3",$F342="Remove",$H342&lt;&gt;"",ISNA(MATCH($H342,Tables!$B$163,0))),
Error!$B$15,
IF(AND(OR($E342="Tier 2",$E342="Tier 2 Grove"),$F342="Remove",$H342&lt;&gt;"",ISNA(MATCH($H342,Tables!$B$153:$B$155,0))),
Error!$B$15,
IF(AND(OR($E342="Tier 2",$E342="Tier 2 Grove"),$F342="Retain",$H342&lt;&gt;"",ISNA(MATCH($H342,Tables!$B$147:$B$150,0))),
Error!$B$15,
IF(AND($E342="Tier 1",$F342="Remove",$H342&lt;&gt;"",ISNA(MATCH($H342,Tables!$B$143:$B$144,0))),
Error!$B$15,
IF(AND($E342="Tier 1",$F342="Retain",$H342&lt;&gt;"",ISNA(MATCH($H342,Tables!$B$137:$B$140,0))),
Error!$B$15,
IF(AND($E342&lt;&gt;"Tier 2",$E342&lt;&gt;"Tier 2 Grove",$E342&lt;&gt;"Tier 3",$E342&lt;&gt;"Tier 4",$H342="Zoning: Green Factor",OR($D342="",$D342&lt;6)),
Error!$B$11,
IF(AND(_xlpm.baseRow,$D342&lt;6,$E342="&lt;6in DSH for Tree Points",_xlpm.TreePoints_H=0),
Error!$B$21,
IF(AND(_xlpm.baseRow,$E342&lt;&gt;"",$D342&lt;&gt;"",$F342=""),
Error!$B$4,
IF(AND(_xlpm.baseRow,$F342="Remove",OR($E342="Tier 1",$E342="Tier 2",$E342="Tier 2 Grove"),COUNTBLANK(_xlpm.HRange)&lt;3,_xlpm.uniqueH&gt;=2),
Error!$B$48,
IF(AND(_xlpm.baseRow,$F342="Retain",OR($E342="Tier 1",$E342="Tier 2",$E342="Tier 2 Grove"),COUNTIF(_xlpm.HRange,"Tree Code: Required to Retain Tier 1-2 Tree")=0),
Error!$B$47,
IF(AND(_xlpm.baseRow,$E342&lt;&gt;"",$D342&lt;&gt;"",$F342&lt;&gt;"",COUNTBLANK(_xlpm.HRange)=4),
Error!$B$5,
IF(AND($F342="Remove",$H342&lt;&gt;"",$I342=""),
Error!$B$18,
IF(AND($E342="Tier 4",$F342="Remove",$H342="Tree Protection Code: Tier 3 or Tier 4 Allowance",$H342&lt;&gt;"",ISNA(MATCH($I342,Tables!$B$200,0))),
Error!$B$17,
IF(AND($E342="Tier 3",$F342="Remove",$H342&lt;&gt;"",$H342="Tree Protection Code: Tier 3 or Tier 4 Allowance",OR($I342="",ISNA(MATCH($I342,Tables!$B$193:$B$197,0)))),
Error!$B$17,
IF(AND(OR($E342="Tier 2",$E342="Tier 2 Grove"),$F342="Remove",$H342="Tree Protection Code: Other removal allowance or exemption",$I342&lt;&gt;"",ISNA(MATCH($I342,Tables!$B$215:$B$218,0))),
Error!$B$17,
IF(AND(OR($E342="Tier 2",$E342="Tier 2 Grove"),$F342="Remove",$H342="Tree Protection Code: Development Capacity",$I342&lt;&gt;"",ISNA(MATCH($I342,Tables!$B$193:$B$197,0))),
Error!$B$17,
IF(AND(OR($E342="Tier 2",$E342="Tier 2 Grove"),$F342="Remove",$H342="Tree Protection Code: Necessary for Construction",$I342&lt;&gt;"",ISNA(MATCH($I342,Tables!$B$193:$B$197,0))),
Error!$B$17,
IF(AND($E342="Tier 1",$F342="Remove",$H342="Tree Protection Code: Special Exception",$I342&lt;&gt;"",ISNA(MATCH($I342,Tables!$B$215:$B$218,0))),
Error!$B$17,
IF(AND($E342="Tier 1",$F342="Remove",$H342="Tree Protection Code: Other removal allowance or exemption",$I342&lt;&gt;"",ISNA(MATCH($I342,Tables!$B$215:$B$218,0))),
Error!$B$17,
IF(AND($E342="ECA / Shoreline Tree",$F342="Remove",$H342&lt;&gt;"",OR($H342="Shoreline",$H342="Environmental Critical Area (ECA)"),ISNA(MATCH($I342,Tables!$B$209:$B$212,0))),
Error!$B$17,
IF(AND(_xlpm.baseRow,$F342="Retain",$E342="ECA / Shoreline Tree",_xlpm.ECA_Short=0),
Error!$B$61,
IF(AND($F342="Remove",ISNUMBER(MATCH($E342,{"Tier 1","Tier 2","Tier 3","Tier 4","Tier 2 Grove"},0)),ISNUMBER(MATCH($I342,{"On-site replacement","Off-site replacement"},0)),$J342="",$H342&lt;&gt;""),
Error!$B$19,
IF(AND(_xlpm.baseRow,$E342&lt;&gt;"",$D342&lt;&gt;"",$F342&lt;&gt;"",COUNTBLANK($B342:$C342)&gt;0,COUNTBLANK(_xlpm.HRange)&lt;&gt;4),
Error!$B$22,
IF(AND($H342="Zoning: Tree Points",$K342&lt;&gt;"",ISNA(MATCH($K342,Tables!$B$242:$B$253,0))),
Error!$B$58,
IF(AND($H342="Zoning: Tree Points",$K342="Small",$L342&lt;&gt;"",ISNA(MATCH($L342,Tables!$C$243:$C$244,0))),
Error!$B$59,
IF(AND($H342="Zoning: Tree Points",$K342="Small/Medium",$L342&lt;&gt;"",ISNA(MATCH($L342,Tables!$C$246:$C$247,0))),
Error!$B$59,
IF(AND($H342="Zoning: Tree Points",$K342="Medium/Large",$L342&lt;&gt;"",ISNA(MATCH($L342,Tables!$C$249:$C$250,0))),
Error!$B$59,
IF(AND($H342="Zoning: Tree Points",$K342="Large",$L342&lt;&gt;"",ISNA(MATCH($L342,Tables!$C$252:$C$253,0))),
Error!$B$59,
IF(AND($F342="Retain",$H342="Zoning: Tree Points",$C342&lt;&gt;"",$D342&lt;&gt;"",OR($K342="",$L342="",$M342="")),
Error!$B$20,
""
)))))))))))))))))))))))))))))))))))))))))))))))))))))))),
Error!$B$23))</f>
        <v/>
      </c>
      <c r="O342" s="343" t="str" cm="1">
        <f t="array" aca="1" ref="O342" ca="1">IFERROR(_xlfn.LET(
    _xlpm.txt, $C342,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43" spans="1:15" ht="15" thickBot="1" x14ac:dyDescent="0.35">
      <c r="A343" s="311">
        <v>84</v>
      </c>
      <c r="B343" s="312"/>
      <c r="C343" s="313"/>
      <c r="D343" s="478"/>
      <c r="E343" s="314"/>
      <c r="F343" s="314"/>
      <c r="G343" s="315" t="str">
        <f>IF(Tree_Table1[[#This Row],[Tree Status  &amp;]]="Retain", Tables!$B$237, IF(Tree_Table1[[#This Row],[Tree Status  &amp;]]="Remove", Tables!$B$238, ""))</f>
        <v/>
      </c>
      <c r="H343" s="316"/>
      <c r="I343" s="317"/>
      <c r="J343" s="452"/>
      <c r="K343" s="318" t="str">
        <f>IFERROR(
    IF(
        AND($H343="Zoning: Tree Points", NOT(ISNUMBER(SEARCH("sp.", $C343)))),
        VLOOKUP($C343, 'Tree List'!$C$3:$F$601, 4, FALSE),
        ""
    ),
"")</f>
        <v/>
      </c>
      <c r="L343" s="319" t="str" cm="1">
        <f t="array" ref="L343">IFERROR(
IF(
    AND($H343="Zoning: Tree Points", NOT(ISNUMBER(SEARCH("sp.", $C343)))),
    _xlfn.IFS(
        (COUNTIFS('Tree List'!$C$3:$C$601,$C343,'Tree List'!$D$3:$D$601,"Coniferous")
        + COUNTIFS('Tree List'!$C$3:$C$601,$C343,'Tree List'!$D$3:$D$601,"Deciduous Conifer")) &gt; 0,
            _xlfn.IFS($K343="Small",0.5,$K343="Small/Medium",1,$K343="Medium/Large",1.4,$K343="Large",1.8),
        (COUNTIFS('Tree List'!$C$3:$C$601,$C343,'Tree List'!$D$3:$D$601,"Deciduous")
        + COUNTIFS('Tree List'!$C$3:$C$601,$C343,'Tree List'!$D$3:$D$601,"Broadleaf Evergreen")) &gt; 0,
            _xlfn.IFS($K343="Small",0.4,$K343="Small/Medium",0.8,$K343="Medium/Large",1.2,$K343="Large",1.6)
    ),
    ""
),
"")</f>
        <v/>
      </c>
      <c r="M343" s="474" t="str">
        <f t="shared" si="330"/>
        <v/>
      </c>
      <c r="N343" s="620" t="str" cm="1">
        <f t="array" aca="1" ref="N34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IF(AND(_xlpm.baseRow,ISNA(MATCH($C343,'Tree List'!$C$3:$C$601,0)),SUMPRODUCT(--ISNUMBER(SEARCH(Tables2!$C$677:$C$772,$O343)))&gt;0),
Error!$B$57,
IF(AND(_xlpm.hasDM,$F343="Remove",$H343&lt;&gt;"",OR($I343="On-site replacement",$I343="Off-site replacement",$I343="Payment In Lieu")),
Error!$B$56,
IF(AND(_xlpm.hasDM,$F343="Remove",$H343&lt;&gt;"",$I343="Relocation"),
Error!$B$66,
IF(AND(OR(_xlpm.hasCN,_xlpm.hasPH,_xlpm.hasGR),$H343&lt;&gt;"",COUNTIF(Tables!$B$132:$B$134,$H343)&gt;0,$I343="N/A (No replacement required)"),
Error!$B$62,
IF(AND(_xlpm.baseRow,$E343&lt;&gt;"",ISNA(MATCH($E343,Tables!$B$225:$B$232,0))),
Error!$B$2,
IF(AND(_xlpm.baseRow,$F343&lt;&gt;"",ISNA(MATCH($F343,Tables!$B$234:$B$235,0))),
Error!$B$24,
IF(AND(_xlpm.baseRow,_xlpm.ECA_H&gt;0,_xlpm.Shore_H&gt;0),
Error!$B$16,
IF(AND(_xlpm.baseRow,$E343&lt;&gt;"",$D343=""),
Error!$B$3,
IF(AND(_xlpm.baseRow,OR($E343="Tier 3",$E343="Tier 4"),$C343&lt;&gt;"",$D343&gt;=24,COUNTIF(Tables2!$B$166:$B$674,$C343)&gt;0),
Error!$B$44,
IF(AND(_xlpm.baseRow,OR($E343="Tier 3",$E343="Tier 4"),$C343&lt;&gt;"",$D343&lt;&gt;"",COUNTIF(Tables2!$B$73:$B$152,$C343)&gt;0,
$D343&gt;=IFERROR(INDEX(Tables2!$C$73:$C$152,MATCH($C343,Tables2!$B$73:$B$152,0)),-1)),
Error!$B$44,
IF(AND(_xlpm.baseRow,OR($E343="Tier 2",$E343="Tier 2 Grove"),$C343&lt;&gt;"",$D343&gt;=12,COUNTIF(Tables2!$B$153:$B$162,$C343)&gt;0),
Error!$B$45,
IF(AND(_xlpm.baseRow,$E343="Tier 2 Grove",$D343&lt;12),
Error!$B$41,
IF(AND(_xlpm.baseRow,$E343="Tier 2",$D343&lt;5.88),
Error!$B$40,
IF(AND(_xlpm.baseRow,OR($E343="Tier 2",$E343="Tier 2 Grove"),$C343&lt;&gt;"",$D343&lt;12,$D343&gt;=6,COUNTIF(Tables2!$B$153:$B$162,$C343)&gt;0),
Error!$B$54,
IF(AND(_xlpm.baseRow,$E343="Tier 2",COUNTIF(Tables2!$B$166:$B$674,$C343)&gt;0,$D343&lt;24),
Error!$B$54,
IF(AND(_xlpm.baseRow,$E343="Tier 3",ISNA(MATCH($C343,Tables2!$B$153:$B$162,0)),OR($D343&lt;12,$D343&gt;=24)),
Error!$B$9,
IF(AND(_xlpm.baseRow,$E343="Tier 3",COUNTIF(Tables2!$B$153:$B$162,$C343)&gt;0,$D343&lt;12),
Error!$B$46,
IF(AND(_xlpm.baseRow,$E343="Tier 4",OR($D343&lt;6,$D343&gt;=12)),
Error!$B$10,
IF(AND(_xlpm.baseRow,$E343="&lt;6in DSH for Tree Points",OR($D343&gt;=6,$D343="")),
Error!$B$8,
IF(AND(_xlpm.baseRow,$E343="Street Tree for Green Factor",$F343&lt;&gt;"",$F343&lt;&gt;"Retain"),
Error!$B$14,
IF(AND($E343="&lt;6in DSH for Tree Points",$F343="Retain",$H343&lt;&gt;"",ISNA(MATCH($H343,Tables!$B$174:$B$174,0))),
Error!$B$15,
IF(AND($E343="Street Tree for Green Factor",$F343="Retain",$H343&lt;&gt;"",$H343&lt;&gt;"Zoning: Green Factor"),
Error!$B$15,
IF(AND($E343="ECA / Shoreline Tree",$F343="Remove",$H343&lt;&gt;"",ISNA(MATCH($H343,Tables!$B$189:$B$190,0))),
Error!$B$15,
IF(AND($E343="ECA / Shoreline Tree",$F343="Retain",$H343&lt;&gt;"",ISNA(MATCH($H343,Tables!$B$184:$B$186,0))),
Error!$B$15,
IF(AND($E343="Tier 4",$F343="Remove",$H343&lt;&gt;"",ISNA(MATCH($H343,Tables!$B$171,0))),
Error!$B$15,
IF(AND($E343="Tier 4",$F343="Retain",$H343&lt;&gt;"",ISNA(MATCH($H343,Tables!$B$166:$B$168,0))),
Error!$B$15,
IF(AND($E343="Tier 3",$F343="Retain",$H343&lt;&gt;"",ISNA(MATCH($H343,Tables!$B$158:$B$160,0))),
Error!$B$15,
IF(AND($E343="Tier 3",$F343="Remove",$H343&lt;&gt;"",ISNA(MATCH($H343,Tables!$B$163,0))),
Error!$B$15,
IF(AND(OR($E343="Tier 2",$E343="Tier 2 Grove"),$F343="Remove",$H343&lt;&gt;"",ISNA(MATCH($H343,Tables!$B$153:$B$155,0))),
Error!$B$15,
IF(AND(OR($E343="Tier 2",$E343="Tier 2 Grove"),$F343="Retain",$H343&lt;&gt;"",ISNA(MATCH($H343,Tables!$B$147:$B$150,0))),
Error!$B$15,
IF(AND($E343="Tier 1",$F343="Remove",$H343&lt;&gt;"",ISNA(MATCH($H343,Tables!$B$143:$B$144,0))),
Error!$B$15,
IF(AND($E343="Tier 1",$F343="Retain",$H343&lt;&gt;"",ISNA(MATCH($H343,Tables!$B$137:$B$140,0))),
Error!$B$15,
IF(AND($E343&lt;&gt;"Tier 2",$E343&lt;&gt;"Tier 2 Grove",$E343&lt;&gt;"Tier 3",$E343&lt;&gt;"Tier 4",$H343="Zoning: Green Factor",OR($D343="",$D343&lt;6)),
Error!$B$11,
IF(AND(_xlpm.baseRow,$D343&lt;6,$E343="&lt;6in DSH for Tree Points",_xlpm.TreePoints_H=0),
Error!$B$21,
IF(AND(_xlpm.baseRow,$E343&lt;&gt;"",$D343&lt;&gt;"",$F343=""),
Error!$B$4,
IF(AND(_xlpm.baseRow,$F343="Remove",OR($E343="Tier 1",$E343="Tier 2",$E343="Tier 2 Grove"),COUNTBLANK(_xlpm.HRange)&lt;3,_xlpm.uniqueH&gt;=2),
Error!$B$48,
IF(AND(_xlpm.baseRow,$F343="Retain",OR($E343="Tier 1",$E343="Tier 2",$E343="Tier 2 Grove"),COUNTIF(_xlpm.HRange,"Tree Code: Required to Retain Tier 1-2 Tree")=0),
Error!$B$47,
IF(AND(_xlpm.baseRow,$E343&lt;&gt;"",$D343&lt;&gt;"",$F343&lt;&gt;"",COUNTBLANK(_xlpm.HRange)=4),
Error!$B$5,
IF(AND($F343="Remove",$H343&lt;&gt;"",$I343=""),
Error!$B$18,
IF(AND($E343="Tier 4",$F343="Remove",$H343="Tree Protection Code: Tier 3 or Tier 4 Allowance",$H343&lt;&gt;"",ISNA(MATCH($I343,Tables!$B$200,0))),
Error!$B$17,
IF(AND($E343="Tier 3",$F343="Remove",$H343&lt;&gt;"",$H343="Tree Protection Code: Tier 3 or Tier 4 Allowance",OR($I343="",ISNA(MATCH($I343,Tables!$B$193:$B$197,0)))),
Error!$B$17,
IF(AND(OR($E343="Tier 2",$E343="Tier 2 Grove"),$F343="Remove",$H343="Tree Protection Code: Other removal allowance or exemption",$I343&lt;&gt;"",ISNA(MATCH($I343,Tables!$B$215:$B$218,0))),
Error!$B$17,
IF(AND(OR($E343="Tier 2",$E343="Tier 2 Grove"),$F343="Remove",$H343="Tree Protection Code: Development Capacity",$I343&lt;&gt;"",ISNA(MATCH($I343,Tables!$B$193:$B$197,0))),
Error!$B$17,
IF(AND(OR($E343="Tier 2",$E343="Tier 2 Grove"),$F343="Remove",$H343="Tree Protection Code: Necessary for Construction",$I343&lt;&gt;"",ISNA(MATCH($I343,Tables!$B$193:$B$197,0))),
Error!$B$17,
IF(AND($E343="Tier 1",$F343="Remove",$H343="Tree Protection Code: Special Exception",$I343&lt;&gt;"",ISNA(MATCH($I343,Tables!$B$215:$B$218,0))),
Error!$B$17,
IF(AND($E343="Tier 1",$F343="Remove",$H343="Tree Protection Code: Other removal allowance or exemption",$I343&lt;&gt;"",ISNA(MATCH($I343,Tables!$B$215:$B$218,0))),
Error!$B$17,
IF(AND($E343="ECA / Shoreline Tree",$F343="Remove",$H343&lt;&gt;"",OR($H343="Shoreline",$H343="Environmental Critical Area (ECA)"),ISNA(MATCH($I343,Tables!$B$209:$B$212,0))),
Error!$B$17,
IF(AND(_xlpm.baseRow,$F343="Retain",$E343="ECA / Shoreline Tree",_xlpm.ECA_Short=0),
Error!$B$61,
IF(AND($F343="Remove",ISNUMBER(MATCH($E343,{"Tier 1","Tier 2","Tier 3","Tier 4","Tier 2 Grove"},0)),ISNUMBER(MATCH($I343,{"On-site replacement","Off-site replacement"},0)),$J343="",$H343&lt;&gt;""),
Error!$B$19,
IF(AND(_xlpm.baseRow,$E343&lt;&gt;"",$D343&lt;&gt;"",$F343&lt;&gt;"",COUNTBLANK($B343:$C343)&gt;0,COUNTBLANK(_xlpm.HRange)&lt;&gt;4),
Error!$B$22,
IF(AND($H343="Zoning: Tree Points",$K343&lt;&gt;"",ISNA(MATCH($K343,Tables!$B$242:$B$253,0))),
Error!$B$58,
IF(AND($H343="Zoning: Tree Points",$K343="Small",$L343&lt;&gt;"",ISNA(MATCH($L343,Tables!$C$243:$C$244,0))),
Error!$B$59,
IF(AND($H343="Zoning: Tree Points",$K343="Small/Medium",$L343&lt;&gt;"",ISNA(MATCH($L343,Tables!$C$246:$C$247,0))),
Error!$B$59,
IF(AND($H343="Zoning: Tree Points",$K343="Medium/Large",$L343&lt;&gt;"",ISNA(MATCH($L343,Tables!$C$249:$C$250,0))),
Error!$B$59,
IF(AND($H343="Zoning: Tree Points",$K343="Large",$L343&lt;&gt;"",ISNA(MATCH($L343,Tables!$C$252:$C$253,0))),
Error!$B$59,
IF(AND($F343="Retain",$H343="Zoning: Tree Points",$C343&lt;&gt;"",$D343&lt;&gt;"",OR($K343="",$L343="",$M343="")),
Error!$B$20,
""
)))))))))))))))))))))))))))))))))))))))))))))))))))))))),
Error!$B$23))</f>
        <v/>
      </c>
      <c r="O343" s="343" t="str" cm="1">
        <f t="array" aca="1" ref="O343" ca="1">IFERROR(_xlfn.LET(
    _xlpm.txt, $C343,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44" spans="1:15" x14ac:dyDescent="0.3">
      <c r="A344" s="320"/>
      <c r="B344" s="616" t="str">
        <f t="shared" ref="B344:B346" si="376">IF($B343="", "", $B343)</f>
        <v/>
      </c>
      <c r="C344" s="617" t="str">
        <f t="shared" ref="C344:C346" si="377">IF($C343="", "", $C343)</f>
        <v/>
      </c>
      <c r="D344" s="618" t="str">
        <f t="shared" ref="D344:D346" si="378">IF($D343="", "", $D343)</f>
        <v/>
      </c>
      <c r="E344" s="616" t="str">
        <f t="shared" ref="E344:E346" si="379">IF($E343="", "", $E343)</f>
        <v/>
      </c>
      <c r="F344" s="616" t="str">
        <f t="shared" ref="F344:F346" si="380">IF($F343="", "", $F343)</f>
        <v/>
      </c>
      <c r="G344" s="619" t="str">
        <f>IF(Tree_Table1[[#This Row],[Tree Status  &amp;]]="Retain", Tables!$B$237, IF(Tree_Table1[[#This Row],[Tree Status  &amp;]]="Remove", Tables!$B$238, ""))</f>
        <v/>
      </c>
      <c r="H344" s="321"/>
      <c r="I344" s="322"/>
      <c r="J344" s="453"/>
      <c r="K344" s="323" t="str">
        <f>IFERROR(
    IF(
        AND($H344="Zoning: Tree Points", NOT(ISNUMBER(SEARCH("sp.", $C344)))),
        VLOOKUP($C344, 'Tree List'!$C$3:$F$601, 4, FALSE),
        ""
    ),
"")</f>
        <v/>
      </c>
      <c r="L344" s="324" t="str" cm="1">
        <f t="array" ref="L344">IFERROR(
IF(
    AND($H344="Zoning: Tree Points", NOT(ISNUMBER(SEARCH("sp.", $C344)))),
    _xlfn.IFS(
        (COUNTIFS('Tree List'!$C$3:$C$601,$C344,'Tree List'!$D$3:$D$601,"Coniferous")
        + COUNTIFS('Tree List'!$C$3:$C$601,$C344,'Tree List'!$D$3:$D$601,"Deciduous Conifer")) &gt; 0,
            _xlfn.IFS($K344="Small",0.5,$K344="Small/Medium",1,$K344="Medium/Large",1.4,$K344="Large",1.8),
        (COUNTIFS('Tree List'!$C$3:$C$601,$C344,'Tree List'!$D$3:$D$601,"Deciduous")
        + COUNTIFS('Tree List'!$C$3:$C$601,$C344,'Tree List'!$D$3:$D$601,"Broadleaf Evergreen")) &gt; 0,
            _xlfn.IFS($K344="Small",0.4,$K344="Small/Medium",0.8,$K344="Medium/Large",1.2,$K344="Large",1.6)
    ),
    ""
),
"")</f>
        <v/>
      </c>
      <c r="M344" s="475" t="str">
        <f t="shared" si="330"/>
        <v/>
      </c>
      <c r="N344" s="346" t="str" cm="1">
        <f t="array" aca="1" ref="N34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IF(AND(_xlpm.baseRow,ISNA(MATCH($C344,'Tree List'!$C$3:$C$601,0)),SUMPRODUCT(--ISNUMBER(SEARCH(Tables2!$C$677:$C$772,$O344)))&gt;0),
Error!$B$57,
IF(AND(_xlpm.hasDM,$F344="Remove",$H344&lt;&gt;"",OR($I344="On-site replacement",$I344="Off-site replacement",$I344="Payment In Lieu")),
Error!$B$56,
IF(AND(_xlpm.hasDM,$F344="Remove",$H344&lt;&gt;"",$I344="Relocation"),
Error!$B$66,
IF(AND(OR(_xlpm.hasCN,_xlpm.hasPH,_xlpm.hasGR),$H344&lt;&gt;"",COUNTIF(Tables!$B$132:$B$134,$H344)&gt;0,$I344="N/A (No replacement required)"),
Error!$B$62,
IF(AND(_xlpm.baseRow,$E344&lt;&gt;"",ISNA(MATCH($E344,Tables!$B$225:$B$232,0))),
Error!$B$2,
IF(AND(_xlpm.baseRow,$F344&lt;&gt;"",ISNA(MATCH($F344,Tables!$B$234:$B$235,0))),
Error!$B$24,
IF(AND(_xlpm.baseRow,_xlpm.ECA_H&gt;0,_xlpm.Shore_H&gt;0),
Error!$B$16,
IF(AND(_xlpm.baseRow,$E344&lt;&gt;"",$D344=""),
Error!$B$3,
IF(AND(_xlpm.baseRow,OR($E344="Tier 3",$E344="Tier 4"),$C344&lt;&gt;"",$D344&gt;=24,COUNTIF(Tables2!$B$166:$B$674,$C344)&gt;0),
Error!$B$44,
IF(AND(_xlpm.baseRow,OR($E344="Tier 3",$E344="Tier 4"),$C344&lt;&gt;"",$D344&lt;&gt;"",COUNTIF(Tables2!$B$73:$B$152,$C344)&gt;0,
$D344&gt;=IFERROR(INDEX(Tables2!$C$73:$C$152,MATCH($C344,Tables2!$B$73:$B$152,0)),-1)),
Error!$B$44,
IF(AND(_xlpm.baseRow,OR($E344="Tier 2",$E344="Tier 2 Grove"),$C344&lt;&gt;"",$D344&gt;=12,COUNTIF(Tables2!$B$153:$B$162,$C344)&gt;0),
Error!$B$45,
IF(AND(_xlpm.baseRow,$E344="Tier 2 Grove",$D344&lt;12),
Error!$B$41,
IF(AND(_xlpm.baseRow,$E344="Tier 2",$D344&lt;5.88),
Error!$B$40,
IF(AND(_xlpm.baseRow,OR($E344="Tier 2",$E344="Tier 2 Grove"),$C344&lt;&gt;"",$D344&lt;12,$D344&gt;=6,COUNTIF(Tables2!$B$153:$B$162,$C344)&gt;0),
Error!$B$54,
IF(AND(_xlpm.baseRow,$E344="Tier 2",COUNTIF(Tables2!$B$166:$B$674,$C344)&gt;0,$D344&lt;24),
Error!$B$54,
IF(AND(_xlpm.baseRow,$E344="Tier 3",ISNA(MATCH($C344,Tables2!$B$153:$B$162,0)),OR($D344&lt;12,$D344&gt;=24)),
Error!$B$9,
IF(AND(_xlpm.baseRow,$E344="Tier 3",COUNTIF(Tables2!$B$153:$B$162,$C344)&gt;0,$D344&lt;12),
Error!$B$46,
IF(AND(_xlpm.baseRow,$E344="Tier 4",OR($D344&lt;6,$D344&gt;=12)),
Error!$B$10,
IF(AND(_xlpm.baseRow,$E344="&lt;6in DSH for Tree Points",OR($D344&gt;=6,$D344="")),
Error!$B$8,
IF(AND(_xlpm.baseRow,$E344="Street Tree for Green Factor",$F344&lt;&gt;"",$F344&lt;&gt;"Retain"),
Error!$B$14,
IF(AND($E344="&lt;6in DSH for Tree Points",$F344="Retain",$H344&lt;&gt;"",ISNA(MATCH($H344,Tables!$B$174:$B$174,0))),
Error!$B$15,
IF(AND($E344="Street Tree for Green Factor",$F344="Retain",$H344&lt;&gt;"",$H344&lt;&gt;"Zoning: Green Factor"),
Error!$B$15,
IF(AND($E344="ECA / Shoreline Tree",$F344="Remove",$H344&lt;&gt;"",ISNA(MATCH($H344,Tables!$B$189:$B$190,0))),
Error!$B$15,
IF(AND($E344="ECA / Shoreline Tree",$F344="Retain",$H344&lt;&gt;"",ISNA(MATCH($H344,Tables!$B$184:$B$186,0))),
Error!$B$15,
IF(AND($E344="Tier 4",$F344="Remove",$H344&lt;&gt;"",ISNA(MATCH($H344,Tables!$B$171,0))),
Error!$B$15,
IF(AND($E344="Tier 4",$F344="Retain",$H344&lt;&gt;"",ISNA(MATCH($H344,Tables!$B$166:$B$168,0))),
Error!$B$15,
IF(AND($E344="Tier 3",$F344="Retain",$H344&lt;&gt;"",ISNA(MATCH($H344,Tables!$B$158:$B$160,0))),
Error!$B$15,
IF(AND($E344="Tier 3",$F344="Remove",$H344&lt;&gt;"",ISNA(MATCH($H344,Tables!$B$163,0))),
Error!$B$15,
IF(AND(OR($E344="Tier 2",$E344="Tier 2 Grove"),$F344="Remove",$H344&lt;&gt;"",ISNA(MATCH($H344,Tables!$B$153:$B$155,0))),
Error!$B$15,
IF(AND(OR($E344="Tier 2",$E344="Tier 2 Grove"),$F344="Retain",$H344&lt;&gt;"",ISNA(MATCH($H344,Tables!$B$147:$B$150,0))),
Error!$B$15,
IF(AND($E344="Tier 1",$F344="Remove",$H344&lt;&gt;"",ISNA(MATCH($H344,Tables!$B$143:$B$144,0))),
Error!$B$15,
IF(AND($E344="Tier 1",$F344="Retain",$H344&lt;&gt;"",ISNA(MATCH($H344,Tables!$B$137:$B$140,0))),
Error!$B$15,
IF(AND($E344&lt;&gt;"Tier 2",$E344&lt;&gt;"Tier 2 Grove",$E344&lt;&gt;"Tier 3",$E344&lt;&gt;"Tier 4",$H344="Zoning: Green Factor",OR($D344="",$D344&lt;6)),
Error!$B$11,
IF(AND(_xlpm.baseRow,$D344&lt;6,$E344="&lt;6in DSH for Tree Points",_xlpm.TreePoints_H=0),
Error!$B$21,
IF(AND(_xlpm.baseRow,$E344&lt;&gt;"",$D344&lt;&gt;"",$F344=""),
Error!$B$4,
IF(AND(_xlpm.baseRow,$F344="Remove",OR($E344="Tier 1",$E344="Tier 2",$E344="Tier 2 Grove"),COUNTBLANK(_xlpm.HRange)&lt;3,_xlpm.uniqueH&gt;=2),
Error!$B$48,
IF(AND(_xlpm.baseRow,$F344="Retain",OR($E344="Tier 1",$E344="Tier 2",$E344="Tier 2 Grove"),COUNTIF(_xlpm.HRange,"Tree Code: Required to Retain Tier 1-2 Tree")=0),
Error!$B$47,
IF(AND(_xlpm.baseRow,$E344&lt;&gt;"",$D344&lt;&gt;"",$F344&lt;&gt;"",COUNTBLANK(_xlpm.HRange)=4),
Error!$B$5,
IF(AND($F344="Remove",$H344&lt;&gt;"",$I344=""),
Error!$B$18,
IF(AND($E344="Tier 4",$F344="Remove",$H344="Tree Protection Code: Tier 3 or Tier 4 Allowance",$H344&lt;&gt;"",ISNA(MATCH($I344,Tables!$B$200,0))),
Error!$B$17,
IF(AND($E344="Tier 3",$F344="Remove",$H344&lt;&gt;"",$H344="Tree Protection Code: Tier 3 or Tier 4 Allowance",OR($I344="",ISNA(MATCH($I344,Tables!$B$193:$B$197,0)))),
Error!$B$17,
IF(AND(OR($E344="Tier 2",$E344="Tier 2 Grove"),$F344="Remove",$H344="Tree Protection Code: Other removal allowance or exemption",$I344&lt;&gt;"",ISNA(MATCH($I344,Tables!$B$215:$B$218,0))),
Error!$B$17,
IF(AND(OR($E344="Tier 2",$E344="Tier 2 Grove"),$F344="Remove",$H344="Tree Protection Code: Development Capacity",$I344&lt;&gt;"",ISNA(MATCH($I344,Tables!$B$193:$B$197,0))),
Error!$B$17,
IF(AND(OR($E344="Tier 2",$E344="Tier 2 Grove"),$F344="Remove",$H344="Tree Protection Code: Necessary for Construction",$I344&lt;&gt;"",ISNA(MATCH($I344,Tables!$B$193:$B$197,0))),
Error!$B$17,
IF(AND($E344="Tier 1",$F344="Remove",$H344="Tree Protection Code: Special Exception",$I344&lt;&gt;"",ISNA(MATCH($I344,Tables!$B$215:$B$218,0))),
Error!$B$17,
IF(AND($E344="Tier 1",$F344="Remove",$H344="Tree Protection Code: Other removal allowance or exemption",$I344&lt;&gt;"",ISNA(MATCH($I344,Tables!$B$215:$B$218,0))),
Error!$B$17,
IF(AND($E344="ECA / Shoreline Tree",$F344="Remove",$H344&lt;&gt;"",OR($H344="Shoreline",$H344="Environmental Critical Area (ECA)"),ISNA(MATCH($I344,Tables!$B$209:$B$212,0))),
Error!$B$17,
IF(AND(_xlpm.baseRow,$F344="Retain",$E344="ECA / Shoreline Tree",_xlpm.ECA_Short=0),
Error!$B$61,
IF(AND($F344="Remove",ISNUMBER(MATCH($E344,{"Tier 1","Tier 2","Tier 3","Tier 4","Tier 2 Grove"},0)),ISNUMBER(MATCH($I344,{"On-site replacement","Off-site replacement"},0)),$J344="",$H344&lt;&gt;""),
Error!$B$19,
IF(AND(_xlpm.baseRow,$E344&lt;&gt;"",$D344&lt;&gt;"",$F344&lt;&gt;"",COUNTBLANK($B344:$C344)&gt;0,COUNTBLANK(_xlpm.HRange)&lt;&gt;4),
Error!$B$22,
IF(AND($H344="Zoning: Tree Points",$K344&lt;&gt;"",ISNA(MATCH($K344,Tables!$B$242:$B$253,0))),
Error!$B$58,
IF(AND($H344="Zoning: Tree Points",$K344="Small",$L344&lt;&gt;"",ISNA(MATCH($L344,Tables!$C$243:$C$244,0))),
Error!$B$59,
IF(AND($H344="Zoning: Tree Points",$K344="Small/Medium",$L344&lt;&gt;"",ISNA(MATCH($L344,Tables!$C$246:$C$247,0))),
Error!$B$59,
IF(AND($H344="Zoning: Tree Points",$K344="Medium/Large",$L344&lt;&gt;"",ISNA(MATCH($L344,Tables!$C$249:$C$250,0))),
Error!$B$59,
IF(AND($H344="Zoning: Tree Points",$K344="Large",$L344&lt;&gt;"",ISNA(MATCH($L344,Tables!$C$252:$C$253,0))),
Error!$B$59,
IF(AND($F344="Retain",$H344="Zoning: Tree Points",$C344&lt;&gt;"",$D344&lt;&gt;"",OR($K344="",$L344="",$M344="")),
Error!$B$20,
""
)))))))))))))))))))))))))))))))))))))))))))))))))))))))),
Error!$B$23))</f>
        <v/>
      </c>
      <c r="O344" s="343" t="str" cm="1">
        <f t="array" aca="1" ref="O344" ca="1">IFERROR(_xlfn.LET(
    _xlpm.txt, $C344,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45" spans="1:15" x14ac:dyDescent="0.3">
      <c r="A345" s="320"/>
      <c r="B345" s="616" t="str">
        <f t="shared" si="376"/>
        <v/>
      </c>
      <c r="C345" s="617" t="str">
        <f t="shared" si="377"/>
        <v/>
      </c>
      <c r="D345" s="618" t="str">
        <f t="shared" si="378"/>
        <v/>
      </c>
      <c r="E345" s="616" t="str">
        <f t="shared" si="379"/>
        <v/>
      </c>
      <c r="F345" s="616" t="str">
        <f t="shared" si="380"/>
        <v/>
      </c>
      <c r="G345" s="619" t="str">
        <f>IF(Tree_Table1[[#This Row],[Tree Status  &amp;]]="Retain", Tables!$B$237, IF(Tree_Table1[[#This Row],[Tree Status  &amp;]]="Remove", Tables!$B$238, ""))</f>
        <v/>
      </c>
      <c r="H345" s="321"/>
      <c r="I345" s="322"/>
      <c r="J345" s="453"/>
      <c r="K345" s="323" t="str">
        <f>IFERROR(
    IF(
        AND($H345="Zoning: Tree Points", NOT(ISNUMBER(SEARCH("sp.", $C345)))),
        VLOOKUP($C345, 'Tree List'!$C$3:$F$601, 4, FALSE),
        ""
    ),
"")</f>
        <v/>
      </c>
      <c r="L345" s="324" t="str" cm="1">
        <f t="array" ref="L345">IFERROR(
IF(
    AND($H345="Zoning: Tree Points", NOT(ISNUMBER(SEARCH("sp.", $C345)))),
    _xlfn.IFS(
        (COUNTIFS('Tree List'!$C$3:$C$601,$C345,'Tree List'!$D$3:$D$601,"Coniferous")
        + COUNTIFS('Tree List'!$C$3:$C$601,$C345,'Tree List'!$D$3:$D$601,"Deciduous Conifer")) &gt; 0,
            _xlfn.IFS($K345="Small",0.5,$K345="Small/Medium",1,$K345="Medium/Large",1.4,$K345="Large",1.8),
        (COUNTIFS('Tree List'!$C$3:$C$601,$C345,'Tree List'!$D$3:$D$601,"Deciduous")
        + COUNTIFS('Tree List'!$C$3:$C$601,$C345,'Tree List'!$D$3:$D$601,"Broadleaf Evergreen")) &gt; 0,
            _xlfn.IFS($K345="Small",0.4,$K345="Small/Medium",0.8,$K345="Medium/Large",1.2,$K345="Large",1.6)
    ),
    ""
),
"")</f>
        <v/>
      </c>
      <c r="M345" s="475" t="str">
        <f t="shared" si="330"/>
        <v/>
      </c>
      <c r="N345" s="346" t="str" cm="1">
        <f t="array" aca="1" ref="N34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IF(AND(_xlpm.baseRow,ISNA(MATCH($C345,'Tree List'!$C$3:$C$601,0)),SUMPRODUCT(--ISNUMBER(SEARCH(Tables2!$C$677:$C$772,$O345)))&gt;0),
Error!$B$57,
IF(AND(_xlpm.hasDM,$F345="Remove",$H345&lt;&gt;"",OR($I345="On-site replacement",$I345="Off-site replacement",$I345="Payment In Lieu")),
Error!$B$56,
IF(AND(_xlpm.hasDM,$F345="Remove",$H345&lt;&gt;"",$I345="Relocation"),
Error!$B$66,
IF(AND(OR(_xlpm.hasCN,_xlpm.hasPH,_xlpm.hasGR),$H345&lt;&gt;"",COUNTIF(Tables!$B$132:$B$134,$H345)&gt;0,$I345="N/A (No replacement required)"),
Error!$B$62,
IF(AND(_xlpm.baseRow,$E345&lt;&gt;"",ISNA(MATCH($E345,Tables!$B$225:$B$232,0))),
Error!$B$2,
IF(AND(_xlpm.baseRow,$F345&lt;&gt;"",ISNA(MATCH($F345,Tables!$B$234:$B$235,0))),
Error!$B$24,
IF(AND(_xlpm.baseRow,_xlpm.ECA_H&gt;0,_xlpm.Shore_H&gt;0),
Error!$B$16,
IF(AND(_xlpm.baseRow,$E345&lt;&gt;"",$D345=""),
Error!$B$3,
IF(AND(_xlpm.baseRow,OR($E345="Tier 3",$E345="Tier 4"),$C345&lt;&gt;"",$D345&gt;=24,COUNTIF(Tables2!$B$166:$B$674,$C345)&gt;0),
Error!$B$44,
IF(AND(_xlpm.baseRow,OR($E345="Tier 3",$E345="Tier 4"),$C345&lt;&gt;"",$D345&lt;&gt;"",COUNTIF(Tables2!$B$73:$B$152,$C345)&gt;0,
$D345&gt;=IFERROR(INDEX(Tables2!$C$73:$C$152,MATCH($C345,Tables2!$B$73:$B$152,0)),-1)),
Error!$B$44,
IF(AND(_xlpm.baseRow,OR($E345="Tier 2",$E345="Tier 2 Grove"),$C345&lt;&gt;"",$D345&gt;=12,COUNTIF(Tables2!$B$153:$B$162,$C345)&gt;0),
Error!$B$45,
IF(AND(_xlpm.baseRow,$E345="Tier 2 Grove",$D345&lt;12),
Error!$B$41,
IF(AND(_xlpm.baseRow,$E345="Tier 2",$D345&lt;5.88),
Error!$B$40,
IF(AND(_xlpm.baseRow,OR($E345="Tier 2",$E345="Tier 2 Grove"),$C345&lt;&gt;"",$D345&lt;12,$D345&gt;=6,COUNTIF(Tables2!$B$153:$B$162,$C345)&gt;0),
Error!$B$54,
IF(AND(_xlpm.baseRow,$E345="Tier 2",COUNTIF(Tables2!$B$166:$B$674,$C345)&gt;0,$D345&lt;24),
Error!$B$54,
IF(AND(_xlpm.baseRow,$E345="Tier 3",ISNA(MATCH($C345,Tables2!$B$153:$B$162,0)),OR($D345&lt;12,$D345&gt;=24)),
Error!$B$9,
IF(AND(_xlpm.baseRow,$E345="Tier 3",COUNTIF(Tables2!$B$153:$B$162,$C345)&gt;0,$D345&lt;12),
Error!$B$46,
IF(AND(_xlpm.baseRow,$E345="Tier 4",OR($D345&lt;6,$D345&gt;=12)),
Error!$B$10,
IF(AND(_xlpm.baseRow,$E345="&lt;6in DSH for Tree Points",OR($D345&gt;=6,$D345="")),
Error!$B$8,
IF(AND(_xlpm.baseRow,$E345="Street Tree for Green Factor",$F345&lt;&gt;"",$F345&lt;&gt;"Retain"),
Error!$B$14,
IF(AND($E345="&lt;6in DSH for Tree Points",$F345="Retain",$H345&lt;&gt;"",ISNA(MATCH($H345,Tables!$B$174:$B$174,0))),
Error!$B$15,
IF(AND($E345="Street Tree for Green Factor",$F345="Retain",$H345&lt;&gt;"",$H345&lt;&gt;"Zoning: Green Factor"),
Error!$B$15,
IF(AND($E345="ECA / Shoreline Tree",$F345="Remove",$H345&lt;&gt;"",ISNA(MATCH($H345,Tables!$B$189:$B$190,0))),
Error!$B$15,
IF(AND($E345="ECA / Shoreline Tree",$F345="Retain",$H345&lt;&gt;"",ISNA(MATCH($H345,Tables!$B$184:$B$186,0))),
Error!$B$15,
IF(AND($E345="Tier 4",$F345="Remove",$H345&lt;&gt;"",ISNA(MATCH($H345,Tables!$B$171,0))),
Error!$B$15,
IF(AND($E345="Tier 4",$F345="Retain",$H345&lt;&gt;"",ISNA(MATCH($H345,Tables!$B$166:$B$168,0))),
Error!$B$15,
IF(AND($E345="Tier 3",$F345="Retain",$H345&lt;&gt;"",ISNA(MATCH($H345,Tables!$B$158:$B$160,0))),
Error!$B$15,
IF(AND($E345="Tier 3",$F345="Remove",$H345&lt;&gt;"",ISNA(MATCH($H345,Tables!$B$163,0))),
Error!$B$15,
IF(AND(OR($E345="Tier 2",$E345="Tier 2 Grove"),$F345="Remove",$H345&lt;&gt;"",ISNA(MATCH($H345,Tables!$B$153:$B$155,0))),
Error!$B$15,
IF(AND(OR($E345="Tier 2",$E345="Tier 2 Grove"),$F345="Retain",$H345&lt;&gt;"",ISNA(MATCH($H345,Tables!$B$147:$B$150,0))),
Error!$B$15,
IF(AND($E345="Tier 1",$F345="Remove",$H345&lt;&gt;"",ISNA(MATCH($H345,Tables!$B$143:$B$144,0))),
Error!$B$15,
IF(AND($E345="Tier 1",$F345="Retain",$H345&lt;&gt;"",ISNA(MATCH($H345,Tables!$B$137:$B$140,0))),
Error!$B$15,
IF(AND($E345&lt;&gt;"Tier 2",$E345&lt;&gt;"Tier 2 Grove",$E345&lt;&gt;"Tier 3",$E345&lt;&gt;"Tier 4",$H345="Zoning: Green Factor",OR($D345="",$D345&lt;6)),
Error!$B$11,
IF(AND(_xlpm.baseRow,$D345&lt;6,$E345="&lt;6in DSH for Tree Points",_xlpm.TreePoints_H=0),
Error!$B$21,
IF(AND(_xlpm.baseRow,$E345&lt;&gt;"",$D345&lt;&gt;"",$F345=""),
Error!$B$4,
IF(AND(_xlpm.baseRow,$F345="Remove",OR($E345="Tier 1",$E345="Tier 2",$E345="Tier 2 Grove"),COUNTBLANK(_xlpm.HRange)&lt;3,_xlpm.uniqueH&gt;=2),
Error!$B$48,
IF(AND(_xlpm.baseRow,$F345="Retain",OR($E345="Tier 1",$E345="Tier 2",$E345="Tier 2 Grove"),COUNTIF(_xlpm.HRange,"Tree Code: Required to Retain Tier 1-2 Tree")=0),
Error!$B$47,
IF(AND(_xlpm.baseRow,$E345&lt;&gt;"",$D345&lt;&gt;"",$F345&lt;&gt;"",COUNTBLANK(_xlpm.HRange)=4),
Error!$B$5,
IF(AND($F345="Remove",$H345&lt;&gt;"",$I345=""),
Error!$B$18,
IF(AND($E345="Tier 4",$F345="Remove",$H345="Tree Protection Code: Tier 3 or Tier 4 Allowance",$H345&lt;&gt;"",ISNA(MATCH($I345,Tables!$B$200,0))),
Error!$B$17,
IF(AND($E345="Tier 3",$F345="Remove",$H345&lt;&gt;"",$H345="Tree Protection Code: Tier 3 or Tier 4 Allowance",OR($I345="",ISNA(MATCH($I345,Tables!$B$193:$B$197,0)))),
Error!$B$17,
IF(AND(OR($E345="Tier 2",$E345="Tier 2 Grove"),$F345="Remove",$H345="Tree Protection Code: Other removal allowance or exemption",$I345&lt;&gt;"",ISNA(MATCH($I345,Tables!$B$215:$B$218,0))),
Error!$B$17,
IF(AND(OR($E345="Tier 2",$E345="Tier 2 Grove"),$F345="Remove",$H345="Tree Protection Code: Development Capacity",$I345&lt;&gt;"",ISNA(MATCH($I345,Tables!$B$193:$B$197,0))),
Error!$B$17,
IF(AND(OR($E345="Tier 2",$E345="Tier 2 Grove"),$F345="Remove",$H345="Tree Protection Code: Necessary for Construction",$I345&lt;&gt;"",ISNA(MATCH($I345,Tables!$B$193:$B$197,0))),
Error!$B$17,
IF(AND($E345="Tier 1",$F345="Remove",$H345="Tree Protection Code: Special Exception",$I345&lt;&gt;"",ISNA(MATCH($I345,Tables!$B$215:$B$218,0))),
Error!$B$17,
IF(AND($E345="Tier 1",$F345="Remove",$H345="Tree Protection Code: Other removal allowance or exemption",$I345&lt;&gt;"",ISNA(MATCH($I345,Tables!$B$215:$B$218,0))),
Error!$B$17,
IF(AND($E345="ECA / Shoreline Tree",$F345="Remove",$H345&lt;&gt;"",OR($H345="Shoreline",$H345="Environmental Critical Area (ECA)"),ISNA(MATCH($I345,Tables!$B$209:$B$212,0))),
Error!$B$17,
IF(AND(_xlpm.baseRow,$F345="Retain",$E345="ECA / Shoreline Tree",_xlpm.ECA_Short=0),
Error!$B$61,
IF(AND($F345="Remove",ISNUMBER(MATCH($E345,{"Tier 1","Tier 2","Tier 3","Tier 4","Tier 2 Grove"},0)),ISNUMBER(MATCH($I345,{"On-site replacement","Off-site replacement"},0)),$J345="",$H345&lt;&gt;""),
Error!$B$19,
IF(AND(_xlpm.baseRow,$E345&lt;&gt;"",$D345&lt;&gt;"",$F345&lt;&gt;"",COUNTBLANK($B345:$C345)&gt;0,COUNTBLANK(_xlpm.HRange)&lt;&gt;4),
Error!$B$22,
IF(AND($H345="Zoning: Tree Points",$K345&lt;&gt;"",ISNA(MATCH($K345,Tables!$B$242:$B$253,0))),
Error!$B$58,
IF(AND($H345="Zoning: Tree Points",$K345="Small",$L345&lt;&gt;"",ISNA(MATCH($L345,Tables!$C$243:$C$244,0))),
Error!$B$59,
IF(AND($H345="Zoning: Tree Points",$K345="Small/Medium",$L345&lt;&gt;"",ISNA(MATCH($L345,Tables!$C$246:$C$247,0))),
Error!$B$59,
IF(AND($H345="Zoning: Tree Points",$K345="Medium/Large",$L345&lt;&gt;"",ISNA(MATCH($L345,Tables!$C$249:$C$250,0))),
Error!$B$59,
IF(AND($H345="Zoning: Tree Points",$K345="Large",$L345&lt;&gt;"",ISNA(MATCH($L345,Tables!$C$252:$C$253,0))),
Error!$B$59,
IF(AND($F345="Retain",$H345="Zoning: Tree Points",$C345&lt;&gt;"",$D345&lt;&gt;"",OR($K345="",$L345="",$M345="")),
Error!$B$20,
""
)))))))))))))))))))))))))))))))))))))))))))))))))))))))),
Error!$B$23))</f>
        <v/>
      </c>
      <c r="O345" s="343" t="str" cm="1">
        <f t="array" aca="1" ref="O345" ca="1">IFERROR(_xlfn.LET(
    _xlpm.txt, $C345,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46" spans="1:15" ht="15" thickBot="1" x14ac:dyDescent="0.35">
      <c r="A346" s="331"/>
      <c r="B346" s="616" t="str">
        <f t="shared" si="376"/>
        <v/>
      </c>
      <c r="C346" s="617" t="str">
        <f t="shared" si="377"/>
        <v/>
      </c>
      <c r="D346" s="618" t="str">
        <f t="shared" si="378"/>
        <v/>
      </c>
      <c r="E346" s="616" t="str">
        <f t="shared" si="379"/>
        <v/>
      </c>
      <c r="F346" s="616" t="str">
        <f t="shared" si="380"/>
        <v/>
      </c>
      <c r="G346" s="619" t="str">
        <f>IF(Tree_Table1[[#This Row],[Tree Status  &amp;]]="Retain", Tables!$B$237, IF(Tree_Table1[[#This Row],[Tree Status  &amp;]]="Remove", Tables!$B$238, ""))</f>
        <v/>
      </c>
      <c r="H346" s="329"/>
      <c r="I346" s="330"/>
      <c r="J346" s="455"/>
      <c r="K346" s="327" t="str">
        <f>IFERROR(
    IF(
        AND($H346="Zoning: Tree Points", NOT(ISNUMBER(SEARCH("sp.", $C346)))),
        VLOOKUP($C346, 'Tree List'!$C$3:$F$601, 4, FALSE),
        ""
    ),
"")</f>
        <v/>
      </c>
      <c r="L346" s="328" t="str" cm="1">
        <f t="array" ref="L346">IFERROR(
IF(
    AND($H346="Zoning: Tree Points", NOT(ISNUMBER(SEARCH("sp.", $C346)))),
    _xlfn.IFS(
        (COUNTIFS('Tree List'!$C$3:$C$601,$C346,'Tree List'!$D$3:$D$601,"Coniferous")
        + COUNTIFS('Tree List'!$C$3:$C$601,$C346,'Tree List'!$D$3:$D$601,"Deciduous Conifer")) &gt; 0,
            _xlfn.IFS($K346="Small",0.5,$K346="Small/Medium",1,$K346="Medium/Large",1.4,$K346="Large",1.8),
        (COUNTIFS('Tree List'!$C$3:$C$601,$C346,'Tree List'!$D$3:$D$601,"Deciduous")
        + COUNTIFS('Tree List'!$C$3:$C$601,$C346,'Tree List'!$D$3:$D$601,"Broadleaf Evergreen")) &gt; 0,
            _xlfn.IFS($K346="Small",0.4,$K346="Small/Medium",0.8,$K346="Medium/Large",1.2,$K346="Large",1.6)
    ),
    ""
),
"")</f>
        <v/>
      </c>
      <c r="M346" s="476" t="str">
        <f t="shared" si="330"/>
        <v/>
      </c>
      <c r="N346" s="347" t="str" cm="1">
        <f t="array" aca="1" ref="N34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IF(AND(_xlpm.baseRow,ISNA(MATCH($C346,'Tree List'!$C$3:$C$601,0)),SUMPRODUCT(--ISNUMBER(SEARCH(Tables2!$C$677:$C$772,$O346)))&gt;0),
Error!$B$57,
IF(AND(_xlpm.hasDM,$F346="Remove",$H346&lt;&gt;"",OR($I346="On-site replacement",$I346="Off-site replacement",$I346="Payment In Lieu")),
Error!$B$56,
IF(AND(_xlpm.hasDM,$F346="Remove",$H346&lt;&gt;"",$I346="Relocation"),
Error!$B$66,
IF(AND(OR(_xlpm.hasCN,_xlpm.hasPH,_xlpm.hasGR),$H346&lt;&gt;"",COUNTIF(Tables!$B$132:$B$134,$H346)&gt;0,$I346="N/A (No replacement required)"),
Error!$B$62,
IF(AND(_xlpm.baseRow,$E346&lt;&gt;"",ISNA(MATCH($E346,Tables!$B$225:$B$232,0))),
Error!$B$2,
IF(AND(_xlpm.baseRow,$F346&lt;&gt;"",ISNA(MATCH($F346,Tables!$B$234:$B$235,0))),
Error!$B$24,
IF(AND(_xlpm.baseRow,_xlpm.ECA_H&gt;0,_xlpm.Shore_H&gt;0),
Error!$B$16,
IF(AND(_xlpm.baseRow,$E346&lt;&gt;"",$D346=""),
Error!$B$3,
IF(AND(_xlpm.baseRow,OR($E346="Tier 3",$E346="Tier 4"),$C346&lt;&gt;"",$D346&gt;=24,COUNTIF(Tables2!$B$166:$B$674,$C346)&gt;0),
Error!$B$44,
IF(AND(_xlpm.baseRow,OR($E346="Tier 3",$E346="Tier 4"),$C346&lt;&gt;"",$D346&lt;&gt;"",COUNTIF(Tables2!$B$73:$B$152,$C346)&gt;0,
$D346&gt;=IFERROR(INDEX(Tables2!$C$73:$C$152,MATCH($C346,Tables2!$B$73:$B$152,0)),-1)),
Error!$B$44,
IF(AND(_xlpm.baseRow,OR($E346="Tier 2",$E346="Tier 2 Grove"),$C346&lt;&gt;"",$D346&gt;=12,COUNTIF(Tables2!$B$153:$B$162,$C346)&gt;0),
Error!$B$45,
IF(AND(_xlpm.baseRow,$E346="Tier 2 Grove",$D346&lt;12),
Error!$B$41,
IF(AND(_xlpm.baseRow,$E346="Tier 2",$D346&lt;5.88),
Error!$B$40,
IF(AND(_xlpm.baseRow,OR($E346="Tier 2",$E346="Tier 2 Grove"),$C346&lt;&gt;"",$D346&lt;12,$D346&gt;=6,COUNTIF(Tables2!$B$153:$B$162,$C346)&gt;0),
Error!$B$54,
IF(AND(_xlpm.baseRow,$E346="Tier 2",COUNTIF(Tables2!$B$166:$B$674,$C346)&gt;0,$D346&lt;24),
Error!$B$54,
IF(AND(_xlpm.baseRow,$E346="Tier 3",ISNA(MATCH($C346,Tables2!$B$153:$B$162,0)),OR($D346&lt;12,$D346&gt;=24)),
Error!$B$9,
IF(AND(_xlpm.baseRow,$E346="Tier 3",COUNTIF(Tables2!$B$153:$B$162,$C346)&gt;0,$D346&lt;12),
Error!$B$46,
IF(AND(_xlpm.baseRow,$E346="Tier 4",OR($D346&lt;6,$D346&gt;=12)),
Error!$B$10,
IF(AND(_xlpm.baseRow,$E346="&lt;6in DSH for Tree Points",OR($D346&gt;=6,$D346="")),
Error!$B$8,
IF(AND(_xlpm.baseRow,$E346="Street Tree for Green Factor",$F346&lt;&gt;"",$F346&lt;&gt;"Retain"),
Error!$B$14,
IF(AND($E346="&lt;6in DSH for Tree Points",$F346="Retain",$H346&lt;&gt;"",ISNA(MATCH($H346,Tables!$B$174:$B$174,0))),
Error!$B$15,
IF(AND($E346="Street Tree for Green Factor",$F346="Retain",$H346&lt;&gt;"",$H346&lt;&gt;"Zoning: Green Factor"),
Error!$B$15,
IF(AND($E346="ECA / Shoreline Tree",$F346="Remove",$H346&lt;&gt;"",ISNA(MATCH($H346,Tables!$B$189:$B$190,0))),
Error!$B$15,
IF(AND($E346="ECA / Shoreline Tree",$F346="Retain",$H346&lt;&gt;"",ISNA(MATCH($H346,Tables!$B$184:$B$186,0))),
Error!$B$15,
IF(AND($E346="Tier 4",$F346="Remove",$H346&lt;&gt;"",ISNA(MATCH($H346,Tables!$B$171,0))),
Error!$B$15,
IF(AND($E346="Tier 4",$F346="Retain",$H346&lt;&gt;"",ISNA(MATCH($H346,Tables!$B$166:$B$168,0))),
Error!$B$15,
IF(AND($E346="Tier 3",$F346="Retain",$H346&lt;&gt;"",ISNA(MATCH($H346,Tables!$B$158:$B$160,0))),
Error!$B$15,
IF(AND($E346="Tier 3",$F346="Remove",$H346&lt;&gt;"",ISNA(MATCH($H346,Tables!$B$163,0))),
Error!$B$15,
IF(AND(OR($E346="Tier 2",$E346="Tier 2 Grove"),$F346="Remove",$H346&lt;&gt;"",ISNA(MATCH($H346,Tables!$B$153:$B$155,0))),
Error!$B$15,
IF(AND(OR($E346="Tier 2",$E346="Tier 2 Grove"),$F346="Retain",$H346&lt;&gt;"",ISNA(MATCH($H346,Tables!$B$147:$B$150,0))),
Error!$B$15,
IF(AND($E346="Tier 1",$F346="Remove",$H346&lt;&gt;"",ISNA(MATCH($H346,Tables!$B$143:$B$144,0))),
Error!$B$15,
IF(AND($E346="Tier 1",$F346="Retain",$H346&lt;&gt;"",ISNA(MATCH($H346,Tables!$B$137:$B$140,0))),
Error!$B$15,
IF(AND($E346&lt;&gt;"Tier 2",$E346&lt;&gt;"Tier 2 Grove",$E346&lt;&gt;"Tier 3",$E346&lt;&gt;"Tier 4",$H346="Zoning: Green Factor",OR($D346="",$D346&lt;6)),
Error!$B$11,
IF(AND(_xlpm.baseRow,$D346&lt;6,$E346="&lt;6in DSH for Tree Points",_xlpm.TreePoints_H=0),
Error!$B$21,
IF(AND(_xlpm.baseRow,$E346&lt;&gt;"",$D346&lt;&gt;"",$F346=""),
Error!$B$4,
IF(AND(_xlpm.baseRow,$F346="Remove",OR($E346="Tier 1",$E346="Tier 2",$E346="Tier 2 Grove"),COUNTBLANK(_xlpm.HRange)&lt;3,_xlpm.uniqueH&gt;=2),
Error!$B$48,
IF(AND(_xlpm.baseRow,$F346="Retain",OR($E346="Tier 1",$E346="Tier 2",$E346="Tier 2 Grove"),COUNTIF(_xlpm.HRange,"Tree Code: Required to Retain Tier 1-2 Tree")=0),
Error!$B$47,
IF(AND(_xlpm.baseRow,$E346&lt;&gt;"",$D346&lt;&gt;"",$F346&lt;&gt;"",COUNTBLANK(_xlpm.HRange)=4),
Error!$B$5,
IF(AND($F346="Remove",$H346&lt;&gt;"",$I346=""),
Error!$B$18,
IF(AND($E346="Tier 4",$F346="Remove",$H346="Tree Protection Code: Tier 3 or Tier 4 Allowance",$H346&lt;&gt;"",ISNA(MATCH($I346,Tables!$B$200,0))),
Error!$B$17,
IF(AND($E346="Tier 3",$F346="Remove",$H346&lt;&gt;"",$H346="Tree Protection Code: Tier 3 or Tier 4 Allowance",OR($I346="",ISNA(MATCH($I346,Tables!$B$193:$B$197,0)))),
Error!$B$17,
IF(AND(OR($E346="Tier 2",$E346="Tier 2 Grove"),$F346="Remove",$H346="Tree Protection Code: Other removal allowance or exemption",$I346&lt;&gt;"",ISNA(MATCH($I346,Tables!$B$215:$B$218,0))),
Error!$B$17,
IF(AND(OR($E346="Tier 2",$E346="Tier 2 Grove"),$F346="Remove",$H346="Tree Protection Code: Development Capacity",$I346&lt;&gt;"",ISNA(MATCH($I346,Tables!$B$193:$B$197,0))),
Error!$B$17,
IF(AND(OR($E346="Tier 2",$E346="Tier 2 Grove"),$F346="Remove",$H346="Tree Protection Code: Necessary for Construction",$I346&lt;&gt;"",ISNA(MATCH($I346,Tables!$B$193:$B$197,0))),
Error!$B$17,
IF(AND($E346="Tier 1",$F346="Remove",$H346="Tree Protection Code: Special Exception",$I346&lt;&gt;"",ISNA(MATCH($I346,Tables!$B$215:$B$218,0))),
Error!$B$17,
IF(AND($E346="Tier 1",$F346="Remove",$H346="Tree Protection Code: Other removal allowance or exemption",$I346&lt;&gt;"",ISNA(MATCH($I346,Tables!$B$215:$B$218,0))),
Error!$B$17,
IF(AND($E346="ECA / Shoreline Tree",$F346="Remove",$H346&lt;&gt;"",OR($H346="Shoreline",$H346="Environmental Critical Area (ECA)"),ISNA(MATCH($I346,Tables!$B$209:$B$212,0))),
Error!$B$17,
IF(AND(_xlpm.baseRow,$F346="Retain",$E346="ECA / Shoreline Tree",_xlpm.ECA_Short=0),
Error!$B$61,
IF(AND($F346="Remove",ISNUMBER(MATCH($E346,{"Tier 1","Tier 2","Tier 3","Tier 4","Tier 2 Grove"},0)),ISNUMBER(MATCH($I346,{"On-site replacement","Off-site replacement"},0)),$J346="",$H346&lt;&gt;""),
Error!$B$19,
IF(AND(_xlpm.baseRow,$E346&lt;&gt;"",$D346&lt;&gt;"",$F346&lt;&gt;"",COUNTBLANK($B346:$C346)&gt;0,COUNTBLANK(_xlpm.HRange)&lt;&gt;4),
Error!$B$22,
IF(AND($H346="Zoning: Tree Points",$K346&lt;&gt;"",ISNA(MATCH($K346,Tables!$B$242:$B$253,0))),
Error!$B$58,
IF(AND($H346="Zoning: Tree Points",$K346="Small",$L346&lt;&gt;"",ISNA(MATCH($L346,Tables!$C$243:$C$244,0))),
Error!$B$59,
IF(AND($H346="Zoning: Tree Points",$K346="Small/Medium",$L346&lt;&gt;"",ISNA(MATCH($L346,Tables!$C$246:$C$247,0))),
Error!$B$59,
IF(AND($H346="Zoning: Tree Points",$K346="Medium/Large",$L346&lt;&gt;"",ISNA(MATCH($L346,Tables!$C$249:$C$250,0))),
Error!$B$59,
IF(AND($H346="Zoning: Tree Points",$K346="Large",$L346&lt;&gt;"",ISNA(MATCH($L346,Tables!$C$252:$C$253,0))),
Error!$B$59,
IF(AND($F346="Retain",$H346="Zoning: Tree Points",$C346&lt;&gt;"",$D346&lt;&gt;"",OR($K346="",$L346="",$M346="")),
Error!$B$20,
""
)))))))))))))))))))))))))))))))))))))))))))))))))))))))),
Error!$B$23))</f>
        <v/>
      </c>
      <c r="O346" s="343" t="str" cm="1">
        <f t="array" aca="1" ref="O346" ca="1">IFERROR(_xlfn.LET(
    _xlpm.txt, $C346,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47" spans="1:15" ht="15" thickBot="1" x14ac:dyDescent="0.35">
      <c r="A347" s="311">
        <v>85</v>
      </c>
      <c r="B347" s="312"/>
      <c r="C347" s="313"/>
      <c r="D347" s="478"/>
      <c r="E347" s="314"/>
      <c r="F347" s="314"/>
      <c r="G347" s="315" t="str">
        <f>IF(Tree_Table1[[#This Row],[Tree Status  &amp;]]="Retain", Tables!$B$237, IF(Tree_Table1[[#This Row],[Tree Status  &amp;]]="Remove", Tables!$B$238, ""))</f>
        <v/>
      </c>
      <c r="H347" s="316"/>
      <c r="I347" s="317"/>
      <c r="J347" s="452"/>
      <c r="K347" s="318" t="str">
        <f>IFERROR(
    IF(
        AND($H347="Zoning: Tree Points", NOT(ISNUMBER(SEARCH("sp.", $C347)))),
        VLOOKUP($C347, 'Tree List'!$C$3:$F$601, 4, FALSE),
        ""
    ),
"")</f>
        <v/>
      </c>
      <c r="L347" s="319" t="str" cm="1">
        <f t="array" ref="L347">IFERROR(
IF(
    AND($H347="Zoning: Tree Points", NOT(ISNUMBER(SEARCH("sp.", $C347)))),
    _xlfn.IFS(
        (COUNTIFS('Tree List'!$C$3:$C$601,$C347,'Tree List'!$D$3:$D$601,"Coniferous")
        + COUNTIFS('Tree List'!$C$3:$C$601,$C347,'Tree List'!$D$3:$D$601,"Deciduous Conifer")) &gt; 0,
            _xlfn.IFS($K347="Small",0.5,$K347="Small/Medium",1,$K347="Medium/Large",1.4,$K347="Large",1.8),
        (COUNTIFS('Tree List'!$C$3:$C$601,$C347,'Tree List'!$D$3:$D$601,"Deciduous")
        + COUNTIFS('Tree List'!$C$3:$C$601,$C347,'Tree List'!$D$3:$D$601,"Broadleaf Evergreen")) &gt; 0,
            _xlfn.IFS($K347="Small",0.4,$K347="Small/Medium",0.8,$K347="Medium/Large",1.2,$K347="Large",1.6)
    ),
    ""
),
"")</f>
        <v/>
      </c>
      <c r="M347" s="474" t="str">
        <f t="shared" si="330"/>
        <v/>
      </c>
      <c r="N347" s="620" t="str" cm="1">
        <f t="array" aca="1" ref="N34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IF(AND(_xlpm.baseRow,ISNA(MATCH($C347,'Tree List'!$C$3:$C$601,0)),SUMPRODUCT(--ISNUMBER(SEARCH(Tables2!$C$677:$C$772,$O347)))&gt;0),
Error!$B$57,
IF(AND(_xlpm.hasDM,$F347="Remove",$H347&lt;&gt;"",OR($I347="On-site replacement",$I347="Off-site replacement",$I347="Payment In Lieu")),
Error!$B$56,
IF(AND(_xlpm.hasDM,$F347="Remove",$H347&lt;&gt;"",$I347="Relocation"),
Error!$B$66,
IF(AND(OR(_xlpm.hasCN,_xlpm.hasPH,_xlpm.hasGR),$H347&lt;&gt;"",COUNTIF(Tables!$B$132:$B$134,$H347)&gt;0,$I347="N/A (No replacement required)"),
Error!$B$62,
IF(AND(_xlpm.baseRow,$E347&lt;&gt;"",ISNA(MATCH($E347,Tables!$B$225:$B$232,0))),
Error!$B$2,
IF(AND(_xlpm.baseRow,$F347&lt;&gt;"",ISNA(MATCH($F347,Tables!$B$234:$B$235,0))),
Error!$B$24,
IF(AND(_xlpm.baseRow,_xlpm.ECA_H&gt;0,_xlpm.Shore_H&gt;0),
Error!$B$16,
IF(AND(_xlpm.baseRow,$E347&lt;&gt;"",$D347=""),
Error!$B$3,
IF(AND(_xlpm.baseRow,OR($E347="Tier 3",$E347="Tier 4"),$C347&lt;&gt;"",$D347&gt;=24,COUNTIF(Tables2!$B$166:$B$674,$C347)&gt;0),
Error!$B$44,
IF(AND(_xlpm.baseRow,OR($E347="Tier 3",$E347="Tier 4"),$C347&lt;&gt;"",$D347&lt;&gt;"",COUNTIF(Tables2!$B$73:$B$152,$C347)&gt;0,
$D347&gt;=IFERROR(INDEX(Tables2!$C$73:$C$152,MATCH($C347,Tables2!$B$73:$B$152,0)),-1)),
Error!$B$44,
IF(AND(_xlpm.baseRow,OR($E347="Tier 2",$E347="Tier 2 Grove"),$C347&lt;&gt;"",$D347&gt;=12,COUNTIF(Tables2!$B$153:$B$162,$C347)&gt;0),
Error!$B$45,
IF(AND(_xlpm.baseRow,$E347="Tier 2 Grove",$D347&lt;12),
Error!$B$41,
IF(AND(_xlpm.baseRow,$E347="Tier 2",$D347&lt;5.88),
Error!$B$40,
IF(AND(_xlpm.baseRow,OR($E347="Tier 2",$E347="Tier 2 Grove"),$C347&lt;&gt;"",$D347&lt;12,$D347&gt;=6,COUNTIF(Tables2!$B$153:$B$162,$C347)&gt;0),
Error!$B$54,
IF(AND(_xlpm.baseRow,$E347="Tier 2",COUNTIF(Tables2!$B$166:$B$674,$C347)&gt;0,$D347&lt;24),
Error!$B$54,
IF(AND(_xlpm.baseRow,$E347="Tier 3",ISNA(MATCH($C347,Tables2!$B$153:$B$162,0)),OR($D347&lt;12,$D347&gt;=24)),
Error!$B$9,
IF(AND(_xlpm.baseRow,$E347="Tier 3",COUNTIF(Tables2!$B$153:$B$162,$C347)&gt;0,$D347&lt;12),
Error!$B$46,
IF(AND(_xlpm.baseRow,$E347="Tier 4",OR($D347&lt;6,$D347&gt;=12)),
Error!$B$10,
IF(AND(_xlpm.baseRow,$E347="&lt;6in DSH for Tree Points",OR($D347&gt;=6,$D347="")),
Error!$B$8,
IF(AND(_xlpm.baseRow,$E347="Street Tree for Green Factor",$F347&lt;&gt;"",$F347&lt;&gt;"Retain"),
Error!$B$14,
IF(AND($E347="&lt;6in DSH for Tree Points",$F347="Retain",$H347&lt;&gt;"",ISNA(MATCH($H347,Tables!$B$174:$B$174,0))),
Error!$B$15,
IF(AND($E347="Street Tree for Green Factor",$F347="Retain",$H347&lt;&gt;"",$H347&lt;&gt;"Zoning: Green Factor"),
Error!$B$15,
IF(AND($E347="ECA / Shoreline Tree",$F347="Remove",$H347&lt;&gt;"",ISNA(MATCH($H347,Tables!$B$189:$B$190,0))),
Error!$B$15,
IF(AND($E347="ECA / Shoreline Tree",$F347="Retain",$H347&lt;&gt;"",ISNA(MATCH($H347,Tables!$B$184:$B$186,0))),
Error!$B$15,
IF(AND($E347="Tier 4",$F347="Remove",$H347&lt;&gt;"",ISNA(MATCH($H347,Tables!$B$171,0))),
Error!$B$15,
IF(AND($E347="Tier 4",$F347="Retain",$H347&lt;&gt;"",ISNA(MATCH($H347,Tables!$B$166:$B$168,0))),
Error!$B$15,
IF(AND($E347="Tier 3",$F347="Retain",$H347&lt;&gt;"",ISNA(MATCH($H347,Tables!$B$158:$B$160,0))),
Error!$B$15,
IF(AND($E347="Tier 3",$F347="Remove",$H347&lt;&gt;"",ISNA(MATCH($H347,Tables!$B$163,0))),
Error!$B$15,
IF(AND(OR($E347="Tier 2",$E347="Tier 2 Grove"),$F347="Remove",$H347&lt;&gt;"",ISNA(MATCH($H347,Tables!$B$153:$B$155,0))),
Error!$B$15,
IF(AND(OR($E347="Tier 2",$E347="Tier 2 Grove"),$F347="Retain",$H347&lt;&gt;"",ISNA(MATCH($H347,Tables!$B$147:$B$150,0))),
Error!$B$15,
IF(AND($E347="Tier 1",$F347="Remove",$H347&lt;&gt;"",ISNA(MATCH($H347,Tables!$B$143:$B$144,0))),
Error!$B$15,
IF(AND($E347="Tier 1",$F347="Retain",$H347&lt;&gt;"",ISNA(MATCH($H347,Tables!$B$137:$B$140,0))),
Error!$B$15,
IF(AND($E347&lt;&gt;"Tier 2",$E347&lt;&gt;"Tier 2 Grove",$E347&lt;&gt;"Tier 3",$E347&lt;&gt;"Tier 4",$H347="Zoning: Green Factor",OR($D347="",$D347&lt;6)),
Error!$B$11,
IF(AND(_xlpm.baseRow,$D347&lt;6,$E347="&lt;6in DSH for Tree Points",_xlpm.TreePoints_H=0),
Error!$B$21,
IF(AND(_xlpm.baseRow,$E347&lt;&gt;"",$D347&lt;&gt;"",$F347=""),
Error!$B$4,
IF(AND(_xlpm.baseRow,$F347="Remove",OR($E347="Tier 1",$E347="Tier 2",$E347="Tier 2 Grove"),COUNTBLANK(_xlpm.HRange)&lt;3,_xlpm.uniqueH&gt;=2),
Error!$B$48,
IF(AND(_xlpm.baseRow,$F347="Retain",OR($E347="Tier 1",$E347="Tier 2",$E347="Tier 2 Grove"),COUNTIF(_xlpm.HRange,"Tree Code: Required to Retain Tier 1-2 Tree")=0),
Error!$B$47,
IF(AND(_xlpm.baseRow,$E347&lt;&gt;"",$D347&lt;&gt;"",$F347&lt;&gt;"",COUNTBLANK(_xlpm.HRange)=4),
Error!$B$5,
IF(AND($F347="Remove",$H347&lt;&gt;"",$I347=""),
Error!$B$18,
IF(AND($E347="Tier 4",$F347="Remove",$H347="Tree Protection Code: Tier 3 or Tier 4 Allowance",$H347&lt;&gt;"",ISNA(MATCH($I347,Tables!$B$200,0))),
Error!$B$17,
IF(AND($E347="Tier 3",$F347="Remove",$H347&lt;&gt;"",$H347="Tree Protection Code: Tier 3 or Tier 4 Allowance",OR($I347="",ISNA(MATCH($I347,Tables!$B$193:$B$197,0)))),
Error!$B$17,
IF(AND(OR($E347="Tier 2",$E347="Tier 2 Grove"),$F347="Remove",$H347="Tree Protection Code: Other removal allowance or exemption",$I347&lt;&gt;"",ISNA(MATCH($I347,Tables!$B$215:$B$218,0))),
Error!$B$17,
IF(AND(OR($E347="Tier 2",$E347="Tier 2 Grove"),$F347="Remove",$H347="Tree Protection Code: Development Capacity",$I347&lt;&gt;"",ISNA(MATCH($I347,Tables!$B$193:$B$197,0))),
Error!$B$17,
IF(AND(OR($E347="Tier 2",$E347="Tier 2 Grove"),$F347="Remove",$H347="Tree Protection Code: Necessary for Construction",$I347&lt;&gt;"",ISNA(MATCH($I347,Tables!$B$193:$B$197,0))),
Error!$B$17,
IF(AND($E347="Tier 1",$F347="Remove",$H347="Tree Protection Code: Special Exception",$I347&lt;&gt;"",ISNA(MATCH($I347,Tables!$B$215:$B$218,0))),
Error!$B$17,
IF(AND($E347="Tier 1",$F347="Remove",$H347="Tree Protection Code: Other removal allowance or exemption",$I347&lt;&gt;"",ISNA(MATCH($I347,Tables!$B$215:$B$218,0))),
Error!$B$17,
IF(AND($E347="ECA / Shoreline Tree",$F347="Remove",$H347&lt;&gt;"",OR($H347="Shoreline",$H347="Environmental Critical Area (ECA)"),ISNA(MATCH($I347,Tables!$B$209:$B$212,0))),
Error!$B$17,
IF(AND(_xlpm.baseRow,$F347="Retain",$E347="ECA / Shoreline Tree",_xlpm.ECA_Short=0),
Error!$B$61,
IF(AND($F347="Remove",ISNUMBER(MATCH($E347,{"Tier 1","Tier 2","Tier 3","Tier 4","Tier 2 Grove"},0)),ISNUMBER(MATCH($I347,{"On-site replacement","Off-site replacement"},0)),$J347="",$H347&lt;&gt;""),
Error!$B$19,
IF(AND(_xlpm.baseRow,$E347&lt;&gt;"",$D347&lt;&gt;"",$F347&lt;&gt;"",COUNTBLANK($B347:$C347)&gt;0,COUNTBLANK(_xlpm.HRange)&lt;&gt;4),
Error!$B$22,
IF(AND($H347="Zoning: Tree Points",$K347&lt;&gt;"",ISNA(MATCH($K347,Tables!$B$242:$B$253,0))),
Error!$B$58,
IF(AND($H347="Zoning: Tree Points",$K347="Small",$L347&lt;&gt;"",ISNA(MATCH($L347,Tables!$C$243:$C$244,0))),
Error!$B$59,
IF(AND($H347="Zoning: Tree Points",$K347="Small/Medium",$L347&lt;&gt;"",ISNA(MATCH($L347,Tables!$C$246:$C$247,0))),
Error!$B$59,
IF(AND($H347="Zoning: Tree Points",$K347="Medium/Large",$L347&lt;&gt;"",ISNA(MATCH($L347,Tables!$C$249:$C$250,0))),
Error!$B$59,
IF(AND($H347="Zoning: Tree Points",$K347="Large",$L347&lt;&gt;"",ISNA(MATCH($L347,Tables!$C$252:$C$253,0))),
Error!$B$59,
IF(AND($F347="Retain",$H347="Zoning: Tree Points",$C347&lt;&gt;"",$D347&lt;&gt;"",OR($K347="",$L347="",$M347="")),
Error!$B$20,
""
)))))))))))))))))))))))))))))))))))))))))))))))))))))))),
Error!$B$23))</f>
        <v/>
      </c>
      <c r="O347" s="343" t="str" cm="1">
        <f t="array" aca="1" ref="O347" ca="1">IFERROR(_xlfn.LET(
    _xlpm.txt, $C347,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48" spans="1:15" x14ac:dyDescent="0.3">
      <c r="A348" s="320"/>
      <c r="B348" s="616" t="str">
        <f t="shared" ref="B348:B350" si="381">IF($B347="", "", $B347)</f>
        <v/>
      </c>
      <c r="C348" s="617" t="str">
        <f t="shared" ref="C348:C350" si="382">IF($C347="", "", $C347)</f>
        <v/>
      </c>
      <c r="D348" s="618" t="str">
        <f t="shared" ref="D348:D350" si="383">IF($D347="", "", $D347)</f>
        <v/>
      </c>
      <c r="E348" s="616" t="str">
        <f t="shared" ref="E348:E350" si="384">IF($E347="", "", $E347)</f>
        <v/>
      </c>
      <c r="F348" s="616" t="str">
        <f t="shared" ref="F348:F350" si="385">IF($F347="", "", $F347)</f>
        <v/>
      </c>
      <c r="G348" s="619" t="str">
        <f>IF(Tree_Table1[[#This Row],[Tree Status  &amp;]]="Retain", Tables!$B$237, IF(Tree_Table1[[#This Row],[Tree Status  &amp;]]="Remove", Tables!$B$238, ""))</f>
        <v/>
      </c>
      <c r="H348" s="321"/>
      <c r="I348" s="322"/>
      <c r="J348" s="453"/>
      <c r="K348" s="323" t="str">
        <f>IFERROR(
    IF(
        AND($H348="Zoning: Tree Points", NOT(ISNUMBER(SEARCH("sp.", $C348)))),
        VLOOKUP($C348, 'Tree List'!$C$3:$F$601, 4, FALSE),
        ""
    ),
"")</f>
        <v/>
      </c>
      <c r="L348" s="324" t="str" cm="1">
        <f t="array" ref="L348">IFERROR(
IF(
    AND($H348="Zoning: Tree Points", NOT(ISNUMBER(SEARCH("sp.", $C348)))),
    _xlfn.IFS(
        (COUNTIFS('Tree List'!$C$3:$C$601,$C348,'Tree List'!$D$3:$D$601,"Coniferous")
        + COUNTIFS('Tree List'!$C$3:$C$601,$C348,'Tree List'!$D$3:$D$601,"Deciduous Conifer")) &gt; 0,
            _xlfn.IFS($K348="Small",0.5,$K348="Small/Medium",1,$K348="Medium/Large",1.4,$K348="Large",1.8),
        (COUNTIFS('Tree List'!$C$3:$C$601,$C348,'Tree List'!$D$3:$D$601,"Deciduous")
        + COUNTIFS('Tree List'!$C$3:$C$601,$C348,'Tree List'!$D$3:$D$601,"Broadleaf Evergreen")) &gt; 0,
            _xlfn.IFS($K348="Small",0.4,$K348="Small/Medium",0.8,$K348="Medium/Large",1.2,$K348="Large",1.6)
    ),
    ""
),
"")</f>
        <v/>
      </c>
      <c r="M348" s="475" t="str">
        <f t="shared" si="330"/>
        <v/>
      </c>
      <c r="N348" s="346" t="str" cm="1">
        <f t="array" aca="1" ref="N34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IF(AND(_xlpm.baseRow,ISNA(MATCH($C348,'Tree List'!$C$3:$C$601,0)),SUMPRODUCT(--ISNUMBER(SEARCH(Tables2!$C$677:$C$772,$O348)))&gt;0),
Error!$B$57,
IF(AND(_xlpm.hasDM,$F348="Remove",$H348&lt;&gt;"",OR($I348="On-site replacement",$I348="Off-site replacement",$I348="Payment In Lieu")),
Error!$B$56,
IF(AND(_xlpm.hasDM,$F348="Remove",$H348&lt;&gt;"",$I348="Relocation"),
Error!$B$66,
IF(AND(OR(_xlpm.hasCN,_xlpm.hasPH,_xlpm.hasGR),$H348&lt;&gt;"",COUNTIF(Tables!$B$132:$B$134,$H348)&gt;0,$I348="N/A (No replacement required)"),
Error!$B$62,
IF(AND(_xlpm.baseRow,$E348&lt;&gt;"",ISNA(MATCH($E348,Tables!$B$225:$B$232,0))),
Error!$B$2,
IF(AND(_xlpm.baseRow,$F348&lt;&gt;"",ISNA(MATCH($F348,Tables!$B$234:$B$235,0))),
Error!$B$24,
IF(AND(_xlpm.baseRow,_xlpm.ECA_H&gt;0,_xlpm.Shore_H&gt;0),
Error!$B$16,
IF(AND(_xlpm.baseRow,$E348&lt;&gt;"",$D348=""),
Error!$B$3,
IF(AND(_xlpm.baseRow,OR($E348="Tier 3",$E348="Tier 4"),$C348&lt;&gt;"",$D348&gt;=24,COUNTIF(Tables2!$B$166:$B$674,$C348)&gt;0),
Error!$B$44,
IF(AND(_xlpm.baseRow,OR($E348="Tier 3",$E348="Tier 4"),$C348&lt;&gt;"",$D348&lt;&gt;"",COUNTIF(Tables2!$B$73:$B$152,$C348)&gt;0,
$D348&gt;=IFERROR(INDEX(Tables2!$C$73:$C$152,MATCH($C348,Tables2!$B$73:$B$152,0)),-1)),
Error!$B$44,
IF(AND(_xlpm.baseRow,OR($E348="Tier 2",$E348="Tier 2 Grove"),$C348&lt;&gt;"",$D348&gt;=12,COUNTIF(Tables2!$B$153:$B$162,$C348)&gt;0),
Error!$B$45,
IF(AND(_xlpm.baseRow,$E348="Tier 2 Grove",$D348&lt;12),
Error!$B$41,
IF(AND(_xlpm.baseRow,$E348="Tier 2",$D348&lt;5.88),
Error!$B$40,
IF(AND(_xlpm.baseRow,OR($E348="Tier 2",$E348="Tier 2 Grove"),$C348&lt;&gt;"",$D348&lt;12,$D348&gt;=6,COUNTIF(Tables2!$B$153:$B$162,$C348)&gt;0),
Error!$B$54,
IF(AND(_xlpm.baseRow,$E348="Tier 2",COUNTIF(Tables2!$B$166:$B$674,$C348)&gt;0,$D348&lt;24),
Error!$B$54,
IF(AND(_xlpm.baseRow,$E348="Tier 3",ISNA(MATCH($C348,Tables2!$B$153:$B$162,0)),OR($D348&lt;12,$D348&gt;=24)),
Error!$B$9,
IF(AND(_xlpm.baseRow,$E348="Tier 3",COUNTIF(Tables2!$B$153:$B$162,$C348)&gt;0,$D348&lt;12),
Error!$B$46,
IF(AND(_xlpm.baseRow,$E348="Tier 4",OR($D348&lt;6,$D348&gt;=12)),
Error!$B$10,
IF(AND(_xlpm.baseRow,$E348="&lt;6in DSH for Tree Points",OR($D348&gt;=6,$D348="")),
Error!$B$8,
IF(AND(_xlpm.baseRow,$E348="Street Tree for Green Factor",$F348&lt;&gt;"",$F348&lt;&gt;"Retain"),
Error!$B$14,
IF(AND($E348="&lt;6in DSH for Tree Points",$F348="Retain",$H348&lt;&gt;"",ISNA(MATCH($H348,Tables!$B$174:$B$174,0))),
Error!$B$15,
IF(AND($E348="Street Tree for Green Factor",$F348="Retain",$H348&lt;&gt;"",$H348&lt;&gt;"Zoning: Green Factor"),
Error!$B$15,
IF(AND($E348="ECA / Shoreline Tree",$F348="Remove",$H348&lt;&gt;"",ISNA(MATCH($H348,Tables!$B$189:$B$190,0))),
Error!$B$15,
IF(AND($E348="ECA / Shoreline Tree",$F348="Retain",$H348&lt;&gt;"",ISNA(MATCH($H348,Tables!$B$184:$B$186,0))),
Error!$B$15,
IF(AND($E348="Tier 4",$F348="Remove",$H348&lt;&gt;"",ISNA(MATCH($H348,Tables!$B$171,0))),
Error!$B$15,
IF(AND($E348="Tier 4",$F348="Retain",$H348&lt;&gt;"",ISNA(MATCH($H348,Tables!$B$166:$B$168,0))),
Error!$B$15,
IF(AND($E348="Tier 3",$F348="Retain",$H348&lt;&gt;"",ISNA(MATCH($H348,Tables!$B$158:$B$160,0))),
Error!$B$15,
IF(AND($E348="Tier 3",$F348="Remove",$H348&lt;&gt;"",ISNA(MATCH($H348,Tables!$B$163,0))),
Error!$B$15,
IF(AND(OR($E348="Tier 2",$E348="Tier 2 Grove"),$F348="Remove",$H348&lt;&gt;"",ISNA(MATCH($H348,Tables!$B$153:$B$155,0))),
Error!$B$15,
IF(AND(OR($E348="Tier 2",$E348="Tier 2 Grove"),$F348="Retain",$H348&lt;&gt;"",ISNA(MATCH($H348,Tables!$B$147:$B$150,0))),
Error!$B$15,
IF(AND($E348="Tier 1",$F348="Remove",$H348&lt;&gt;"",ISNA(MATCH($H348,Tables!$B$143:$B$144,0))),
Error!$B$15,
IF(AND($E348="Tier 1",$F348="Retain",$H348&lt;&gt;"",ISNA(MATCH($H348,Tables!$B$137:$B$140,0))),
Error!$B$15,
IF(AND($E348&lt;&gt;"Tier 2",$E348&lt;&gt;"Tier 2 Grove",$E348&lt;&gt;"Tier 3",$E348&lt;&gt;"Tier 4",$H348="Zoning: Green Factor",OR($D348="",$D348&lt;6)),
Error!$B$11,
IF(AND(_xlpm.baseRow,$D348&lt;6,$E348="&lt;6in DSH for Tree Points",_xlpm.TreePoints_H=0),
Error!$B$21,
IF(AND(_xlpm.baseRow,$E348&lt;&gt;"",$D348&lt;&gt;"",$F348=""),
Error!$B$4,
IF(AND(_xlpm.baseRow,$F348="Remove",OR($E348="Tier 1",$E348="Tier 2",$E348="Tier 2 Grove"),COUNTBLANK(_xlpm.HRange)&lt;3,_xlpm.uniqueH&gt;=2),
Error!$B$48,
IF(AND(_xlpm.baseRow,$F348="Retain",OR($E348="Tier 1",$E348="Tier 2",$E348="Tier 2 Grove"),COUNTIF(_xlpm.HRange,"Tree Code: Required to Retain Tier 1-2 Tree")=0),
Error!$B$47,
IF(AND(_xlpm.baseRow,$E348&lt;&gt;"",$D348&lt;&gt;"",$F348&lt;&gt;"",COUNTBLANK(_xlpm.HRange)=4),
Error!$B$5,
IF(AND($F348="Remove",$H348&lt;&gt;"",$I348=""),
Error!$B$18,
IF(AND($E348="Tier 4",$F348="Remove",$H348="Tree Protection Code: Tier 3 or Tier 4 Allowance",$H348&lt;&gt;"",ISNA(MATCH($I348,Tables!$B$200,0))),
Error!$B$17,
IF(AND($E348="Tier 3",$F348="Remove",$H348&lt;&gt;"",$H348="Tree Protection Code: Tier 3 or Tier 4 Allowance",OR($I348="",ISNA(MATCH($I348,Tables!$B$193:$B$197,0)))),
Error!$B$17,
IF(AND(OR($E348="Tier 2",$E348="Tier 2 Grove"),$F348="Remove",$H348="Tree Protection Code: Other removal allowance or exemption",$I348&lt;&gt;"",ISNA(MATCH($I348,Tables!$B$215:$B$218,0))),
Error!$B$17,
IF(AND(OR($E348="Tier 2",$E348="Tier 2 Grove"),$F348="Remove",$H348="Tree Protection Code: Development Capacity",$I348&lt;&gt;"",ISNA(MATCH($I348,Tables!$B$193:$B$197,0))),
Error!$B$17,
IF(AND(OR($E348="Tier 2",$E348="Tier 2 Grove"),$F348="Remove",$H348="Tree Protection Code: Necessary for Construction",$I348&lt;&gt;"",ISNA(MATCH($I348,Tables!$B$193:$B$197,0))),
Error!$B$17,
IF(AND($E348="Tier 1",$F348="Remove",$H348="Tree Protection Code: Special Exception",$I348&lt;&gt;"",ISNA(MATCH($I348,Tables!$B$215:$B$218,0))),
Error!$B$17,
IF(AND($E348="Tier 1",$F348="Remove",$H348="Tree Protection Code: Other removal allowance or exemption",$I348&lt;&gt;"",ISNA(MATCH($I348,Tables!$B$215:$B$218,0))),
Error!$B$17,
IF(AND($E348="ECA / Shoreline Tree",$F348="Remove",$H348&lt;&gt;"",OR($H348="Shoreline",$H348="Environmental Critical Area (ECA)"),ISNA(MATCH($I348,Tables!$B$209:$B$212,0))),
Error!$B$17,
IF(AND(_xlpm.baseRow,$F348="Retain",$E348="ECA / Shoreline Tree",_xlpm.ECA_Short=0),
Error!$B$61,
IF(AND($F348="Remove",ISNUMBER(MATCH($E348,{"Tier 1","Tier 2","Tier 3","Tier 4","Tier 2 Grove"},0)),ISNUMBER(MATCH($I348,{"On-site replacement","Off-site replacement"},0)),$J348="",$H348&lt;&gt;""),
Error!$B$19,
IF(AND(_xlpm.baseRow,$E348&lt;&gt;"",$D348&lt;&gt;"",$F348&lt;&gt;"",COUNTBLANK($B348:$C348)&gt;0,COUNTBLANK(_xlpm.HRange)&lt;&gt;4),
Error!$B$22,
IF(AND($H348="Zoning: Tree Points",$K348&lt;&gt;"",ISNA(MATCH($K348,Tables!$B$242:$B$253,0))),
Error!$B$58,
IF(AND($H348="Zoning: Tree Points",$K348="Small",$L348&lt;&gt;"",ISNA(MATCH($L348,Tables!$C$243:$C$244,0))),
Error!$B$59,
IF(AND($H348="Zoning: Tree Points",$K348="Small/Medium",$L348&lt;&gt;"",ISNA(MATCH($L348,Tables!$C$246:$C$247,0))),
Error!$B$59,
IF(AND($H348="Zoning: Tree Points",$K348="Medium/Large",$L348&lt;&gt;"",ISNA(MATCH($L348,Tables!$C$249:$C$250,0))),
Error!$B$59,
IF(AND($H348="Zoning: Tree Points",$K348="Large",$L348&lt;&gt;"",ISNA(MATCH($L348,Tables!$C$252:$C$253,0))),
Error!$B$59,
IF(AND($F348="Retain",$H348="Zoning: Tree Points",$C348&lt;&gt;"",$D348&lt;&gt;"",OR($K348="",$L348="",$M348="")),
Error!$B$20,
""
)))))))))))))))))))))))))))))))))))))))))))))))))))))))),
Error!$B$23))</f>
        <v/>
      </c>
      <c r="O348" s="343" t="str" cm="1">
        <f t="array" aca="1" ref="O348" ca="1">IFERROR(_xlfn.LET(
    _xlpm.txt, $C348,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49" spans="1:15" x14ac:dyDescent="0.3">
      <c r="A349" s="320"/>
      <c r="B349" s="616" t="str">
        <f t="shared" si="381"/>
        <v/>
      </c>
      <c r="C349" s="617" t="str">
        <f t="shared" si="382"/>
        <v/>
      </c>
      <c r="D349" s="618" t="str">
        <f t="shared" si="383"/>
        <v/>
      </c>
      <c r="E349" s="616" t="str">
        <f t="shared" si="384"/>
        <v/>
      </c>
      <c r="F349" s="616" t="str">
        <f t="shared" si="385"/>
        <v/>
      </c>
      <c r="G349" s="619" t="str">
        <f>IF(Tree_Table1[[#This Row],[Tree Status  &amp;]]="Retain", Tables!$B$237, IF(Tree_Table1[[#This Row],[Tree Status  &amp;]]="Remove", Tables!$B$238, ""))</f>
        <v/>
      </c>
      <c r="H349" s="321"/>
      <c r="I349" s="322"/>
      <c r="J349" s="453"/>
      <c r="K349" s="323" t="str">
        <f>IFERROR(
    IF(
        AND($H349="Zoning: Tree Points", NOT(ISNUMBER(SEARCH("sp.", $C349)))),
        VLOOKUP($C349, 'Tree List'!$C$3:$F$601, 4, FALSE),
        ""
    ),
"")</f>
        <v/>
      </c>
      <c r="L349" s="324" t="str" cm="1">
        <f t="array" ref="L349">IFERROR(
IF(
    AND($H349="Zoning: Tree Points", NOT(ISNUMBER(SEARCH("sp.", $C349)))),
    _xlfn.IFS(
        (COUNTIFS('Tree List'!$C$3:$C$601,$C349,'Tree List'!$D$3:$D$601,"Coniferous")
        + COUNTIFS('Tree List'!$C$3:$C$601,$C349,'Tree List'!$D$3:$D$601,"Deciduous Conifer")) &gt; 0,
            _xlfn.IFS($K349="Small",0.5,$K349="Small/Medium",1,$K349="Medium/Large",1.4,$K349="Large",1.8),
        (COUNTIFS('Tree List'!$C$3:$C$601,$C349,'Tree List'!$D$3:$D$601,"Deciduous")
        + COUNTIFS('Tree List'!$C$3:$C$601,$C349,'Tree List'!$D$3:$D$601,"Broadleaf Evergreen")) &gt; 0,
            _xlfn.IFS($K349="Small",0.4,$K349="Small/Medium",0.8,$K349="Medium/Large",1.2,$K349="Large",1.6)
    ),
    ""
),
"")</f>
        <v/>
      </c>
      <c r="M349" s="475" t="str">
        <f t="shared" si="330"/>
        <v/>
      </c>
      <c r="N349" s="346" t="str" cm="1">
        <f t="array" aca="1" ref="N34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IF(AND(_xlpm.baseRow,ISNA(MATCH($C349,'Tree List'!$C$3:$C$601,0)),SUMPRODUCT(--ISNUMBER(SEARCH(Tables2!$C$677:$C$772,$O349)))&gt;0),
Error!$B$57,
IF(AND(_xlpm.hasDM,$F349="Remove",$H349&lt;&gt;"",OR($I349="On-site replacement",$I349="Off-site replacement",$I349="Payment In Lieu")),
Error!$B$56,
IF(AND(_xlpm.hasDM,$F349="Remove",$H349&lt;&gt;"",$I349="Relocation"),
Error!$B$66,
IF(AND(OR(_xlpm.hasCN,_xlpm.hasPH,_xlpm.hasGR),$H349&lt;&gt;"",COUNTIF(Tables!$B$132:$B$134,$H349)&gt;0,$I349="N/A (No replacement required)"),
Error!$B$62,
IF(AND(_xlpm.baseRow,$E349&lt;&gt;"",ISNA(MATCH($E349,Tables!$B$225:$B$232,0))),
Error!$B$2,
IF(AND(_xlpm.baseRow,$F349&lt;&gt;"",ISNA(MATCH($F349,Tables!$B$234:$B$235,0))),
Error!$B$24,
IF(AND(_xlpm.baseRow,_xlpm.ECA_H&gt;0,_xlpm.Shore_H&gt;0),
Error!$B$16,
IF(AND(_xlpm.baseRow,$E349&lt;&gt;"",$D349=""),
Error!$B$3,
IF(AND(_xlpm.baseRow,OR($E349="Tier 3",$E349="Tier 4"),$C349&lt;&gt;"",$D349&gt;=24,COUNTIF(Tables2!$B$166:$B$674,$C349)&gt;0),
Error!$B$44,
IF(AND(_xlpm.baseRow,OR($E349="Tier 3",$E349="Tier 4"),$C349&lt;&gt;"",$D349&lt;&gt;"",COUNTIF(Tables2!$B$73:$B$152,$C349)&gt;0,
$D349&gt;=IFERROR(INDEX(Tables2!$C$73:$C$152,MATCH($C349,Tables2!$B$73:$B$152,0)),-1)),
Error!$B$44,
IF(AND(_xlpm.baseRow,OR($E349="Tier 2",$E349="Tier 2 Grove"),$C349&lt;&gt;"",$D349&gt;=12,COUNTIF(Tables2!$B$153:$B$162,$C349)&gt;0),
Error!$B$45,
IF(AND(_xlpm.baseRow,$E349="Tier 2 Grove",$D349&lt;12),
Error!$B$41,
IF(AND(_xlpm.baseRow,$E349="Tier 2",$D349&lt;5.88),
Error!$B$40,
IF(AND(_xlpm.baseRow,OR($E349="Tier 2",$E349="Tier 2 Grove"),$C349&lt;&gt;"",$D349&lt;12,$D349&gt;=6,COUNTIF(Tables2!$B$153:$B$162,$C349)&gt;0),
Error!$B$54,
IF(AND(_xlpm.baseRow,$E349="Tier 2",COUNTIF(Tables2!$B$166:$B$674,$C349)&gt;0,$D349&lt;24),
Error!$B$54,
IF(AND(_xlpm.baseRow,$E349="Tier 3",ISNA(MATCH($C349,Tables2!$B$153:$B$162,0)),OR($D349&lt;12,$D349&gt;=24)),
Error!$B$9,
IF(AND(_xlpm.baseRow,$E349="Tier 3",COUNTIF(Tables2!$B$153:$B$162,$C349)&gt;0,$D349&lt;12),
Error!$B$46,
IF(AND(_xlpm.baseRow,$E349="Tier 4",OR($D349&lt;6,$D349&gt;=12)),
Error!$B$10,
IF(AND(_xlpm.baseRow,$E349="&lt;6in DSH for Tree Points",OR($D349&gt;=6,$D349="")),
Error!$B$8,
IF(AND(_xlpm.baseRow,$E349="Street Tree for Green Factor",$F349&lt;&gt;"",$F349&lt;&gt;"Retain"),
Error!$B$14,
IF(AND($E349="&lt;6in DSH for Tree Points",$F349="Retain",$H349&lt;&gt;"",ISNA(MATCH($H349,Tables!$B$174:$B$174,0))),
Error!$B$15,
IF(AND($E349="Street Tree for Green Factor",$F349="Retain",$H349&lt;&gt;"",$H349&lt;&gt;"Zoning: Green Factor"),
Error!$B$15,
IF(AND($E349="ECA / Shoreline Tree",$F349="Remove",$H349&lt;&gt;"",ISNA(MATCH($H349,Tables!$B$189:$B$190,0))),
Error!$B$15,
IF(AND($E349="ECA / Shoreline Tree",$F349="Retain",$H349&lt;&gt;"",ISNA(MATCH($H349,Tables!$B$184:$B$186,0))),
Error!$B$15,
IF(AND($E349="Tier 4",$F349="Remove",$H349&lt;&gt;"",ISNA(MATCH($H349,Tables!$B$171,0))),
Error!$B$15,
IF(AND($E349="Tier 4",$F349="Retain",$H349&lt;&gt;"",ISNA(MATCH($H349,Tables!$B$166:$B$168,0))),
Error!$B$15,
IF(AND($E349="Tier 3",$F349="Retain",$H349&lt;&gt;"",ISNA(MATCH($H349,Tables!$B$158:$B$160,0))),
Error!$B$15,
IF(AND($E349="Tier 3",$F349="Remove",$H349&lt;&gt;"",ISNA(MATCH($H349,Tables!$B$163,0))),
Error!$B$15,
IF(AND(OR($E349="Tier 2",$E349="Tier 2 Grove"),$F349="Remove",$H349&lt;&gt;"",ISNA(MATCH($H349,Tables!$B$153:$B$155,0))),
Error!$B$15,
IF(AND(OR($E349="Tier 2",$E349="Tier 2 Grove"),$F349="Retain",$H349&lt;&gt;"",ISNA(MATCH($H349,Tables!$B$147:$B$150,0))),
Error!$B$15,
IF(AND($E349="Tier 1",$F349="Remove",$H349&lt;&gt;"",ISNA(MATCH($H349,Tables!$B$143:$B$144,0))),
Error!$B$15,
IF(AND($E349="Tier 1",$F349="Retain",$H349&lt;&gt;"",ISNA(MATCH($H349,Tables!$B$137:$B$140,0))),
Error!$B$15,
IF(AND($E349&lt;&gt;"Tier 2",$E349&lt;&gt;"Tier 2 Grove",$E349&lt;&gt;"Tier 3",$E349&lt;&gt;"Tier 4",$H349="Zoning: Green Factor",OR($D349="",$D349&lt;6)),
Error!$B$11,
IF(AND(_xlpm.baseRow,$D349&lt;6,$E349="&lt;6in DSH for Tree Points",_xlpm.TreePoints_H=0),
Error!$B$21,
IF(AND(_xlpm.baseRow,$E349&lt;&gt;"",$D349&lt;&gt;"",$F349=""),
Error!$B$4,
IF(AND(_xlpm.baseRow,$F349="Remove",OR($E349="Tier 1",$E349="Tier 2",$E349="Tier 2 Grove"),COUNTBLANK(_xlpm.HRange)&lt;3,_xlpm.uniqueH&gt;=2),
Error!$B$48,
IF(AND(_xlpm.baseRow,$F349="Retain",OR($E349="Tier 1",$E349="Tier 2",$E349="Tier 2 Grove"),COUNTIF(_xlpm.HRange,"Tree Code: Required to Retain Tier 1-2 Tree")=0),
Error!$B$47,
IF(AND(_xlpm.baseRow,$E349&lt;&gt;"",$D349&lt;&gt;"",$F349&lt;&gt;"",COUNTBLANK(_xlpm.HRange)=4),
Error!$B$5,
IF(AND($F349="Remove",$H349&lt;&gt;"",$I349=""),
Error!$B$18,
IF(AND($E349="Tier 4",$F349="Remove",$H349="Tree Protection Code: Tier 3 or Tier 4 Allowance",$H349&lt;&gt;"",ISNA(MATCH($I349,Tables!$B$200,0))),
Error!$B$17,
IF(AND($E349="Tier 3",$F349="Remove",$H349&lt;&gt;"",$H349="Tree Protection Code: Tier 3 or Tier 4 Allowance",OR($I349="",ISNA(MATCH($I349,Tables!$B$193:$B$197,0)))),
Error!$B$17,
IF(AND(OR($E349="Tier 2",$E349="Tier 2 Grove"),$F349="Remove",$H349="Tree Protection Code: Other removal allowance or exemption",$I349&lt;&gt;"",ISNA(MATCH($I349,Tables!$B$215:$B$218,0))),
Error!$B$17,
IF(AND(OR($E349="Tier 2",$E349="Tier 2 Grove"),$F349="Remove",$H349="Tree Protection Code: Development Capacity",$I349&lt;&gt;"",ISNA(MATCH($I349,Tables!$B$193:$B$197,0))),
Error!$B$17,
IF(AND(OR($E349="Tier 2",$E349="Tier 2 Grove"),$F349="Remove",$H349="Tree Protection Code: Necessary for Construction",$I349&lt;&gt;"",ISNA(MATCH($I349,Tables!$B$193:$B$197,0))),
Error!$B$17,
IF(AND($E349="Tier 1",$F349="Remove",$H349="Tree Protection Code: Special Exception",$I349&lt;&gt;"",ISNA(MATCH($I349,Tables!$B$215:$B$218,0))),
Error!$B$17,
IF(AND($E349="Tier 1",$F349="Remove",$H349="Tree Protection Code: Other removal allowance or exemption",$I349&lt;&gt;"",ISNA(MATCH($I349,Tables!$B$215:$B$218,0))),
Error!$B$17,
IF(AND($E349="ECA / Shoreline Tree",$F349="Remove",$H349&lt;&gt;"",OR($H349="Shoreline",$H349="Environmental Critical Area (ECA)"),ISNA(MATCH($I349,Tables!$B$209:$B$212,0))),
Error!$B$17,
IF(AND(_xlpm.baseRow,$F349="Retain",$E349="ECA / Shoreline Tree",_xlpm.ECA_Short=0),
Error!$B$61,
IF(AND($F349="Remove",ISNUMBER(MATCH($E349,{"Tier 1","Tier 2","Tier 3","Tier 4","Tier 2 Grove"},0)),ISNUMBER(MATCH($I349,{"On-site replacement","Off-site replacement"},0)),$J349="",$H349&lt;&gt;""),
Error!$B$19,
IF(AND(_xlpm.baseRow,$E349&lt;&gt;"",$D349&lt;&gt;"",$F349&lt;&gt;"",COUNTBLANK($B349:$C349)&gt;0,COUNTBLANK(_xlpm.HRange)&lt;&gt;4),
Error!$B$22,
IF(AND($H349="Zoning: Tree Points",$K349&lt;&gt;"",ISNA(MATCH($K349,Tables!$B$242:$B$253,0))),
Error!$B$58,
IF(AND($H349="Zoning: Tree Points",$K349="Small",$L349&lt;&gt;"",ISNA(MATCH($L349,Tables!$C$243:$C$244,0))),
Error!$B$59,
IF(AND($H349="Zoning: Tree Points",$K349="Small/Medium",$L349&lt;&gt;"",ISNA(MATCH($L349,Tables!$C$246:$C$247,0))),
Error!$B$59,
IF(AND($H349="Zoning: Tree Points",$K349="Medium/Large",$L349&lt;&gt;"",ISNA(MATCH($L349,Tables!$C$249:$C$250,0))),
Error!$B$59,
IF(AND($H349="Zoning: Tree Points",$K349="Large",$L349&lt;&gt;"",ISNA(MATCH($L349,Tables!$C$252:$C$253,0))),
Error!$B$59,
IF(AND($F349="Retain",$H349="Zoning: Tree Points",$C349&lt;&gt;"",$D349&lt;&gt;"",OR($K349="",$L349="",$M349="")),
Error!$B$20,
""
)))))))))))))))))))))))))))))))))))))))))))))))))))))))),
Error!$B$23))</f>
        <v/>
      </c>
      <c r="O349" s="343" t="str" cm="1">
        <f t="array" aca="1" ref="O349" ca="1">IFERROR(_xlfn.LET(
    _xlpm.txt, $C349,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50" spans="1:15" ht="15" thickBot="1" x14ac:dyDescent="0.35">
      <c r="A350" s="331"/>
      <c r="B350" s="616" t="str">
        <f t="shared" si="381"/>
        <v/>
      </c>
      <c r="C350" s="617" t="str">
        <f t="shared" si="382"/>
        <v/>
      </c>
      <c r="D350" s="618" t="str">
        <f t="shared" si="383"/>
        <v/>
      </c>
      <c r="E350" s="616" t="str">
        <f t="shared" si="384"/>
        <v/>
      </c>
      <c r="F350" s="616" t="str">
        <f t="shared" si="385"/>
        <v/>
      </c>
      <c r="G350" s="619" t="str">
        <f>IF(Tree_Table1[[#This Row],[Tree Status  &amp;]]="Retain", Tables!$B$237, IF(Tree_Table1[[#This Row],[Tree Status  &amp;]]="Remove", Tables!$B$238, ""))</f>
        <v/>
      </c>
      <c r="H350" s="329"/>
      <c r="I350" s="330"/>
      <c r="J350" s="455"/>
      <c r="K350" s="327" t="str">
        <f>IFERROR(
    IF(
        AND($H350="Zoning: Tree Points", NOT(ISNUMBER(SEARCH("sp.", $C350)))),
        VLOOKUP($C350, 'Tree List'!$C$3:$F$601, 4, FALSE),
        ""
    ),
"")</f>
        <v/>
      </c>
      <c r="L350" s="328" t="str" cm="1">
        <f t="array" ref="L350">IFERROR(
IF(
    AND($H350="Zoning: Tree Points", NOT(ISNUMBER(SEARCH("sp.", $C350)))),
    _xlfn.IFS(
        (COUNTIFS('Tree List'!$C$3:$C$601,$C350,'Tree List'!$D$3:$D$601,"Coniferous")
        + COUNTIFS('Tree List'!$C$3:$C$601,$C350,'Tree List'!$D$3:$D$601,"Deciduous Conifer")) &gt; 0,
            _xlfn.IFS($K350="Small",0.5,$K350="Small/Medium",1,$K350="Medium/Large",1.4,$K350="Large",1.8),
        (COUNTIFS('Tree List'!$C$3:$C$601,$C350,'Tree List'!$D$3:$D$601,"Deciduous")
        + COUNTIFS('Tree List'!$C$3:$C$601,$C350,'Tree List'!$D$3:$D$601,"Broadleaf Evergreen")) &gt; 0,
            _xlfn.IFS($K350="Small",0.4,$K350="Small/Medium",0.8,$K350="Medium/Large",1.2,$K350="Large",1.6)
    ),
    ""
),
"")</f>
        <v/>
      </c>
      <c r="M350" s="476" t="str">
        <f t="shared" si="330"/>
        <v/>
      </c>
      <c r="N350" s="347" t="str" cm="1">
        <f t="array" aca="1" ref="N35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IF(AND(_xlpm.baseRow,ISNA(MATCH($C350,'Tree List'!$C$3:$C$601,0)),SUMPRODUCT(--ISNUMBER(SEARCH(Tables2!$C$677:$C$772,$O350)))&gt;0),
Error!$B$57,
IF(AND(_xlpm.hasDM,$F350="Remove",$H350&lt;&gt;"",OR($I350="On-site replacement",$I350="Off-site replacement",$I350="Payment In Lieu")),
Error!$B$56,
IF(AND(_xlpm.hasDM,$F350="Remove",$H350&lt;&gt;"",$I350="Relocation"),
Error!$B$66,
IF(AND(OR(_xlpm.hasCN,_xlpm.hasPH,_xlpm.hasGR),$H350&lt;&gt;"",COUNTIF(Tables!$B$132:$B$134,$H350)&gt;0,$I350="N/A (No replacement required)"),
Error!$B$62,
IF(AND(_xlpm.baseRow,$E350&lt;&gt;"",ISNA(MATCH($E350,Tables!$B$225:$B$232,0))),
Error!$B$2,
IF(AND(_xlpm.baseRow,$F350&lt;&gt;"",ISNA(MATCH($F350,Tables!$B$234:$B$235,0))),
Error!$B$24,
IF(AND(_xlpm.baseRow,_xlpm.ECA_H&gt;0,_xlpm.Shore_H&gt;0),
Error!$B$16,
IF(AND(_xlpm.baseRow,$E350&lt;&gt;"",$D350=""),
Error!$B$3,
IF(AND(_xlpm.baseRow,OR($E350="Tier 3",$E350="Tier 4"),$C350&lt;&gt;"",$D350&gt;=24,COUNTIF(Tables2!$B$166:$B$674,$C350)&gt;0),
Error!$B$44,
IF(AND(_xlpm.baseRow,OR($E350="Tier 3",$E350="Tier 4"),$C350&lt;&gt;"",$D350&lt;&gt;"",COUNTIF(Tables2!$B$73:$B$152,$C350)&gt;0,
$D350&gt;=IFERROR(INDEX(Tables2!$C$73:$C$152,MATCH($C350,Tables2!$B$73:$B$152,0)),-1)),
Error!$B$44,
IF(AND(_xlpm.baseRow,OR($E350="Tier 2",$E350="Tier 2 Grove"),$C350&lt;&gt;"",$D350&gt;=12,COUNTIF(Tables2!$B$153:$B$162,$C350)&gt;0),
Error!$B$45,
IF(AND(_xlpm.baseRow,$E350="Tier 2 Grove",$D350&lt;12),
Error!$B$41,
IF(AND(_xlpm.baseRow,$E350="Tier 2",$D350&lt;5.88),
Error!$B$40,
IF(AND(_xlpm.baseRow,OR($E350="Tier 2",$E350="Tier 2 Grove"),$C350&lt;&gt;"",$D350&lt;12,$D350&gt;=6,COUNTIF(Tables2!$B$153:$B$162,$C350)&gt;0),
Error!$B$54,
IF(AND(_xlpm.baseRow,$E350="Tier 2",COUNTIF(Tables2!$B$166:$B$674,$C350)&gt;0,$D350&lt;24),
Error!$B$54,
IF(AND(_xlpm.baseRow,$E350="Tier 3",ISNA(MATCH($C350,Tables2!$B$153:$B$162,0)),OR($D350&lt;12,$D350&gt;=24)),
Error!$B$9,
IF(AND(_xlpm.baseRow,$E350="Tier 3",COUNTIF(Tables2!$B$153:$B$162,$C350)&gt;0,$D350&lt;12),
Error!$B$46,
IF(AND(_xlpm.baseRow,$E350="Tier 4",OR($D350&lt;6,$D350&gt;=12)),
Error!$B$10,
IF(AND(_xlpm.baseRow,$E350="&lt;6in DSH for Tree Points",OR($D350&gt;=6,$D350="")),
Error!$B$8,
IF(AND(_xlpm.baseRow,$E350="Street Tree for Green Factor",$F350&lt;&gt;"",$F350&lt;&gt;"Retain"),
Error!$B$14,
IF(AND($E350="&lt;6in DSH for Tree Points",$F350="Retain",$H350&lt;&gt;"",ISNA(MATCH($H350,Tables!$B$174:$B$174,0))),
Error!$B$15,
IF(AND($E350="Street Tree for Green Factor",$F350="Retain",$H350&lt;&gt;"",$H350&lt;&gt;"Zoning: Green Factor"),
Error!$B$15,
IF(AND($E350="ECA / Shoreline Tree",$F350="Remove",$H350&lt;&gt;"",ISNA(MATCH($H350,Tables!$B$189:$B$190,0))),
Error!$B$15,
IF(AND($E350="ECA / Shoreline Tree",$F350="Retain",$H350&lt;&gt;"",ISNA(MATCH($H350,Tables!$B$184:$B$186,0))),
Error!$B$15,
IF(AND($E350="Tier 4",$F350="Remove",$H350&lt;&gt;"",ISNA(MATCH($H350,Tables!$B$171,0))),
Error!$B$15,
IF(AND($E350="Tier 4",$F350="Retain",$H350&lt;&gt;"",ISNA(MATCH($H350,Tables!$B$166:$B$168,0))),
Error!$B$15,
IF(AND($E350="Tier 3",$F350="Retain",$H350&lt;&gt;"",ISNA(MATCH($H350,Tables!$B$158:$B$160,0))),
Error!$B$15,
IF(AND($E350="Tier 3",$F350="Remove",$H350&lt;&gt;"",ISNA(MATCH($H350,Tables!$B$163,0))),
Error!$B$15,
IF(AND(OR($E350="Tier 2",$E350="Tier 2 Grove"),$F350="Remove",$H350&lt;&gt;"",ISNA(MATCH($H350,Tables!$B$153:$B$155,0))),
Error!$B$15,
IF(AND(OR($E350="Tier 2",$E350="Tier 2 Grove"),$F350="Retain",$H350&lt;&gt;"",ISNA(MATCH($H350,Tables!$B$147:$B$150,0))),
Error!$B$15,
IF(AND($E350="Tier 1",$F350="Remove",$H350&lt;&gt;"",ISNA(MATCH($H350,Tables!$B$143:$B$144,0))),
Error!$B$15,
IF(AND($E350="Tier 1",$F350="Retain",$H350&lt;&gt;"",ISNA(MATCH($H350,Tables!$B$137:$B$140,0))),
Error!$B$15,
IF(AND($E350&lt;&gt;"Tier 2",$E350&lt;&gt;"Tier 2 Grove",$E350&lt;&gt;"Tier 3",$E350&lt;&gt;"Tier 4",$H350="Zoning: Green Factor",OR($D350="",$D350&lt;6)),
Error!$B$11,
IF(AND(_xlpm.baseRow,$D350&lt;6,$E350="&lt;6in DSH for Tree Points",_xlpm.TreePoints_H=0),
Error!$B$21,
IF(AND(_xlpm.baseRow,$E350&lt;&gt;"",$D350&lt;&gt;"",$F350=""),
Error!$B$4,
IF(AND(_xlpm.baseRow,$F350="Remove",OR($E350="Tier 1",$E350="Tier 2",$E350="Tier 2 Grove"),COUNTBLANK(_xlpm.HRange)&lt;3,_xlpm.uniqueH&gt;=2),
Error!$B$48,
IF(AND(_xlpm.baseRow,$F350="Retain",OR($E350="Tier 1",$E350="Tier 2",$E350="Tier 2 Grove"),COUNTIF(_xlpm.HRange,"Tree Code: Required to Retain Tier 1-2 Tree")=0),
Error!$B$47,
IF(AND(_xlpm.baseRow,$E350&lt;&gt;"",$D350&lt;&gt;"",$F350&lt;&gt;"",COUNTBLANK(_xlpm.HRange)=4),
Error!$B$5,
IF(AND($F350="Remove",$H350&lt;&gt;"",$I350=""),
Error!$B$18,
IF(AND($E350="Tier 4",$F350="Remove",$H350="Tree Protection Code: Tier 3 or Tier 4 Allowance",$H350&lt;&gt;"",ISNA(MATCH($I350,Tables!$B$200,0))),
Error!$B$17,
IF(AND($E350="Tier 3",$F350="Remove",$H350&lt;&gt;"",$H350="Tree Protection Code: Tier 3 or Tier 4 Allowance",OR($I350="",ISNA(MATCH($I350,Tables!$B$193:$B$197,0)))),
Error!$B$17,
IF(AND(OR($E350="Tier 2",$E350="Tier 2 Grove"),$F350="Remove",$H350="Tree Protection Code: Other removal allowance or exemption",$I350&lt;&gt;"",ISNA(MATCH($I350,Tables!$B$215:$B$218,0))),
Error!$B$17,
IF(AND(OR($E350="Tier 2",$E350="Tier 2 Grove"),$F350="Remove",$H350="Tree Protection Code: Development Capacity",$I350&lt;&gt;"",ISNA(MATCH($I350,Tables!$B$193:$B$197,0))),
Error!$B$17,
IF(AND(OR($E350="Tier 2",$E350="Tier 2 Grove"),$F350="Remove",$H350="Tree Protection Code: Necessary for Construction",$I350&lt;&gt;"",ISNA(MATCH($I350,Tables!$B$193:$B$197,0))),
Error!$B$17,
IF(AND($E350="Tier 1",$F350="Remove",$H350="Tree Protection Code: Special Exception",$I350&lt;&gt;"",ISNA(MATCH($I350,Tables!$B$215:$B$218,0))),
Error!$B$17,
IF(AND($E350="Tier 1",$F350="Remove",$H350="Tree Protection Code: Other removal allowance or exemption",$I350&lt;&gt;"",ISNA(MATCH($I350,Tables!$B$215:$B$218,0))),
Error!$B$17,
IF(AND($E350="ECA / Shoreline Tree",$F350="Remove",$H350&lt;&gt;"",OR($H350="Shoreline",$H350="Environmental Critical Area (ECA)"),ISNA(MATCH($I350,Tables!$B$209:$B$212,0))),
Error!$B$17,
IF(AND(_xlpm.baseRow,$F350="Retain",$E350="ECA / Shoreline Tree",_xlpm.ECA_Short=0),
Error!$B$61,
IF(AND($F350="Remove",ISNUMBER(MATCH($E350,{"Tier 1","Tier 2","Tier 3","Tier 4","Tier 2 Grove"},0)),ISNUMBER(MATCH($I350,{"On-site replacement","Off-site replacement"},0)),$J350="",$H350&lt;&gt;""),
Error!$B$19,
IF(AND(_xlpm.baseRow,$E350&lt;&gt;"",$D350&lt;&gt;"",$F350&lt;&gt;"",COUNTBLANK($B350:$C350)&gt;0,COUNTBLANK(_xlpm.HRange)&lt;&gt;4),
Error!$B$22,
IF(AND($H350="Zoning: Tree Points",$K350&lt;&gt;"",ISNA(MATCH($K350,Tables!$B$242:$B$253,0))),
Error!$B$58,
IF(AND($H350="Zoning: Tree Points",$K350="Small",$L350&lt;&gt;"",ISNA(MATCH($L350,Tables!$C$243:$C$244,0))),
Error!$B$59,
IF(AND($H350="Zoning: Tree Points",$K350="Small/Medium",$L350&lt;&gt;"",ISNA(MATCH($L350,Tables!$C$246:$C$247,0))),
Error!$B$59,
IF(AND($H350="Zoning: Tree Points",$K350="Medium/Large",$L350&lt;&gt;"",ISNA(MATCH($L350,Tables!$C$249:$C$250,0))),
Error!$B$59,
IF(AND($H350="Zoning: Tree Points",$K350="Large",$L350&lt;&gt;"",ISNA(MATCH($L350,Tables!$C$252:$C$253,0))),
Error!$B$59,
IF(AND($F350="Retain",$H350="Zoning: Tree Points",$C350&lt;&gt;"",$D350&lt;&gt;"",OR($K350="",$L350="",$M350="")),
Error!$B$20,
""
)))))))))))))))))))))))))))))))))))))))))))))))))))))))),
Error!$B$23))</f>
        <v/>
      </c>
      <c r="O350" s="343" t="str" cm="1">
        <f t="array" aca="1" ref="O350" ca="1">IFERROR(_xlfn.LET(
    _xlpm.txt, $C350,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51" spans="1:15" ht="15" thickBot="1" x14ac:dyDescent="0.35">
      <c r="A351" s="311">
        <v>86</v>
      </c>
      <c r="B351" s="312"/>
      <c r="C351" s="313"/>
      <c r="D351" s="478"/>
      <c r="E351" s="314"/>
      <c r="F351" s="314"/>
      <c r="G351" s="315" t="str">
        <f>IF(Tree_Table1[[#This Row],[Tree Status  &amp;]]="Retain", Tables!$B$237, IF(Tree_Table1[[#This Row],[Tree Status  &amp;]]="Remove", Tables!$B$238, ""))</f>
        <v/>
      </c>
      <c r="H351" s="316"/>
      <c r="I351" s="317"/>
      <c r="J351" s="452"/>
      <c r="K351" s="318" t="str">
        <f>IFERROR(
    IF(
        AND($H351="Zoning: Tree Points", NOT(ISNUMBER(SEARCH("sp.", $C351)))),
        VLOOKUP($C351, 'Tree List'!$C$3:$F$601, 4, FALSE),
        ""
    ),
"")</f>
        <v/>
      </c>
      <c r="L351" s="319" t="str" cm="1">
        <f t="array" ref="L351">IFERROR(
IF(
    AND($H351="Zoning: Tree Points", NOT(ISNUMBER(SEARCH("sp.", $C351)))),
    _xlfn.IFS(
        (COUNTIFS('Tree List'!$C$3:$C$601,$C351,'Tree List'!$D$3:$D$601,"Coniferous")
        + COUNTIFS('Tree List'!$C$3:$C$601,$C351,'Tree List'!$D$3:$D$601,"Deciduous Conifer")) &gt; 0,
            _xlfn.IFS($K351="Small",0.5,$K351="Small/Medium",1,$K351="Medium/Large",1.4,$K351="Large",1.8),
        (COUNTIFS('Tree List'!$C$3:$C$601,$C351,'Tree List'!$D$3:$D$601,"Deciduous")
        + COUNTIFS('Tree List'!$C$3:$C$601,$C351,'Tree List'!$D$3:$D$601,"Broadleaf Evergreen")) &gt; 0,
            _xlfn.IFS($K351="Small",0.4,$K351="Small/Medium",0.8,$K351="Medium/Large",1.2,$K351="Large",1.6)
    ),
    ""
),
"")</f>
        <v/>
      </c>
      <c r="M351" s="474" t="str">
        <f t="shared" si="330"/>
        <v/>
      </c>
      <c r="N351" s="620" t="str" cm="1">
        <f t="array" aca="1" ref="N35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IF(AND(_xlpm.baseRow,ISNA(MATCH($C351,'Tree List'!$C$3:$C$601,0)),SUMPRODUCT(--ISNUMBER(SEARCH(Tables2!$C$677:$C$772,$O351)))&gt;0),
Error!$B$57,
IF(AND(_xlpm.hasDM,$F351="Remove",$H351&lt;&gt;"",OR($I351="On-site replacement",$I351="Off-site replacement",$I351="Payment In Lieu")),
Error!$B$56,
IF(AND(_xlpm.hasDM,$F351="Remove",$H351&lt;&gt;"",$I351="Relocation"),
Error!$B$66,
IF(AND(OR(_xlpm.hasCN,_xlpm.hasPH,_xlpm.hasGR),$H351&lt;&gt;"",COUNTIF(Tables!$B$132:$B$134,$H351)&gt;0,$I351="N/A (No replacement required)"),
Error!$B$62,
IF(AND(_xlpm.baseRow,$E351&lt;&gt;"",ISNA(MATCH($E351,Tables!$B$225:$B$232,0))),
Error!$B$2,
IF(AND(_xlpm.baseRow,$F351&lt;&gt;"",ISNA(MATCH($F351,Tables!$B$234:$B$235,0))),
Error!$B$24,
IF(AND(_xlpm.baseRow,_xlpm.ECA_H&gt;0,_xlpm.Shore_H&gt;0),
Error!$B$16,
IF(AND(_xlpm.baseRow,$E351&lt;&gt;"",$D351=""),
Error!$B$3,
IF(AND(_xlpm.baseRow,OR($E351="Tier 3",$E351="Tier 4"),$C351&lt;&gt;"",$D351&gt;=24,COUNTIF(Tables2!$B$166:$B$674,$C351)&gt;0),
Error!$B$44,
IF(AND(_xlpm.baseRow,OR($E351="Tier 3",$E351="Tier 4"),$C351&lt;&gt;"",$D351&lt;&gt;"",COUNTIF(Tables2!$B$73:$B$152,$C351)&gt;0,
$D351&gt;=IFERROR(INDEX(Tables2!$C$73:$C$152,MATCH($C351,Tables2!$B$73:$B$152,0)),-1)),
Error!$B$44,
IF(AND(_xlpm.baseRow,OR($E351="Tier 2",$E351="Tier 2 Grove"),$C351&lt;&gt;"",$D351&gt;=12,COUNTIF(Tables2!$B$153:$B$162,$C351)&gt;0),
Error!$B$45,
IF(AND(_xlpm.baseRow,$E351="Tier 2 Grove",$D351&lt;12),
Error!$B$41,
IF(AND(_xlpm.baseRow,$E351="Tier 2",$D351&lt;5.88),
Error!$B$40,
IF(AND(_xlpm.baseRow,OR($E351="Tier 2",$E351="Tier 2 Grove"),$C351&lt;&gt;"",$D351&lt;12,$D351&gt;=6,COUNTIF(Tables2!$B$153:$B$162,$C351)&gt;0),
Error!$B$54,
IF(AND(_xlpm.baseRow,$E351="Tier 2",COUNTIF(Tables2!$B$166:$B$674,$C351)&gt;0,$D351&lt;24),
Error!$B$54,
IF(AND(_xlpm.baseRow,$E351="Tier 3",ISNA(MATCH($C351,Tables2!$B$153:$B$162,0)),OR($D351&lt;12,$D351&gt;=24)),
Error!$B$9,
IF(AND(_xlpm.baseRow,$E351="Tier 3",COUNTIF(Tables2!$B$153:$B$162,$C351)&gt;0,$D351&lt;12),
Error!$B$46,
IF(AND(_xlpm.baseRow,$E351="Tier 4",OR($D351&lt;6,$D351&gt;=12)),
Error!$B$10,
IF(AND(_xlpm.baseRow,$E351="&lt;6in DSH for Tree Points",OR($D351&gt;=6,$D351="")),
Error!$B$8,
IF(AND(_xlpm.baseRow,$E351="Street Tree for Green Factor",$F351&lt;&gt;"",$F351&lt;&gt;"Retain"),
Error!$B$14,
IF(AND($E351="&lt;6in DSH for Tree Points",$F351="Retain",$H351&lt;&gt;"",ISNA(MATCH($H351,Tables!$B$174:$B$174,0))),
Error!$B$15,
IF(AND($E351="Street Tree for Green Factor",$F351="Retain",$H351&lt;&gt;"",$H351&lt;&gt;"Zoning: Green Factor"),
Error!$B$15,
IF(AND($E351="ECA / Shoreline Tree",$F351="Remove",$H351&lt;&gt;"",ISNA(MATCH($H351,Tables!$B$189:$B$190,0))),
Error!$B$15,
IF(AND($E351="ECA / Shoreline Tree",$F351="Retain",$H351&lt;&gt;"",ISNA(MATCH($H351,Tables!$B$184:$B$186,0))),
Error!$B$15,
IF(AND($E351="Tier 4",$F351="Remove",$H351&lt;&gt;"",ISNA(MATCH($H351,Tables!$B$171,0))),
Error!$B$15,
IF(AND($E351="Tier 4",$F351="Retain",$H351&lt;&gt;"",ISNA(MATCH($H351,Tables!$B$166:$B$168,0))),
Error!$B$15,
IF(AND($E351="Tier 3",$F351="Retain",$H351&lt;&gt;"",ISNA(MATCH($H351,Tables!$B$158:$B$160,0))),
Error!$B$15,
IF(AND($E351="Tier 3",$F351="Remove",$H351&lt;&gt;"",ISNA(MATCH($H351,Tables!$B$163,0))),
Error!$B$15,
IF(AND(OR($E351="Tier 2",$E351="Tier 2 Grove"),$F351="Remove",$H351&lt;&gt;"",ISNA(MATCH($H351,Tables!$B$153:$B$155,0))),
Error!$B$15,
IF(AND(OR($E351="Tier 2",$E351="Tier 2 Grove"),$F351="Retain",$H351&lt;&gt;"",ISNA(MATCH($H351,Tables!$B$147:$B$150,0))),
Error!$B$15,
IF(AND($E351="Tier 1",$F351="Remove",$H351&lt;&gt;"",ISNA(MATCH($H351,Tables!$B$143:$B$144,0))),
Error!$B$15,
IF(AND($E351="Tier 1",$F351="Retain",$H351&lt;&gt;"",ISNA(MATCH($H351,Tables!$B$137:$B$140,0))),
Error!$B$15,
IF(AND($E351&lt;&gt;"Tier 2",$E351&lt;&gt;"Tier 2 Grove",$E351&lt;&gt;"Tier 3",$E351&lt;&gt;"Tier 4",$H351="Zoning: Green Factor",OR($D351="",$D351&lt;6)),
Error!$B$11,
IF(AND(_xlpm.baseRow,$D351&lt;6,$E351="&lt;6in DSH for Tree Points",_xlpm.TreePoints_H=0),
Error!$B$21,
IF(AND(_xlpm.baseRow,$E351&lt;&gt;"",$D351&lt;&gt;"",$F351=""),
Error!$B$4,
IF(AND(_xlpm.baseRow,$F351="Remove",OR($E351="Tier 1",$E351="Tier 2",$E351="Tier 2 Grove"),COUNTBLANK(_xlpm.HRange)&lt;3,_xlpm.uniqueH&gt;=2),
Error!$B$48,
IF(AND(_xlpm.baseRow,$F351="Retain",OR($E351="Tier 1",$E351="Tier 2",$E351="Tier 2 Grove"),COUNTIF(_xlpm.HRange,"Tree Code: Required to Retain Tier 1-2 Tree")=0),
Error!$B$47,
IF(AND(_xlpm.baseRow,$E351&lt;&gt;"",$D351&lt;&gt;"",$F351&lt;&gt;"",COUNTBLANK(_xlpm.HRange)=4),
Error!$B$5,
IF(AND($F351="Remove",$H351&lt;&gt;"",$I351=""),
Error!$B$18,
IF(AND($E351="Tier 4",$F351="Remove",$H351="Tree Protection Code: Tier 3 or Tier 4 Allowance",$H351&lt;&gt;"",ISNA(MATCH($I351,Tables!$B$200,0))),
Error!$B$17,
IF(AND($E351="Tier 3",$F351="Remove",$H351&lt;&gt;"",$H351="Tree Protection Code: Tier 3 or Tier 4 Allowance",OR($I351="",ISNA(MATCH($I351,Tables!$B$193:$B$197,0)))),
Error!$B$17,
IF(AND(OR($E351="Tier 2",$E351="Tier 2 Grove"),$F351="Remove",$H351="Tree Protection Code: Other removal allowance or exemption",$I351&lt;&gt;"",ISNA(MATCH($I351,Tables!$B$215:$B$218,0))),
Error!$B$17,
IF(AND(OR($E351="Tier 2",$E351="Tier 2 Grove"),$F351="Remove",$H351="Tree Protection Code: Development Capacity",$I351&lt;&gt;"",ISNA(MATCH($I351,Tables!$B$193:$B$197,0))),
Error!$B$17,
IF(AND(OR($E351="Tier 2",$E351="Tier 2 Grove"),$F351="Remove",$H351="Tree Protection Code: Necessary for Construction",$I351&lt;&gt;"",ISNA(MATCH($I351,Tables!$B$193:$B$197,0))),
Error!$B$17,
IF(AND($E351="Tier 1",$F351="Remove",$H351="Tree Protection Code: Special Exception",$I351&lt;&gt;"",ISNA(MATCH($I351,Tables!$B$215:$B$218,0))),
Error!$B$17,
IF(AND($E351="Tier 1",$F351="Remove",$H351="Tree Protection Code: Other removal allowance or exemption",$I351&lt;&gt;"",ISNA(MATCH($I351,Tables!$B$215:$B$218,0))),
Error!$B$17,
IF(AND($E351="ECA / Shoreline Tree",$F351="Remove",$H351&lt;&gt;"",OR($H351="Shoreline",$H351="Environmental Critical Area (ECA)"),ISNA(MATCH($I351,Tables!$B$209:$B$212,0))),
Error!$B$17,
IF(AND(_xlpm.baseRow,$F351="Retain",$E351="ECA / Shoreline Tree",_xlpm.ECA_Short=0),
Error!$B$61,
IF(AND($F351="Remove",ISNUMBER(MATCH($E351,{"Tier 1","Tier 2","Tier 3","Tier 4","Tier 2 Grove"},0)),ISNUMBER(MATCH($I351,{"On-site replacement","Off-site replacement"},0)),$J351="",$H351&lt;&gt;""),
Error!$B$19,
IF(AND(_xlpm.baseRow,$E351&lt;&gt;"",$D351&lt;&gt;"",$F351&lt;&gt;"",COUNTBLANK($B351:$C351)&gt;0,COUNTBLANK(_xlpm.HRange)&lt;&gt;4),
Error!$B$22,
IF(AND($H351="Zoning: Tree Points",$K351&lt;&gt;"",ISNA(MATCH($K351,Tables!$B$242:$B$253,0))),
Error!$B$58,
IF(AND($H351="Zoning: Tree Points",$K351="Small",$L351&lt;&gt;"",ISNA(MATCH($L351,Tables!$C$243:$C$244,0))),
Error!$B$59,
IF(AND($H351="Zoning: Tree Points",$K351="Small/Medium",$L351&lt;&gt;"",ISNA(MATCH($L351,Tables!$C$246:$C$247,0))),
Error!$B$59,
IF(AND($H351="Zoning: Tree Points",$K351="Medium/Large",$L351&lt;&gt;"",ISNA(MATCH($L351,Tables!$C$249:$C$250,0))),
Error!$B$59,
IF(AND($H351="Zoning: Tree Points",$K351="Large",$L351&lt;&gt;"",ISNA(MATCH($L351,Tables!$C$252:$C$253,0))),
Error!$B$59,
IF(AND($F351="Retain",$H351="Zoning: Tree Points",$C351&lt;&gt;"",$D351&lt;&gt;"",OR($K351="",$L351="",$M351="")),
Error!$B$20,
""
)))))))))))))))))))))))))))))))))))))))))))))))))))))))),
Error!$B$23))</f>
        <v/>
      </c>
      <c r="O351" s="343" t="str" cm="1">
        <f t="array" aca="1" ref="O351" ca="1">IFERROR(_xlfn.LET(
    _xlpm.txt, $C351,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52" spans="1:15" x14ac:dyDescent="0.3">
      <c r="A352" s="320"/>
      <c r="B352" s="616" t="str">
        <f t="shared" ref="B352:B354" si="386">IF($B351="", "", $B351)</f>
        <v/>
      </c>
      <c r="C352" s="617" t="str">
        <f t="shared" ref="C352:C354" si="387">IF($C351="", "", $C351)</f>
        <v/>
      </c>
      <c r="D352" s="618" t="str">
        <f t="shared" ref="D352:D354" si="388">IF($D351="", "", $D351)</f>
        <v/>
      </c>
      <c r="E352" s="616" t="str">
        <f t="shared" ref="E352:E354" si="389">IF($E351="", "", $E351)</f>
        <v/>
      </c>
      <c r="F352" s="616" t="str">
        <f t="shared" ref="F352:F354" si="390">IF($F351="", "", $F351)</f>
        <v/>
      </c>
      <c r="G352" s="619" t="str">
        <f>IF(Tree_Table1[[#This Row],[Tree Status  &amp;]]="Retain", Tables!$B$237, IF(Tree_Table1[[#This Row],[Tree Status  &amp;]]="Remove", Tables!$B$238, ""))</f>
        <v/>
      </c>
      <c r="H352" s="321"/>
      <c r="I352" s="322"/>
      <c r="J352" s="453"/>
      <c r="K352" s="323" t="str">
        <f>IFERROR(
    IF(
        AND($H352="Zoning: Tree Points", NOT(ISNUMBER(SEARCH("sp.", $C352)))),
        VLOOKUP($C352, 'Tree List'!$C$3:$F$601, 4, FALSE),
        ""
    ),
"")</f>
        <v/>
      </c>
      <c r="L352" s="324" t="str" cm="1">
        <f t="array" ref="L352">IFERROR(
IF(
    AND($H352="Zoning: Tree Points", NOT(ISNUMBER(SEARCH("sp.", $C352)))),
    _xlfn.IFS(
        (COUNTIFS('Tree List'!$C$3:$C$601,$C352,'Tree List'!$D$3:$D$601,"Coniferous")
        + COUNTIFS('Tree List'!$C$3:$C$601,$C352,'Tree List'!$D$3:$D$601,"Deciduous Conifer")) &gt; 0,
            _xlfn.IFS($K352="Small",0.5,$K352="Small/Medium",1,$K352="Medium/Large",1.4,$K352="Large",1.8),
        (COUNTIFS('Tree List'!$C$3:$C$601,$C352,'Tree List'!$D$3:$D$601,"Deciduous")
        + COUNTIFS('Tree List'!$C$3:$C$601,$C352,'Tree List'!$D$3:$D$601,"Broadleaf Evergreen")) &gt; 0,
            _xlfn.IFS($K352="Small",0.4,$K352="Small/Medium",0.8,$K352="Medium/Large",1.2,$K352="Large",1.6)
    ),
    ""
),
"")</f>
        <v/>
      </c>
      <c r="M352" s="475" t="str">
        <f t="shared" si="330"/>
        <v/>
      </c>
      <c r="N352" s="346" t="str" cm="1">
        <f t="array" aca="1" ref="N35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IF(AND(_xlpm.baseRow,ISNA(MATCH($C352,'Tree List'!$C$3:$C$601,0)),SUMPRODUCT(--ISNUMBER(SEARCH(Tables2!$C$677:$C$772,$O352)))&gt;0),
Error!$B$57,
IF(AND(_xlpm.hasDM,$F352="Remove",$H352&lt;&gt;"",OR($I352="On-site replacement",$I352="Off-site replacement",$I352="Payment In Lieu")),
Error!$B$56,
IF(AND(_xlpm.hasDM,$F352="Remove",$H352&lt;&gt;"",$I352="Relocation"),
Error!$B$66,
IF(AND(OR(_xlpm.hasCN,_xlpm.hasPH,_xlpm.hasGR),$H352&lt;&gt;"",COUNTIF(Tables!$B$132:$B$134,$H352)&gt;0,$I352="N/A (No replacement required)"),
Error!$B$62,
IF(AND(_xlpm.baseRow,$E352&lt;&gt;"",ISNA(MATCH($E352,Tables!$B$225:$B$232,0))),
Error!$B$2,
IF(AND(_xlpm.baseRow,$F352&lt;&gt;"",ISNA(MATCH($F352,Tables!$B$234:$B$235,0))),
Error!$B$24,
IF(AND(_xlpm.baseRow,_xlpm.ECA_H&gt;0,_xlpm.Shore_H&gt;0),
Error!$B$16,
IF(AND(_xlpm.baseRow,$E352&lt;&gt;"",$D352=""),
Error!$B$3,
IF(AND(_xlpm.baseRow,OR($E352="Tier 3",$E352="Tier 4"),$C352&lt;&gt;"",$D352&gt;=24,COUNTIF(Tables2!$B$166:$B$674,$C352)&gt;0),
Error!$B$44,
IF(AND(_xlpm.baseRow,OR($E352="Tier 3",$E352="Tier 4"),$C352&lt;&gt;"",$D352&lt;&gt;"",COUNTIF(Tables2!$B$73:$B$152,$C352)&gt;0,
$D352&gt;=IFERROR(INDEX(Tables2!$C$73:$C$152,MATCH($C352,Tables2!$B$73:$B$152,0)),-1)),
Error!$B$44,
IF(AND(_xlpm.baseRow,OR($E352="Tier 2",$E352="Tier 2 Grove"),$C352&lt;&gt;"",$D352&gt;=12,COUNTIF(Tables2!$B$153:$B$162,$C352)&gt;0),
Error!$B$45,
IF(AND(_xlpm.baseRow,$E352="Tier 2 Grove",$D352&lt;12),
Error!$B$41,
IF(AND(_xlpm.baseRow,$E352="Tier 2",$D352&lt;5.88),
Error!$B$40,
IF(AND(_xlpm.baseRow,OR($E352="Tier 2",$E352="Tier 2 Grove"),$C352&lt;&gt;"",$D352&lt;12,$D352&gt;=6,COUNTIF(Tables2!$B$153:$B$162,$C352)&gt;0),
Error!$B$54,
IF(AND(_xlpm.baseRow,$E352="Tier 2",COUNTIF(Tables2!$B$166:$B$674,$C352)&gt;0,$D352&lt;24),
Error!$B$54,
IF(AND(_xlpm.baseRow,$E352="Tier 3",ISNA(MATCH($C352,Tables2!$B$153:$B$162,0)),OR($D352&lt;12,$D352&gt;=24)),
Error!$B$9,
IF(AND(_xlpm.baseRow,$E352="Tier 3",COUNTIF(Tables2!$B$153:$B$162,$C352)&gt;0,$D352&lt;12),
Error!$B$46,
IF(AND(_xlpm.baseRow,$E352="Tier 4",OR($D352&lt;6,$D352&gt;=12)),
Error!$B$10,
IF(AND(_xlpm.baseRow,$E352="&lt;6in DSH for Tree Points",OR($D352&gt;=6,$D352="")),
Error!$B$8,
IF(AND(_xlpm.baseRow,$E352="Street Tree for Green Factor",$F352&lt;&gt;"",$F352&lt;&gt;"Retain"),
Error!$B$14,
IF(AND($E352="&lt;6in DSH for Tree Points",$F352="Retain",$H352&lt;&gt;"",ISNA(MATCH($H352,Tables!$B$174:$B$174,0))),
Error!$B$15,
IF(AND($E352="Street Tree for Green Factor",$F352="Retain",$H352&lt;&gt;"",$H352&lt;&gt;"Zoning: Green Factor"),
Error!$B$15,
IF(AND($E352="ECA / Shoreline Tree",$F352="Remove",$H352&lt;&gt;"",ISNA(MATCH($H352,Tables!$B$189:$B$190,0))),
Error!$B$15,
IF(AND($E352="ECA / Shoreline Tree",$F352="Retain",$H352&lt;&gt;"",ISNA(MATCH($H352,Tables!$B$184:$B$186,0))),
Error!$B$15,
IF(AND($E352="Tier 4",$F352="Remove",$H352&lt;&gt;"",ISNA(MATCH($H352,Tables!$B$171,0))),
Error!$B$15,
IF(AND($E352="Tier 4",$F352="Retain",$H352&lt;&gt;"",ISNA(MATCH($H352,Tables!$B$166:$B$168,0))),
Error!$B$15,
IF(AND($E352="Tier 3",$F352="Retain",$H352&lt;&gt;"",ISNA(MATCH($H352,Tables!$B$158:$B$160,0))),
Error!$B$15,
IF(AND($E352="Tier 3",$F352="Remove",$H352&lt;&gt;"",ISNA(MATCH($H352,Tables!$B$163,0))),
Error!$B$15,
IF(AND(OR($E352="Tier 2",$E352="Tier 2 Grove"),$F352="Remove",$H352&lt;&gt;"",ISNA(MATCH($H352,Tables!$B$153:$B$155,0))),
Error!$B$15,
IF(AND(OR($E352="Tier 2",$E352="Tier 2 Grove"),$F352="Retain",$H352&lt;&gt;"",ISNA(MATCH($H352,Tables!$B$147:$B$150,0))),
Error!$B$15,
IF(AND($E352="Tier 1",$F352="Remove",$H352&lt;&gt;"",ISNA(MATCH($H352,Tables!$B$143:$B$144,0))),
Error!$B$15,
IF(AND($E352="Tier 1",$F352="Retain",$H352&lt;&gt;"",ISNA(MATCH($H352,Tables!$B$137:$B$140,0))),
Error!$B$15,
IF(AND($E352&lt;&gt;"Tier 2",$E352&lt;&gt;"Tier 2 Grove",$E352&lt;&gt;"Tier 3",$E352&lt;&gt;"Tier 4",$H352="Zoning: Green Factor",OR($D352="",$D352&lt;6)),
Error!$B$11,
IF(AND(_xlpm.baseRow,$D352&lt;6,$E352="&lt;6in DSH for Tree Points",_xlpm.TreePoints_H=0),
Error!$B$21,
IF(AND(_xlpm.baseRow,$E352&lt;&gt;"",$D352&lt;&gt;"",$F352=""),
Error!$B$4,
IF(AND(_xlpm.baseRow,$F352="Remove",OR($E352="Tier 1",$E352="Tier 2",$E352="Tier 2 Grove"),COUNTBLANK(_xlpm.HRange)&lt;3,_xlpm.uniqueH&gt;=2),
Error!$B$48,
IF(AND(_xlpm.baseRow,$F352="Retain",OR($E352="Tier 1",$E352="Tier 2",$E352="Tier 2 Grove"),COUNTIF(_xlpm.HRange,"Tree Code: Required to Retain Tier 1-2 Tree")=0),
Error!$B$47,
IF(AND(_xlpm.baseRow,$E352&lt;&gt;"",$D352&lt;&gt;"",$F352&lt;&gt;"",COUNTBLANK(_xlpm.HRange)=4),
Error!$B$5,
IF(AND($F352="Remove",$H352&lt;&gt;"",$I352=""),
Error!$B$18,
IF(AND($E352="Tier 4",$F352="Remove",$H352="Tree Protection Code: Tier 3 or Tier 4 Allowance",$H352&lt;&gt;"",ISNA(MATCH($I352,Tables!$B$200,0))),
Error!$B$17,
IF(AND($E352="Tier 3",$F352="Remove",$H352&lt;&gt;"",$H352="Tree Protection Code: Tier 3 or Tier 4 Allowance",OR($I352="",ISNA(MATCH($I352,Tables!$B$193:$B$197,0)))),
Error!$B$17,
IF(AND(OR($E352="Tier 2",$E352="Tier 2 Grove"),$F352="Remove",$H352="Tree Protection Code: Other removal allowance or exemption",$I352&lt;&gt;"",ISNA(MATCH($I352,Tables!$B$215:$B$218,0))),
Error!$B$17,
IF(AND(OR($E352="Tier 2",$E352="Tier 2 Grove"),$F352="Remove",$H352="Tree Protection Code: Development Capacity",$I352&lt;&gt;"",ISNA(MATCH($I352,Tables!$B$193:$B$197,0))),
Error!$B$17,
IF(AND(OR($E352="Tier 2",$E352="Tier 2 Grove"),$F352="Remove",$H352="Tree Protection Code: Necessary for Construction",$I352&lt;&gt;"",ISNA(MATCH($I352,Tables!$B$193:$B$197,0))),
Error!$B$17,
IF(AND($E352="Tier 1",$F352="Remove",$H352="Tree Protection Code: Special Exception",$I352&lt;&gt;"",ISNA(MATCH($I352,Tables!$B$215:$B$218,0))),
Error!$B$17,
IF(AND($E352="Tier 1",$F352="Remove",$H352="Tree Protection Code: Other removal allowance or exemption",$I352&lt;&gt;"",ISNA(MATCH($I352,Tables!$B$215:$B$218,0))),
Error!$B$17,
IF(AND($E352="ECA / Shoreline Tree",$F352="Remove",$H352&lt;&gt;"",OR($H352="Shoreline",$H352="Environmental Critical Area (ECA)"),ISNA(MATCH($I352,Tables!$B$209:$B$212,0))),
Error!$B$17,
IF(AND(_xlpm.baseRow,$F352="Retain",$E352="ECA / Shoreline Tree",_xlpm.ECA_Short=0),
Error!$B$61,
IF(AND($F352="Remove",ISNUMBER(MATCH($E352,{"Tier 1","Tier 2","Tier 3","Tier 4","Tier 2 Grove"},0)),ISNUMBER(MATCH($I352,{"On-site replacement","Off-site replacement"},0)),$J352="",$H352&lt;&gt;""),
Error!$B$19,
IF(AND(_xlpm.baseRow,$E352&lt;&gt;"",$D352&lt;&gt;"",$F352&lt;&gt;"",COUNTBLANK($B352:$C352)&gt;0,COUNTBLANK(_xlpm.HRange)&lt;&gt;4),
Error!$B$22,
IF(AND($H352="Zoning: Tree Points",$K352&lt;&gt;"",ISNA(MATCH($K352,Tables!$B$242:$B$253,0))),
Error!$B$58,
IF(AND($H352="Zoning: Tree Points",$K352="Small",$L352&lt;&gt;"",ISNA(MATCH($L352,Tables!$C$243:$C$244,0))),
Error!$B$59,
IF(AND($H352="Zoning: Tree Points",$K352="Small/Medium",$L352&lt;&gt;"",ISNA(MATCH($L352,Tables!$C$246:$C$247,0))),
Error!$B$59,
IF(AND($H352="Zoning: Tree Points",$K352="Medium/Large",$L352&lt;&gt;"",ISNA(MATCH($L352,Tables!$C$249:$C$250,0))),
Error!$B$59,
IF(AND($H352="Zoning: Tree Points",$K352="Large",$L352&lt;&gt;"",ISNA(MATCH($L352,Tables!$C$252:$C$253,0))),
Error!$B$59,
IF(AND($F352="Retain",$H352="Zoning: Tree Points",$C352&lt;&gt;"",$D352&lt;&gt;"",OR($K352="",$L352="",$M352="")),
Error!$B$20,
""
)))))))))))))))))))))))))))))))))))))))))))))))))))))))),
Error!$B$23))</f>
        <v/>
      </c>
      <c r="O352" s="343" t="str" cm="1">
        <f t="array" aca="1" ref="O352" ca="1">IFERROR(_xlfn.LET(
    _xlpm.txt, $C352,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53" spans="1:15" x14ac:dyDescent="0.3">
      <c r="A353" s="320"/>
      <c r="B353" s="616" t="str">
        <f t="shared" si="386"/>
        <v/>
      </c>
      <c r="C353" s="617" t="str">
        <f t="shared" si="387"/>
        <v/>
      </c>
      <c r="D353" s="618" t="str">
        <f t="shared" si="388"/>
        <v/>
      </c>
      <c r="E353" s="616" t="str">
        <f t="shared" si="389"/>
        <v/>
      </c>
      <c r="F353" s="616" t="str">
        <f t="shared" si="390"/>
        <v/>
      </c>
      <c r="G353" s="619" t="str">
        <f>IF(Tree_Table1[[#This Row],[Tree Status  &amp;]]="Retain", Tables!$B$237, IF(Tree_Table1[[#This Row],[Tree Status  &amp;]]="Remove", Tables!$B$238, ""))</f>
        <v/>
      </c>
      <c r="H353" s="321"/>
      <c r="I353" s="322"/>
      <c r="J353" s="453"/>
      <c r="K353" s="323" t="str">
        <f>IFERROR(
    IF(
        AND($H353="Zoning: Tree Points", NOT(ISNUMBER(SEARCH("sp.", $C353)))),
        VLOOKUP($C353, 'Tree List'!$C$3:$F$601, 4, FALSE),
        ""
    ),
"")</f>
        <v/>
      </c>
      <c r="L353" s="324" t="str" cm="1">
        <f t="array" ref="L353">IFERROR(
IF(
    AND($H353="Zoning: Tree Points", NOT(ISNUMBER(SEARCH("sp.", $C353)))),
    _xlfn.IFS(
        (COUNTIFS('Tree List'!$C$3:$C$601,$C353,'Tree List'!$D$3:$D$601,"Coniferous")
        + COUNTIFS('Tree List'!$C$3:$C$601,$C353,'Tree List'!$D$3:$D$601,"Deciduous Conifer")) &gt; 0,
            _xlfn.IFS($K353="Small",0.5,$K353="Small/Medium",1,$K353="Medium/Large",1.4,$K353="Large",1.8),
        (COUNTIFS('Tree List'!$C$3:$C$601,$C353,'Tree List'!$D$3:$D$601,"Deciduous")
        + COUNTIFS('Tree List'!$C$3:$C$601,$C353,'Tree List'!$D$3:$D$601,"Broadleaf Evergreen")) &gt; 0,
            _xlfn.IFS($K353="Small",0.4,$K353="Small/Medium",0.8,$K353="Medium/Large",1.2,$K353="Large",1.6)
    ),
    ""
),
"")</f>
        <v/>
      </c>
      <c r="M353" s="475" t="str">
        <f t="shared" si="330"/>
        <v/>
      </c>
      <c r="N353" s="346" t="str" cm="1">
        <f t="array" aca="1" ref="N35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IF(AND(_xlpm.baseRow,ISNA(MATCH($C353,'Tree List'!$C$3:$C$601,0)),SUMPRODUCT(--ISNUMBER(SEARCH(Tables2!$C$677:$C$772,$O353)))&gt;0),
Error!$B$57,
IF(AND(_xlpm.hasDM,$F353="Remove",$H353&lt;&gt;"",OR($I353="On-site replacement",$I353="Off-site replacement",$I353="Payment In Lieu")),
Error!$B$56,
IF(AND(_xlpm.hasDM,$F353="Remove",$H353&lt;&gt;"",$I353="Relocation"),
Error!$B$66,
IF(AND(OR(_xlpm.hasCN,_xlpm.hasPH,_xlpm.hasGR),$H353&lt;&gt;"",COUNTIF(Tables!$B$132:$B$134,$H353)&gt;0,$I353="N/A (No replacement required)"),
Error!$B$62,
IF(AND(_xlpm.baseRow,$E353&lt;&gt;"",ISNA(MATCH($E353,Tables!$B$225:$B$232,0))),
Error!$B$2,
IF(AND(_xlpm.baseRow,$F353&lt;&gt;"",ISNA(MATCH($F353,Tables!$B$234:$B$235,0))),
Error!$B$24,
IF(AND(_xlpm.baseRow,_xlpm.ECA_H&gt;0,_xlpm.Shore_H&gt;0),
Error!$B$16,
IF(AND(_xlpm.baseRow,$E353&lt;&gt;"",$D353=""),
Error!$B$3,
IF(AND(_xlpm.baseRow,OR($E353="Tier 3",$E353="Tier 4"),$C353&lt;&gt;"",$D353&gt;=24,COUNTIF(Tables2!$B$166:$B$674,$C353)&gt;0),
Error!$B$44,
IF(AND(_xlpm.baseRow,OR($E353="Tier 3",$E353="Tier 4"),$C353&lt;&gt;"",$D353&lt;&gt;"",COUNTIF(Tables2!$B$73:$B$152,$C353)&gt;0,
$D353&gt;=IFERROR(INDEX(Tables2!$C$73:$C$152,MATCH($C353,Tables2!$B$73:$B$152,0)),-1)),
Error!$B$44,
IF(AND(_xlpm.baseRow,OR($E353="Tier 2",$E353="Tier 2 Grove"),$C353&lt;&gt;"",$D353&gt;=12,COUNTIF(Tables2!$B$153:$B$162,$C353)&gt;0),
Error!$B$45,
IF(AND(_xlpm.baseRow,$E353="Tier 2 Grove",$D353&lt;12),
Error!$B$41,
IF(AND(_xlpm.baseRow,$E353="Tier 2",$D353&lt;5.88),
Error!$B$40,
IF(AND(_xlpm.baseRow,OR($E353="Tier 2",$E353="Tier 2 Grove"),$C353&lt;&gt;"",$D353&lt;12,$D353&gt;=6,COUNTIF(Tables2!$B$153:$B$162,$C353)&gt;0),
Error!$B$54,
IF(AND(_xlpm.baseRow,$E353="Tier 2",COUNTIF(Tables2!$B$166:$B$674,$C353)&gt;0,$D353&lt;24),
Error!$B$54,
IF(AND(_xlpm.baseRow,$E353="Tier 3",ISNA(MATCH($C353,Tables2!$B$153:$B$162,0)),OR($D353&lt;12,$D353&gt;=24)),
Error!$B$9,
IF(AND(_xlpm.baseRow,$E353="Tier 3",COUNTIF(Tables2!$B$153:$B$162,$C353)&gt;0,$D353&lt;12),
Error!$B$46,
IF(AND(_xlpm.baseRow,$E353="Tier 4",OR($D353&lt;6,$D353&gt;=12)),
Error!$B$10,
IF(AND(_xlpm.baseRow,$E353="&lt;6in DSH for Tree Points",OR($D353&gt;=6,$D353="")),
Error!$B$8,
IF(AND(_xlpm.baseRow,$E353="Street Tree for Green Factor",$F353&lt;&gt;"",$F353&lt;&gt;"Retain"),
Error!$B$14,
IF(AND($E353="&lt;6in DSH for Tree Points",$F353="Retain",$H353&lt;&gt;"",ISNA(MATCH($H353,Tables!$B$174:$B$174,0))),
Error!$B$15,
IF(AND($E353="Street Tree for Green Factor",$F353="Retain",$H353&lt;&gt;"",$H353&lt;&gt;"Zoning: Green Factor"),
Error!$B$15,
IF(AND($E353="ECA / Shoreline Tree",$F353="Remove",$H353&lt;&gt;"",ISNA(MATCH($H353,Tables!$B$189:$B$190,0))),
Error!$B$15,
IF(AND($E353="ECA / Shoreline Tree",$F353="Retain",$H353&lt;&gt;"",ISNA(MATCH($H353,Tables!$B$184:$B$186,0))),
Error!$B$15,
IF(AND($E353="Tier 4",$F353="Remove",$H353&lt;&gt;"",ISNA(MATCH($H353,Tables!$B$171,0))),
Error!$B$15,
IF(AND($E353="Tier 4",$F353="Retain",$H353&lt;&gt;"",ISNA(MATCH($H353,Tables!$B$166:$B$168,0))),
Error!$B$15,
IF(AND($E353="Tier 3",$F353="Retain",$H353&lt;&gt;"",ISNA(MATCH($H353,Tables!$B$158:$B$160,0))),
Error!$B$15,
IF(AND($E353="Tier 3",$F353="Remove",$H353&lt;&gt;"",ISNA(MATCH($H353,Tables!$B$163,0))),
Error!$B$15,
IF(AND(OR($E353="Tier 2",$E353="Tier 2 Grove"),$F353="Remove",$H353&lt;&gt;"",ISNA(MATCH($H353,Tables!$B$153:$B$155,0))),
Error!$B$15,
IF(AND(OR($E353="Tier 2",$E353="Tier 2 Grove"),$F353="Retain",$H353&lt;&gt;"",ISNA(MATCH($H353,Tables!$B$147:$B$150,0))),
Error!$B$15,
IF(AND($E353="Tier 1",$F353="Remove",$H353&lt;&gt;"",ISNA(MATCH($H353,Tables!$B$143:$B$144,0))),
Error!$B$15,
IF(AND($E353="Tier 1",$F353="Retain",$H353&lt;&gt;"",ISNA(MATCH($H353,Tables!$B$137:$B$140,0))),
Error!$B$15,
IF(AND($E353&lt;&gt;"Tier 2",$E353&lt;&gt;"Tier 2 Grove",$E353&lt;&gt;"Tier 3",$E353&lt;&gt;"Tier 4",$H353="Zoning: Green Factor",OR($D353="",$D353&lt;6)),
Error!$B$11,
IF(AND(_xlpm.baseRow,$D353&lt;6,$E353="&lt;6in DSH for Tree Points",_xlpm.TreePoints_H=0),
Error!$B$21,
IF(AND(_xlpm.baseRow,$E353&lt;&gt;"",$D353&lt;&gt;"",$F353=""),
Error!$B$4,
IF(AND(_xlpm.baseRow,$F353="Remove",OR($E353="Tier 1",$E353="Tier 2",$E353="Tier 2 Grove"),COUNTBLANK(_xlpm.HRange)&lt;3,_xlpm.uniqueH&gt;=2),
Error!$B$48,
IF(AND(_xlpm.baseRow,$F353="Retain",OR($E353="Tier 1",$E353="Tier 2",$E353="Tier 2 Grove"),COUNTIF(_xlpm.HRange,"Tree Code: Required to Retain Tier 1-2 Tree")=0),
Error!$B$47,
IF(AND(_xlpm.baseRow,$E353&lt;&gt;"",$D353&lt;&gt;"",$F353&lt;&gt;"",COUNTBLANK(_xlpm.HRange)=4),
Error!$B$5,
IF(AND($F353="Remove",$H353&lt;&gt;"",$I353=""),
Error!$B$18,
IF(AND($E353="Tier 4",$F353="Remove",$H353="Tree Protection Code: Tier 3 or Tier 4 Allowance",$H353&lt;&gt;"",ISNA(MATCH($I353,Tables!$B$200,0))),
Error!$B$17,
IF(AND($E353="Tier 3",$F353="Remove",$H353&lt;&gt;"",$H353="Tree Protection Code: Tier 3 or Tier 4 Allowance",OR($I353="",ISNA(MATCH($I353,Tables!$B$193:$B$197,0)))),
Error!$B$17,
IF(AND(OR($E353="Tier 2",$E353="Tier 2 Grove"),$F353="Remove",$H353="Tree Protection Code: Other removal allowance or exemption",$I353&lt;&gt;"",ISNA(MATCH($I353,Tables!$B$215:$B$218,0))),
Error!$B$17,
IF(AND(OR($E353="Tier 2",$E353="Tier 2 Grove"),$F353="Remove",$H353="Tree Protection Code: Development Capacity",$I353&lt;&gt;"",ISNA(MATCH($I353,Tables!$B$193:$B$197,0))),
Error!$B$17,
IF(AND(OR($E353="Tier 2",$E353="Tier 2 Grove"),$F353="Remove",$H353="Tree Protection Code: Necessary for Construction",$I353&lt;&gt;"",ISNA(MATCH($I353,Tables!$B$193:$B$197,0))),
Error!$B$17,
IF(AND($E353="Tier 1",$F353="Remove",$H353="Tree Protection Code: Special Exception",$I353&lt;&gt;"",ISNA(MATCH($I353,Tables!$B$215:$B$218,0))),
Error!$B$17,
IF(AND($E353="Tier 1",$F353="Remove",$H353="Tree Protection Code: Other removal allowance or exemption",$I353&lt;&gt;"",ISNA(MATCH($I353,Tables!$B$215:$B$218,0))),
Error!$B$17,
IF(AND($E353="ECA / Shoreline Tree",$F353="Remove",$H353&lt;&gt;"",OR($H353="Shoreline",$H353="Environmental Critical Area (ECA)"),ISNA(MATCH($I353,Tables!$B$209:$B$212,0))),
Error!$B$17,
IF(AND(_xlpm.baseRow,$F353="Retain",$E353="ECA / Shoreline Tree",_xlpm.ECA_Short=0),
Error!$B$61,
IF(AND($F353="Remove",ISNUMBER(MATCH($E353,{"Tier 1","Tier 2","Tier 3","Tier 4","Tier 2 Grove"},0)),ISNUMBER(MATCH($I353,{"On-site replacement","Off-site replacement"},0)),$J353="",$H353&lt;&gt;""),
Error!$B$19,
IF(AND(_xlpm.baseRow,$E353&lt;&gt;"",$D353&lt;&gt;"",$F353&lt;&gt;"",COUNTBLANK($B353:$C353)&gt;0,COUNTBLANK(_xlpm.HRange)&lt;&gt;4),
Error!$B$22,
IF(AND($H353="Zoning: Tree Points",$K353&lt;&gt;"",ISNA(MATCH($K353,Tables!$B$242:$B$253,0))),
Error!$B$58,
IF(AND($H353="Zoning: Tree Points",$K353="Small",$L353&lt;&gt;"",ISNA(MATCH($L353,Tables!$C$243:$C$244,0))),
Error!$B$59,
IF(AND($H353="Zoning: Tree Points",$K353="Small/Medium",$L353&lt;&gt;"",ISNA(MATCH($L353,Tables!$C$246:$C$247,0))),
Error!$B$59,
IF(AND($H353="Zoning: Tree Points",$K353="Medium/Large",$L353&lt;&gt;"",ISNA(MATCH($L353,Tables!$C$249:$C$250,0))),
Error!$B$59,
IF(AND($H353="Zoning: Tree Points",$K353="Large",$L353&lt;&gt;"",ISNA(MATCH($L353,Tables!$C$252:$C$253,0))),
Error!$B$59,
IF(AND($F353="Retain",$H353="Zoning: Tree Points",$C353&lt;&gt;"",$D353&lt;&gt;"",OR($K353="",$L353="",$M353="")),
Error!$B$20,
""
)))))))))))))))))))))))))))))))))))))))))))))))))))))))),
Error!$B$23))</f>
        <v/>
      </c>
      <c r="O353" s="343" t="str" cm="1">
        <f t="array" aca="1" ref="O353" ca="1">IFERROR(_xlfn.LET(
    _xlpm.txt, $C353,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54" spans="1:15" ht="15" thickBot="1" x14ac:dyDescent="0.35">
      <c r="A354" s="331"/>
      <c r="B354" s="616" t="str">
        <f t="shared" si="386"/>
        <v/>
      </c>
      <c r="C354" s="617" t="str">
        <f t="shared" si="387"/>
        <v/>
      </c>
      <c r="D354" s="618" t="str">
        <f t="shared" si="388"/>
        <v/>
      </c>
      <c r="E354" s="616" t="str">
        <f t="shared" si="389"/>
        <v/>
      </c>
      <c r="F354" s="616" t="str">
        <f t="shared" si="390"/>
        <v/>
      </c>
      <c r="G354" s="619" t="str">
        <f>IF(Tree_Table1[[#This Row],[Tree Status  &amp;]]="Retain", Tables!$B$237, IF(Tree_Table1[[#This Row],[Tree Status  &amp;]]="Remove", Tables!$B$238, ""))</f>
        <v/>
      </c>
      <c r="H354" s="329"/>
      <c r="I354" s="330"/>
      <c r="J354" s="455"/>
      <c r="K354" s="327" t="str">
        <f>IFERROR(
    IF(
        AND($H354="Zoning: Tree Points", NOT(ISNUMBER(SEARCH("sp.", $C354)))),
        VLOOKUP($C354, 'Tree List'!$C$3:$F$601, 4, FALSE),
        ""
    ),
"")</f>
        <v/>
      </c>
      <c r="L354" s="328" t="str" cm="1">
        <f t="array" ref="L354">IFERROR(
IF(
    AND($H354="Zoning: Tree Points", NOT(ISNUMBER(SEARCH("sp.", $C354)))),
    _xlfn.IFS(
        (COUNTIFS('Tree List'!$C$3:$C$601,$C354,'Tree List'!$D$3:$D$601,"Coniferous")
        + COUNTIFS('Tree List'!$C$3:$C$601,$C354,'Tree List'!$D$3:$D$601,"Deciduous Conifer")) &gt; 0,
            _xlfn.IFS($K354="Small",0.5,$K354="Small/Medium",1,$K354="Medium/Large",1.4,$K354="Large",1.8),
        (COUNTIFS('Tree List'!$C$3:$C$601,$C354,'Tree List'!$D$3:$D$601,"Deciduous")
        + COUNTIFS('Tree List'!$C$3:$C$601,$C354,'Tree List'!$D$3:$D$601,"Broadleaf Evergreen")) &gt; 0,
            _xlfn.IFS($K354="Small",0.4,$K354="Small/Medium",0.8,$K354="Medium/Large",1.2,$K354="Large",1.6)
    ),
    ""
),
"")</f>
        <v/>
      </c>
      <c r="M354" s="476" t="str">
        <f t="shared" si="330"/>
        <v/>
      </c>
      <c r="N354" s="347" t="str" cm="1">
        <f t="array" aca="1" ref="N35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IF(AND(_xlpm.baseRow,ISNA(MATCH($C354,'Tree List'!$C$3:$C$601,0)),SUMPRODUCT(--ISNUMBER(SEARCH(Tables2!$C$677:$C$772,$O354)))&gt;0),
Error!$B$57,
IF(AND(_xlpm.hasDM,$F354="Remove",$H354&lt;&gt;"",OR($I354="On-site replacement",$I354="Off-site replacement",$I354="Payment In Lieu")),
Error!$B$56,
IF(AND(_xlpm.hasDM,$F354="Remove",$H354&lt;&gt;"",$I354="Relocation"),
Error!$B$66,
IF(AND(OR(_xlpm.hasCN,_xlpm.hasPH,_xlpm.hasGR),$H354&lt;&gt;"",COUNTIF(Tables!$B$132:$B$134,$H354)&gt;0,$I354="N/A (No replacement required)"),
Error!$B$62,
IF(AND(_xlpm.baseRow,$E354&lt;&gt;"",ISNA(MATCH($E354,Tables!$B$225:$B$232,0))),
Error!$B$2,
IF(AND(_xlpm.baseRow,$F354&lt;&gt;"",ISNA(MATCH($F354,Tables!$B$234:$B$235,0))),
Error!$B$24,
IF(AND(_xlpm.baseRow,_xlpm.ECA_H&gt;0,_xlpm.Shore_H&gt;0),
Error!$B$16,
IF(AND(_xlpm.baseRow,$E354&lt;&gt;"",$D354=""),
Error!$B$3,
IF(AND(_xlpm.baseRow,OR($E354="Tier 3",$E354="Tier 4"),$C354&lt;&gt;"",$D354&gt;=24,COUNTIF(Tables2!$B$166:$B$674,$C354)&gt;0),
Error!$B$44,
IF(AND(_xlpm.baseRow,OR($E354="Tier 3",$E354="Tier 4"),$C354&lt;&gt;"",$D354&lt;&gt;"",COUNTIF(Tables2!$B$73:$B$152,$C354)&gt;0,
$D354&gt;=IFERROR(INDEX(Tables2!$C$73:$C$152,MATCH($C354,Tables2!$B$73:$B$152,0)),-1)),
Error!$B$44,
IF(AND(_xlpm.baseRow,OR($E354="Tier 2",$E354="Tier 2 Grove"),$C354&lt;&gt;"",$D354&gt;=12,COUNTIF(Tables2!$B$153:$B$162,$C354)&gt;0),
Error!$B$45,
IF(AND(_xlpm.baseRow,$E354="Tier 2 Grove",$D354&lt;12),
Error!$B$41,
IF(AND(_xlpm.baseRow,$E354="Tier 2",$D354&lt;5.88),
Error!$B$40,
IF(AND(_xlpm.baseRow,OR($E354="Tier 2",$E354="Tier 2 Grove"),$C354&lt;&gt;"",$D354&lt;12,$D354&gt;=6,COUNTIF(Tables2!$B$153:$B$162,$C354)&gt;0),
Error!$B$54,
IF(AND(_xlpm.baseRow,$E354="Tier 2",COUNTIF(Tables2!$B$166:$B$674,$C354)&gt;0,$D354&lt;24),
Error!$B$54,
IF(AND(_xlpm.baseRow,$E354="Tier 3",ISNA(MATCH($C354,Tables2!$B$153:$B$162,0)),OR($D354&lt;12,$D354&gt;=24)),
Error!$B$9,
IF(AND(_xlpm.baseRow,$E354="Tier 3",COUNTIF(Tables2!$B$153:$B$162,$C354)&gt;0,$D354&lt;12),
Error!$B$46,
IF(AND(_xlpm.baseRow,$E354="Tier 4",OR($D354&lt;6,$D354&gt;=12)),
Error!$B$10,
IF(AND(_xlpm.baseRow,$E354="&lt;6in DSH for Tree Points",OR($D354&gt;=6,$D354="")),
Error!$B$8,
IF(AND(_xlpm.baseRow,$E354="Street Tree for Green Factor",$F354&lt;&gt;"",$F354&lt;&gt;"Retain"),
Error!$B$14,
IF(AND($E354="&lt;6in DSH for Tree Points",$F354="Retain",$H354&lt;&gt;"",ISNA(MATCH($H354,Tables!$B$174:$B$174,0))),
Error!$B$15,
IF(AND($E354="Street Tree for Green Factor",$F354="Retain",$H354&lt;&gt;"",$H354&lt;&gt;"Zoning: Green Factor"),
Error!$B$15,
IF(AND($E354="ECA / Shoreline Tree",$F354="Remove",$H354&lt;&gt;"",ISNA(MATCH($H354,Tables!$B$189:$B$190,0))),
Error!$B$15,
IF(AND($E354="ECA / Shoreline Tree",$F354="Retain",$H354&lt;&gt;"",ISNA(MATCH($H354,Tables!$B$184:$B$186,0))),
Error!$B$15,
IF(AND($E354="Tier 4",$F354="Remove",$H354&lt;&gt;"",ISNA(MATCH($H354,Tables!$B$171,0))),
Error!$B$15,
IF(AND($E354="Tier 4",$F354="Retain",$H354&lt;&gt;"",ISNA(MATCH($H354,Tables!$B$166:$B$168,0))),
Error!$B$15,
IF(AND($E354="Tier 3",$F354="Retain",$H354&lt;&gt;"",ISNA(MATCH($H354,Tables!$B$158:$B$160,0))),
Error!$B$15,
IF(AND($E354="Tier 3",$F354="Remove",$H354&lt;&gt;"",ISNA(MATCH($H354,Tables!$B$163,0))),
Error!$B$15,
IF(AND(OR($E354="Tier 2",$E354="Tier 2 Grove"),$F354="Remove",$H354&lt;&gt;"",ISNA(MATCH($H354,Tables!$B$153:$B$155,0))),
Error!$B$15,
IF(AND(OR($E354="Tier 2",$E354="Tier 2 Grove"),$F354="Retain",$H354&lt;&gt;"",ISNA(MATCH($H354,Tables!$B$147:$B$150,0))),
Error!$B$15,
IF(AND($E354="Tier 1",$F354="Remove",$H354&lt;&gt;"",ISNA(MATCH($H354,Tables!$B$143:$B$144,0))),
Error!$B$15,
IF(AND($E354="Tier 1",$F354="Retain",$H354&lt;&gt;"",ISNA(MATCH($H354,Tables!$B$137:$B$140,0))),
Error!$B$15,
IF(AND($E354&lt;&gt;"Tier 2",$E354&lt;&gt;"Tier 2 Grove",$E354&lt;&gt;"Tier 3",$E354&lt;&gt;"Tier 4",$H354="Zoning: Green Factor",OR($D354="",$D354&lt;6)),
Error!$B$11,
IF(AND(_xlpm.baseRow,$D354&lt;6,$E354="&lt;6in DSH for Tree Points",_xlpm.TreePoints_H=0),
Error!$B$21,
IF(AND(_xlpm.baseRow,$E354&lt;&gt;"",$D354&lt;&gt;"",$F354=""),
Error!$B$4,
IF(AND(_xlpm.baseRow,$F354="Remove",OR($E354="Tier 1",$E354="Tier 2",$E354="Tier 2 Grove"),COUNTBLANK(_xlpm.HRange)&lt;3,_xlpm.uniqueH&gt;=2),
Error!$B$48,
IF(AND(_xlpm.baseRow,$F354="Retain",OR($E354="Tier 1",$E354="Tier 2",$E354="Tier 2 Grove"),COUNTIF(_xlpm.HRange,"Tree Code: Required to Retain Tier 1-2 Tree")=0),
Error!$B$47,
IF(AND(_xlpm.baseRow,$E354&lt;&gt;"",$D354&lt;&gt;"",$F354&lt;&gt;"",COUNTBLANK(_xlpm.HRange)=4),
Error!$B$5,
IF(AND($F354="Remove",$H354&lt;&gt;"",$I354=""),
Error!$B$18,
IF(AND($E354="Tier 4",$F354="Remove",$H354="Tree Protection Code: Tier 3 or Tier 4 Allowance",$H354&lt;&gt;"",ISNA(MATCH($I354,Tables!$B$200,0))),
Error!$B$17,
IF(AND($E354="Tier 3",$F354="Remove",$H354&lt;&gt;"",$H354="Tree Protection Code: Tier 3 or Tier 4 Allowance",OR($I354="",ISNA(MATCH($I354,Tables!$B$193:$B$197,0)))),
Error!$B$17,
IF(AND(OR($E354="Tier 2",$E354="Tier 2 Grove"),$F354="Remove",$H354="Tree Protection Code: Other removal allowance or exemption",$I354&lt;&gt;"",ISNA(MATCH($I354,Tables!$B$215:$B$218,0))),
Error!$B$17,
IF(AND(OR($E354="Tier 2",$E354="Tier 2 Grove"),$F354="Remove",$H354="Tree Protection Code: Development Capacity",$I354&lt;&gt;"",ISNA(MATCH($I354,Tables!$B$193:$B$197,0))),
Error!$B$17,
IF(AND(OR($E354="Tier 2",$E354="Tier 2 Grove"),$F354="Remove",$H354="Tree Protection Code: Necessary for Construction",$I354&lt;&gt;"",ISNA(MATCH($I354,Tables!$B$193:$B$197,0))),
Error!$B$17,
IF(AND($E354="Tier 1",$F354="Remove",$H354="Tree Protection Code: Special Exception",$I354&lt;&gt;"",ISNA(MATCH($I354,Tables!$B$215:$B$218,0))),
Error!$B$17,
IF(AND($E354="Tier 1",$F354="Remove",$H354="Tree Protection Code: Other removal allowance or exemption",$I354&lt;&gt;"",ISNA(MATCH($I354,Tables!$B$215:$B$218,0))),
Error!$B$17,
IF(AND($E354="ECA / Shoreline Tree",$F354="Remove",$H354&lt;&gt;"",OR($H354="Shoreline",$H354="Environmental Critical Area (ECA)"),ISNA(MATCH($I354,Tables!$B$209:$B$212,0))),
Error!$B$17,
IF(AND(_xlpm.baseRow,$F354="Retain",$E354="ECA / Shoreline Tree",_xlpm.ECA_Short=0),
Error!$B$61,
IF(AND($F354="Remove",ISNUMBER(MATCH($E354,{"Tier 1","Tier 2","Tier 3","Tier 4","Tier 2 Grove"},0)),ISNUMBER(MATCH($I354,{"On-site replacement","Off-site replacement"},0)),$J354="",$H354&lt;&gt;""),
Error!$B$19,
IF(AND(_xlpm.baseRow,$E354&lt;&gt;"",$D354&lt;&gt;"",$F354&lt;&gt;"",COUNTBLANK($B354:$C354)&gt;0,COUNTBLANK(_xlpm.HRange)&lt;&gt;4),
Error!$B$22,
IF(AND($H354="Zoning: Tree Points",$K354&lt;&gt;"",ISNA(MATCH($K354,Tables!$B$242:$B$253,0))),
Error!$B$58,
IF(AND($H354="Zoning: Tree Points",$K354="Small",$L354&lt;&gt;"",ISNA(MATCH($L354,Tables!$C$243:$C$244,0))),
Error!$B$59,
IF(AND($H354="Zoning: Tree Points",$K354="Small/Medium",$L354&lt;&gt;"",ISNA(MATCH($L354,Tables!$C$246:$C$247,0))),
Error!$B$59,
IF(AND($H354="Zoning: Tree Points",$K354="Medium/Large",$L354&lt;&gt;"",ISNA(MATCH($L354,Tables!$C$249:$C$250,0))),
Error!$B$59,
IF(AND($H354="Zoning: Tree Points",$K354="Large",$L354&lt;&gt;"",ISNA(MATCH($L354,Tables!$C$252:$C$253,0))),
Error!$B$59,
IF(AND($F354="Retain",$H354="Zoning: Tree Points",$C354&lt;&gt;"",$D354&lt;&gt;"",OR($K354="",$L354="",$M354="")),
Error!$B$20,
""
)))))))))))))))))))))))))))))))))))))))))))))))))))))))),
Error!$B$23))</f>
        <v/>
      </c>
      <c r="O354" s="343" t="str" cm="1">
        <f t="array" aca="1" ref="O354" ca="1">IFERROR(_xlfn.LET(
    _xlpm.txt, $C354,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55" spans="1:15" ht="15" thickBot="1" x14ac:dyDescent="0.35">
      <c r="A355" s="311">
        <v>87</v>
      </c>
      <c r="B355" s="312"/>
      <c r="C355" s="313"/>
      <c r="D355" s="478"/>
      <c r="E355" s="314"/>
      <c r="F355" s="314"/>
      <c r="G355" s="315" t="str">
        <f>IF(Tree_Table1[[#This Row],[Tree Status  &amp;]]="Retain", Tables!$B$237, IF(Tree_Table1[[#This Row],[Tree Status  &amp;]]="Remove", Tables!$B$238, ""))</f>
        <v/>
      </c>
      <c r="H355" s="316"/>
      <c r="I355" s="317"/>
      <c r="J355" s="452"/>
      <c r="K355" s="318" t="str">
        <f>IFERROR(
    IF(
        AND($H355="Zoning: Tree Points", NOT(ISNUMBER(SEARCH("sp.", $C355)))),
        VLOOKUP($C355, 'Tree List'!$C$3:$F$601, 4, FALSE),
        ""
    ),
"")</f>
        <v/>
      </c>
      <c r="L355" s="319" t="str" cm="1">
        <f t="array" ref="L355">IFERROR(
IF(
    AND($H355="Zoning: Tree Points", NOT(ISNUMBER(SEARCH("sp.", $C355)))),
    _xlfn.IFS(
        (COUNTIFS('Tree List'!$C$3:$C$601,$C355,'Tree List'!$D$3:$D$601,"Coniferous")
        + COUNTIFS('Tree List'!$C$3:$C$601,$C355,'Tree List'!$D$3:$D$601,"Deciduous Conifer")) &gt; 0,
            _xlfn.IFS($K355="Small",0.5,$K355="Small/Medium",1,$K355="Medium/Large",1.4,$K355="Large",1.8),
        (COUNTIFS('Tree List'!$C$3:$C$601,$C355,'Tree List'!$D$3:$D$601,"Deciduous")
        + COUNTIFS('Tree List'!$C$3:$C$601,$C355,'Tree List'!$D$3:$D$601,"Broadleaf Evergreen")) &gt; 0,
            _xlfn.IFS($K355="Small",0.4,$K355="Small/Medium",0.8,$K355="Medium/Large",1.2,$K355="Large",1.6)
    ),
    ""
),
"")</f>
        <v/>
      </c>
      <c r="M355" s="474" t="str">
        <f t="shared" si="330"/>
        <v/>
      </c>
      <c r="N355" s="620" t="str" cm="1">
        <f t="array" aca="1" ref="N35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IF(AND(_xlpm.baseRow,ISNA(MATCH($C355,'Tree List'!$C$3:$C$601,0)),SUMPRODUCT(--ISNUMBER(SEARCH(Tables2!$C$677:$C$772,$O355)))&gt;0),
Error!$B$57,
IF(AND(_xlpm.hasDM,$F355="Remove",$H355&lt;&gt;"",OR($I355="On-site replacement",$I355="Off-site replacement",$I355="Payment In Lieu")),
Error!$B$56,
IF(AND(_xlpm.hasDM,$F355="Remove",$H355&lt;&gt;"",$I355="Relocation"),
Error!$B$66,
IF(AND(OR(_xlpm.hasCN,_xlpm.hasPH,_xlpm.hasGR),$H355&lt;&gt;"",COUNTIF(Tables!$B$132:$B$134,$H355)&gt;0,$I355="N/A (No replacement required)"),
Error!$B$62,
IF(AND(_xlpm.baseRow,$E355&lt;&gt;"",ISNA(MATCH($E355,Tables!$B$225:$B$232,0))),
Error!$B$2,
IF(AND(_xlpm.baseRow,$F355&lt;&gt;"",ISNA(MATCH($F355,Tables!$B$234:$B$235,0))),
Error!$B$24,
IF(AND(_xlpm.baseRow,_xlpm.ECA_H&gt;0,_xlpm.Shore_H&gt;0),
Error!$B$16,
IF(AND(_xlpm.baseRow,$E355&lt;&gt;"",$D355=""),
Error!$B$3,
IF(AND(_xlpm.baseRow,OR($E355="Tier 3",$E355="Tier 4"),$C355&lt;&gt;"",$D355&gt;=24,COUNTIF(Tables2!$B$166:$B$674,$C355)&gt;0),
Error!$B$44,
IF(AND(_xlpm.baseRow,OR($E355="Tier 3",$E355="Tier 4"),$C355&lt;&gt;"",$D355&lt;&gt;"",COUNTIF(Tables2!$B$73:$B$152,$C355)&gt;0,
$D355&gt;=IFERROR(INDEX(Tables2!$C$73:$C$152,MATCH($C355,Tables2!$B$73:$B$152,0)),-1)),
Error!$B$44,
IF(AND(_xlpm.baseRow,OR($E355="Tier 2",$E355="Tier 2 Grove"),$C355&lt;&gt;"",$D355&gt;=12,COUNTIF(Tables2!$B$153:$B$162,$C355)&gt;0),
Error!$B$45,
IF(AND(_xlpm.baseRow,$E355="Tier 2 Grove",$D355&lt;12),
Error!$B$41,
IF(AND(_xlpm.baseRow,$E355="Tier 2",$D355&lt;5.88),
Error!$B$40,
IF(AND(_xlpm.baseRow,OR($E355="Tier 2",$E355="Tier 2 Grove"),$C355&lt;&gt;"",$D355&lt;12,$D355&gt;=6,COUNTIF(Tables2!$B$153:$B$162,$C355)&gt;0),
Error!$B$54,
IF(AND(_xlpm.baseRow,$E355="Tier 2",COUNTIF(Tables2!$B$166:$B$674,$C355)&gt;0,$D355&lt;24),
Error!$B$54,
IF(AND(_xlpm.baseRow,$E355="Tier 3",ISNA(MATCH($C355,Tables2!$B$153:$B$162,0)),OR($D355&lt;12,$D355&gt;=24)),
Error!$B$9,
IF(AND(_xlpm.baseRow,$E355="Tier 3",COUNTIF(Tables2!$B$153:$B$162,$C355)&gt;0,$D355&lt;12),
Error!$B$46,
IF(AND(_xlpm.baseRow,$E355="Tier 4",OR($D355&lt;6,$D355&gt;=12)),
Error!$B$10,
IF(AND(_xlpm.baseRow,$E355="&lt;6in DSH for Tree Points",OR($D355&gt;=6,$D355="")),
Error!$B$8,
IF(AND(_xlpm.baseRow,$E355="Street Tree for Green Factor",$F355&lt;&gt;"",$F355&lt;&gt;"Retain"),
Error!$B$14,
IF(AND($E355="&lt;6in DSH for Tree Points",$F355="Retain",$H355&lt;&gt;"",ISNA(MATCH($H355,Tables!$B$174:$B$174,0))),
Error!$B$15,
IF(AND($E355="Street Tree for Green Factor",$F355="Retain",$H355&lt;&gt;"",$H355&lt;&gt;"Zoning: Green Factor"),
Error!$B$15,
IF(AND($E355="ECA / Shoreline Tree",$F355="Remove",$H355&lt;&gt;"",ISNA(MATCH($H355,Tables!$B$189:$B$190,0))),
Error!$B$15,
IF(AND($E355="ECA / Shoreline Tree",$F355="Retain",$H355&lt;&gt;"",ISNA(MATCH($H355,Tables!$B$184:$B$186,0))),
Error!$B$15,
IF(AND($E355="Tier 4",$F355="Remove",$H355&lt;&gt;"",ISNA(MATCH($H355,Tables!$B$171,0))),
Error!$B$15,
IF(AND($E355="Tier 4",$F355="Retain",$H355&lt;&gt;"",ISNA(MATCH($H355,Tables!$B$166:$B$168,0))),
Error!$B$15,
IF(AND($E355="Tier 3",$F355="Retain",$H355&lt;&gt;"",ISNA(MATCH($H355,Tables!$B$158:$B$160,0))),
Error!$B$15,
IF(AND($E355="Tier 3",$F355="Remove",$H355&lt;&gt;"",ISNA(MATCH($H355,Tables!$B$163,0))),
Error!$B$15,
IF(AND(OR($E355="Tier 2",$E355="Tier 2 Grove"),$F355="Remove",$H355&lt;&gt;"",ISNA(MATCH($H355,Tables!$B$153:$B$155,0))),
Error!$B$15,
IF(AND(OR($E355="Tier 2",$E355="Tier 2 Grove"),$F355="Retain",$H355&lt;&gt;"",ISNA(MATCH($H355,Tables!$B$147:$B$150,0))),
Error!$B$15,
IF(AND($E355="Tier 1",$F355="Remove",$H355&lt;&gt;"",ISNA(MATCH($H355,Tables!$B$143:$B$144,0))),
Error!$B$15,
IF(AND($E355="Tier 1",$F355="Retain",$H355&lt;&gt;"",ISNA(MATCH($H355,Tables!$B$137:$B$140,0))),
Error!$B$15,
IF(AND($E355&lt;&gt;"Tier 2",$E355&lt;&gt;"Tier 2 Grove",$E355&lt;&gt;"Tier 3",$E355&lt;&gt;"Tier 4",$H355="Zoning: Green Factor",OR($D355="",$D355&lt;6)),
Error!$B$11,
IF(AND(_xlpm.baseRow,$D355&lt;6,$E355="&lt;6in DSH for Tree Points",_xlpm.TreePoints_H=0),
Error!$B$21,
IF(AND(_xlpm.baseRow,$E355&lt;&gt;"",$D355&lt;&gt;"",$F355=""),
Error!$B$4,
IF(AND(_xlpm.baseRow,$F355="Remove",OR($E355="Tier 1",$E355="Tier 2",$E355="Tier 2 Grove"),COUNTBLANK(_xlpm.HRange)&lt;3,_xlpm.uniqueH&gt;=2),
Error!$B$48,
IF(AND(_xlpm.baseRow,$F355="Retain",OR($E355="Tier 1",$E355="Tier 2",$E355="Tier 2 Grove"),COUNTIF(_xlpm.HRange,"Tree Code: Required to Retain Tier 1-2 Tree")=0),
Error!$B$47,
IF(AND(_xlpm.baseRow,$E355&lt;&gt;"",$D355&lt;&gt;"",$F355&lt;&gt;"",COUNTBLANK(_xlpm.HRange)=4),
Error!$B$5,
IF(AND($F355="Remove",$H355&lt;&gt;"",$I355=""),
Error!$B$18,
IF(AND($E355="Tier 4",$F355="Remove",$H355="Tree Protection Code: Tier 3 or Tier 4 Allowance",$H355&lt;&gt;"",ISNA(MATCH($I355,Tables!$B$200,0))),
Error!$B$17,
IF(AND($E355="Tier 3",$F355="Remove",$H355&lt;&gt;"",$H355="Tree Protection Code: Tier 3 or Tier 4 Allowance",OR($I355="",ISNA(MATCH($I355,Tables!$B$193:$B$197,0)))),
Error!$B$17,
IF(AND(OR($E355="Tier 2",$E355="Tier 2 Grove"),$F355="Remove",$H355="Tree Protection Code: Other removal allowance or exemption",$I355&lt;&gt;"",ISNA(MATCH($I355,Tables!$B$215:$B$218,0))),
Error!$B$17,
IF(AND(OR($E355="Tier 2",$E355="Tier 2 Grove"),$F355="Remove",$H355="Tree Protection Code: Development Capacity",$I355&lt;&gt;"",ISNA(MATCH($I355,Tables!$B$193:$B$197,0))),
Error!$B$17,
IF(AND(OR($E355="Tier 2",$E355="Tier 2 Grove"),$F355="Remove",$H355="Tree Protection Code: Necessary for Construction",$I355&lt;&gt;"",ISNA(MATCH($I355,Tables!$B$193:$B$197,0))),
Error!$B$17,
IF(AND($E355="Tier 1",$F355="Remove",$H355="Tree Protection Code: Special Exception",$I355&lt;&gt;"",ISNA(MATCH($I355,Tables!$B$215:$B$218,0))),
Error!$B$17,
IF(AND($E355="Tier 1",$F355="Remove",$H355="Tree Protection Code: Other removal allowance or exemption",$I355&lt;&gt;"",ISNA(MATCH($I355,Tables!$B$215:$B$218,0))),
Error!$B$17,
IF(AND($E355="ECA / Shoreline Tree",$F355="Remove",$H355&lt;&gt;"",OR($H355="Shoreline",$H355="Environmental Critical Area (ECA)"),ISNA(MATCH($I355,Tables!$B$209:$B$212,0))),
Error!$B$17,
IF(AND(_xlpm.baseRow,$F355="Retain",$E355="ECA / Shoreline Tree",_xlpm.ECA_Short=0),
Error!$B$61,
IF(AND($F355="Remove",ISNUMBER(MATCH($E355,{"Tier 1","Tier 2","Tier 3","Tier 4","Tier 2 Grove"},0)),ISNUMBER(MATCH($I355,{"On-site replacement","Off-site replacement"},0)),$J355="",$H355&lt;&gt;""),
Error!$B$19,
IF(AND(_xlpm.baseRow,$E355&lt;&gt;"",$D355&lt;&gt;"",$F355&lt;&gt;"",COUNTBLANK($B355:$C355)&gt;0,COUNTBLANK(_xlpm.HRange)&lt;&gt;4),
Error!$B$22,
IF(AND($H355="Zoning: Tree Points",$K355&lt;&gt;"",ISNA(MATCH($K355,Tables!$B$242:$B$253,0))),
Error!$B$58,
IF(AND($H355="Zoning: Tree Points",$K355="Small",$L355&lt;&gt;"",ISNA(MATCH($L355,Tables!$C$243:$C$244,0))),
Error!$B$59,
IF(AND($H355="Zoning: Tree Points",$K355="Small/Medium",$L355&lt;&gt;"",ISNA(MATCH($L355,Tables!$C$246:$C$247,0))),
Error!$B$59,
IF(AND($H355="Zoning: Tree Points",$K355="Medium/Large",$L355&lt;&gt;"",ISNA(MATCH($L355,Tables!$C$249:$C$250,0))),
Error!$B$59,
IF(AND($H355="Zoning: Tree Points",$K355="Large",$L355&lt;&gt;"",ISNA(MATCH($L355,Tables!$C$252:$C$253,0))),
Error!$B$59,
IF(AND($F355="Retain",$H355="Zoning: Tree Points",$C355&lt;&gt;"",$D355&lt;&gt;"",OR($K355="",$L355="",$M355="")),
Error!$B$20,
""
)))))))))))))))))))))))))))))))))))))))))))))))))))))))),
Error!$B$23))</f>
        <v/>
      </c>
      <c r="O355" s="343" t="str" cm="1">
        <f t="array" aca="1" ref="O355" ca="1">IFERROR(_xlfn.LET(
    _xlpm.txt, $C355,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56" spans="1:15" x14ac:dyDescent="0.3">
      <c r="A356" s="320"/>
      <c r="B356" s="616" t="str">
        <f t="shared" ref="B356:B358" si="391">IF($B355="", "", $B355)</f>
        <v/>
      </c>
      <c r="C356" s="617" t="str">
        <f t="shared" ref="C356:C358" si="392">IF($C355="", "", $C355)</f>
        <v/>
      </c>
      <c r="D356" s="618" t="str">
        <f t="shared" ref="D356:D358" si="393">IF($D355="", "", $D355)</f>
        <v/>
      </c>
      <c r="E356" s="616" t="str">
        <f t="shared" ref="E356:E358" si="394">IF($E355="", "", $E355)</f>
        <v/>
      </c>
      <c r="F356" s="616" t="str">
        <f t="shared" ref="F356:F358" si="395">IF($F355="", "", $F355)</f>
        <v/>
      </c>
      <c r="G356" s="619" t="str">
        <f>IF(Tree_Table1[[#This Row],[Tree Status  &amp;]]="Retain", Tables!$B$237, IF(Tree_Table1[[#This Row],[Tree Status  &amp;]]="Remove", Tables!$B$238, ""))</f>
        <v/>
      </c>
      <c r="H356" s="321"/>
      <c r="I356" s="322"/>
      <c r="J356" s="453"/>
      <c r="K356" s="323" t="str">
        <f>IFERROR(
    IF(
        AND($H356="Zoning: Tree Points", NOT(ISNUMBER(SEARCH("sp.", $C356)))),
        VLOOKUP($C356, 'Tree List'!$C$3:$F$601, 4, FALSE),
        ""
    ),
"")</f>
        <v/>
      </c>
      <c r="L356" s="324" t="str" cm="1">
        <f t="array" ref="L356">IFERROR(
IF(
    AND($H356="Zoning: Tree Points", NOT(ISNUMBER(SEARCH("sp.", $C356)))),
    _xlfn.IFS(
        (COUNTIFS('Tree List'!$C$3:$C$601,$C356,'Tree List'!$D$3:$D$601,"Coniferous")
        + COUNTIFS('Tree List'!$C$3:$C$601,$C356,'Tree List'!$D$3:$D$601,"Deciduous Conifer")) &gt; 0,
            _xlfn.IFS($K356="Small",0.5,$K356="Small/Medium",1,$K356="Medium/Large",1.4,$K356="Large",1.8),
        (COUNTIFS('Tree List'!$C$3:$C$601,$C356,'Tree List'!$D$3:$D$601,"Deciduous")
        + COUNTIFS('Tree List'!$C$3:$C$601,$C356,'Tree List'!$D$3:$D$601,"Broadleaf Evergreen")) &gt; 0,
            _xlfn.IFS($K356="Small",0.4,$K356="Small/Medium",0.8,$K356="Medium/Large",1.2,$K356="Large",1.6)
    ),
    ""
),
"")</f>
        <v/>
      </c>
      <c r="M356" s="475" t="str">
        <f t="shared" si="330"/>
        <v/>
      </c>
      <c r="N356" s="346" t="str" cm="1">
        <f t="array" aca="1" ref="N35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IF(AND(_xlpm.baseRow,ISNA(MATCH($C356,'Tree List'!$C$3:$C$601,0)),SUMPRODUCT(--ISNUMBER(SEARCH(Tables2!$C$677:$C$772,$O356)))&gt;0),
Error!$B$57,
IF(AND(_xlpm.hasDM,$F356="Remove",$H356&lt;&gt;"",OR($I356="On-site replacement",$I356="Off-site replacement",$I356="Payment In Lieu")),
Error!$B$56,
IF(AND(_xlpm.hasDM,$F356="Remove",$H356&lt;&gt;"",$I356="Relocation"),
Error!$B$66,
IF(AND(OR(_xlpm.hasCN,_xlpm.hasPH,_xlpm.hasGR),$H356&lt;&gt;"",COUNTIF(Tables!$B$132:$B$134,$H356)&gt;0,$I356="N/A (No replacement required)"),
Error!$B$62,
IF(AND(_xlpm.baseRow,$E356&lt;&gt;"",ISNA(MATCH($E356,Tables!$B$225:$B$232,0))),
Error!$B$2,
IF(AND(_xlpm.baseRow,$F356&lt;&gt;"",ISNA(MATCH($F356,Tables!$B$234:$B$235,0))),
Error!$B$24,
IF(AND(_xlpm.baseRow,_xlpm.ECA_H&gt;0,_xlpm.Shore_H&gt;0),
Error!$B$16,
IF(AND(_xlpm.baseRow,$E356&lt;&gt;"",$D356=""),
Error!$B$3,
IF(AND(_xlpm.baseRow,OR($E356="Tier 3",$E356="Tier 4"),$C356&lt;&gt;"",$D356&gt;=24,COUNTIF(Tables2!$B$166:$B$674,$C356)&gt;0),
Error!$B$44,
IF(AND(_xlpm.baseRow,OR($E356="Tier 3",$E356="Tier 4"),$C356&lt;&gt;"",$D356&lt;&gt;"",COUNTIF(Tables2!$B$73:$B$152,$C356)&gt;0,
$D356&gt;=IFERROR(INDEX(Tables2!$C$73:$C$152,MATCH($C356,Tables2!$B$73:$B$152,0)),-1)),
Error!$B$44,
IF(AND(_xlpm.baseRow,OR($E356="Tier 2",$E356="Tier 2 Grove"),$C356&lt;&gt;"",$D356&gt;=12,COUNTIF(Tables2!$B$153:$B$162,$C356)&gt;0),
Error!$B$45,
IF(AND(_xlpm.baseRow,$E356="Tier 2 Grove",$D356&lt;12),
Error!$B$41,
IF(AND(_xlpm.baseRow,$E356="Tier 2",$D356&lt;5.88),
Error!$B$40,
IF(AND(_xlpm.baseRow,OR($E356="Tier 2",$E356="Tier 2 Grove"),$C356&lt;&gt;"",$D356&lt;12,$D356&gt;=6,COUNTIF(Tables2!$B$153:$B$162,$C356)&gt;0),
Error!$B$54,
IF(AND(_xlpm.baseRow,$E356="Tier 2",COUNTIF(Tables2!$B$166:$B$674,$C356)&gt;0,$D356&lt;24),
Error!$B$54,
IF(AND(_xlpm.baseRow,$E356="Tier 3",ISNA(MATCH($C356,Tables2!$B$153:$B$162,0)),OR($D356&lt;12,$D356&gt;=24)),
Error!$B$9,
IF(AND(_xlpm.baseRow,$E356="Tier 3",COUNTIF(Tables2!$B$153:$B$162,$C356)&gt;0,$D356&lt;12),
Error!$B$46,
IF(AND(_xlpm.baseRow,$E356="Tier 4",OR($D356&lt;6,$D356&gt;=12)),
Error!$B$10,
IF(AND(_xlpm.baseRow,$E356="&lt;6in DSH for Tree Points",OR($D356&gt;=6,$D356="")),
Error!$B$8,
IF(AND(_xlpm.baseRow,$E356="Street Tree for Green Factor",$F356&lt;&gt;"",$F356&lt;&gt;"Retain"),
Error!$B$14,
IF(AND($E356="&lt;6in DSH for Tree Points",$F356="Retain",$H356&lt;&gt;"",ISNA(MATCH($H356,Tables!$B$174:$B$174,0))),
Error!$B$15,
IF(AND($E356="Street Tree for Green Factor",$F356="Retain",$H356&lt;&gt;"",$H356&lt;&gt;"Zoning: Green Factor"),
Error!$B$15,
IF(AND($E356="ECA / Shoreline Tree",$F356="Remove",$H356&lt;&gt;"",ISNA(MATCH($H356,Tables!$B$189:$B$190,0))),
Error!$B$15,
IF(AND($E356="ECA / Shoreline Tree",$F356="Retain",$H356&lt;&gt;"",ISNA(MATCH($H356,Tables!$B$184:$B$186,0))),
Error!$B$15,
IF(AND($E356="Tier 4",$F356="Remove",$H356&lt;&gt;"",ISNA(MATCH($H356,Tables!$B$171,0))),
Error!$B$15,
IF(AND($E356="Tier 4",$F356="Retain",$H356&lt;&gt;"",ISNA(MATCH($H356,Tables!$B$166:$B$168,0))),
Error!$B$15,
IF(AND($E356="Tier 3",$F356="Retain",$H356&lt;&gt;"",ISNA(MATCH($H356,Tables!$B$158:$B$160,0))),
Error!$B$15,
IF(AND($E356="Tier 3",$F356="Remove",$H356&lt;&gt;"",ISNA(MATCH($H356,Tables!$B$163,0))),
Error!$B$15,
IF(AND(OR($E356="Tier 2",$E356="Tier 2 Grove"),$F356="Remove",$H356&lt;&gt;"",ISNA(MATCH($H356,Tables!$B$153:$B$155,0))),
Error!$B$15,
IF(AND(OR($E356="Tier 2",$E356="Tier 2 Grove"),$F356="Retain",$H356&lt;&gt;"",ISNA(MATCH($H356,Tables!$B$147:$B$150,0))),
Error!$B$15,
IF(AND($E356="Tier 1",$F356="Remove",$H356&lt;&gt;"",ISNA(MATCH($H356,Tables!$B$143:$B$144,0))),
Error!$B$15,
IF(AND($E356="Tier 1",$F356="Retain",$H356&lt;&gt;"",ISNA(MATCH($H356,Tables!$B$137:$B$140,0))),
Error!$B$15,
IF(AND($E356&lt;&gt;"Tier 2",$E356&lt;&gt;"Tier 2 Grove",$E356&lt;&gt;"Tier 3",$E356&lt;&gt;"Tier 4",$H356="Zoning: Green Factor",OR($D356="",$D356&lt;6)),
Error!$B$11,
IF(AND(_xlpm.baseRow,$D356&lt;6,$E356="&lt;6in DSH for Tree Points",_xlpm.TreePoints_H=0),
Error!$B$21,
IF(AND(_xlpm.baseRow,$E356&lt;&gt;"",$D356&lt;&gt;"",$F356=""),
Error!$B$4,
IF(AND(_xlpm.baseRow,$F356="Remove",OR($E356="Tier 1",$E356="Tier 2",$E356="Tier 2 Grove"),COUNTBLANK(_xlpm.HRange)&lt;3,_xlpm.uniqueH&gt;=2),
Error!$B$48,
IF(AND(_xlpm.baseRow,$F356="Retain",OR($E356="Tier 1",$E356="Tier 2",$E356="Tier 2 Grove"),COUNTIF(_xlpm.HRange,"Tree Code: Required to Retain Tier 1-2 Tree")=0),
Error!$B$47,
IF(AND(_xlpm.baseRow,$E356&lt;&gt;"",$D356&lt;&gt;"",$F356&lt;&gt;"",COUNTBLANK(_xlpm.HRange)=4),
Error!$B$5,
IF(AND($F356="Remove",$H356&lt;&gt;"",$I356=""),
Error!$B$18,
IF(AND($E356="Tier 4",$F356="Remove",$H356="Tree Protection Code: Tier 3 or Tier 4 Allowance",$H356&lt;&gt;"",ISNA(MATCH($I356,Tables!$B$200,0))),
Error!$B$17,
IF(AND($E356="Tier 3",$F356="Remove",$H356&lt;&gt;"",$H356="Tree Protection Code: Tier 3 or Tier 4 Allowance",OR($I356="",ISNA(MATCH($I356,Tables!$B$193:$B$197,0)))),
Error!$B$17,
IF(AND(OR($E356="Tier 2",$E356="Tier 2 Grove"),$F356="Remove",$H356="Tree Protection Code: Other removal allowance or exemption",$I356&lt;&gt;"",ISNA(MATCH($I356,Tables!$B$215:$B$218,0))),
Error!$B$17,
IF(AND(OR($E356="Tier 2",$E356="Tier 2 Grove"),$F356="Remove",$H356="Tree Protection Code: Development Capacity",$I356&lt;&gt;"",ISNA(MATCH($I356,Tables!$B$193:$B$197,0))),
Error!$B$17,
IF(AND(OR($E356="Tier 2",$E356="Tier 2 Grove"),$F356="Remove",$H356="Tree Protection Code: Necessary for Construction",$I356&lt;&gt;"",ISNA(MATCH($I356,Tables!$B$193:$B$197,0))),
Error!$B$17,
IF(AND($E356="Tier 1",$F356="Remove",$H356="Tree Protection Code: Special Exception",$I356&lt;&gt;"",ISNA(MATCH($I356,Tables!$B$215:$B$218,0))),
Error!$B$17,
IF(AND($E356="Tier 1",$F356="Remove",$H356="Tree Protection Code: Other removal allowance or exemption",$I356&lt;&gt;"",ISNA(MATCH($I356,Tables!$B$215:$B$218,0))),
Error!$B$17,
IF(AND($E356="ECA / Shoreline Tree",$F356="Remove",$H356&lt;&gt;"",OR($H356="Shoreline",$H356="Environmental Critical Area (ECA)"),ISNA(MATCH($I356,Tables!$B$209:$B$212,0))),
Error!$B$17,
IF(AND(_xlpm.baseRow,$F356="Retain",$E356="ECA / Shoreline Tree",_xlpm.ECA_Short=0),
Error!$B$61,
IF(AND($F356="Remove",ISNUMBER(MATCH($E356,{"Tier 1","Tier 2","Tier 3","Tier 4","Tier 2 Grove"},0)),ISNUMBER(MATCH($I356,{"On-site replacement","Off-site replacement"},0)),$J356="",$H356&lt;&gt;""),
Error!$B$19,
IF(AND(_xlpm.baseRow,$E356&lt;&gt;"",$D356&lt;&gt;"",$F356&lt;&gt;"",COUNTBLANK($B356:$C356)&gt;0,COUNTBLANK(_xlpm.HRange)&lt;&gt;4),
Error!$B$22,
IF(AND($H356="Zoning: Tree Points",$K356&lt;&gt;"",ISNA(MATCH($K356,Tables!$B$242:$B$253,0))),
Error!$B$58,
IF(AND($H356="Zoning: Tree Points",$K356="Small",$L356&lt;&gt;"",ISNA(MATCH($L356,Tables!$C$243:$C$244,0))),
Error!$B$59,
IF(AND($H356="Zoning: Tree Points",$K356="Small/Medium",$L356&lt;&gt;"",ISNA(MATCH($L356,Tables!$C$246:$C$247,0))),
Error!$B$59,
IF(AND($H356="Zoning: Tree Points",$K356="Medium/Large",$L356&lt;&gt;"",ISNA(MATCH($L356,Tables!$C$249:$C$250,0))),
Error!$B$59,
IF(AND($H356="Zoning: Tree Points",$K356="Large",$L356&lt;&gt;"",ISNA(MATCH($L356,Tables!$C$252:$C$253,0))),
Error!$B$59,
IF(AND($F356="Retain",$H356="Zoning: Tree Points",$C356&lt;&gt;"",$D356&lt;&gt;"",OR($K356="",$L356="",$M356="")),
Error!$B$20,
""
)))))))))))))))))))))))))))))))))))))))))))))))))))))))),
Error!$B$23))</f>
        <v/>
      </c>
      <c r="O356" s="343" t="str" cm="1">
        <f t="array" aca="1" ref="O356" ca="1">IFERROR(_xlfn.LET(
    _xlpm.txt, $C356,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57" spans="1:15" x14ac:dyDescent="0.3">
      <c r="A357" s="320"/>
      <c r="B357" s="616" t="str">
        <f t="shared" si="391"/>
        <v/>
      </c>
      <c r="C357" s="617" t="str">
        <f t="shared" si="392"/>
        <v/>
      </c>
      <c r="D357" s="618" t="str">
        <f t="shared" si="393"/>
        <v/>
      </c>
      <c r="E357" s="616" t="str">
        <f t="shared" si="394"/>
        <v/>
      </c>
      <c r="F357" s="616" t="str">
        <f t="shared" si="395"/>
        <v/>
      </c>
      <c r="G357" s="619" t="str">
        <f>IF(Tree_Table1[[#This Row],[Tree Status  &amp;]]="Retain", Tables!$B$237, IF(Tree_Table1[[#This Row],[Tree Status  &amp;]]="Remove", Tables!$B$238, ""))</f>
        <v/>
      </c>
      <c r="H357" s="321"/>
      <c r="I357" s="322"/>
      <c r="J357" s="453"/>
      <c r="K357" s="323" t="str">
        <f>IFERROR(
    IF(
        AND($H357="Zoning: Tree Points", NOT(ISNUMBER(SEARCH("sp.", $C357)))),
        VLOOKUP($C357, 'Tree List'!$C$3:$F$601, 4, FALSE),
        ""
    ),
"")</f>
        <v/>
      </c>
      <c r="L357" s="324" t="str" cm="1">
        <f t="array" ref="L357">IFERROR(
IF(
    AND($H357="Zoning: Tree Points", NOT(ISNUMBER(SEARCH("sp.", $C357)))),
    _xlfn.IFS(
        (COUNTIFS('Tree List'!$C$3:$C$601,$C357,'Tree List'!$D$3:$D$601,"Coniferous")
        + COUNTIFS('Tree List'!$C$3:$C$601,$C357,'Tree List'!$D$3:$D$601,"Deciduous Conifer")) &gt; 0,
            _xlfn.IFS($K357="Small",0.5,$K357="Small/Medium",1,$K357="Medium/Large",1.4,$K357="Large",1.8),
        (COUNTIFS('Tree List'!$C$3:$C$601,$C357,'Tree List'!$D$3:$D$601,"Deciduous")
        + COUNTIFS('Tree List'!$C$3:$C$601,$C357,'Tree List'!$D$3:$D$601,"Broadleaf Evergreen")) &gt; 0,
            _xlfn.IFS($K357="Small",0.4,$K357="Small/Medium",0.8,$K357="Medium/Large",1.2,$K357="Large",1.6)
    ),
    ""
),
"")</f>
        <v/>
      </c>
      <c r="M357" s="475" t="str">
        <f t="shared" si="330"/>
        <v/>
      </c>
      <c r="N357" s="346" t="str" cm="1">
        <f t="array" aca="1" ref="N35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IF(AND(_xlpm.baseRow,ISNA(MATCH($C357,'Tree List'!$C$3:$C$601,0)),SUMPRODUCT(--ISNUMBER(SEARCH(Tables2!$C$677:$C$772,$O357)))&gt;0),
Error!$B$57,
IF(AND(_xlpm.hasDM,$F357="Remove",$H357&lt;&gt;"",OR($I357="On-site replacement",$I357="Off-site replacement",$I357="Payment In Lieu")),
Error!$B$56,
IF(AND(_xlpm.hasDM,$F357="Remove",$H357&lt;&gt;"",$I357="Relocation"),
Error!$B$66,
IF(AND(OR(_xlpm.hasCN,_xlpm.hasPH,_xlpm.hasGR),$H357&lt;&gt;"",COUNTIF(Tables!$B$132:$B$134,$H357)&gt;0,$I357="N/A (No replacement required)"),
Error!$B$62,
IF(AND(_xlpm.baseRow,$E357&lt;&gt;"",ISNA(MATCH($E357,Tables!$B$225:$B$232,0))),
Error!$B$2,
IF(AND(_xlpm.baseRow,$F357&lt;&gt;"",ISNA(MATCH($F357,Tables!$B$234:$B$235,0))),
Error!$B$24,
IF(AND(_xlpm.baseRow,_xlpm.ECA_H&gt;0,_xlpm.Shore_H&gt;0),
Error!$B$16,
IF(AND(_xlpm.baseRow,$E357&lt;&gt;"",$D357=""),
Error!$B$3,
IF(AND(_xlpm.baseRow,OR($E357="Tier 3",$E357="Tier 4"),$C357&lt;&gt;"",$D357&gt;=24,COUNTIF(Tables2!$B$166:$B$674,$C357)&gt;0),
Error!$B$44,
IF(AND(_xlpm.baseRow,OR($E357="Tier 3",$E357="Tier 4"),$C357&lt;&gt;"",$D357&lt;&gt;"",COUNTIF(Tables2!$B$73:$B$152,$C357)&gt;0,
$D357&gt;=IFERROR(INDEX(Tables2!$C$73:$C$152,MATCH($C357,Tables2!$B$73:$B$152,0)),-1)),
Error!$B$44,
IF(AND(_xlpm.baseRow,OR($E357="Tier 2",$E357="Tier 2 Grove"),$C357&lt;&gt;"",$D357&gt;=12,COUNTIF(Tables2!$B$153:$B$162,$C357)&gt;0),
Error!$B$45,
IF(AND(_xlpm.baseRow,$E357="Tier 2 Grove",$D357&lt;12),
Error!$B$41,
IF(AND(_xlpm.baseRow,$E357="Tier 2",$D357&lt;5.88),
Error!$B$40,
IF(AND(_xlpm.baseRow,OR($E357="Tier 2",$E357="Tier 2 Grove"),$C357&lt;&gt;"",$D357&lt;12,$D357&gt;=6,COUNTIF(Tables2!$B$153:$B$162,$C357)&gt;0),
Error!$B$54,
IF(AND(_xlpm.baseRow,$E357="Tier 2",COUNTIF(Tables2!$B$166:$B$674,$C357)&gt;0,$D357&lt;24),
Error!$B$54,
IF(AND(_xlpm.baseRow,$E357="Tier 3",ISNA(MATCH($C357,Tables2!$B$153:$B$162,0)),OR($D357&lt;12,$D357&gt;=24)),
Error!$B$9,
IF(AND(_xlpm.baseRow,$E357="Tier 3",COUNTIF(Tables2!$B$153:$B$162,$C357)&gt;0,$D357&lt;12),
Error!$B$46,
IF(AND(_xlpm.baseRow,$E357="Tier 4",OR($D357&lt;6,$D357&gt;=12)),
Error!$B$10,
IF(AND(_xlpm.baseRow,$E357="&lt;6in DSH for Tree Points",OR($D357&gt;=6,$D357="")),
Error!$B$8,
IF(AND(_xlpm.baseRow,$E357="Street Tree for Green Factor",$F357&lt;&gt;"",$F357&lt;&gt;"Retain"),
Error!$B$14,
IF(AND($E357="&lt;6in DSH for Tree Points",$F357="Retain",$H357&lt;&gt;"",ISNA(MATCH($H357,Tables!$B$174:$B$174,0))),
Error!$B$15,
IF(AND($E357="Street Tree for Green Factor",$F357="Retain",$H357&lt;&gt;"",$H357&lt;&gt;"Zoning: Green Factor"),
Error!$B$15,
IF(AND($E357="ECA / Shoreline Tree",$F357="Remove",$H357&lt;&gt;"",ISNA(MATCH($H357,Tables!$B$189:$B$190,0))),
Error!$B$15,
IF(AND($E357="ECA / Shoreline Tree",$F357="Retain",$H357&lt;&gt;"",ISNA(MATCH($H357,Tables!$B$184:$B$186,0))),
Error!$B$15,
IF(AND($E357="Tier 4",$F357="Remove",$H357&lt;&gt;"",ISNA(MATCH($H357,Tables!$B$171,0))),
Error!$B$15,
IF(AND($E357="Tier 4",$F357="Retain",$H357&lt;&gt;"",ISNA(MATCH($H357,Tables!$B$166:$B$168,0))),
Error!$B$15,
IF(AND($E357="Tier 3",$F357="Retain",$H357&lt;&gt;"",ISNA(MATCH($H357,Tables!$B$158:$B$160,0))),
Error!$B$15,
IF(AND($E357="Tier 3",$F357="Remove",$H357&lt;&gt;"",ISNA(MATCH($H357,Tables!$B$163,0))),
Error!$B$15,
IF(AND(OR($E357="Tier 2",$E357="Tier 2 Grove"),$F357="Remove",$H357&lt;&gt;"",ISNA(MATCH($H357,Tables!$B$153:$B$155,0))),
Error!$B$15,
IF(AND(OR($E357="Tier 2",$E357="Tier 2 Grove"),$F357="Retain",$H357&lt;&gt;"",ISNA(MATCH($H357,Tables!$B$147:$B$150,0))),
Error!$B$15,
IF(AND($E357="Tier 1",$F357="Remove",$H357&lt;&gt;"",ISNA(MATCH($H357,Tables!$B$143:$B$144,0))),
Error!$B$15,
IF(AND($E357="Tier 1",$F357="Retain",$H357&lt;&gt;"",ISNA(MATCH($H357,Tables!$B$137:$B$140,0))),
Error!$B$15,
IF(AND($E357&lt;&gt;"Tier 2",$E357&lt;&gt;"Tier 2 Grove",$E357&lt;&gt;"Tier 3",$E357&lt;&gt;"Tier 4",$H357="Zoning: Green Factor",OR($D357="",$D357&lt;6)),
Error!$B$11,
IF(AND(_xlpm.baseRow,$D357&lt;6,$E357="&lt;6in DSH for Tree Points",_xlpm.TreePoints_H=0),
Error!$B$21,
IF(AND(_xlpm.baseRow,$E357&lt;&gt;"",$D357&lt;&gt;"",$F357=""),
Error!$B$4,
IF(AND(_xlpm.baseRow,$F357="Remove",OR($E357="Tier 1",$E357="Tier 2",$E357="Tier 2 Grove"),COUNTBLANK(_xlpm.HRange)&lt;3,_xlpm.uniqueH&gt;=2),
Error!$B$48,
IF(AND(_xlpm.baseRow,$F357="Retain",OR($E357="Tier 1",$E357="Tier 2",$E357="Tier 2 Grove"),COUNTIF(_xlpm.HRange,"Tree Code: Required to Retain Tier 1-2 Tree")=0),
Error!$B$47,
IF(AND(_xlpm.baseRow,$E357&lt;&gt;"",$D357&lt;&gt;"",$F357&lt;&gt;"",COUNTBLANK(_xlpm.HRange)=4),
Error!$B$5,
IF(AND($F357="Remove",$H357&lt;&gt;"",$I357=""),
Error!$B$18,
IF(AND($E357="Tier 4",$F357="Remove",$H357="Tree Protection Code: Tier 3 or Tier 4 Allowance",$H357&lt;&gt;"",ISNA(MATCH($I357,Tables!$B$200,0))),
Error!$B$17,
IF(AND($E357="Tier 3",$F357="Remove",$H357&lt;&gt;"",$H357="Tree Protection Code: Tier 3 or Tier 4 Allowance",OR($I357="",ISNA(MATCH($I357,Tables!$B$193:$B$197,0)))),
Error!$B$17,
IF(AND(OR($E357="Tier 2",$E357="Tier 2 Grove"),$F357="Remove",$H357="Tree Protection Code: Other removal allowance or exemption",$I357&lt;&gt;"",ISNA(MATCH($I357,Tables!$B$215:$B$218,0))),
Error!$B$17,
IF(AND(OR($E357="Tier 2",$E357="Tier 2 Grove"),$F357="Remove",$H357="Tree Protection Code: Development Capacity",$I357&lt;&gt;"",ISNA(MATCH($I357,Tables!$B$193:$B$197,0))),
Error!$B$17,
IF(AND(OR($E357="Tier 2",$E357="Tier 2 Grove"),$F357="Remove",$H357="Tree Protection Code: Necessary for Construction",$I357&lt;&gt;"",ISNA(MATCH($I357,Tables!$B$193:$B$197,0))),
Error!$B$17,
IF(AND($E357="Tier 1",$F357="Remove",$H357="Tree Protection Code: Special Exception",$I357&lt;&gt;"",ISNA(MATCH($I357,Tables!$B$215:$B$218,0))),
Error!$B$17,
IF(AND($E357="Tier 1",$F357="Remove",$H357="Tree Protection Code: Other removal allowance or exemption",$I357&lt;&gt;"",ISNA(MATCH($I357,Tables!$B$215:$B$218,0))),
Error!$B$17,
IF(AND($E357="ECA / Shoreline Tree",$F357="Remove",$H357&lt;&gt;"",OR($H357="Shoreline",$H357="Environmental Critical Area (ECA)"),ISNA(MATCH($I357,Tables!$B$209:$B$212,0))),
Error!$B$17,
IF(AND(_xlpm.baseRow,$F357="Retain",$E357="ECA / Shoreline Tree",_xlpm.ECA_Short=0),
Error!$B$61,
IF(AND($F357="Remove",ISNUMBER(MATCH($E357,{"Tier 1","Tier 2","Tier 3","Tier 4","Tier 2 Grove"},0)),ISNUMBER(MATCH($I357,{"On-site replacement","Off-site replacement"},0)),$J357="",$H357&lt;&gt;""),
Error!$B$19,
IF(AND(_xlpm.baseRow,$E357&lt;&gt;"",$D357&lt;&gt;"",$F357&lt;&gt;"",COUNTBLANK($B357:$C357)&gt;0,COUNTBLANK(_xlpm.HRange)&lt;&gt;4),
Error!$B$22,
IF(AND($H357="Zoning: Tree Points",$K357&lt;&gt;"",ISNA(MATCH($K357,Tables!$B$242:$B$253,0))),
Error!$B$58,
IF(AND($H357="Zoning: Tree Points",$K357="Small",$L357&lt;&gt;"",ISNA(MATCH($L357,Tables!$C$243:$C$244,0))),
Error!$B$59,
IF(AND($H357="Zoning: Tree Points",$K357="Small/Medium",$L357&lt;&gt;"",ISNA(MATCH($L357,Tables!$C$246:$C$247,0))),
Error!$B$59,
IF(AND($H357="Zoning: Tree Points",$K357="Medium/Large",$L357&lt;&gt;"",ISNA(MATCH($L357,Tables!$C$249:$C$250,0))),
Error!$B$59,
IF(AND($H357="Zoning: Tree Points",$K357="Large",$L357&lt;&gt;"",ISNA(MATCH($L357,Tables!$C$252:$C$253,0))),
Error!$B$59,
IF(AND($F357="Retain",$H357="Zoning: Tree Points",$C357&lt;&gt;"",$D357&lt;&gt;"",OR($K357="",$L357="",$M357="")),
Error!$B$20,
""
)))))))))))))))))))))))))))))))))))))))))))))))))))))))),
Error!$B$23))</f>
        <v/>
      </c>
      <c r="O357" s="343" t="str" cm="1">
        <f t="array" aca="1" ref="O357" ca="1">IFERROR(_xlfn.LET(
    _xlpm.txt, $C357,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58" spans="1:15" ht="15" thickBot="1" x14ac:dyDescent="0.35">
      <c r="A358" s="331"/>
      <c r="B358" s="616" t="str">
        <f t="shared" si="391"/>
        <v/>
      </c>
      <c r="C358" s="617" t="str">
        <f t="shared" si="392"/>
        <v/>
      </c>
      <c r="D358" s="618" t="str">
        <f t="shared" si="393"/>
        <v/>
      </c>
      <c r="E358" s="616" t="str">
        <f t="shared" si="394"/>
        <v/>
      </c>
      <c r="F358" s="616" t="str">
        <f t="shared" si="395"/>
        <v/>
      </c>
      <c r="G358" s="619" t="str">
        <f>IF(Tree_Table1[[#This Row],[Tree Status  &amp;]]="Retain", Tables!$B$237, IF(Tree_Table1[[#This Row],[Tree Status  &amp;]]="Remove", Tables!$B$238, ""))</f>
        <v/>
      </c>
      <c r="H358" s="329"/>
      <c r="I358" s="330"/>
      <c r="J358" s="455"/>
      <c r="K358" s="327" t="str">
        <f>IFERROR(
    IF(
        AND($H358="Zoning: Tree Points", NOT(ISNUMBER(SEARCH("sp.", $C358)))),
        VLOOKUP($C358, 'Tree List'!$C$3:$F$601, 4, FALSE),
        ""
    ),
"")</f>
        <v/>
      </c>
      <c r="L358" s="328" t="str" cm="1">
        <f t="array" ref="L358">IFERROR(
IF(
    AND($H358="Zoning: Tree Points", NOT(ISNUMBER(SEARCH("sp.", $C358)))),
    _xlfn.IFS(
        (COUNTIFS('Tree List'!$C$3:$C$601,$C358,'Tree List'!$D$3:$D$601,"Coniferous")
        + COUNTIFS('Tree List'!$C$3:$C$601,$C358,'Tree List'!$D$3:$D$601,"Deciduous Conifer")) &gt; 0,
            _xlfn.IFS($K358="Small",0.5,$K358="Small/Medium",1,$K358="Medium/Large",1.4,$K358="Large",1.8),
        (COUNTIFS('Tree List'!$C$3:$C$601,$C358,'Tree List'!$D$3:$D$601,"Deciduous")
        + COUNTIFS('Tree List'!$C$3:$C$601,$C358,'Tree List'!$D$3:$D$601,"Broadleaf Evergreen")) &gt; 0,
            _xlfn.IFS($K358="Small",0.4,$K358="Small/Medium",0.8,$K358="Medium/Large",1.2,$K358="Large",1.6)
    ),
    ""
),
"")</f>
        <v/>
      </c>
      <c r="M358" s="476" t="str">
        <f t="shared" si="330"/>
        <v/>
      </c>
      <c r="N358" s="347" t="str" cm="1">
        <f t="array" aca="1" ref="N35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IF(AND(_xlpm.baseRow,ISNA(MATCH($C358,'Tree List'!$C$3:$C$601,0)),SUMPRODUCT(--ISNUMBER(SEARCH(Tables2!$C$677:$C$772,$O358)))&gt;0),
Error!$B$57,
IF(AND(_xlpm.hasDM,$F358="Remove",$H358&lt;&gt;"",OR($I358="On-site replacement",$I358="Off-site replacement",$I358="Payment In Lieu")),
Error!$B$56,
IF(AND(_xlpm.hasDM,$F358="Remove",$H358&lt;&gt;"",$I358="Relocation"),
Error!$B$66,
IF(AND(OR(_xlpm.hasCN,_xlpm.hasPH,_xlpm.hasGR),$H358&lt;&gt;"",COUNTIF(Tables!$B$132:$B$134,$H358)&gt;0,$I358="N/A (No replacement required)"),
Error!$B$62,
IF(AND(_xlpm.baseRow,$E358&lt;&gt;"",ISNA(MATCH($E358,Tables!$B$225:$B$232,0))),
Error!$B$2,
IF(AND(_xlpm.baseRow,$F358&lt;&gt;"",ISNA(MATCH($F358,Tables!$B$234:$B$235,0))),
Error!$B$24,
IF(AND(_xlpm.baseRow,_xlpm.ECA_H&gt;0,_xlpm.Shore_H&gt;0),
Error!$B$16,
IF(AND(_xlpm.baseRow,$E358&lt;&gt;"",$D358=""),
Error!$B$3,
IF(AND(_xlpm.baseRow,OR($E358="Tier 3",$E358="Tier 4"),$C358&lt;&gt;"",$D358&gt;=24,COUNTIF(Tables2!$B$166:$B$674,$C358)&gt;0),
Error!$B$44,
IF(AND(_xlpm.baseRow,OR($E358="Tier 3",$E358="Tier 4"),$C358&lt;&gt;"",$D358&lt;&gt;"",COUNTIF(Tables2!$B$73:$B$152,$C358)&gt;0,
$D358&gt;=IFERROR(INDEX(Tables2!$C$73:$C$152,MATCH($C358,Tables2!$B$73:$B$152,0)),-1)),
Error!$B$44,
IF(AND(_xlpm.baseRow,OR($E358="Tier 2",$E358="Tier 2 Grove"),$C358&lt;&gt;"",$D358&gt;=12,COUNTIF(Tables2!$B$153:$B$162,$C358)&gt;0),
Error!$B$45,
IF(AND(_xlpm.baseRow,$E358="Tier 2 Grove",$D358&lt;12),
Error!$B$41,
IF(AND(_xlpm.baseRow,$E358="Tier 2",$D358&lt;5.88),
Error!$B$40,
IF(AND(_xlpm.baseRow,OR($E358="Tier 2",$E358="Tier 2 Grove"),$C358&lt;&gt;"",$D358&lt;12,$D358&gt;=6,COUNTIF(Tables2!$B$153:$B$162,$C358)&gt;0),
Error!$B$54,
IF(AND(_xlpm.baseRow,$E358="Tier 2",COUNTIF(Tables2!$B$166:$B$674,$C358)&gt;0,$D358&lt;24),
Error!$B$54,
IF(AND(_xlpm.baseRow,$E358="Tier 3",ISNA(MATCH($C358,Tables2!$B$153:$B$162,0)),OR($D358&lt;12,$D358&gt;=24)),
Error!$B$9,
IF(AND(_xlpm.baseRow,$E358="Tier 3",COUNTIF(Tables2!$B$153:$B$162,$C358)&gt;0,$D358&lt;12),
Error!$B$46,
IF(AND(_xlpm.baseRow,$E358="Tier 4",OR($D358&lt;6,$D358&gt;=12)),
Error!$B$10,
IF(AND(_xlpm.baseRow,$E358="&lt;6in DSH for Tree Points",OR($D358&gt;=6,$D358="")),
Error!$B$8,
IF(AND(_xlpm.baseRow,$E358="Street Tree for Green Factor",$F358&lt;&gt;"",$F358&lt;&gt;"Retain"),
Error!$B$14,
IF(AND($E358="&lt;6in DSH for Tree Points",$F358="Retain",$H358&lt;&gt;"",ISNA(MATCH($H358,Tables!$B$174:$B$174,0))),
Error!$B$15,
IF(AND($E358="Street Tree for Green Factor",$F358="Retain",$H358&lt;&gt;"",$H358&lt;&gt;"Zoning: Green Factor"),
Error!$B$15,
IF(AND($E358="ECA / Shoreline Tree",$F358="Remove",$H358&lt;&gt;"",ISNA(MATCH($H358,Tables!$B$189:$B$190,0))),
Error!$B$15,
IF(AND($E358="ECA / Shoreline Tree",$F358="Retain",$H358&lt;&gt;"",ISNA(MATCH($H358,Tables!$B$184:$B$186,0))),
Error!$B$15,
IF(AND($E358="Tier 4",$F358="Remove",$H358&lt;&gt;"",ISNA(MATCH($H358,Tables!$B$171,0))),
Error!$B$15,
IF(AND($E358="Tier 4",$F358="Retain",$H358&lt;&gt;"",ISNA(MATCH($H358,Tables!$B$166:$B$168,0))),
Error!$B$15,
IF(AND($E358="Tier 3",$F358="Retain",$H358&lt;&gt;"",ISNA(MATCH($H358,Tables!$B$158:$B$160,0))),
Error!$B$15,
IF(AND($E358="Tier 3",$F358="Remove",$H358&lt;&gt;"",ISNA(MATCH($H358,Tables!$B$163,0))),
Error!$B$15,
IF(AND(OR($E358="Tier 2",$E358="Tier 2 Grove"),$F358="Remove",$H358&lt;&gt;"",ISNA(MATCH($H358,Tables!$B$153:$B$155,0))),
Error!$B$15,
IF(AND(OR($E358="Tier 2",$E358="Tier 2 Grove"),$F358="Retain",$H358&lt;&gt;"",ISNA(MATCH($H358,Tables!$B$147:$B$150,0))),
Error!$B$15,
IF(AND($E358="Tier 1",$F358="Remove",$H358&lt;&gt;"",ISNA(MATCH($H358,Tables!$B$143:$B$144,0))),
Error!$B$15,
IF(AND($E358="Tier 1",$F358="Retain",$H358&lt;&gt;"",ISNA(MATCH($H358,Tables!$B$137:$B$140,0))),
Error!$B$15,
IF(AND($E358&lt;&gt;"Tier 2",$E358&lt;&gt;"Tier 2 Grove",$E358&lt;&gt;"Tier 3",$E358&lt;&gt;"Tier 4",$H358="Zoning: Green Factor",OR($D358="",$D358&lt;6)),
Error!$B$11,
IF(AND(_xlpm.baseRow,$D358&lt;6,$E358="&lt;6in DSH for Tree Points",_xlpm.TreePoints_H=0),
Error!$B$21,
IF(AND(_xlpm.baseRow,$E358&lt;&gt;"",$D358&lt;&gt;"",$F358=""),
Error!$B$4,
IF(AND(_xlpm.baseRow,$F358="Remove",OR($E358="Tier 1",$E358="Tier 2",$E358="Tier 2 Grove"),COUNTBLANK(_xlpm.HRange)&lt;3,_xlpm.uniqueH&gt;=2),
Error!$B$48,
IF(AND(_xlpm.baseRow,$F358="Retain",OR($E358="Tier 1",$E358="Tier 2",$E358="Tier 2 Grove"),COUNTIF(_xlpm.HRange,"Tree Code: Required to Retain Tier 1-2 Tree")=0),
Error!$B$47,
IF(AND(_xlpm.baseRow,$E358&lt;&gt;"",$D358&lt;&gt;"",$F358&lt;&gt;"",COUNTBLANK(_xlpm.HRange)=4),
Error!$B$5,
IF(AND($F358="Remove",$H358&lt;&gt;"",$I358=""),
Error!$B$18,
IF(AND($E358="Tier 4",$F358="Remove",$H358="Tree Protection Code: Tier 3 or Tier 4 Allowance",$H358&lt;&gt;"",ISNA(MATCH($I358,Tables!$B$200,0))),
Error!$B$17,
IF(AND($E358="Tier 3",$F358="Remove",$H358&lt;&gt;"",$H358="Tree Protection Code: Tier 3 or Tier 4 Allowance",OR($I358="",ISNA(MATCH($I358,Tables!$B$193:$B$197,0)))),
Error!$B$17,
IF(AND(OR($E358="Tier 2",$E358="Tier 2 Grove"),$F358="Remove",$H358="Tree Protection Code: Other removal allowance or exemption",$I358&lt;&gt;"",ISNA(MATCH($I358,Tables!$B$215:$B$218,0))),
Error!$B$17,
IF(AND(OR($E358="Tier 2",$E358="Tier 2 Grove"),$F358="Remove",$H358="Tree Protection Code: Development Capacity",$I358&lt;&gt;"",ISNA(MATCH($I358,Tables!$B$193:$B$197,0))),
Error!$B$17,
IF(AND(OR($E358="Tier 2",$E358="Tier 2 Grove"),$F358="Remove",$H358="Tree Protection Code: Necessary for Construction",$I358&lt;&gt;"",ISNA(MATCH($I358,Tables!$B$193:$B$197,0))),
Error!$B$17,
IF(AND($E358="Tier 1",$F358="Remove",$H358="Tree Protection Code: Special Exception",$I358&lt;&gt;"",ISNA(MATCH($I358,Tables!$B$215:$B$218,0))),
Error!$B$17,
IF(AND($E358="Tier 1",$F358="Remove",$H358="Tree Protection Code: Other removal allowance or exemption",$I358&lt;&gt;"",ISNA(MATCH($I358,Tables!$B$215:$B$218,0))),
Error!$B$17,
IF(AND($E358="ECA / Shoreline Tree",$F358="Remove",$H358&lt;&gt;"",OR($H358="Shoreline",$H358="Environmental Critical Area (ECA)"),ISNA(MATCH($I358,Tables!$B$209:$B$212,0))),
Error!$B$17,
IF(AND(_xlpm.baseRow,$F358="Retain",$E358="ECA / Shoreline Tree",_xlpm.ECA_Short=0),
Error!$B$61,
IF(AND($F358="Remove",ISNUMBER(MATCH($E358,{"Tier 1","Tier 2","Tier 3","Tier 4","Tier 2 Grove"},0)),ISNUMBER(MATCH($I358,{"On-site replacement","Off-site replacement"},0)),$J358="",$H358&lt;&gt;""),
Error!$B$19,
IF(AND(_xlpm.baseRow,$E358&lt;&gt;"",$D358&lt;&gt;"",$F358&lt;&gt;"",COUNTBLANK($B358:$C358)&gt;0,COUNTBLANK(_xlpm.HRange)&lt;&gt;4),
Error!$B$22,
IF(AND($H358="Zoning: Tree Points",$K358&lt;&gt;"",ISNA(MATCH($K358,Tables!$B$242:$B$253,0))),
Error!$B$58,
IF(AND($H358="Zoning: Tree Points",$K358="Small",$L358&lt;&gt;"",ISNA(MATCH($L358,Tables!$C$243:$C$244,0))),
Error!$B$59,
IF(AND($H358="Zoning: Tree Points",$K358="Small/Medium",$L358&lt;&gt;"",ISNA(MATCH($L358,Tables!$C$246:$C$247,0))),
Error!$B$59,
IF(AND($H358="Zoning: Tree Points",$K358="Medium/Large",$L358&lt;&gt;"",ISNA(MATCH($L358,Tables!$C$249:$C$250,0))),
Error!$B$59,
IF(AND($H358="Zoning: Tree Points",$K358="Large",$L358&lt;&gt;"",ISNA(MATCH($L358,Tables!$C$252:$C$253,0))),
Error!$B$59,
IF(AND($F358="Retain",$H358="Zoning: Tree Points",$C358&lt;&gt;"",$D358&lt;&gt;"",OR($K358="",$L358="",$M358="")),
Error!$B$20,
""
)))))))))))))))))))))))))))))))))))))))))))))))))))))))),
Error!$B$23))</f>
        <v/>
      </c>
      <c r="O358" s="343" t="str" cm="1">
        <f t="array" aca="1" ref="O358" ca="1">IFERROR(_xlfn.LET(
    _xlpm.txt, $C358,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59" spans="1:15" ht="15" thickBot="1" x14ac:dyDescent="0.35">
      <c r="A359" s="311">
        <v>88</v>
      </c>
      <c r="B359" s="312"/>
      <c r="C359" s="313"/>
      <c r="D359" s="478"/>
      <c r="E359" s="314"/>
      <c r="F359" s="314"/>
      <c r="G359" s="315" t="str">
        <f>IF(Tree_Table1[[#This Row],[Tree Status  &amp;]]="Retain", Tables!$B$237, IF(Tree_Table1[[#This Row],[Tree Status  &amp;]]="Remove", Tables!$B$238, ""))</f>
        <v/>
      </c>
      <c r="H359" s="316"/>
      <c r="I359" s="317"/>
      <c r="J359" s="452"/>
      <c r="K359" s="318" t="str">
        <f>IFERROR(
    IF(
        AND($H359="Zoning: Tree Points", NOT(ISNUMBER(SEARCH("sp.", $C359)))),
        VLOOKUP($C359, 'Tree List'!$C$3:$F$601, 4, FALSE),
        ""
    ),
"")</f>
        <v/>
      </c>
      <c r="L359" s="319" t="str" cm="1">
        <f t="array" ref="L359">IFERROR(
IF(
    AND($H359="Zoning: Tree Points", NOT(ISNUMBER(SEARCH("sp.", $C359)))),
    _xlfn.IFS(
        (COUNTIFS('Tree List'!$C$3:$C$601,$C359,'Tree List'!$D$3:$D$601,"Coniferous")
        + COUNTIFS('Tree List'!$C$3:$C$601,$C359,'Tree List'!$D$3:$D$601,"Deciduous Conifer")) &gt; 0,
            _xlfn.IFS($K359="Small",0.5,$K359="Small/Medium",1,$K359="Medium/Large",1.4,$K359="Large",1.8),
        (COUNTIFS('Tree List'!$C$3:$C$601,$C359,'Tree List'!$D$3:$D$601,"Deciduous")
        + COUNTIFS('Tree List'!$C$3:$C$601,$C359,'Tree List'!$D$3:$D$601,"Broadleaf Evergreen")) &gt; 0,
            _xlfn.IFS($K359="Small",0.4,$K359="Small/Medium",0.8,$K359="Medium/Large",1.2,$K359="Large",1.6)
    ),
    ""
),
"")</f>
        <v/>
      </c>
      <c r="M359" s="474" t="str">
        <f t="shared" si="330"/>
        <v/>
      </c>
      <c r="N359" s="620" t="str" cm="1">
        <f t="array" aca="1" ref="N35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IF(AND(_xlpm.baseRow,ISNA(MATCH($C359,'Tree List'!$C$3:$C$601,0)),SUMPRODUCT(--ISNUMBER(SEARCH(Tables2!$C$677:$C$772,$O359)))&gt;0),
Error!$B$57,
IF(AND(_xlpm.hasDM,$F359="Remove",$H359&lt;&gt;"",OR($I359="On-site replacement",$I359="Off-site replacement",$I359="Payment In Lieu")),
Error!$B$56,
IF(AND(_xlpm.hasDM,$F359="Remove",$H359&lt;&gt;"",$I359="Relocation"),
Error!$B$66,
IF(AND(OR(_xlpm.hasCN,_xlpm.hasPH,_xlpm.hasGR),$H359&lt;&gt;"",COUNTIF(Tables!$B$132:$B$134,$H359)&gt;0,$I359="N/A (No replacement required)"),
Error!$B$62,
IF(AND(_xlpm.baseRow,$E359&lt;&gt;"",ISNA(MATCH($E359,Tables!$B$225:$B$232,0))),
Error!$B$2,
IF(AND(_xlpm.baseRow,$F359&lt;&gt;"",ISNA(MATCH($F359,Tables!$B$234:$B$235,0))),
Error!$B$24,
IF(AND(_xlpm.baseRow,_xlpm.ECA_H&gt;0,_xlpm.Shore_H&gt;0),
Error!$B$16,
IF(AND(_xlpm.baseRow,$E359&lt;&gt;"",$D359=""),
Error!$B$3,
IF(AND(_xlpm.baseRow,OR($E359="Tier 3",$E359="Tier 4"),$C359&lt;&gt;"",$D359&gt;=24,COUNTIF(Tables2!$B$166:$B$674,$C359)&gt;0),
Error!$B$44,
IF(AND(_xlpm.baseRow,OR($E359="Tier 3",$E359="Tier 4"),$C359&lt;&gt;"",$D359&lt;&gt;"",COUNTIF(Tables2!$B$73:$B$152,$C359)&gt;0,
$D359&gt;=IFERROR(INDEX(Tables2!$C$73:$C$152,MATCH($C359,Tables2!$B$73:$B$152,0)),-1)),
Error!$B$44,
IF(AND(_xlpm.baseRow,OR($E359="Tier 2",$E359="Tier 2 Grove"),$C359&lt;&gt;"",$D359&gt;=12,COUNTIF(Tables2!$B$153:$B$162,$C359)&gt;0),
Error!$B$45,
IF(AND(_xlpm.baseRow,$E359="Tier 2 Grove",$D359&lt;12),
Error!$B$41,
IF(AND(_xlpm.baseRow,$E359="Tier 2",$D359&lt;5.88),
Error!$B$40,
IF(AND(_xlpm.baseRow,OR($E359="Tier 2",$E359="Tier 2 Grove"),$C359&lt;&gt;"",$D359&lt;12,$D359&gt;=6,COUNTIF(Tables2!$B$153:$B$162,$C359)&gt;0),
Error!$B$54,
IF(AND(_xlpm.baseRow,$E359="Tier 2",COUNTIF(Tables2!$B$166:$B$674,$C359)&gt;0,$D359&lt;24),
Error!$B$54,
IF(AND(_xlpm.baseRow,$E359="Tier 3",ISNA(MATCH($C359,Tables2!$B$153:$B$162,0)),OR($D359&lt;12,$D359&gt;=24)),
Error!$B$9,
IF(AND(_xlpm.baseRow,$E359="Tier 3",COUNTIF(Tables2!$B$153:$B$162,$C359)&gt;0,$D359&lt;12),
Error!$B$46,
IF(AND(_xlpm.baseRow,$E359="Tier 4",OR($D359&lt;6,$D359&gt;=12)),
Error!$B$10,
IF(AND(_xlpm.baseRow,$E359="&lt;6in DSH for Tree Points",OR($D359&gt;=6,$D359="")),
Error!$B$8,
IF(AND(_xlpm.baseRow,$E359="Street Tree for Green Factor",$F359&lt;&gt;"",$F359&lt;&gt;"Retain"),
Error!$B$14,
IF(AND($E359="&lt;6in DSH for Tree Points",$F359="Retain",$H359&lt;&gt;"",ISNA(MATCH($H359,Tables!$B$174:$B$174,0))),
Error!$B$15,
IF(AND($E359="Street Tree for Green Factor",$F359="Retain",$H359&lt;&gt;"",$H359&lt;&gt;"Zoning: Green Factor"),
Error!$B$15,
IF(AND($E359="ECA / Shoreline Tree",$F359="Remove",$H359&lt;&gt;"",ISNA(MATCH($H359,Tables!$B$189:$B$190,0))),
Error!$B$15,
IF(AND($E359="ECA / Shoreline Tree",$F359="Retain",$H359&lt;&gt;"",ISNA(MATCH($H359,Tables!$B$184:$B$186,0))),
Error!$B$15,
IF(AND($E359="Tier 4",$F359="Remove",$H359&lt;&gt;"",ISNA(MATCH($H359,Tables!$B$171,0))),
Error!$B$15,
IF(AND($E359="Tier 4",$F359="Retain",$H359&lt;&gt;"",ISNA(MATCH($H359,Tables!$B$166:$B$168,0))),
Error!$B$15,
IF(AND($E359="Tier 3",$F359="Retain",$H359&lt;&gt;"",ISNA(MATCH($H359,Tables!$B$158:$B$160,0))),
Error!$B$15,
IF(AND($E359="Tier 3",$F359="Remove",$H359&lt;&gt;"",ISNA(MATCH($H359,Tables!$B$163,0))),
Error!$B$15,
IF(AND(OR($E359="Tier 2",$E359="Tier 2 Grove"),$F359="Remove",$H359&lt;&gt;"",ISNA(MATCH($H359,Tables!$B$153:$B$155,0))),
Error!$B$15,
IF(AND(OR($E359="Tier 2",$E359="Tier 2 Grove"),$F359="Retain",$H359&lt;&gt;"",ISNA(MATCH($H359,Tables!$B$147:$B$150,0))),
Error!$B$15,
IF(AND($E359="Tier 1",$F359="Remove",$H359&lt;&gt;"",ISNA(MATCH($H359,Tables!$B$143:$B$144,0))),
Error!$B$15,
IF(AND($E359="Tier 1",$F359="Retain",$H359&lt;&gt;"",ISNA(MATCH($H359,Tables!$B$137:$B$140,0))),
Error!$B$15,
IF(AND($E359&lt;&gt;"Tier 2",$E359&lt;&gt;"Tier 2 Grove",$E359&lt;&gt;"Tier 3",$E359&lt;&gt;"Tier 4",$H359="Zoning: Green Factor",OR($D359="",$D359&lt;6)),
Error!$B$11,
IF(AND(_xlpm.baseRow,$D359&lt;6,$E359="&lt;6in DSH for Tree Points",_xlpm.TreePoints_H=0),
Error!$B$21,
IF(AND(_xlpm.baseRow,$E359&lt;&gt;"",$D359&lt;&gt;"",$F359=""),
Error!$B$4,
IF(AND(_xlpm.baseRow,$F359="Remove",OR($E359="Tier 1",$E359="Tier 2",$E359="Tier 2 Grove"),COUNTBLANK(_xlpm.HRange)&lt;3,_xlpm.uniqueH&gt;=2),
Error!$B$48,
IF(AND(_xlpm.baseRow,$F359="Retain",OR($E359="Tier 1",$E359="Tier 2",$E359="Tier 2 Grove"),COUNTIF(_xlpm.HRange,"Tree Code: Required to Retain Tier 1-2 Tree")=0),
Error!$B$47,
IF(AND(_xlpm.baseRow,$E359&lt;&gt;"",$D359&lt;&gt;"",$F359&lt;&gt;"",COUNTBLANK(_xlpm.HRange)=4),
Error!$B$5,
IF(AND($F359="Remove",$H359&lt;&gt;"",$I359=""),
Error!$B$18,
IF(AND($E359="Tier 4",$F359="Remove",$H359="Tree Protection Code: Tier 3 or Tier 4 Allowance",$H359&lt;&gt;"",ISNA(MATCH($I359,Tables!$B$200,0))),
Error!$B$17,
IF(AND($E359="Tier 3",$F359="Remove",$H359&lt;&gt;"",$H359="Tree Protection Code: Tier 3 or Tier 4 Allowance",OR($I359="",ISNA(MATCH($I359,Tables!$B$193:$B$197,0)))),
Error!$B$17,
IF(AND(OR($E359="Tier 2",$E359="Tier 2 Grove"),$F359="Remove",$H359="Tree Protection Code: Other removal allowance or exemption",$I359&lt;&gt;"",ISNA(MATCH($I359,Tables!$B$215:$B$218,0))),
Error!$B$17,
IF(AND(OR($E359="Tier 2",$E359="Tier 2 Grove"),$F359="Remove",$H359="Tree Protection Code: Development Capacity",$I359&lt;&gt;"",ISNA(MATCH($I359,Tables!$B$193:$B$197,0))),
Error!$B$17,
IF(AND(OR($E359="Tier 2",$E359="Tier 2 Grove"),$F359="Remove",$H359="Tree Protection Code: Necessary for Construction",$I359&lt;&gt;"",ISNA(MATCH($I359,Tables!$B$193:$B$197,0))),
Error!$B$17,
IF(AND($E359="Tier 1",$F359="Remove",$H359="Tree Protection Code: Special Exception",$I359&lt;&gt;"",ISNA(MATCH($I359,Tables!$B$215:$B$218,0))),
Error!$B$17,
IF(AND($E359="Tier 1",$F359="Remove",$H359="Tree Protection Code: Other removal allowance or exemption",$I359&lt;&gt;"",ISNA(MATCH($I359,Tables!$B$215:$B$218,0))),
Error!$B$17,
IF(AND($E359="ECA / Shoreline Tree",$F359="Remove",$H359&lt;&gt;"",OR($H359="Shoreline",$H359="Environmental Critical Area (ECA)"),ISNA(MATCH($I359,Tables!$B$209:$B$212,0))),
Error!$B$17,
IF(AND(_xlpm.baseRow,$F359="Retain",$E359="ECA / Shoreline Tree",_xlpm.ECA_Short=0),
Error!$B$61,
IF(AND($F359="Remove",ISNUMBER(MATCH($E359,{"Tier 1","Tier 2","Tier 3","Tier 4","Tier 2 Grove"},0)),ISNUMBER(MATCH($I359,{"On-site replacement","Off-site replacement"},0)),$J359="",$H359&lt;&gt;""),
Error!$B$19,
IF(AND(_xlpm.baseRow,$E359&lt;&gt;"",$D359&lt;&gt;"",$F359&lt;&gt;"",COUNTBLANK($B359:$C359)&gt;0,COUNTBLANK(_xlpm.HRange)&lt;&gt;4),
Error!$B$22,
IF(AND($H359="Zoning: Tree Points",$K359&lt;&gt;"",ISNA(MATCH($K359,Tables!$B$242:$B$253,0))),
Error!$B$58,
IF(AND($H359="Zoning: Tree Points",$K359="Small",$L359&lt;&gt;"",ISNA(MATCH($L359,Tables!$C$243:$C$244,0))),
Error!$B$59,
IF(AND($H359="Zoning: Tree Points",$K359="Small/Medium",$L359&lt;&gt;"",ISNA(MATCH($L359,Tables!$C$246:$C$247,0))),
Error!$B$59,
IF(AND($H359="Zoning: Tree Points",$K359="Medium/Large",$L359&lt;&gt;"",ISNA(MATCH($L359,Tables!$C$249:$C$250,0))),
Error!$B$59,
IF(AND($H359="Zoning: Tree Points",$K359="Large",$L359&lt;&gt;"",ISNA(MATCH($L359,Tables!$C$252:$C$253,0))),
Error!$B$59,
IF(AND($F359="Retain",$H359="Zoning: Tree Points",$C359&lt;&gt;"",$D359&lt;&gt;"",OR($K359="",$L359="",$M359="")),
Error!$B$20,
""
)))))))))))))))))))))))))))))))))))))))))))))))))))))))),
Error!$B$23))</f>
        <v/>
      </c>
      <c r="O359" s="343" t="str" cm="1">
        <f t="array" aca="1" ref="O359" ca="1">IFERROR(_xlfn.LET(
    _xlpm.txt, $C359,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60" spans="1:15" x14ac:dyDescent="0.3">
      <c r="A360" s="320"/>
      <c r="B360" s="616" t="str">
        <f t="shared" ref="B360:B362" si="396">IF($B359="", "", $B359)</f>
        <v/>
      </c>
      <c r="C360" s="617" t="str">
        <f t="shared" ref="C360:C362" si="397">IF($C359="", "", $C359)</f>
        <v/>
      </c>
      <c r="D360" s="618" t="str">
        <f t="shared" ref="D360:D362" si="398">IF($D359="", "", $D359)</f>
        <v/>
      </c>
      <c r="E360" s="616" t="str">
        <f t="shared" ref="E360:E362" si="399">IF($E359="", "", $E359)</f>
        <v/>
      </c>
      <c r="F360" s="616" t="str">
        <f t="shared" ref="F360:F362" si="400">IF($F359="", "", $F359)</f>
        <v/>
      </c>
      <c r="G360" s="619" t="str">
        <f>IF(Tree_Table1[[#This Row],[Tree Status  &amp;]]="Retain", Tables!$B$237, IF(Tree_Table1[[#This Row],[Tree Status  &amp;]]="Remove", Tables!$B$238, ""))</f>
        <v/>
      </c>
      <c r="H360" s="321"/>
      <c r="I360" s="322"/>
      <c r="J360" s="453"/>
      <c r="K360" s="323" t="str">
        <f>IFERROR(
    IF(
        AND($H360="Zoning: Tree Points", NOT(ISNUMBER(SEARCH("sp.", $C360)))),
        VLOOKUP($C360, 'Tree List'!$C$3:$F$601, 4, FALSE),
        ""
    ),
"")</f>
        <v/>
      </c>
      <c r="L360" s="324" t="str" cm="1">
        <f t="array" ref="L360">IFERROR(
IF(
    AND($H360="Zoning: Tree Points", NOT(ISNUMBER(SEARCH("sp.", $C360)))),
    _xlfn.IFS(
        (COUNTIFS('Tree List'!$C$3:$C$601,$C360,'Tree List'!$D$3:$D$601,"Coniferous")
        + COUNTIFS('Tree List'!$C$3:$C$601,$C360,'Tree List'!$D$3:$D$601,"Deciduous Conifer")) &gt; 0,
            _xlfn.IFS($K360="Small",0.5,$K360="Small/Medium",1,$K360="Medium/Large",1.4,$K360="Large",1.8),
        (COUNTIFS('Tree List'!$C$3:$C$601,$C360,'Tree List'!$D$3:$D$601,"Deciduous")
        + COUNTIFS('Tree List'!$C$3:$C$601,$C360,'Tree List'!$D$3:$D$601,"Broadleaf Evergreen")) &gt; 0,
            _xlfn.IFS($K360="Small",0.4,$K360="Small/Medium",0.8,$K360="Medium/Large",1.2,$K360="Large",1.6)
    ),
    ""
),
"")</f>
        <v/>
      </c>
      <c r="M360" s="475" t="str">
        <f t="shared" si="330"/>
        <v/>
      </c>
      <c r="N360" s="346" t="str" cm="1">
        <f t="array" aca="1" ref="N36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IF(AND(_xlpm.baseRow,ISNA(MATCH($C360,'Tree List'!$C$3:$C$601,0)),SUMPRODUCT(--ISNUMBER(SEARCH(Tables2!$C$677:$C$772,$O360)))&gt;0),
Error!$B$57,
IF(AND(_xlpm.hasDM,$F360="Remove",$H360&lt;&gt;"",OR($I360="On-site replacement",$I360="Off-site replacement",$I360="Payment In Lieu")),
Error!$B$56,
IF(AND(_xlpm.hasDM,$F360="Remove",$H360&lt;&gt;"",$I360="Relocation"),
Error!$B$66,
IF(AND(OR(_xlpm.hasCN,_xlpm.hasPH,_xlpm.hasGR),$H360&lt;&gt;"",COUNTIF(Tables!$B$132:$B$134,$H360)&gt;0,$I360="N/A (No replacement required)"),
Error!$B$62,
IF(AND(_xlpm.baseRow,$E360&lt;&gt;"",ISNA(MATCH($E360,Tables!$B$225:$B$232,0))),
Error!$B$2,
IF(AND(_xlpm.baseRow,$F360&lt;&gt;"",ISNA(MATCH($F360,Tables!$B$234:$B$235,0))),
Error!$B$24,
IF(AND(_xlpm.baseRow,_xlpm.ECA_H&gt;0,_xlpm.Shore_H&gt;0),
Error!$B$16,
IF(AND(_xlpm.baseRow,$E360&lt;&gt;"",$D360=""),
Error!$B$3,
IF(AND(_xlpm.baseRow,OR($E360="Tier 3",$E360="Tier 4"),$C360&lt;&gt;"",$D360&gt;=24,COUNTIF(Tables2!$B$166:$B$674,$C360)&gt;0),
Error!$B$44,
IF(AND(_xlpm.baseRow,OR($E360="Tier 3",$E360="Tier 4"),$C360&lt;&gt;"",$D360&lt;&gt;"",COUNTIF(Tables2!$B$73:$B$152,$C360)&gt;0,
$D360&gt;=IFERROR(INDEX(Tables2!$C$73:$C$152,MATCH($C360,Tables2!$B$73:$B$152,0)),-1)),
Error!$B$44,
IF(AND(_xlpm.baseRow,OR($E360="Tier 2",$E360="Tier 2 Grove"),$C360&lt;&gt;"",$D360&gt;=12,COUNTIF(Tables2!$B$153:$B$162,$C360)&gt;0),
Error!$B$45,
IF(AND(_xlpm.baseRow,$E360="Tier 2 Grove",$D360&lt;12),
Error!$B$41,
IF(AND(_xlpm.baseRow,$E360="Tier 2",$D360&lt;5.88),
Error!$B$40,
IF(AND(_xlpm.baseRow,OR($E360="Tier 2",$E360="Tier 2 Grove"),$C360&lt;&gt;"",$D360&lt;12,$D360&gt;=6,COUNTIF(Tables2!$B$153:$B$162,$C360)&gt;0),
Error!$B$54,
IF(AND(_xlpm.baseRow,$E360="Tier 2",COUNTIF(Tables2!$B$166:$B$674,$C360)&gt;0,$D360&lt;24),
Error!$B$54,
IF(AND(_xlpm.baseRow,$E360="Tier 3",ISNA(MATCH($C360,Tables2!$B$153:$B$162,0)),OR($D360&lt;12,$D360&gt;=24)),
Error!$B$9,
IF(AND(_xlpm.baseRow,$E360="Tier 3",COUNTIF(Tables2!$B$153:$B$162,$C360)&gt;0,$D360&lt;12),
Error!$B$46,
IF(AND(_xlpm.baseRow,$E360="Tier 4",OR($D360&lt;6,$D360&gt;=12)),
Error!$B$10,
IF(AND(_xlpm.baseRow,$E360="&lt;6in DSH for Tree Points",OR($D360&gt;=6,$D360="")),
Error!$B$8,
IF(AND(_xlpm.baseRow,$E360="Street Tree for Green Factor",$F360&lt;&gt;"",$F360&lt;&gt;"Retain"),
Error!$B$14,
IF(AND($E360="&lt;6in DSH for Tree Points",$F360="Retain",$H360&lt;&gt;"",ISNA(MATCH($H360,Tables!$B$174:$B$174,0))),
Error!$B$15,
IF(AND($E360="Street Tree for Green Factor",$F360="Retain",$H360&lt;&gt;"",$H360&lt;&gt;"Zoning: Green Factor"),
Error!$B$15,
IF(AND($E360="ECA / Shoreline Tree",$F360="Remove",$H360&lt;&gt;"",ISNA(MATCH($H360,Tables!$B$189:$B$190,0))),
Error!$B$15,
IF(AND($E360="ECA / Shoreline Tree",$F360="Retain",$H360&lt;&gt;"",ISNA(MATCH($H360,Tables!$B$184:$B$186,0))),
Error!$B$15,
IF(AND($E360="Tier 4",$F360="Remove",$H360&lt;&gt;"",ISNA(MATCH($H360,Tables!$B$171,0))),
Error!$B$15,
IF(AND($E360="Tier 4",$F360="Retain",$H360&lt;&gt;"",ISNA(MATCH($H360,Tables!$B$166:$B$168,0))),
Error!$B$15,
IF(AND($E360="Tier 3",$F360="Retain",$H360&lt;&gt;"",ISNA(MATCH($H360,Tables!$B$158:$B$160,0))),
Error!$B$15,
IF(AND($E360="Tier 3",$F360="Remove",$H360&lt;&gt;"",ISNA(MATCH($H360,Tables!$B$163,0))),
Error!$B$15,
IF(AND(OR($E360="Tier 2",$E360="Tier 2 Grove"),$F360="Remove",$H360&lt;&gt;"",ISNA(MATCH($H360,Tables!$B$153:$B$155,0))),
Error!$B$15,
IF(AND(OR($E360="Tier 2",$E360="Tier 2 Grove"),$F360="Retain",$H360&lt;&gt;"",ISNA(MATCH($H360,Tables!$B$147:$B$150,0))),
Error!$B$15,
IF(AND($E360="Tier 1",$F360="Remove",$H360&lt;&gt;"",ISNA(MATCH($H360,Tables!$B$143:$B$144,0))),
Error!$B$15,
IF(AND($E360="Tier 1",$F360="Retain",$H360&lt;&gt;"",ISNA(MATCH($H360,Tables!$B$137:$B$140,0))),
Error!$B$15,
IF(AND($E360&lt;&gt;"Tier 2",$E360&lt;&gt;"Tier 2 Grove",$E360&lt;&gt;"Tier 3",$E360&lt;&gt;"Tier 4",$H360="Zoning: Green Factor",OR($D360="",$D360&lt;6)),
Error!$B$11,
IF(AND(_xlpm.baseRow,$D360&lt;6,$E360="&lt;6in DSH for Tree Points",_xlpm.TreePoints_H=0),
Error!$B$21,
IF(AND(_xlpm.baseRow,$E360&lt;&gt;"",$D360&lt;&gt;"",$F360=""),
Error!$B$4,
IF(AND(_xlpm.baseRow,$F360="Remove",OR($E360="Tier 1",$E360="Tier 2",$E360="Tier 2 Grove"),COUNTBLANK(_xlpm.HRange)&lt;3,_xlpm.uniqueH&gt;=2),
Error!$B$48,
IF(AND(_xlpm.baseRow,$F360="Retain",OR($E360="Tier 1",$E360="Tier 2",$E360="Tier 2 Grove"),COUNTIF(_xlpm.HRange,"Tree Code: Required to Retain Tier 1-2 Tree")=0),
Error!$B$47,
IF(AND(_xlpm.baseRow,$E360&lt;&gt;"",$D360&lt;&gt;"",$F360&lt;&gt;"",COUNTBLANK(_xlpm.HRange)=4),
Error!$B$5,
IF(AND($F360="Remove",$H360&lt;&gt;"",$I360=""),
Error!$B$18,
IF(AND($E360="Tier 4",$F360="Remove",$H360="Tree Protection Code: Tier 3 or Tier 4 Allowance",$H360&lt;&gt;"",ISNA(MATCH($I360,Tables!$B$200,0))),
Error!$B$17,
IF(AND($E360="Tier 3",$F360="Remove",$H360&lt;&gt;"",$H360="Tree Protection Code: Tier 3 or Tier 4 Allowance",OR($I360="",ISNA(MATCH($I360,Tables!$B$193:$B$197,0)))),
Error!$B$17,
IF(AND(OR($E360="Tier 2",$E360="Tier 2 Grove"),$F360="Remove",$H360="Tree Protection Code: Other removal allowance or exemption",$I360&lt;&gt;"",ISNA(MATCH($I360,Tables!$B$215:$B$218,0))),
Error!$B$17,
IF(AND(OR($E360="Tier 2",$E360="Tier 2 Grove"),$F360="Remove",$H360="Tree Protection Code: Development Capacity",$I360&lt;&gt;"",ISNA(MATCH($I360,Tables!$B$193:$B$197,0))),
Error!$B$17,
IF(AND(OR($E360="Tier 2",$E360="Tier 2 Grove"),$F360="Remove",$H360="Tree Protection Code: Necessary for Construction",$I360&lt;&gt;"",ISNA(MATCH($I360,Tables!$B$193:$B$197,0))),
Error!$B$17,
IF(AND($E360="Tier 1",$F360="Remove",$H360="Tree Protection Code: Special Exception",$I360&lt;&gt;"",ISNA(MATCH($I360,Tables!$B$215:$B$218,0))),
Error!$B$17,
IF(AND($E360="Tier 1",$F360="Remove",$H360="Tree Protection Code: Other removal allowance or exemption",$I360&lt;&gt;"",ISNA(MATCH($I360,Tables!$B$215:$B$218,0))),
Error!$B$17,
IF(AND($E360="ECA / Shoreline Tree",$F360="Remove",$H360&lt;&gt;"",OR($H360="Shoreline",$H360="Environmental Critical Area (ECA)"),ISNA(MATCH($I360,Tables!$B$209:$B$212,0))),
Error!$B$17,
IF(AND(_xlpm.baseRow,$F360="Retain",$E360="ECA / Shoreline Tree",_xlpm.ECA_Short=0),
Error!$B$61,
IF(AND($F360="Remove",ISNUMBER(MATCH($E360,{"Tier 1","Tier 2","Tier 3","Tier 4","Tier 2 Grove"},0)),ISNUMBER(MATCH($I360,{"On-site replacement","Off-site replacement"},0)),$J360="",$H360&lt;&gt;""),
Error!$B$19,
IF(AND(_xlpm.baseRow,$E360&lt;&gt;"",$D360&lt;&gt;"",$F360&lt;&gt;"",COUNTBLANK($B360:$C360)&gt;0,COUNTBLANK(_xlpm.HRange)&lt;&gt;4),
Error!$B$22,
IF(AND($H360="Zoning: Tree Points",$K360&lt;&gt;"",ISNA(MATCH($K360,Tables!$B$242:$B$253,0))),
Error!$B$58,
IF(AND($H360="Zoning: Tree Points",$K360="Small",$L360&lt;&gt;"",ISNA(MATCH($L360,Tables!$C$243:$C$244,0))),
Error!$B$59,
IF(AND($H360="Zoning: Tree Points",$K360="Small/Medium",$L360&lt;&gt;"",ISNA(MATCH($L360,Tables!$C$246:$C$247,0))),
Error!$B$59,
IF(AND($H360="Zoning: Tree Points",$K360="Medium/Large",$L360&lt;&gt;"",ISNA(MATCH($L360,Tables!$C$249:$C$250,0))),
Error!$B$59,
IF(AND($H360="Zoning: Tree Points",$K360="Large",$L360&lt;&gt;"",ISNA(MATCH($L360,Tables!$C$252:$C$253,0))),
Error!$B$59,
IF(AND($F360="Retain",$H360="Zoning: Tree Points",$C360&lt;&gt;"",$D360&lt;&gt;"",OR($K360="",$L360="",$M360="")),
Error!$B$20,
""
)))))))))))))))))))))))))))))))))))))))))))))))))))))))),
Error!$B$23))</f>
        <v/>
      </c>
      <c r="O360" s="343" t="str" cm="1">
        <f t="array" aca="1" ref="O360" ca="1">IFERROR(_xlfn.LET(
    _xlpm.txt, $C360,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61" spans="1:15" x14ac:dyDescent="0.3">
      <c r="A361" s="320"/>
      <c r="B361" s="616" t="str">
        <f t="shared" si="396"/>
        <v/>
      </c>
      <c r="C361" s="617" t="str">
        <f t="shared" si="397"/>
        <v/>
      </c>
      <c r="D361" s="618" t="str">
        <f t="shared" si="398"/>
        <v/>
      </c>
      <c r="E361" s="616" t="str">
        <f t="shared" si="399"/>
        <v/>
      </c>
      <c r="F361" s="616" t="str">
        <f t="shared" si="400"/>
        <v/>
      </c>
      <c r="G361" s="619" t="str">
        <f>IF(Tree_Table1[[#This Row],[Tree Status  &amp;]]="Retain", Tables!$B$237, IF(Tree_Table1[[#This Row],[Tree Status  &amp;]]="Remove", Tables!$B$238, ""))</f>
        <v/>
      </c>
      <c r="H361" s="321"/>
      <c r="I361" s="322"/>
      <c r="J361" s="453"/>
      <c r="K361" s="323" t="str">
        <f>IFERROR(
    IF(
        AND($H361="Zoning: Tree Points", NOT(ISNUMBER(SEARCH("sp.", $C361)))),
        VLOOKUP($C361, 'Tree List'!$C$3:$F$601, 4, FALSE),
        ""
    ),
"")</f>
        <v/>
      </c>
      <c r="L361" s="324" t="str" cm="1">
        <f t="array" ref="L361">IFERROR(
IF(
    AND($H361="Zoning: Tree Points", NOT(ISNUMBER(SEARCH("sp.", $C361)))),
    _xlfn.IFS(
        (COUNTIFS('Tree List'!$C$3:$C$601,$C361,'Tree List'!$D$3:$D$601,"Coniferous")
        + COUNTIFS('Tree List'!$C$3:$C$601,$C361,'Tree List'!$D$3:$D$601,"Deciduous Conifer")) &gt; 0,
            _xlfn.IFS($K361="Small",0.5,$K361="Small/Medium",1,$K361="Medium/Large",1.4,$K361="Large",1.8),
        (COUNTIFS('Tree List'!$C$3:$C$601,$C361,'Tree List'!$D$3:$D$601,"Deciduous")
        + COUNTIFS('Tree List'!$C$3:$C$601,$C361,'Tree List'!$D$3:$D$601,"Broadleaf Evergreen")) &gt; 0,
            _xlfn.IFS($K361="Small",0.4,$K361="Small/Medium",0.8,$K361="Medium/Large",1.2,$K361="Large",1.6)
    ),
    ""
),
"")</f>
        <v/>
      </c>
      <c r="M361" s="475" t="str">
        <f t="shared" si="330"/>
        <v/>
      </c>
      <c r="N361" s="346" t="str" cm="1">
        <f t="array" aca="1" ref="N36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IF(AND(_xlpm.baseRow,ISNA(MATCH($C361,'Tree List'!$C$3:$C$601,0)),SUMPRODUCT(--ISNUMBER(SEARCH(Tables2!$C$677:$C$772,$O361)))&gt;0),
Error!$B$57,
IF(AND(_xlpm.hasDM,$F361="Remove",$H361&lt;&gt;"",OR($I361="On-site replacement",$I361="Off-site replacement",$I361="Payment In Lieu")),
Error!$B$56,
IF(AND(_xlpm.hasDM,$F361="Remove",$H361&lt;&gt;"",$I361="Relocation"),
Error!$B$66,
IF(AND(OR(_xlpm.hasCN,_xlpm.hasPH,_xlpm.hasGR),$H361&lt;&gt;"",COUNTIF(Tables!$B$132:$B$134,$H361)&gt;0,$I361="N/A (No replacement required)"),
Error!$B$62,
IF(AND(_xlpm.baseRow,$E361&lt;&gt;"",ISNA(MATCH($E361,Tables!$B$225:$B$232,0))),
Error!$B$2,
IF(AND(_xlpm.baseRow,$F361&lt;&gt;"",ISNA(MATCH($F361,Tables!$B$234:$B$235,0))),
Error!$B$24,
IF(AND(_xlpm.baseRow,_xlpm.ECA_H&gt;0,_xlpm.Shore_H&gt;0),
Error!$B$16,
IF(AND(_xlpm.baseRow,$E361&lt;&gt;"",$D361=""),
Error!$B$3,
IF(AND(_xlpm.baseRow,OR($E361="Tier 3",$E361="Tier 4"),$C361&lt;&gt;"",$D361&gt;=24,COUNTIF(Tables2!$B$166:$B$674,$C361)&gt;0),
Error!$B$44,
IF(AND(_xlpm.baseRow,OR($E361="Tier 3",$E361="Tier 4"),$C361&lt;&gt;"",$D361&lt;&gt;"",COUNTIF(Tables2!$B$73:$B$152,$C361)&gt;0,
$D361&gt;=IFERROR(INDEX(Tables2!$C$73:$C$152,MATCH($C361,Tables2!$B$73:$B$152,0)),-1)),
Error!$B$44,
IF(AND(_xlpm.baseRow,OR($E361="Tier 2",$E361="Tier 2 Grove"),$C361&lt;&gt;"",$D361&gt;=12,COUNTIF(Tables2!$B$153:$B$162,$C361)&gt;0),
Error!$B$45,
IF(AND(_xlpm.baseRow,$E361="Tier 2 Grove",$D361&lt;12),
Error!$B$41,
IF(AND(_xlpm.baseRow,$E361="Tier 2",$D361&lt;5.88),
Error!$B$40,
IF(AND(_xlpm.baseRow,OR($E361="Tier 2",$E361="Tier 2 Grove"),$C361&lt;&gt;"",$D361&lt;12,$D361&gt;=6,COUNTIF(Tables2!$B$153:$B$162,$C361)&gt;0),
Error!$B$54,
IF(AND(_xlpm.baseRow,$E361="Tier 2",COUNTIF(Tables2!$B$166:$B$674,$C361)&gt;0,$D361&lt;24),
Error!$B$54,
IF(AND(_xlpm.baseRow,$E361="Tier 3",ISNA(MATCH($C361,Tables2!$B$153:$B$162,0)),OR($D361&lt;12,$D361&gt;=24)),
Error!$B$9,
IF(AND(_xlpm.baseRow,$E361="Tier 3",COUNTIF(Tables2!$B$153:$B$162,$C361)&gt;0,$D361&lt;12),
Error!$B$46,
IF(AND(_xlpm.baseRow,$E361="Tier 4",OR($D361&lt;6,$D361&gt;=12)),
Error!$B$10,
IF(AND(_xlpm.baseRow,$E361="&lt;6in DSH for Tree Points",OR($D361&gt;=6,$D361="")),
Error!$B$8,
IF(AND(_xlpm.baseRow,$E361="Street Tree for Green Factor",$F361&lt;&gt;"",$F361&lt;&gt;"Retain"),
Error!$B$14,
IF(AND($E361="&lt;6in DSH for Tree Points",$F361="Retain",$H361&lt;&gt;"",ISNA(MATCH($H361,Tables!$B$174:$B$174,0))),
Error!$B$15,
IF(AND($E361="Street Tree for Green Factor",$F361="Retain",$H361&lt;&gt;"",$H361&lt;&gt;"Zoning: Green Factor"),
Error!$B$15,
IF(AND($E361="ECA / Shoreline Tree",$F361="Remove",$H361&lt;&gt;"",ISNA(MATCH($H361,Tables!$B$189:$B$190,0))),
Error!$B$15,
IF(AND($E361="ECA / Shoreline Tree",$F361="Retain",$H361&lt;&gt;"",ISNA(MATCH($H361,Tables!$B$184:$B$186,0))),
Error!$B$15,
IF(AND($E361="Tier 4",$F361="Remove",$H361&lt;&gt;"",ISNA(MATCH($H361,Tables!$B$171,0))),
Error!$B$15,
IF(AND($E361="Tier 4",$F361="Retain",$H361&lt;&gt;"",ISNA(MATCH($H361,Tables!$B$166:$B$168,0))),
Error!$B$15,
IF(AND($E361="Tier 3",$F361="Retain",$H361&lt;&gt;"",ISNA(MATCH($H361,Tables!$B$158:$B$160,0))),
Error!$B$15,
IF(AND($E361="Tier 3",$F361="Remove",$H361&lt;&gt;"",ISNA(MATCH($H361,Tables!$B$163,0))),
Error!$B$15,
IF(AND(OR($E361="Tier 2",$E361="Tier 2 Grove"),$F361="Remove",$H361&lt;&gt;"",ISNA(MATCH($H361,Tables!$B$153:$B$155,0))),
Error!$B$15,
IF(AND(OR($E361="Tier 2",$E361="Tier 2 Grove"),$F361="Retain",$H361&lt;&gt;"",ISNA(MATCH($H361,Tables!$B$147:$B$150,0))),
Error!$B$15,
IF(AND($E361="Tier 1",$F361="Remove",$H361&lt;&gt;"",ISNA(MATCH($H361,Tables!$B$143:$B$144,0))),
Error!$B$15,
IF(AND($E361="Tier 1",$F361="Retain",$H361&lt;&gt;"",ISNA(MATCH($H361,Tables!$B$137:$B$140,0))),
Error!$B$15,
IF(AND($E361&lt;&gt;"Tier 2",$E361&lt;&gt;"Tier 2 Grove",$E361&lt;&gt;"Tier 3",$E361&lt;&gt;"Tier 4",$H361="Zoning: Green Factor",OR($D361="",$D361&lt;6)),
Error!$B$11,
IF(AND(_xlpm.baseRow,$D361&lt;6,$E361="&lt;6in DSH for Tree Points",_xlpm.TreePoints_H=0),
Error!$B$21,
IF(AND(_xlpm.baseRow,$E361&lt;&gt;"",$D361&lt;&gt;"",$F361=""),
Error!$B$4,
IF(AND(_xlpm.baseRow,$F361="Remove",OR($E361="Tier 1",$E361="Tier 2",$E361="Tier 2 Grove"),COUNTBLANK(_xlpm.HRange)&lt;3,_xlpm.uniqueH&gt;=2),
Error!$B$48,
IF(AND(_xlpm.baseRow,$F361="Retain",OR($E361="Tier 1",$E361="Tier 2",$E361="Tier 2 Grove"),COUNTIF(_xlpm.HRange,"Tree Code: Required to Retain Tier 1-2 Tree")=0),
Error!$B$47,
IF(AND(_xlpm.baseRow,$E361&lt;&gt;"",$D361&lt;&gt;"",$F361&lt;&gt;"",COUNTBLANK(_xlpm.HRange)=4),
Error!$B$5,
IF(AND($F361="Remove",$H361&lt;&gt;"",$I361=""),
Error!$B$18,
IF(AND($E361="Tier 4",$F361="Remove",$H361="Tree Protection Code: Tier 3 or Tier 4 Allowance",$H361&lt;&gt;"",ISNA(MATCH($I361,Tables!$B$200,0))),
Error!$B$17,
IF(AND($E361="Tier 3",$F361="Remove",$H361&lt;&gt;"",$H361="Tree Protection Code: Tier 3 or Tier 4 Allowance",OR($I361="",ISNA(MATCH($I361,Tables!$B$193:$B$197,0)))),
Error!$B$17,
IF(AND(OR($E361="Tier 2",$E361="Tier 2 Grove"),$F361="Remove",$H361="Tree Protection Code: Other removal allowance or exemption",$I361&lt;&gt;"",ISNA(MATCH($I361,Tables!$B$215:$B$218,0))),
Error!$B$17,
IF(AND(OR($E361="Tier 2",$E361="Tier 2 Grove"),$F361="Remove",$H361="Tree Protection Code: Development Capacity",$I361&lt;&gt;"",ISNA(MATCH($I361,Tables!$B$193:$B$197,0))),
Error!$B$17,
IF(AND(OR($E361="Tier 2",$E361="Tier 2 Grove"),$F361="Remove",$H361="Tree Protection Code: Necessary for Construction",$I361&lt;&gt;"",ISNA(MATCH($I361,Tables!$B$193:$B$197,0))),
Error!$B$17,
IF(AND($E361="Tier 1",$F361="Remove",$H361="Tree Protection Code: Special Exception",$I361&lt;&gt;"",ISNA(MATCH($I361,Tables!$B$215:$B$218,0))),
Error!$B$17,
IF(AND($E361="Tier 1",$F361="Remove",$H361="Tree Protection Code: Other removal allowance or exemption",$I361&lt;&gt;"",ISNA(MATCH($I361,Tables!$B$215:$B$218,0))),
Error!$B$17,
IF(AND($E361="ECA / Shoreline Tree",$F361="Remove",$H361&lt;&gt;"",OR($H361="Shoreline",$H361="Environmental Critical Area (ECA)"),ISNA(MATCH($I361,Tables!$B$209:$B$212,0))),
Error!$B$17,
IF(AND(_xlpm.baseRow,$F361="Retain",$E361="ECA / Shoreline Tree",_xlpm.ECA_Short=0),
Error!$B$61,
IF(AND($F361="Remove",ISNUMBER(MATCH($E361,{"Tier 1","Tier 2","Tier 3","Tier 4","Tier 2 Grove"},0)),ISNUMBER(MATCH($I361,{"On-site replacement","Off-site replacement"},0)),$J361="",$H361&lt;&gt;""),
Error!$B$19,
IF(AND(_xlpm.baseRow,$E361&lt;&gt;"",$D361&lt;&gt;"",$F361&lt;&gt;"",COUNTBLANK($B361:$C361)&gt;0,COUNTBLANK(_xlpm.HRange)&lt;&gt;4),
Error!$B$22,
IF(AND($H361="Zoning: Tree Points",$K361&lt;&gt;"",ISNA(MATCH($K361,Tables!$B$242:$B$253,0))),
Error!$B$58,
IF(AND($H361="Zoning: Tree Points",$K361="Small",$L361&lt;&gt;"",ISNA(MATCH($L361,Tables!$C$243:$C$244,0))),
Error!$B$59,
IF(AND($H361="Zoning: Tree Points",$K361="Small/Medium",$L361&lt;&gt;"",ISNA(MATCH($L361,Tables!$C$246:$C$247,0))),
Error!$B$59,
IF(AND($H361="Zoning: Tree Points",$K361="Medium/Large",$L361&lt;&gt;"",ISNA(MATCH($L361,Tables!$C$249:$C$250,0))),
Error!$B$59,
IF(AND($H361="Zoning: Tree Points",$K361="Large",$L361&lt;&gt;"",ISNA(MATCH($L361,Tables!$C$252:$C$253,0))),
Error!$B$59,
IF(AND($F361="Retain",$H361="Zoning: Tree Points",$C361&lt;&gt;"",$D361&lt;&gt;"",OR($K361="",$L361="",$M361="")),
Error!$B$20,
""
)))))))))))))))))))))))))))))))))))))))))))))))))))))))),
Error!$B$23))</f>
        <v/>
      </c>
      <c r="O361" s="343" t="str" cm="1">
        <f t="array" aca="1" ref="O361" ca="1">IFERROR(_xlfn.LET(
    _xlpm.txt, $C361,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62" spans="1:15" ht="15" thickBot="1" x14ac:dyDescent="0.35">
      <c r="A362" s="331"/>
      <c r="B362" s="616" t="str">
        <f t="shared" si="396"/>
        <v/>
      </c>
      <c r="C362" s="617" t="str">
        <f t="shared" si="397"/>
        <v/>
      </c>
      <c r="D362" s="618" t="str">
        <f t="shared" si="398"/>
        <v/>
      </c>
      <c r="E362" s="616" t="str">
        <f t="shared" si="399"/>
        <v/>
      </c>
      <c r="F362" s="616" t="str">
        <f t="shared" si="400"/>
        <v/>
      </c>
      <c r="G362" s="619" t="str">
        <f>IF(Tree_Table1[[#This Row],[Tree Status  &amp;]]="Retain", Tables!$B$237, IF(Tree_Table1[[#This Row],[Tree Status  &amp;]]="Remove", Tables!$B$238, ""))</f>
        <v/>
      </c>
      <c r="H362" s="329"/>
      <c r="I362" s="330"/>
      <c r="J362" s="455"/>
      <c r="K362" s="327" t="str">
        <f>IFERROR(
    IF(
        AND($H362="Zoning: Tree Points", NOT(ISNUMBER(SEARCH("sp.", $C362)))),
        VLOOKUP($C362, 'Tree List'!$C$3:$F$601, 4, FALSE),
        ""
    ),
"")</f>
        <v/>
      </c>
      <c r="L362" s="328" t="str" cm="1">
        <f t="array" ref="L362">IFERROR(
IF(
    AND($H362="Zoning: Tree Points", NOT(ISNUMBER(SEARCH("sp.", $C362)))),
    _xlfn.IFS(
        (COUNTIFS('Tree List'!$C$3:$C$601,$C362,'Tree List'!$D$3:$D$601,"Coniferous")
        + COUNTIFS('Tree List'!$C$3:$C$601,$C362,'Tree List'!$D$3:$D$601,"Deciduous Conifer")) &gt; 0,
            _xlfn.IFS($K362="Small",0.5,$K362="Small/Medium",1,$K362="Medium/Large",1.4,$K362="Large",1.8),
        (COUNTIFS('Tree List'!$C$3:$C$601,$C362,'Tree List'!$D$3:$D$601,"Deciduous")
        + COUNTIFS('Tree List'!$C$3:$C$601,$C362,'Tree List'!$D$3:$D$601,"Broadleaf Evergreen")) &gt; 0,
            _xlfn.IFS($K362="Small",0.4,$K362="Small/Medium",0.8,$K362="Medium/Large",1.2,$K362="Large",1.6)
    ),
    ""
),
"")</f>
        <v/>
      </c>
      <c r="M362" s="476" t="str">
        <f t="shared" si="330"/>
        <v/>
      </c>
      <c r="N362" s="347" t="str" cm="1">
        <f t="array" aca="1" ref="N36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IF(AND(_xlpm.baseRow,ISNA(MATCH($C362,'Tree List'!$C$3:$C$601,0)),SUMPRODUCT(--ISNUMBER(SEARCH(Tables2!$C$677:$C$772,$O362)))&gt;0),
Error!$B$57,
IF(AND(_xlpm.hasDM,$F362="Remove",$H362&lt;&gt;"",OR($I362="On-site replacement",$I362="Off-site replacement",$I362="Payment In Lieu")),
Error!$B$56,
IF(AND(_xlpm.hasDM,$F362="Remove",$H362&lt;&gt;"",$I362="Relocation"),
Error!$B$66,
IF(AND(OR(_xlpm.hasCN,_xlpm.hasPH,_xlpm.hasGR),$H362&lt;&gt;"",COUNTIF(Tables!$B$132:$B$134,$H362)&gt;0,$I362="N/A (No replacement required)"),
Error!$B$62,
IF(AND(_xlpm.baseRow,$E362&lt;&gt;"",ISNA(MATCH($E362,Tables!$B$225:$B$232,0))),
Error!$B$2,
IF(AND(_xlpm.baseRow,$F362&lt;&gt;"",ISNA(MATCH($F362,Tables!$B$234:$B$235,0))),
Error!$B$24,
IF(AND(_xlpm.baseRow,_xlpm.ECA_H&gt;0,_xlpm.Shore_H&gt;0),
Error!$B$16,
IF(AND(_xlpm.baseRow,$E362&lt;&gt;"",$D362=""),
Error!$B$3,
IF(AND(_xlpm.baseRow,OR($E362="Tier 3",$E362="Tier 4"),$C362&lt;&gt;"",$D362&gt;=24,COUNTIF(Tables2!$B$166:$B$674,$C362)&gt;0),
Error!$B$44,
IF(AND(_xlpm.baseRow,OR($E362="Tier 3",$E362="Tier 4"),$C362&lt;&gt;"",$D362&lt;&gt;"",COUNTIF(Tables2!$B$73:$B$152,$C362)&gt;0,
$D362&gt;=IFERROR(INDEX(Tables2!$C$73:$C$152,MATCH($C362,Tables2!$B$73:$B$152,0)),-1)),
Error!$B$44,
IF(AND(_xlpm.baseRow,OR($E362="Tier 2",$E362="Tier 2 Grove"),$C362&lt;&gt;"",$D362&gt;=12,COUNTIF(Tables2!$B$153:$B$162,$C362)&gt;0),
Error!$B$45,
IF(AND(_xlpm.baseRow,$E362="Tier 2 Grove",$D362&lt;12),
Error!$B$41,
IF(AND(_xlpm.baseRow,$E362="Tier 2",$D362&lt;5.88),
Error!$B$40,
IF(AND(_xlpm.baseRow,OR($E362="Tier 2",$E362="Tier 2 Grove"),$C362&lt;&gt;"",$D362&lt;12,$D362&gt;=6,COUNTIF(Tables2!$B$153:$B$162,$C362)&gt;0),
Error!$B$54,
IF(AND(_xlpm.baseRow,$E362="Tier 2",COUNTIF(Tables2!$B$166:$B$674,$C362)&gt;0,$D362&lt;24),
Error!$B$54,
IF(AND(_xlpm.baseRow,$E362="Tier 3",ISNA(MATCH($C362,Tables2!$B$153:$B$162,0)),OR($D362&lt;12,$D362&gt;=24)),
Error!$B$9,
IF(AND(_xlpm.baseRow,$E362="Tier 3",COUNTIF(Tables2!$B$153:$B$162,$C362)&gt;0,$D362&lt;12),
Error!$B$46,
IF(AND(_xlpm.baseRow,$E362="Tier 4",OR($D362&lt;6,$D362&gt;=12)),
Error!$B$10,
IF(AND(_xlpm.baseRow,$E362="&lt;6in DSH for Tree Points",OR($D362&gt;=6,$D362="")),
Error!$B$8,
IF(AND(_xlpm.baseRow,$E362="Street Tree for Green Factor",$F362&lt;&gt;"",$F362&lt;&gt;"Retain"),
Error!$B$14,
IF(AND($E362="&lt;6in DSH for Tree Points",$F362="Retain",$H362&lt;&gt;"",ISNA(MATCH($H362,Tables!$B$174:$B$174,0))),
Error!$B$15,
IF(AND($E362="Street Tree for Green Factor",$F362="Retain",$H362&lt;&gt;"",$H362&lt;&gt;"Zoning: Green Factor"),
Error!$B$15,
IF(AND($E362="ECA / Shoreline Tree",$F362="Remove",$H362&lt;&gt;"",ISNA(MATCH($H362,Tables!$B$189:$B$190,0))),
Error!$B$15,
IF(AND($E362="ECA / Shoreline Tree",$F362="Retain",$H362&lt;&gt;"",ISNA(MATCH($H362,Tables!$B$184:$B$186,0))),
Error!$B$15,
IF(AND($E362="Tier 4",$F362="Remove",$H362&lt;&gt;"",ISNA(MATCH($H362,Tables!$B$171,0))),
Error!$B$15,
IF(AND($E362="Tier 4",$F362="Retain",$H362&lt;&gt;"",ISNA(MATCH($H362,Tables!$B$166:$B$168,0))),
Error!$B$15,
IF(AND($E362="Tier 3",$F362="Retain",$H362&lt;&gt;"",ISNA(MATCH($H362,Tables!$B$158:$B$160,0))),
Error!$B$15,
IF(AND($E362="Tier 3",$F362="Remove",$H362&lt;&gt;"",ISNA(MATCH($H362,Tables!$B$163,0))),
Error!$B$15,
IF(AND(OR($E362="Tier 2",$E362="Tier 2 Grove"),$F362="Remove",$H362&lt;&gt;"",ISNA(MATCH($H362,Tables!$B$153:$B$155,0))),
Error!$B$15,
IF(AND(OR($E362="Tier 2",$E362="Tier 2 Grove"),$F362="Retain",$H362&lt;&gt;"",ISNA(MATCH($H362,Tables!$B$147:$B$150,0))),
Error!$B$15,
IF(AND($E362="Tier 1",$F362="Remove",$H362&lt;&gt;"",ISNA(MATCH($H362,Tables!$B$143:$B$144,0))),
Error!$B$15,
IF(AND($E362="Tier 1",$F362="Retain",$H362&lt;&gt;"",ISNA(MATCH($H362,Tables!$B$137:$B$140,0))),
Error!$B$15,
IF(AND($E362&lt;&gt;"Tier 2",$E362&lt;&gt;"Tier 2 Grove",$E362&lt;&gt;"Tier 3",$E362&lt;&gt;"Tier 4",$H362="Zoning: Green Factor",OR($D362="",$D362&lt;6)),
Error!$B$11,
IF(AND(_xlpm.baseRow,$D362&lt;6,$E362="&lt;6in DSH for Tree Points",_xlpm.TreePoints_H=0),
Error!$B$21,
IF(AND(_xlpm.baseRow,$E362&lt;&gt;"",$D362&lt;&gt;"",$F362=""),
Error!$B$4,
IF(AND(_xlpm.baseRow,$F362="Remove",OR($E362="Tier 1",$E362="Tier 2",$E362="Tier 2 Grove"),COUNTBLANK(_xlpm.HRange)&lt;3,_xlpm.uniqueH&gt;=2),
Error!$B$48,
IF(AND(_xlpm.baseRow,$F362="Retain",OR($E362="Tier 1",$E362="Tier 2",$E362="Tier 2 Grove"),COUNTIF(_xlpm.HRange,"Tree Code: Required to Retain Tier 1-2 Tree")=0),
Error!$B$47,
IF(AND(_xlpm.baseRow,$E362&lt;&gt;"",$D362&lt;&gt;"",$F362&lt;&gt;"",COUNTBLANK(_xlpm.HRange)=4),
Error!$B$5,
IF(AND($F362="Remove",$H362&lt;&gt;"",$I362=""),
Error!$B$18,
IF(AND($E362="Tier 4",$F362="Remove",$H362="Tree Protection Code: Tier 3 or Tier 4 Allowance",$H362&lt;&gt;"",ISNA(MATCH($I362,Tables!$B$200,0))),
Error!$B$17,
IF(AND($E362="Tier 3",$F362="Remove",$H362&lt;&gt;"",$H362="Tree Protection Code: Tier 3 or Tier 4 Allowance",OR($I362="",ISNA(MATCH($I362,Tables!$B$193:$B$197,0)))),
Error!$B$17,
IF(AND(OR($E362="Tier 2",$E362="Tier 2 Grove"),$F362="Remove",$H362="Tree Protection Code: Other removal allowance or exemption",$I362&lt;&gt;"",ISNA(MATCH($I362,Tables!$B$215:$B$218,0))),
Error!$B$17,
IF(AND(OR($E362="Tier 2",$E362="Tier 2 Grove"),$F362="Remove",$H362="Tree Protection Code: Development Capacity",$I362&lt;&gt;"",ISNA(MATCH($I362,Tables!$B$193:$B$197,0))),
Error!$B$17,
IF(AND(OR($E362="Tier 2",$E362="Tier 2 Grove"),$F362="Remove",$H362="Tree Protection Code: Necessary for Construction",$I362&lt;&gt;"",ISNA(MATCH($I362,Tables!$B$193:$B$197,0))),
Error!$B$17,
IF(AND($E362="Tier 1",$F362="Remove",$H362="Tree Protection Code: Special Exception",$I362&lt;&gt;"",ISNA(MATCH($I362,Tables!$B$215:$B$218,0))),
Error!$B$17,
IF(AND($E362="Tier 1",$F362="Remove",$H362="Tree Protection Code: Other removal allowance or exemption",$I362&lt;&gt;"",ISNA(MATCH($I362,Tables!$B$215:$B$218,0))),
Error!$B$17,
IF(AND($E362="ECA / Shoreline Tree",$F362="Remove",$H362&lt;&gt;"",OR($H362="Shoreline",$H362="Environmental Critical Area (ECA)"),ISNA(MATCH($I362,Tables!$B$209:$B$212,0))),
Error!$B$17,
IF(AND(_xlpm.baseRow,$F362="Retain",$E362="ECA / Shoreline Tree",_xlpm.ECA_Short=0),
Error!$B$61,
IF(AND($F362="Remove",ISNUMBER(MATCH($E362,{"Tier 1","Tier 2","Tier 3","Tier 4","Tier 2 Grove"},0)),ISNUMBER(MATCH($I362,{"On-site replacement","Off-site replacement"},0)),$J362="",$H362&lt;&gt;""),
Error!$B$19,
IF(AND(_xlpm.baseRow,$E362&lt;&gt;"",$D362&lt;&gt;"",$F362&lt;&gt;"",COUNTBLANK($B362:$C362)&gt;0,COUNTBLANK(_xlpm.HRange)&lt;&gt;4),
Error!$B$22,
IF(AND($H362="Zoning: Tree Points",$K362&lt;&gt;"",ISNA(MATCH($K362,Tables!$B$242:$B$253,0))),
Error!$B$58,
IF(AND($H362="Zoning: Tree Points",$K362="Small",$L362&lt;&gt;"",ISNA(MATCH($L362,Tables!$C$243:$C$244,0))),
Error!$B$59,
IF(AND($H362="Zoning: Tree Points",$K362="Small/Medium",$L362&lt;&gt;"",ISNA(MATCH($L362,Tables!$C$246:$C$247,0))),
Error!$B$59,
IF(AND($H362="Zoning: Tree Points",$K362="Medium/Large",$L362&lt;&gt;"",ISNA(MATCH($L362,Tables!$C$249:$C$250,0))),
Error!$B$59,
IF(AND($H362="Zoning: Tree Points",$K362="Large",$L362&lt;&gt;"",ISNA(MATCH($L362,Tables!$C$252:$C$253,0))),
Error!$B$59,
IF(AND($F362="Retain",$H362="Zoning: Tree Points",$C362&lt;&gt;"",$D362&lt;&gt;"",OR($K362="",$L362="",$M362="")),
Error!$B$20,
""
)))))))))))))))))))))))))))))))))))))))))))))))))))))))),
Error!$B$23))</f>
        <v/>
      </c>
      <c r="O362" s="343" t="str" cm="1">
        <f t="array" aca="1" ref="O362" ca="1">IFERROR(_xlfn.LET(
    _xlpm.txt, $C362,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63" spans="1:15" ht="15" thickBot="1" x14ac:dyDescent="0.35">
      <c r="A363" s="311">
        <v>89</v>
      </c>
      <c r="B363" s="312"/>
      <c r="C363" s="313"/>
      <c r="D363" s="478"/>
      <c r="E363" s="314"/>
      <c r="F363" s="314"/>
      <c r="G363" s="315" t="str">
        <f>IF(Tree_Table1[[#This Row],[Tree Status  &amp;]]="Retain", Tables!$B$237, IF(Tree_Table1[[#This Row],[Tree Status  &amp;]]="Remove", Tables!$B$238, ""))</f>
        <v/>
      </c>
      <c r="H363" s="316"/>
      <c r="I363" s="317"/>
      <c r="J363" s="452"/>
      <c r="K363" s="318" t="str">
        <f>IFERROR(
    IF(
        AND($H363="Zoning: Tree Points", NOT(ISNUMBER(SEARCH("sp.", $C363)))),
        VLOOKUP($C363, 'Tree List'!$C$3:$F$601, 4, FALSE),
        ""
    ),
"")</f>
        <v/>
      </c>
      <c r="L363" s="319" t="str" cm="1">
        <f t="array" ref="L363">IFERROR(
IF(
    AND($H363="Zoning: Tree Points", NOT(ISNUMBER(SEARCH("sp.", $C363)))),
    _xlfn.IFS(
        (COUNTIFS('Tree List'!$C$3:$C$601,$C363,'Tree List'!$D$3:$D$601,"Coniferous")
        + COUNTIFS('Tree List'!$C$3:$C$601,$C363,'Tree List'!$D$3:$D$601,"Deciduous Conifer")) &gt; 0,
            _xlfn.IFS($K363="Small",0.5,$K363="Small/Medium",1,$K363="Medium/Large",1.4,$K363="Large",1.8),
        (COUNTIFS('Tree List'!$C$3:$C$601,$C363,'Tree List'!$D$3:$D$601,"Deciduous")
        + COUNTIFS('Tree List'!$C$3:$C$601,$C363,'Tree List'!$D$3:$D$601,"Broadleaf Evergreen")) &gt; 0,
            _xlfn.IFS($K363="Small",0.4,$K363="Small/Medium",0.8,$K363="Medium/Large",1.2,$K363="Large",1.6)
    ),
    ""
),
"")</f>
        <v/>
      </c>
      <c r="M363" s="474" t="str">
        <f t="shared" si="330"/>
        <v/>
      </c>
      <c r="N363" s="620" t="str" cm="1">
        <f t="array" aca="1" ref="N36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IF(AND(_xlpm.baseRow,ISNA(MATCH($C363,'Tree List'!$C$3:$C$601,0)),SUMPRODUCT(--ISNUMBER(SEARCH(Tables2!$C$677:$C$772,$O363)))&gt;0),
Error!$B$57,
IF(AND(_xlpm.hasDM,$F363="Remove",$H363&lt;&gt;"",OR($I363="On-site replacement",$I363="Off-site replacement",$I363="Payment In Lieu")),
Error!$B$56,
IF(AND(_xlpm.hasDM,$F363="Remove",$H363&lt;&gt;"",$I363="Relocation"),
Error!$B$66,
IF(AND(OR(_xlpm.hasCN,_xlpm.hasPH,_xlpm.hasGR),$H363&lt;&gt;"",COUNTIF(Tables!$B$132:$B$134,$H363)&gt;0,$I363="N/A (No replacement required)"),
Error!$B$62,
IF(AND(_xlpm.baseRow,$E363&lt;&gt;"",ISNA(MATCH($E363,Tables!$B$225:$B$232,0))),
Error!$B$2,
IF(AND(_xlpm.baseRow,$F363&lt;&gt;"",ISNA(MATCH($F363,Tables!$B$234:$B$235,0))),
Error!$B$24,
IF(AND(_xlpm.baseRow,_xlpm.ECA_H&gt;0,_xlpm.Shore_H&gt;0),
Error!$B$16,
IF(AND(_xlpm.baseRow,$E363&lt;&gt;"",$D363=""),
Error!$B$3,
IF(AND(_xlpm.baseRow,OR($E363="Tier 3",$E363="Tier 4"),$C363&lt;&gt;"",$D363&gt;=24,COUNTIF(Tables2!$B$166:$B$674,$C363)&gt;0),
Error!$B$44,
IF(AND(_xlpm.baseRow,OR($E363="Tier 3",$E363="Tier 4"),$C363&lt;&gt;"",$D363&lt;&gt;"",COUNTIF(Tables2!$B$73:$B$152,$C363)&gt;0,
$D363&gt;=IFERROR(INDEX(Tables2!$C$73:$C$152,MATCH($C363,Tables2!$B$73:$B$152,0)),-1)),
Error!$B$44,
IF(AND(_xlpm.baseRow,OR($E363="Tier 2",$E363="Tier 2 Grove"),$C363&lt;&gt;"",$D363&gt;=12,COUNTIF(Tables2!$B$153:$B$162,$C363)&gt;0),
Error!$B$45,
IF(AND(_xlpm.baseRow,$E363="Tier 2 Grove",$D363&lt;12),
Error!$B$41,
IF(AND(_xlpm.baseRow,$E363="Tier 2",$D363&lt;5.88),
Error!$B$40,
IF(AND(_xlpm.baseRow,OR($E363="Tier 2",$E363="Tier 2 Grove"),$C363&lt;&gt;"",$D363&lt;12,$D363&gt;=6,COUNTIF(Tables2!$B$153:$B$162,$C363)&gt;0),
Error!$B$54,
IF(AND(_xlpm.baseRow,$E363="Tier 2",COUNTIF(Tables2!$B$166:$B$674,$C363)&gt;0,$D363&lt;24),
Error!$B$54,
IF(AND(_xlpm.baseRow,$E363="Tier 3",ISNA(MATCH($C363,Tables2!$B$153:$B$162,0)),OR($D363&lt;12,$D363&gt;=24)),
Error!$B$9,
IF(AND(_xlpm.baseRow,$E363="Tier 3",COUNTIF(Tables2!$B$153:$B$162,$C363)&gt;0,$D363&lt;12),
Error!$B$46,
IF(AND(_xlpm.baseRow,$E363="Tier 4",OR($D363&lt;6,$D363&gt;=12)),
Error!$B$10,
IF(AND(_xlpm.baseRow,$E363="&lt;6in DSH for Tree Points",OR($D363&gt;=6,$D363="")),
Error!$B$8,
IF(AND(_xlpm.baseRow,$E363="Street Tree for Green Factor",$F363&lt;&gt;"",$F363&lt;&gt;"Retain"),
Error!$B$14,
IF(AND($E363="&lt;6in DSH for Tree Points",$F363="Retain",$H363&lt;&gt;"",ISNA(MATCH($H363,Tables!$B$174:$B$174,0))),
Error!$B$15,
IF(AND($E363="Street Tree for Green Factor",$F363="Retain",$H363&lt;&gt;"",$H363&lt;&gt;"Zoning: Green Factor"),
Error!$B$15,
IF(AND($E363="ECA / Shoreline Tree",$F363="Remove",$H363&lt;&gt;"",ISNA(MATCH($H363,Tables!$B$189:$B$190,0))),
Error!$B$15,
IF(AND($E363="ECA / Shoreline Tree",$F363="Retain",$H363&lt;&gt;"",ISNA(MATCH($H363,Tables!$B$184:$B$186,0))),
Error!$B$15,
IF(AND($E363="Tier 4",$F363="Remove",$H363&lt;&gt;"",ISNA(MATCH($H363,Tables!$B$171,0))),
Error!$B$15,
IF(AND($E363="Tier 4",$F363="Retain",$H363&lt;&gt;"",ISNA(MATCH($H363,Tables!$B$166:$B$168,0))),
Error!$B$15,
IF(AND($E363="Tier 3",$F363="Retain",$H363&lt;&gt;"",ISNA(MATCH($H363,Tables!$B$158:$B$160,0))),
Error!$B$15,
IF(AND($E363="Tier 3",$F363="Remove",$H363&lt;&gt;"",ISNA(MATCH($H363,Tables!$B$163,0))),
Error!$B$15,
IF(AND(OR($E363="Tier 2",$E363="Tier 2 Grove"),$F363="Remove",$H363&lt;&gt;"",ISNA(MATCH($H363,Tables!$B$153:$B$155,0))),
Error!$B$15,
IF(AND(OR($E363="Tier 2",$E363="Tier 2 Grove"),$F363="Retain",$H363&lt;&gt;"",ISNA(MATCH($H363,Tables!$B$147:$B$150,0))),
Error!$B$15,
IF(AND($E363="Tier 1",$F363="Remove",$H363&lt;&gt;"",ISNA(MATCH($H363,Tables!$B$143:$B$144,0))),
Error!$B$15,
IF(AND($E363="Tier 1",$F363="Retain",$H363&lt;&gt;"",ISNA(MATCH($H363,Tables!$B$137:$B$140,0))),
Error!$B$15,
IF(AND($E363&lt;&gt;"Tier 2",$E363&lt;&gt;"Tier 2 Grove",$E363&lt;&gt;"Tier 3",$E363&lt;&gt;"Tier 4",$H363="Zoning: Green Factor",OR($D363="",$D363&lt;6)),
Error!$B$11,
IF(AND(_xlpm.baseRow,$D363&lt;6,$E363="&lt;6in DSH for Tree Points",_xlpm.TreePoints_H=0),
Error!$B$21,
IF(AND(_xlpm.baseRow,$E363&lt;&gt;"",$D363&lt;&gt;"",$F363=""),
Error!$B$4,
IF(AND(_xlpm.baseRow,$F363="Remove",OR($E363="Tier 1",$E363="Tier 2",$E363="Tier 2 Grove"),COUNTBLANK(_xlpm.HRange)&lt;3,_xlpm.uniqueH&gt;=2),
Error!$B$48,
IF(AND(_xlpm.baseRow,$F363="Retain",OR($E363="Tier 1",$E363="Tier 2",$E363="Tier 2 Grove"),COUNTIF(_xlpm.HRange,"Tree Code: Required to Retain Tier 1-2 Tree")=0),
Error!$B$47,
IF(AND(_xlpm.baseRow,$E363&lt;&gt;"",$D363&lt;&gt;"",$F363&lt;&gt;"",COUNTBLANK(_xlpm.HRange)=4),
Error!$B$5,
IF(AND($F363="Remove",$H363&lt;&gt;"",$I363=""),
Error!$B$18,
IF(AND($E363="Tier 4",$F363="Remove",$H363="Tree Protection Code: Tier 3 or Tier 4 Allowance",$H363&lt;&gt;"",ISNA(MATCH($I363,Tables!$B$200,0))),
Error!$B$17,
IF(AND($E363="Tier 3",$F363="Remove",$H363&lt;&gt;"",$H363="Tree Protection Code: Tier 3 or Tier 4 Allowance",OR($I363="",ISNA(MATCH($I363,Tables!$B$193:$B$197,0)))),
Error!$B$17,
IF(AND(OR($E363="Tier 2",$E363="Tier 2 Grove"),$F363="Remove",$H363="Tree Protection Code: Other removal allowance or exemption",$I363&lt;&gt;"",ISNA(MATCH($I363,Tables!$B$215:$B$218,0))),
Error!$B$17,
IF(AND(OR($E363="Tier 2",$E363="Tier 2 Grove"),$F363="Remove",$H363="Tree Protection Code: Development Capacity",$I363&lt;&gt;"",ISNA(MATCH($I363,Tables!$B$193:$B$197,0))),
Error!$B$17,
IF(AND(OR($E363="Tier 2",$E363="Tier 2 Grove"),$F363="Remove",$H363="Tree Protection Code: Necessary for Construction",$I363&lt;&gt;"",ISNA(MATCH($I363,Tables!$B$193:$B$197,0))),
Error!$B$17,
IF(AND($E363="Tier 1",$F363="Remove",$H363="Tree Protection Code: Special Exception",$I363&lt;&gt;"",ISNA(MATCH($I363,Tables!$B$215:$B$218,0))),
Error!$B$17,
IF(AND($E363="Tier 1",$F363="Remove",$H363="Tree Protection Code: Other removal allowance or exemption",$I363&lt;&gt;"",ISNA(MATCH($I363,Tables!$B$215:$B$218,0))),
Error!$B$17,
IF(AND($E363="ECA / Shoreline Tree",$F363="Remove",$H363&lt;&gt;"",OR($H363="Shoreline",$H363="Environmental Critical Area (ECA)"),ISNA(MATCH($I363,Tables!$B$209:$B$212,0))),
Error!$B$17,
IF(AND(_xlpm.baseRow,$F363="Retain",$E363="ECA / Shoreline Tree",_xlpm.ECA_Short=0),
Error!$B$61,
IF(AND($F363="Remove",ISNUMBER(MATCH($E363,{"Tier 1","Tier 2","Tier 3","Tier 4","Tier 2 Grove"},0)),ISNUMBER(MATCH($I363,{"On-site replacement","Off-site replacement"},0)),$J363="",$H363&lt;&gt;""),
Error!$B$19,
IF(AND(_xlpm.baseRow,$E363&lt;&gt;"",$D363&lt;&gt;"",$F363&lt;&gt;"",COUNTBLANK($B363:$C363)&gt;0,COUNTBLANK(_xlpm.HRange)&lt;&gt;4),
Error!$B$22,
IF(AND($H363="Zoning: Tree Points",$K363&lt;&gt;"",ISNA(MATCH($K363,Tables!$B$242:$B$253,0))),
Error!$B$58,
IF(AND($H363="Zoning: Tree Points",$K363="Small",$L363&lt;&gt;"",ISNA(MATCH($L363,Tables!$C$243:$C$244,0))),
Error!$B$59,
IF(AND($H363="Zoning: Tree Points",$K363="Small/Medium",$L363&lt;&gt;"",ISNA(MATCH($L363,Tables!$C$246:$C$247,0))),
Error!$B$59,
IF(AND($H363="Zoning: Tree Points",$K363="Medium/Large",$L363&lt;&gt;"",ISNA(MATCH($L363,Tables!$C$249:$C$250,0))),
Error!$B$59,
IF(AND($H363="Zoning: Tree Points",$K363="Large",$L363&lt;&gt;"",ISNA(MATCH($L363,Tables!$C$252:$C$253,0))),
Error!$B$59,
IF(AND($F363="Retain",$H363="Zoning: Tree Points",$C363&lt;&gt;"",$D363&lt;&gt;"",OR($K363="",$L363="",$M363="")),
Error!$B$20,
""
)))))))))))))))))))))))))))))))))))))))))))))))))))))))),
Error!$B$23))</f>
        <v/>
      </c>
      <c r="O363" s="343" t="str" cm="1">
        <f t="array" aca="1" ref="O363" ca="1">IFERROR(_xlfn.LET(
    _xlpm.txt, $C363,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64" spans="1:15" x14ac:dyDescent="0.3">
      <c r="A364" s="320"/>
      <c r="B364" s="616" t="str">
        <f t="shared" ref="B364:B366" si="401">IF($B363="", "", $B363)</f>
        <v/>
      </c>
      <c r="C364" s="617" t="str">
        <f t="shared" ref="C364:C366" si="402">IF($C363="", "", $C363)</f>
        <v/>
      </c>
      <c r="D364" s="618" t="str">
        <f t="shared" ref="D364:D366" si="403">IF($D363="", "", $D363)</f>
        <v/>
      </c>
      <c r="E364" s="616" t="str">
        <f t="shared" ref="E364:E366" si="404">IF($E363="", "", $E363)</f>
        <v/>
      </c>
      <c r="F364" s="616" t="str">
        <f t="shared" ref="F364:F366" si="405">IF($F363="", "", $F363)</f>
        <v/>
      </c>
      <c r="G364" s="619" t="str">
        <f>IF(Tree_Table1[[#This Row],[Tree Status  &amp;]]="Retain", Tables!$B$237, IF(Tree_Table1[[#This Row],[Tree Status  &amp;]]="Remove", Tables!$B$238, ""))</f>
        <v/>
      </c>
      <c r="H364" s="321"/>
      <c r="I364" s="322"/>
      <c r="J364" s="453"/>
      <c r="K364" s="323" t="str">
        <f>IFERROR(
    IF(
        AND($H364="Zoning: Tree Points", NOT(ISNUMBER(SEARCH("sp.", $C364)))),
        VLOOKUP($C364, 'Tree List'!$C$3:$F$601, 4, FALSE),
        ""
    ),
"")</f>
        <v/>
      </c>
      <c r="L364" s="324" t="str" cm="1">
        <f t="array" ref="L364">IFERROR(
IF(
    AND($H364="Zoning: Tree Points", NOT(ISNUMBER(SEARCH("sp.", $C364)))),
    _xlfn.IFS(
        (COUNTIFS('Tree List'!$C$3:$C$601,$C364,'Tree List'!$D$3:$D$601,"Coniferous")
        + COUNTIFS('Tree List'!$C$3:$C$601,$C364,'Tree List'!$D$3:$D$601,"Deciduous Conifer")) &gt; 0,
            _xlfn.IFS($K364="Small",0.5,$K364="Small/Medium",1,$K364="Medium/Large",1.4,$K364="Large",1.8),
        (COUNTIFS('Tree List'!$C$3:$C$601,$C364,'Tree List'!$D$3:$D$601,"Deciduous")
        + COUNTIFS('Tree List'!$C$3:$C$601,$C364,'Tree List'!$D$3:$D$601,"Broadleaf Evergreen")) &gt; 0,
            _xlfn.IFS($K364="Small",0.4,$K364="Small/Medium",0.8,$K364="Medium/Large",1.2,$K364="Large",1.6)
    ),
    ""
),
"")</f>
        <v/>
      </c>
      <c r="M364" s="475" t="str">
        <f t="shared" si="330"/>
        <v/>
      </c>
      <c r="N364" s="346" t="str" cm="1">
        <f t="array" aca="1" ref="N36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IF(AND(_xlpm.baseRow,ISNA(MATCH($C364,'Tree List'!$C$3:$C$601,0)),SUMPRODUCT(--ISNUMBER(SEARCH(Tables2!$C$677:$C$772,$O364)))&gt;0),
Error!$B$57,
IF(AND(_xlpm.hasDM,$F364="Remove",$H364&lt;&gt;"",OR($I364="On-site replacement",$I364="Off-site replacement",$I364="Payment In Lieu")),
Error!$B$56,
IF(AND(_xlpm.hasDM,$F364="Remove",$H364&lt;&gt;"",$I364="Relocation"),
Error!$B$66,
IF(AND(OR(_xlpm.hasCN,_xlpm.hasPH,_xlpm.hasGR),$H364&lt;&gt;"",COUNTIF(Tables!$B$132:$B$134,$H364)&gt;0,$I364="N/A (No replacement required)"),
Error!$B$62,
IF(AND(_xlpm.baseRow,$E364&lt;&gt;"",ISNA(MATCH($E364,Tables!$B$225:$B$232,0))),
Error!$B$2,
IF(AND(_xlpm.baseRow,$F364&lt;&gt;"",ISNA(MATCH($F364,Tables!$B$234:$B$235,0))),
Error!$B$24,
IF(AND(_xlpm.baseRow,_xlpm.ECA_H&gt;0,_xlpm.Shore_H&gt;0),
Error!$B$16,
IF(AND(_xlpm.baseRow,$E364&lt;&gt;"",$D364=""),
Error!$B$3,
IF(AND(_xlpm.baseRow,OR($E364="Tier 3",$E364="Tier 4"),$C364&lt;&gt;"",$D364&gt;=24,COUNTIF(Tables2!$B$166:$B$674,$C364)&gt;0),
Error!$B$44,
IF(AND(_xlpm.baseRow,OR($E364="Tier 3",$E364="Tier 4"),$C364&lt;&gt;"",$D364&lt;&gt;"",COUNTIF(Tables2!$B$73:$B$152,$C364)&gt;0,
$D364&gt;=IFERROR(INDEX(Tables2!$C$73:$C$152,MATCH($C364,Tables2!$B$73:$B$152,0)),-1)),
Error!$B$44,
IF(AND(_xlpm.baseRow,OR($E364="Tier 2",$E364="Tier 2 Grove"),$C364&lt;&gt;"",$D364&gt;=12,COUNTIF(Tables2!$B$153:$B$162,$C364)&gt;0),
Error!$B$45,
IF(AND(_xlpm.baseRow,$E364="Tier 2 Grove",$D364&lt;12),
Error!$B$41,
IF(AND(_xlpm.baseRow,$E364="Tier 2",$D364&lt;5.88),
Error!$B$40,
IF(AND(_xlpm.baseRow,OR($E364="Tier 2",$E364="Tier 2 Grove"),$C364&lt;&gt;"",$D364&lt;12,$D364&gt;=6,COUNTIF(Tables2!$B$153:$B$162,$C364)&gt;0),
Error!$B$54,
IF(AND(_xlpm.baseRow,$E364="Tier 2",COUNTIF(Tables2!$B$166:$B$674,$C364)&gt;0,$D364&lt;24),
Error!$B$54,
IF(AND(_xlpm.baseRow,$E364="Tier 3",ISNA(MATCH($C364,Tables2!$B$153:$B$162,0)),OR($D364&lt;12,$D364&gt;=24)),
Error!$B$9,
IF(AND(_xlpm.baseRow,$E364="Tier 3",COUNTIF(Tables2!$B$153:$B$162,$C364)&gt;0,$D364&lt;12),
Error!$B$46,
IF(AND(_xlpm.baseRow,$E364="Tier 4",OR($D364&lt;6,$D364&gt;=12)),
Error!$B$10,
IF(AND(_xlpm.baseRow,$E364="&lt;6in DSH for Tree Points",OR($D364&gt;=6,$D364="")),
Error!$B$8,
IF(AND(_xlpm.baseRow,$E364="Street Tree for Green Factor",$F364&lt;&gt;"",$F364&lt;&gt;"Retain"),
Error!$B$14,
IF(AND($E364="&lt;6in DSH for Tree Points",$F364="Retain",$H364&lt;&gt;"",ISNA(MATCH($H364,Tables!$B$174:$B$174,0))),
Error!$B$15,
IF(AND($E364="Street Tree for Green Factor",$F364="Retain",$H364&lt;&gt;"",$H364&lt;&gt;"Zoning: Green Factor"),
Error!$B$15,
IF(AND($E364="ECA / Shoreline Tree",$F364="Remove",$H364&lt;&gt;"",ISNA(MATCH($H364,Tables!$B$189:$B$190,0))),
Error!$B$15,
IF(AND($E364="ECA / Shoreline Tree",$F364="Retain",$H364&lt;&gt;"",ISNA(MATCH($H364,Tables!$B$184:$B$186,0))),
Error!$B$15,
IF(AND($E364="Tier 4",$F364="Remove",$H364&lt;&gt;"",ISNA(MATCH($H364,Tables!$B$171,0))),
Error!$B$15,
IF(AND($E364="Tier 4",$F364="Retain",$H364&lt;&gt;"",ISNA(MATCH($H364,Tables!$B$166:$B$168,0))),
Error!$B$15,
IF(AND($E364="Tier 3",$F364="Retain",$H364&lt;&gt;"",ISNA(MATCH($H364,Tables!$B$158:$B$160,0))),
Error!$B$15,
IF(AND($E364="Tier 3",$F364="Remove",$H364&lt;&gt;"",ISNA(MATCH($H364,Tables!$B$163,0))),
Error!$B$15,
IF(AND(OR($E364="Tier 2",$E364="Tier 2 Grove"),$F364="Remove",$H364&lt;&gt;"",ISNA(MATCH($H364,Tables!$B$153:$B$155,0))),
Error!$B$15,
IF(AND(OR($E364="Tier 2",$E364="Tier 2 Grove"),$F364="Retain",$H364&lt;&gt;"",ISNA(MATCH($H364,Tables!$B$147:$B$150,0))),
Error!$B$15,
IF(AND($E364="Tier 1",$F364="Remove",$H364&lt;&gt;"",ISNA(MATCH($H364,Tables!$B$143:$B$144,0))),
Error!$B$15,
IF(AND($E364="Tier 1",$F364="Retain",$H364&lt;&gt;"",ISNA(MATCH($H364,Tables!$B$137:$B$140,0))),
Error!$B$15,
IF(AND($E364&lt;&gt;"Tier 2",$E364&lt;&gt;"Tier 2 Grove",$E364&lt;&gt;"Tier 3",$E364&lt;&gt;"Tier 4",$H364="Zoning: Green Factor",OR($D364="",$D364&lt;6)),
Error!$B$11,
IF(AND(_xlpm.baseRow,$D364&lt;6,$E364="&lt;6in DSH for Tree Points",_xlpm.TreePoints_H=0),
Error!$B$21,
IF(AND(_xlpm.baseRow,$E364&lt;&gt;"",$D364&lt;&gt;"",$F364=""),
Error!$B$4,
IF(AND(_xlpm.baseRow,$F364="Remove",OR($E364="Tier 1",$E364="Tier 2",$E364="Tier 2 Grove"),COUNTBLANK(_xlpm.HRange)&lt;3,_xlpm.uniqueH&gt;=2),
Error!$B$48,
IF(AND(_xlpm.baseRow,$F364="Retain",OR($E364="Tier 1",$E364="Tier 2",$E364="Tier 2 Grove"),COUNTIF(_xlpm.HRange,"Tree Code: Required to Retain Tier 1-2 Tree")=0),
Error!$B$47,
IF(AND(_xlpm.baseRow,$E364&lt;&gt;"",$D364&lt;&gt;"",$F364&lt;&gt;"",COUNTBLANK(_xlpm.HRange)=4),
Error!$B$5,
IF(AND($F364="Remove",$H364&lt;&gt;"",$I364=""),
Error!$B$18,
IF(AND($E364="Tier 4",$F364="Remove",$H364="Tree Protection Code: Tier 3 or Tier 4 Allowance",$H364&lt;&gt;"",ISNA(MATCH($I364,Tables!$B$200,0))),
Error!$B$17,
IF(AND($E364="Tier 3",$F364="Remove",$H364&lt;&gt;"",$H364="Tree Protection Code: Tier 3 or Tier 4 Allowance",OR($I364="",ISNA(MATCH($I364,Tables!$B$193:$B$197,0)))),
Error!$B$17,
IF(AND(OR($E364="Tier 2",$E364="Tier 2 Grove"),$F364="Remove",$H364="Tree Protection Code: Other removal allowance or exemption",$I364&lt;&gt;"",ISNA(MATCH($I364,Tables!$B$215:$B$218,0))),
Error!$B$17,
IF(AND(OR($E364="Tier 2",$E364="Tier 2 Grove"),$F364="Remove",$H364="Tree Protection Code: Development Capacity",$I364&lt;&gt;"",ISNA(MATCH($I364,Tables!$B$193:$B$197,0))),
Error!$B$17,
IF(AND(OR($E364="Tier 2",$E364="Tier 2 Grove"),$F364="Remove",$H364="Tree Protection Code: Necessary for Construction",$I364&lt;&gt;"",ISNA(MATCH($I364,Tables!$B$193:$B$197,0))),
Error!$B$17,
IF(AND($E364="Tier 1",$F364="Remove",$H364="Tree Protection Code: Special Exception",$I364&lt;&gt;"",ISNA(MATCH($I364,Tables!$B$215:$B$218,0))),
Error!$B$17,
IF(AND($E364="Tier 1",$F364="Remove",$H364="Tree Protection Code: Other removal allowance or exemption",$I364&lt;&gt;"",ISNA(MATCH($I364,Tables!$B$215:$B$218,0))),
Error!$B$17,
IF(AND($E364="ECA / Shoreline Tree",$F364="Remove",$H364&lt;&gt;"",OR($H364="Shoreline",$H364="Environmental Critical Area (ECA)"),ISNA(MATCH($I364,Tables!$B$209:$B$212,0))),
Error!$B$17,
IF(AND(_xlpm.baseRow,$F364="Retain",$E364="ECA / Shoreline Tree",_xlpm.ECA_Short=0),
Error!$B$61,
IF(AND($F364="Remove",ISNUMBER(MATCH($E364,{"Tier 1","Tier 2","Tier 3","Tier 4","Tier 2 Grove"},0)),ISNUMBER(MATCH($I364,{"On-site replacement","Off-site replacement"},0)),$J364="",$H364&lt;&gt;""),
Error!$B$19,
IF(AND(_xlpm.baseRow,$E364&lt;&gt;"",$D364&lt;&gt;"",$F364&lt;&gt;"",COUNTBLANK($B364:$C364)&gt;0,COUNTBLANK(_xlpm.HRange)&lt;&gt;4),
Error!$B$22,
IF(AND($H364="Zoning: Tree Points",$K364&lt;&gt;"",ISNA(MATCH($K364,Tables!$B$242:$B$253,0))),
Error!$B$58,
IF(AND($H364="Zoning: Tree Points",$K364="Small",$L364&lt;&gt;"",ISNA(MATCH($L364,Tables!$C$243:$C$244,0))),
Error!$B$59,
IF(AND($H364="Zoning: Tree Points",$K364="Small/Medium",$L364&lt;&gt;"",ISNA(MATCH($L364,Tables!$C$246:$C$247,0))),
Error!$B$59,
IF(AND($H364="Zoning: Tree Points",$K364="Medium/Large",$L364&lt;&gt;"",ISNA(MATCH($L364,Tables!$C$249:$C$250,0))),
Error!$B$59,
IF(AND($H364="Zoning: Tree Points",$K364="Large",$L364&lt;&gt;"",ISNA(MATCH($L364,Tables!$C$252:$C$253,0))),
Error!$B$59,
IF(AND($F364="Retain",$H364="Zoning: Tree Points",$C364&lt;&gt;"",$D364&lt;&gt;"",OR($K364="",$L364="",$M364="")),
Error!$B$20,
""
)))))))))))))))))))))))))))))))))))))))))))))))))))))))),
Error!$B$23))</f>
        <v/>
      </c>
      <c r="O364" s="343" t="str" cm="1">
        <f t="array" aca="1" ref="O364" ca="1">IFERROR(_xlfn.LET(
    _xlpm.txt, $C364,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65" spans="1:15" x14ac:dyDescent="0.3">
      <c r="A365" s="320"/>
      <c r="B365" s="616" t="str">
        <f t="shared" si="401"/>
        <v/>
      </c>
      <c r="C365" s="617" t="str">
        <f t="shared" si="402"/>
        <v/>
      </c>
      <c r="D365" s="618" t="str">
        <f t="shared" si="403"/>
        <v/>
      </c>
      <c r="E365" s="616" t="str">
        <f t="shared" si="404"/>
        <v/>
      </c>
      <c r="F365" s="616" t="str">
        <f t="shared" si="405"/>
        <v/>
      </c>
      <c r="G365" s="619" t="str">
        <f>IF(Tree_Table1[[#This Row],[Tree Status  &amp;]]="Retain", Tables!$B$237, IF(Tree_Table1[[#This Row],[Tree Status  &amp;]]="Remove", Tables!$B$238, ""))</f>
        <v/>
      </c>
      <c r="H365" s="321"/>
      <c r="I365" s="322"/>
      <c r="J365" s="453"/>
      <c r="K365" s="323" t="str">
        <f>IFERROR(
    IF(
        AND($H365="Zoning: Tree Points", NOT(ISNUMBER(SEARCH("sp.", $C365)))),
        VLOOKUP($C365, 'Tree List'!$C$3:$F$601, 4, FALSE),
        ""
    ),
"")</f>
        <v/>
      </c>
      <c r="L365" s="324" t="str" cm="1">
        <f t="array" ref="L365">IFERROR(
IF(
    AND($H365="Zoning: Tree Points", NOT(ISNUMBER(SEARCH("sp.", $C365)))),
    _xlfn.IFS(
        (COUNTIFS('Tree List'!$C$3:$C$601,$C365,'Tree List'!$D$3:$D$601,"Coniferous")
        + COUNTIFS('Tree List'!$C$3:$C$601,$C365,'Tree List'!$D$3:$D$601,"Deciduous Conifer")) &gt; 0,
            _xlfn.IFS($K365="Small",0.5,$K365="Small/Medium",1,$K365="Medium/Large",1.4,$K365="Large",1.8),
        (COUNTIFS('Tree List'!$C$3:$C$601,$C365,'Tree List'!$D$3:$D$601,"Deciduous")
        + COUNTIFS('Tree List'!$C$3:$C$601,$C365,'Tree List'!$D$3:$D$601,"Broadleaf Evergreen")) &gt; 0,
            _xlfn.IFS($K365="Small",0.4,$K365="Small/Medium",0.8,$K365="Medium/Large",1.2,$K365="Large",1.6)
    ),
    ""
),
"")</f>
        <v/>
      </c>
      <c r="M365" s="475" t="str">
        <f t="shared" si="330"/>
        <v/>
      </c>
      <c r="N365" s="346" t="str" cm="1">
        <f t="array" aca="1" ref="N36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IF(AND(_xlpm.baseRow,ISNA(MATCH($C365,'Tree List'!$C$3:$C$601,0)),SUMPRODUCT(--ISNUMBER(SEARCH(Tables2!$C$677:$C$772,$O365)))&gt;0),
Error!$B$57,
IF(AND(_xlpm.hasDM,$F365="Remove",$H365&lt;&gt;"",OR($I365="On-site replacement",$I365="Off-site replacement",$I365="Payment In Lieu")),
Error!$B$56,
IF(AND(_xlpm.hasDM,$F365="Remove",$H365&lt;&gt;"",$I365="Relocation"),
Error!$B$66,
IF(AND(OR(_xlpm.hasCN,_xlpm.hasPH,_xlpm.hasGR),$H365&lt;&gt;"",COUNTIF(Tables!$B$132:$B$134,$H365)&gt;0,$I365="N/A (No replacement required)"),
Error!$B$62,
IF(AND(_xlpm.baseRow,$E365&lt;&gt;"",ISNA(MATCH($E365,Tables!$B$225:$B$232,0))),
Error!$B$2,
IF(AND(_xlpm.baseRow,$F365&lt;&gt;"",ISNA(MATCH($F365,Tables!$B$234:$B$235,0))),
Error!$B$24,
IF(AND(_xlpm.baseRow,_xlpm.ECA_H&gt;0,_xlpm.Shore_H&gt;0),
Error!$B$16,
IF(AND(_xlpm.baseRow,$E365&lt;&gt;"",$D365=""),
Error!$B$3,
IF(AND(_xlpm.baseRow,OR($E365="Tier 3",$E365="Tier 4"),$C365&lt;&gt;"",$D365&gt;=24,COUNTIF(Tables2!$B$166:$B$674,$C365)&gt;0),
Error!$B$44,
IF(AND(_xlpm.baseRow,OR($E365="Tier 3",$E365="Tier 4"),$C365&lt;&gt;"",$D365&lt;&gt;"",COUNTIF(Tables2!$B$73:$B$152,$C365)&gt;0,
$D365&gt;=IFERROR(INDEX(Tables2!$C$73:$C$152,MATCH($C365,Tables2!$B$73:$B$152,0)),-1)),
Error!$B$44,
IF(AND(_xlpm.baseRow,OR($E365="Tier 2",$E365="Tier 2 Grove"),$C365&lt;&gt;"",$D365&gt;=12,COUNTIF(Tables2!$B$153:$B$162,$C365)&gt;0),
Error!$B$45,
IF(AND(_xlpm.baseRow,$E365="Tier 2 Grove",$D365&lt;12),
Error!$B$41,
IF(AND(_xlpm.baseRow,$E365="Tier 2",$D365&lt;5.88),
Error!$B$40,
IF(AND(_xlpm.baseRow,OR($E365="Tier 2",$E365="Tier 2 Grove"),$C365&lt;&gt;"",$D365&lt;12,$D365&gt;=6,COUNTIF(Tables2!$B$153:$B$162,$C365)&gt;0),
Error!$B$54,
IF(AND(_xlpm.baseRow,$E365="Tier 2",COUNTIF(Tables2!$B$166:$B$674,$C365)&gt;0,$D365&lt;24),
Error!$B$54,
IF(AND(_xlpm.baseRow,$E365="Tier 3",ISNA(MATCH($C365,Tables2!$B$153:$B$162,0)),OR($D365&lt;12,$D365&gt;=24)),
Error!$B$9,
IF(AND(_xlpm.baseRow,$E365="Tier 3",COUNTIF(Tables2!$B$153:$B$162,$C365)&gt;0,$D365&lt;12),
Error!$B$46,
IF(AND(_xlpm.baseRow,$E365="Tier 4",OR($D365&lt;6,$D365&gt;=12)),
Error!$B$10,
IF(AND(_xlpm.baseRow,$E365="&lt;6in DSH for Tree Points",OR($D365&gt;=6,$D365="")),
Error!$B$8,
IF(AND(_xlpm.baseRow,$E365="Street Tree for Green Factor",$F365&lt;&gt;"",$F365&lt;&gt;"Retain"),
Error!$B$14,
IF(AND($E365="&lt;6in DSH for Tree Points",$F365="Retain",$H365&lt;&gt;"",ISNA(MATCH($H365,Tables!$B$174:$B$174,0))),
Error!$B$15,
IF(AND($E365="Street Tree for Green Factor",$F365="Retain",$H365&lt;&gt;"",$H365&lt;&gt;"Zoning: Green Factor"),
Error!$B$15,
IF(AND($E365="ECA / Shoreline Tree",$F365="Remove",$H365&lt;&gt;"",ISNA(MATCH($H365,Tables!$B$189:$B$190,0))),
Error!$B$15,
IF(AND($E365="ECA / Shoreline Tree",$F365="Retain",$H365&lt;&gt;"",ISNA(MATCH($H365,Tables!$B$184:$B$186,0))),
Error!$B$15,
IF(AND($E365="Tier 4",$F365="Remove",$H365&lt;&gt;"",ISNA(MATCH($H365,Tables!$B$171,0))),
Error!$B$15,
IF(AND($E365="Tier 4",$F365="Retain",$H365&lt;&gt;"",ISNA(MATCH($H365,Tables!$B$166:$B$168,0))),
Error!$B$15,
IF(AND($E365="Tier 3",$F365="Retain",$H365&lt;&gt;"",ISNA(MATCH($H365,Tables!$B$158:$B$160,0))),
Error!$B$15,
IF(AND($E365="Tier 3",$F365="Remove",$H365&lt;&gt;"",ISNA(MATCH($H365,Tables!$B$163,0))),
Error!$B$15,
IF(AND(OR($E365="Tier 2",$E365="Tier 2 Grove"),$F365="Remove",$H365&lt;&gt;"",ISNA(MATCH($H365,Tables!$B$153:$B$155,0))),
Error!$B$15,
IF(AND(OR($E365="Tier 2",$E365="Tier 2 Grove"),$F365="Retain",$H365&lt;&gt;"",ISNA(MATCH($H365,Tables!$B$147:$B$150,0))),
Error!$B$15,
IF(AND($E365="Tier 1",$F365="Remove",$H365&lt;&gt;"",ISNA(MATCH($H365,Tables!$B$143:$B$144,0))),
Error!$B$15,
IF(AND($E365="Tier 1",$F365="Retain",$H365&lt;&gt;"",ISNA(MATCH($H365,Tables!$B$137:$B$140,0))),
Error!$B$15,
IF(AND($E365&lt;&gt;"Tier 2",$E365&lt;&gt;"Tier 2 Grove",$E365&lt;&gt;"Tier 3",$E365&lt;&gt;"Tier 4",$H365="Zoning: Green Factor",OR($D365="",$D365&lt;6)),
Error!$B$11,
IF(AND(_xlpm.baseRow,$D365&lt;6,$E365="&lt;6in DSH for Tree Points",_xlpm.TreePoints_H=0),
Error!$B$21,
IF(AND(_xlpm.baseRow,$E365&lt;&gt;"",$D365&lt;&gt;"",$F365=""),
Error!$B$4,
IF(AND(_xlpm.baseRow,$F365="Remove",OR($E365="Tier 1",$E365="Tier 2",$E365="Tier 2 Grove"),COUNTBLANK(_xlpm.HRange)&lt;3,_xlpm.uniqueH&gt;=2),
Error!$B$48,
IF(AND(_xlpm.baseRow,$F365="Retain",OR($E365="Tier 1",$E365="Tier 2",$E365="Tier 2 Grove"),COUNTIF(_xlpm.HRange,"Tree Code: Required to Retain Tier 1-2 Tree")=0),
Error!$B$47,
IF(AND(_xlpm.baseRow,$E365&lt;&gt;"",$D365&lt;&gt;"",$F365&lt;&gt;"",COUNTBLANK(_xlpm.HRange)=4),
Error!$B$5,
IF(AND($F365="Remove",$H365&lt;&gt;"",$I365=""),
Error!$B$18,
IF(AND($E365="Tier 4",$F365="Remove",$H365="Tree Protection Code: Tier 3 or Tier 4 Allowance",$H365&lt;&gt;"",ISNA(MATCH($I365,Tables!$B$200,0))),
Error!$B$17,
IF(AND($E365="Tier 3",$F365="Remove",$H365&lt;&gt;"",$H365="Tree Protection Code: Tier 3 or Tier 4 Allowance",OR($I365="",ISNA(MATCH($I365,Tables!$B$193:$B$197,0)))),
Error!$B$17,
IF(AND(OR($E365="Tier 2",$E365="Tier 2 Grove"),$F365="Remove",$H365="Tree Protection Code: Other removal allowance or exemption",$I365&lt;&gt;"",ISNA(MATCH($I365,Tables!$B$215:$B$218,0))),
Error!$B$17,
IF(AND(OR($E365="Tier 2",$E365="Tier 2 Grove"),$F365="Remove",$H365="Tree Protection Code: Development Capacity",$I365&lt;&gt;"",ISNA(MATCH($I365,Tables!$B$193:$B$197,0))),
Error!$B$17,
IF(AND(OR($E365="Tier 2",$E365="Tier 2 Grove"),$F365="Remove",$H365="Tree Protection Code: Necessary for Construction",$I365&lt;&gt;"",ISNA(MATCH($I365,Tables!$B$193:$B$197,0))),
Error!$B$17,
IF(AND($E365="Tier 1",$F365="Remove",$H365="Tree Protection Code: Special Exception",$I365&lt;&gt;"",ISNA(MATCH($I365,Tables!$B$215:$B$218,0))),
Error!$B$17,
IF(AND($E365="Tier 1",$F365="Remove",$H365="Tree Protection Code: Other removal allowance or exemption",$I365&lt;&gt;"",ISNA(MATCH($I365,Tables!$B$215:$B$218,0))),
Error!$B$17,
IF(AND($E365="ECA / Shoreline Tree",$F365="Remove",$H365&lt;&gt;"",OR($H365="Shoreline",$H365="Environmental Critical Area (ECA)"),ISNA(MATCH($I365,Tables!$B$209:$B$212,0))),
Error!$B$17,
IF(AND(_xlpm.baseRow,$F365="Retain",$E365="ECA / Shoreline Tree",_xlpm.ECA_Short=0),
Error!$B$61,
IF(AND($F365="Remove",ISNUMBER(MATCH($E365,{"Tier 1","Tier 2","Tier 3","Tier 4","Tier 2 Grove"},0)),ISNUMBER(MATCH($I365,{"On-site replacement","Off-site replacement"},0)),$J365="",$H365&lt;&gt;""),
Error!$B$19,
IF(AND(_xlpm.baseRow,$E365&lt;&gt;"",$D365&lt;&gt;"",$F365&lt;&gt;"",COUNTBLANK($B365:$C365)&gt;0,COUNTBLANK(_xlpm.HRange)&lt;&gt;4),
Error!$B$22,
IF(AND($H365="Zoning: Tree Points",$K365&lt;&gt;"",ISNA(MATCH($K365,Tables!$B$242:$B$253,0))),
Error!$B$58,
IF(AND($H365="Zoning: Tree Points",$K365="Small",$L365&lt;&gt;"",ISNA(MATCH($L365,Tables!$C$243:$C$244,0))),
Error!$B$59,
IF(AND($H365="Zoning: Tree Points",$K365="Small/Medium",$L365&lt;&gt;"",ISNA(MATCH($L365,Tables!$C$246:$C$247,0))),
Error!$B$59,
IF(AND($H365="Zoning: Tree Points",$K365="Medium/Large",$L365&lt;&gt;"",ISNA(MATCH($L365,Tables!$C$249:$C$250,0))),
Error!$B$59,
IF(AND($H365="Zoning: Tree Points",$K365="Large",$L365&lt;&gt;"",ISNA(MATCH($L365,Tables!$C$252:$C$253,0))),
Error!$B$59,
IF(AND($F365="Retain",$H365="Zoning: Tree Points",$C365&lt;&gt;"",$D365&lt;&gt;"",OR($K365="",$L365="",$M365="")),
Error!$B$20,
""
)))))))))))))))))))))))))))))))))))))))))))))))))))))))),
Error!$B$23))</f>
        <v/>
      </c>
      <c r="O365" s="343" t="str" cm="1">
        <f t="array" aca="1" ref="O365" ca="1">IFERROR(_xlfn.LET(
    _xlpm.txt, $C365,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66" spans="1:15" ht="15" thickBot="1" x14ac:dyDescent="0.35">
      <c r="A366" s="331"/>
      <c r="B366" s="616" t="str">
        <f t="shared" si="401"/>
        <v/>
      </c>
      <c r="C366" s="617" t="str">
        <f t="shared" si="402"/>
        <v/>
      </c>
      <c r="D366" s="618" t="str">
        <f t="shared" si="403"/>
        <v/>
      </c>
      <c r="E366" s="616" t="str">
        <f t="shared" si="404"/>
        <v/>
      </c>
      <c r="F366" s="616" t="str">
        <f t="shared" si="405"/>
        <v/>
      </c>
      <c r="G366" s="619" t="str">
        <f>IF(Tree_Table1[[#This Row],[Tree Status  &amp;]]="Retain", Tables!$B$237, IF(Tree_Table1[[#This Row],[Tree Status  &amp;]]="Remove", Tables!$B$238, ""))</f>
        <v/>
      </c>
      <c r="H366" s="329"/>
      <c r="I366" s="330"/>
      <c r="J366" s="455"/>
      <c r="K366" s="327" t="str">
        <f>IFERROR(
    IF(
        AND($H366="Zoning: Tree Points", NOT(ISNUMBER(SEARCH("sp.", $C366)))),
        VLOOKUP($C366, 'Tree List'!$C$3:$F$601, 4, FALSE),
        ""
    ),
"")</f>
        <v/>
      </c>
      <c r="L366" s="328" t="str" cm="1">
        <f t="array" ref="L366">IFERROR(
IF(
    AND($H366="Zoning: Tree Points", NOT(ISNUMBER(SEARCH("sp.", $C366)))),
    _xlfn.IFS(
        (COUNTIFS('Tree List'!$C$3:$C$601,$C366,'Tree List'!$D$3:$D$601,"Coniferous")
        + COUNTIFS('Tree List'!$C$3:$C$601,$C366,'Tree List'!$D$3:$D$601,"Deciduous Conifer")) &gt; 0,
            _xlfn.IFS($K366="Small",0.5,$K366="Small/Medium",1,$K366="Medium/Large",1.4,$K366="Large",1.8),
        (COUNTIFS('Tree List'!$C$3:$C$601,$C366,'Tree List'!$D$3:$D$601,"Deciduous")
        + COUNTIFS('Tree List'!$C$3:$C$601,$C366,'Tree List'!$D$3:$D$601,"Broadleaf Evergreen")) &gt; 0,
            _xlfn.IFS($K366="Small",0.4,$K366="Small/Medium",0.8,$K366="Medium/Large",1.2,$K366="Large",1.6)
    ),
    ""
),
"")</f>
        <v/>
      </c>
      <c r="M366" s="476" t="str">
        <f t="shared" si="330"/>
        <v/>
      </c>
      <c r="N366" s="347" t="str" cm="1">
        <f t="array" aca="1" ref="N36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IF(AND(_xlpm.baseRow,ISNA(MATCH($C366,'Tree List'!$C$3:$C$601,0)),SUMPRODUCT(--ISNUMBER(SEARCH(Tables2!$C$677:$C$772,$O366)))&gt;0),
Error!$B$57,
IF(AND(_xlpm.hasDM,$F366="Remove",$H366&lt;&gt;"",OR($I366="On-site replacement",$I366="Off-site replacement",$I366="Payment In Lieu")),
Error!$B$56,
IF(AND(_xlpm.hasDM,$F366="Remove",$H366&lt;&gt;"",$I366="Relocation"),
Error!$B$66,
IF(AND(OR(_xlpm.hasCN,_xlpm.hasPH,_xlpm.hasGR),$H366&lt;&gt;"",COUNTIF(Tables!$B$132:$B$134,$H366)&gt;0,$I366="N/A (No replacement required)"),
Error!$B$62,
IF(AND(_xlpm.baseRow,$E366&lt;&gt;"",ISNA(MATCH($E366,Tables!$B$225:$B$232,0))),
Error!$B$2,
IF(AND(_xlpm.baseRow,$F366&lt;&gt;"",ISNA(MATCH($F366,Tables!$B$234:$B$235,0))),
Error!$B$24,
IF(AND(_xlpm.baseRow,_xlpm.ECA_H&gt;0,_xlpm.Shore_H&gt;0),
Error!$B$16,
IF(AND(_xlpm.baseRow,$E366&lt;&gt;"",$D366=""),
Error!$B$3,
IF(AND(_xlpm.baseRow,OR($E366="Tier 3",$E366="Tier 4"),$C366&lt;&gt;"",$D366&gt;=24,COUNTIF(Tables2!$B$166:$B$674,$C366)&gt;0),
Error!$B$44,
IF(AND(_xlpm.baseRow,OR($E366="Tier 3",$E366="Tier 4"),$C366&lt;&gt;"",$D366&lt;&gt;"",COUNTIF(Tables2!$B$73:$B$152,$C366)&gt;0,
$D366&gt;=IFERROR(INDEX(Tables2!$C$73:$C$152,MATCH($C366,Tables2!$B$73:$B$152,0)),-1)),
Error!$B$44,
IF(AND(_xlpm.baseRow,OR($E366="Tier 2",$E366="Tier 2 Grove"),$C366&lt;&gt;"",$D366&gt;=12,COUNTIF(Tables2!$B$153:$B$162,$C366)&gt;0),
Error!$B$45,
IF(AND(_xlpm.baseRow,$E366="Tier 2 Grove",$D366&lt;12),
Error!$B$41,
IF(AND(_xlpm.baseRow,$E366="Tier 2",$D366&lt;5.88),
Error!$B$40,
IF(AND(_xlpm.baseRow,OR($E366="Tier 2",$E366="Tier 2 Grove"),$C366&lt;&gt;"",$D366&lt;12,$D366&gt;=6,COUNTIF(Tables2!$B$153:$B$162,$C366)&gt;0),
Error!$B$54,
IF(AND(_xlpm.baseRow,$E366="Tier 2",COUNTIF(Tables2!$B$166:$B$674,$C366)&gt;0,$D366&lt;24),
Error!$B$54,
IF(AND(_xlpm.baseRow,$E366="Tier 3",ISNA(MATCH($C366,Tables2!$B$153:$B$162,0)),OR($D366&lt;12,$D366&gt;=24)),
Error!$B$9,
IF(AND(_xlpm.baseRow,$E366="Tier 3",COUNTIF(Tables2!$B$153:$B$162,$C366)&gt;0,$D366&lt;12),
Error!$B$46,
IF(AND(_xlpm.baseRow,$E366="Tier 4",OR($D366&lt;6,$D366&gt;=12)),
Error!$B$10,
IF(AND(_xlpm.baseRow,$E366="&lt;6in DSH for Tree Points",OR($D366&gt;=6,$D366="")),
Error!$B$8,
IF(AND(_xlpm.baseRow,$E366="Street Tree for Green Factor",$F366&lt;&gt;"",$F366&lt;&gt;"Retain"),
Error!$B$14,
IF(AND($E366="&lt;6in DSH for Tree Points",$F366="Retain",$H366&lt;&gt;"",ISNA(MATCH($H366,Tables!$B$174:$B$174,0))),
Error!$B$15,
IF(AND($E366="Street Tree for Green Factor",$F366="Retain",$H366&lt;&gt;"",$H366&lt;&gt;"Zoning: Green Factor"),
Error!$B$15,
IF(AND($E366="ECA / Shoreline Tree",$F366="Remove",$H366&lt;&gt;"",ISNA(MATCH($H366,Tables!$B$189:$B$190,0))),
Error!$B$15,
IF(AND($E366="ECA / Shoreline Tree",$F366="Retain",$H366&lt;&gt;"",ISNA(MATCH($H366,Tables!$B$184:$B$186,0))),
Error!$B$15,
IF(AND($E366="Tier 4",$F366="Remove",$H366&lt;&gt;"",ISNA(MATCH($H366,Tables!$B$171,0))),
Error!$B$15,
IF(AND($E366="Tier 4",$F366="Retain",$H366&lt;&gt;"",ISNA(MATCH($H366,Tables!$B$166:$B$168,0))),
Error!$B$15,
IF(AND($E366="Tier 3",$F366="Retain",$H366&lt;&gt;"",ISNA(MATCH($H366,Tables!$B$158:$B$160,0))),
Error!$B$15,
IF(AND($E366="Tier 3",$F366="Remove",$H366&lt;&gt;"",ISNA(MATCH($H366,Tables!$B$163,0))),
Error!$B$15,
IF(AND(OR($E366="Tier 2",$E366="Tier 2 Grove"),$F366="Remove",$H366&lt;&gt;"",ISNA(MATCH($H366,Tables!$B$153:$B$155,0))),
Error!$B$15,
IF(AND(OR($E366="Tier 2",$E366="Tier 2 Grove"),$F366="Retain",$H366&lt;&gt;"",ISNA(MATCH($H366,Tables!$B$147:$B$150,0))),
Error!$B$15,
IF(AND($E366="Tier 1",$F366="Remove",$H366&lt;&gt;"",ISNA(MATCH($H366,Tables!$B$143:$B$144,0))),
Error!$B$15,
IF(AND($E366="Tier 1",$F366="Retain",$H366&lt;&gt;"",ISNA(MATCH($H366,Tables!$B$137:$B$140,0))),
Error!$B$15,
IF(AND($E366&lt;&gt;"Tier 2",$E366&lt;&gt;"Tier 2 Grove",$E366&lt;&gt;"Tier 3",$E366&lt;&gt;"Tier 4",$H366="Zoning: Green Factor",OR($D366="",$D366&lt;6)),
Error!$B$11,
IF(AND(_xlpm.baseRow,$D366&lt;6,$E366="&lt;6in DSH for Tree Points",_xlpm.TreePoints_H=0),
Error!$B$21,
IF(AND(_xlpm.baseRow,$E366&lt;&gt;"",$D366&lt;&gt;"",$F366=""),
Error!$B$4,
IF(AND(_xlpm.baseRow,$F366="Remove",OR($E366="Tier 1",$E366="Tier 2",$E366="Tier 2 Grove"),COUNTBLANK(_xlpm.HRange)&lt;3,_xlpm.uniqueH&gt;=2),
Error!$B$48,
IF(AND(_xlpm.baseRow,$F366="Retain",OR($E366="Tier 1",$E366="Tier 2",$E366="Tier 2 Grove"),COUNTIF(_xlpm.HRange,"Tree Code: Required to Retain Tier 1-2 Tree")=0),
Error!$B$47,
IF(AND(_xlpm.baseRow,$E366&lt;&gt;"",$D366&lt;&gt;"",$F366&lt;&gt;"",COUNTBLANK(_xlpm.HRange)=4),
Error!$B$5,
IF(AND($F366="Remove",$H366&lt;&gt;"",$I366=""),
Error!$B$18,
IF(AND($E366="Tier 4",$F366="Remove",$H366="Tree Protection Code: Tier 3 or Tier 4 Allowance",$H366&lt;&gt;"",ISNA(MATCH($I366,Tables!$B$200,0))),
Error!$B$17,
IF(AND($E366="Tier 3",$F366="Remove",$H366&lt;&gt;"",$H366="Tree Protection Code: Tier 3 or Tier 4 Allowance",OR($I366="",ISNA(MATCH($I366,Tables!$B$193:$B$197,0)))),
Error!$B$17,
IF(AND(OR($E366="Tier 2",$E366="Tier 2 Grove"),$F366="Remove",$H366="Tree Protection Code: Other removal allowance or exemption",$I366&lt;&gt;"",ISNA(MATCH($I366,Tables!$B$215:$B$218,0))),
Error!$B$17,
IF(AND(OR($E366="Tier 2",$E366="Tier 2 Grove"),$F366="Remove",$H366="Tree Protection Code: Development Capacity",$I366&lt;&gt;"",ISNA(MATCH($I366,Tables!$B$193:$B$197,0))),
Error!$B$17,
IF(AND(OR($E366="Tier 2",$E366="Tier 2 Grove"),$F366="Remove",$H366="Tree Protection Code: Necessary for Construction",$I366&lt;&gt;"",ISNA(MATCH($I366,Tables!$B$193:$B$197,0))),
Error!$B$17,
IF(AND($E366="Tier 1",$F366="Remove",$H366="Tree Protection Code: Special Exception",$I366&lt;&gt;"",ISNA(MATCH($I366,Tables!$B$215:$B$218,0))),
Error!$B$17,
IF(AND($E366="Tier 1",$F366="Remove",$H366="Tree Protection Code: Other removal allowance or exemption",$I366&lt;&gt;"",ISNA(MATCH($I366,Tables!$B$215:$B$218,0))),
Error!$B$17,
IF(AND($E366="ECA / Shoreline Tree",$F366="Remove",$H366&lt;&gt;"",OR($H366="Shoreline",$H366="Environmental Critical Area (ECA)"),ISNA(MATCH($I366,Tables!$B$209:$B$212,0))),
Error!$B$17,
IF(AND(_xlpm.baseRow,$F366="Retain",$E366="ECA / Shoreline Tree",_xlpm.ECA_Short=0),
Error!$B$61,
IF(AND($F366="Remove",ISNUMBER(MATCH($E366,{"Tier 1","Tier 2","Tier 3","Tier 4","Tier 2 Grove"},0)),ISNUMBER(MATCH($I366,{"On-site replacement","Off-site replacement"},0)),$J366="",$H366&lt;&gt;""),
Error!$B$19,
IF(AND(_xlpm.baseRow,$E366&lt;&gt;"",$D366&lt;&gt;"",$F366&lt;&gt;"",COUNTBLANK($B366:$C366)&gt;0,COUNTBLANK(_xlpm.HRange)&lt;&gt;4),
Error!$B$22,
IF(AND($H366="Zoning: Tree Points",$K366&lt;&gt;"",ISNA(MATCH($K366,Tables!$B$242:$B$253,0))),
Error!$B$58,
IF(AND($H366="Zoning: Tree Points",$K366="Small",$L366&lt;&gt;"",ISNA(MATCH($L366,Tables!$C$243:$C$244,0))),
Error!$B$59,
IF(AND($H366="Zoning: Tree Points",$K366="Small/Medium",$L366&lt;&gt;"",ISNA(MATCH($L366,Tables!$C$246:$C$247,0))),
Error!$B$59,
IF(AND($H366="Zoning: Tree Points",$K366="Medium/Large",$L366&lt;&gt;"",ISNA(MATCH($L366,Tables!$C$249:$C$250,0))),
Error!$B$59,
IF(AND($H366="Zoning: Tree Points",$K366="Large",$L366&lt;&gt;"",ISNA(MATCH($L366,Tables!$C$252:$C$253,0))),
Error!$B$59,
IF(AND($F366="Retain",$H366="Zoning: Tree Points",$C366&lt;&gt;"",$D366&lt;&gt;"",OR($K366="",$L366="",$M366="")),
Error!$B$20,
""
)))))))))))))))))))))))))))))))))))))))))))))))))))))))),
Error!$B$23))</f>
        <v/>
      </c>
      <c r="O366" s="343" t="str" cm="1">
        <f t="array" aca="1" ref="O366" ca="1">IFERROR(_xlfn.LET(
    _xlpm.txt, $C366,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67" spans="1:15" ht="15" thickBot="1" x14ac:dyDescent="0.35">
      <c r="A367" s="311">
        <v>90</v>
      </c>
      <c r="B367" s="312"/>
      <c r="C367" s="313"/>
      <c r="D367" s="478"/>
      <c r="E367" s="314"/>
      <c r="F367" s="314"/>
      <c r="G367" s="315" t="str">
        <f>IF(Tree_Table1[[#This Row],[Tree Status  &amp;]]="Retain", Tables!$B$237, IF(Tree_Table1[[#This Row],[Tree Status  &amp;]]="Remove", Tables!$B$238, ""))</f>
        <v/>
      </c>
      <c r="H367" s="316"/>
      <c r="I367" s="317"/>
      <c r="J367" s="452"/>
      <c r="K367" s="318" t="str">
        <f>IFERROR(
    IF(
        AND($H367="Zoning: Tree Points", NOT(ISNUMBER(SEARCH("sp.", $C367)))),
        VLOOKUP($C367, 'Tree List'!$C$3:$F$601, 4, FALSE),
        ""
    ),
"")</f>
        <v/>
      </c>
      <c r="L367" s="319" t="str" cm="1">
        <f t="array" ref="L367">IFERROR(
IF(
    AND($H367="Zoning: Tree Points", NOT(ISNUMBER(SEARCH("sp.", $C367)))),
    _xlfn.IFS(
        (COUNTIFS('Tree List'!$C$3:$C$601,$C367,'Tree List'!$D$3:$D$601,"Coniferous")
        + COUNTIFS('Tree List'!$C$3:$C$601,$C367,'Tree List'!$D$3:$D$601,"Deciduous Conifer")) &gt; 0,
            _xlfn.IFS($K367="Small",0.5,$K367="Small/Medium",1,$K367="Medium/Large",1.4,$K367="Large",1.8),
        (COUNTIFS('Tree List'!$C$3:$C$601,$C367,'Tree List'!$D$3:$D$601,"Deciduous")
        + COUNTIFS('Tree List'!$C$3:$C$601,$C367,'Tree List'!$D$3:$D$601,"Broadleaf Evergreen")) &gt; 0,
            _xlfn.IFS($K367="Small",0.4,$K367="Small/Medium",0.8,$K367="Medium/Large",1.2,$K367="Large",1.6)
    ),
    ""
),
"")</f>
        <v/>
      </c>
      <c r="M367" s="474" t="str">
        <f t="shared" si="330"/>
        <v/>
      </c>
      <c r="N367" s="620" t="str" cm="1">
        <f t="array" aca="1" ref="N36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IF(AND(_xlpm.baseRow,ISNA(MATCH($C367,'Tree List'!$C$3:$C$601,0)),SUMPRODUCT(--ISNUMBER(SEARCH(Tables2!$C$677:$C$772,$O367)))&gt;0),
Error!$B$57,
IF(AND(_xlpm.hasDM,$F367="Remove",$H367&lt;&gt;"",OR($I367="On-site replacement",$I367="Off-site replacement",$I367="Payment In Lieu")),
Error!$B$56,
IF(AND(_xlpm.hasDM,$F367="Remove",$H367&lt;&gt;"",$I367="Relocation"),
Error!$B$66,
IF(AND(OR(_xlpm.hasCN,_xlpm.hasPH,_xlpm.hasGR),$H367&lt;&gt;"",COUNTIF(Tables!$B$132:$B$134,$H367)&gt;0,$I367="N/A (No replacement required)"),
Error!$B$62,
IF(AND(_xlpm.baseRow,$E367&lt;&gt;"",ISNA(MATCH($E367,Tables!$B$225:$B$232,0))),
Error!$B$2,
IF(AND(_xlpm.baseRow,$F367&lt;&gt;"",ISNA(MATCH($F367,Tables!$B$234:$B$235,0))),
Error!$B$24,
IF(AND(_xlpm.baseRow,_xlpm.ECA_H&gt;0,_xlpm.Shore_H&gt;0),
Error!$B$16,
IF(AND(_xlpm.baseRow,$E367&lt;&gt;"",$D367=""),
Error!$B$3,
IF(AND(_xlpm.baseRow,OR($E367="Tier 3",$E367="Tier 4"),$C367&lt;&gt;"",$D367&gt;=24,COUNTIF(Tables2!$B$166:$B$674,$C367)&gt;0),
Error!$B$44,
IF(AND(_xlpm.baseRow,OR($E367="Tier 3",$E367="Tier 4"),$C367&lt;&gt;"",$D367&lt;&gt;"",COUNTIF(Tables2!$B$73:$B$152,$C367)&gt;0,
$D367&gt;=IFERROR(INDEX(Tables2!$C$73:$C$152,MATCH($C367,Tables2!$B$73:$B$152,0)),-1)),
Error!$B$44,
IF(AND(_xlpm.baseRow,OR($E367="Tier 2",$E367="Tier 2 Grove"),$C367&lt;&gt;"",$D367&gt;=12,COUNTIF(Tables2!$B$153:$B$162,$C367)&gt;0),
Error!$B$45,
IF(AND(_xlpm.baseRow,$E367="Tier 2 Grove",$D367&lt;12),
Error!$B$41,
IF(AND(_xlpm.baseRow,$E367="Tier 2",$D367&lt;5.88),
Error!$B$40,
IF(AND(_xlpm.baseRow,OR($E367="Tier 2",$E367="Tier 2 Grove"),$C367&lt;&gt;"",$D367&lt;12,$D367&gt;=6,COUNTIF(Tables2!$B$153:$B$162,$C367)&gt;0),
Error!$B$54,
IF(AND(_xlpm.baseRow,$E367="Tier 2",COUNTIF(Tables2!$B$166:$B$674,$C367)&gt;0,$D367&lt;24),
Error!$B$54,
IF(AND(_xlpm.baseRow,$E367="Tier 3",ISNA(MATCH($C367,Tables2!$B$153:$B$162,0)),OR($D367&lt;12,$D367&gt;=24)),
Error!$B$9,
IF(AND(_xlpm.baseRow,$E367="Tier 3",COUNTIF(Tables2!$B$153:$B$162,$C367)&gt;0,$D367&lt;12),
Error!$B$46,
IF(AND(_xlpm.baseRow,$E367="Tier 4",OR($D367&lt;6,$D367&gt;=12)),
Error!$B$10,
IF(AND(_xlpm.baseRow,$E367="&lt;6in DSH for Tree Points",OR($D367&gt;=6,$D367="")),
Error!$B$8,
IF(AND(_xlpm.baseRow,$E367="Street Tree for Green Factor",$F367&lt;&gt;"",$F367&lt;&gt;"Retain"),
Error!$B$14,
IF(AND($E367="&lt;6in DSH for Tree Points",$F367="Retain",$H367&lt;&gt;"",ISNA(MATCH($H367,Tables!$B$174:$B$174,0))),
Error!$B$15,
IF(AND($E367="Street Tree for Green Factor",$F367="Retain",$H367&lt;&gt;"",$H367&lt;&gt;"Zoning: Green Factor"),
Error!$B$15,
IF(AND($E367="ECA / Shoreline Tree",$F367="Remove",$H367&lt;&gt;"",ISNA(MATCH($H367,Tables!$B$189:$B$190,0))),
Error!$B$15,
IF(AND($E367="ECA / Shoreline Tree",$F367="Retain",$H367&lt;&gt;"",ISNA(MATCH($H367,Tables!$B$184:$B$186,0))),
Error!$B$15,
IF(AND($E367="Tier 4",$F367="Remove",$H367&lt;&gt;"",ISNA(MATCH($H367,Tables!$B$171,0))),
Error!$B$15,
IF(AND($E367="Tier 4",$F367="Retain",$H367&lt;&gt;"",ISNA(MATCH($H367,Tables!$B$166:$B$168,0))),
Error!$B$15,
IF(AND($E367="Tier 3",$F367="Retain",$H367&lt;&gt;"",ISNA(MATCH($H367,Tables!$B$158:$B$160,0))),
Error!$B$15,
IF(AND($E367="Tier 3",$F367="Remove",$H367&lt;&gt;"",ISNA(MATCH($H367,Tables!$B$163,0))),
Error!$B$15,
IF(AND(OR($E367="Tier 2",$E367="Tier 2 Grove"),$F367="Remove",$H367&lt;&gt;"",ISNA(MATCH($H367,Tables!$B$153:$B$155,0))),
Error!$B$15,
IF(AND(OR($E367="Tier 2",$E367="Tier 2 Grove"),$F367="Retain",$H367&lt;&gt;"",ISNA(MATCH($H367,Tables!$B$147:$B$150,0))),
Error!$B$15,
IF(AND($E367="Tier 1",$F367="Remove",$H367&lt;&gt;"",ISNA(MATCH($H367,Tables!$B$143:$B$144,0))),
Error!$B$15,
IF(AND($E367="Tier 1",$F367="Retain",$H367&lt;&gt;"",ISNA(MATCH($H367,Tables!$B$137:$B$140,0))),
Error!$B$15,
IF(AND($E367&lt;&gt;"Tier 2",$E367&lt;&gt;"Tier 2 Grove",$E367&lt;&gt;"Tier 3",$E367&lt;&gt;"Tier 4",$H367="Zoning: Green Factor",OR($D367="",$D367&lt;6)),
Error!$B$11,
IF(AND(_xlpm.baseRow,$D367&lt;6,$E367="&lt;6in DSH for Tree Points",_xlpm.TreePoints_H=0),
Error!$B$21,
IF(AND(_xlpm.baseRow,$E367&lt;&gt;"",$D367&lt;&gt;"",$F367=""),
Error!$B$4,
IF(AND(_xlpm.baseRow,$F367="Remove",OR($E367="Tier 1",$E367="Tier 2",$E367="Tier 2 Grove"),COUNTBLANK(_xlpm.HRange)&lt;3,_xlpm.uniqueH&gt;=2),
Error!$B$48,
IF(AND(_xlpm.baseRow,$F367="Retain",OR($E367="Tier 1",$E367="Tier 2",$E367="Tier 2 Grove"),COUNTIF(_xlpm.HRange,"Tree Code: Required to Retain Tier 1-2 Tree")=0),
Error!$B$47,
IF(AND(_xlpm.baseRow,$E367&lt;&gt;"",$D367&lt;&gt;"",$F367&lt;&gt;"",COUNTBLANK(_xlpm.HRange)=4),
Error!$B$5,
IF(AND($F367="Remove",$H367&lt;&gt;"",$I367=""),
Error!$B$18,
IF(AND($E367="Tier 4",$F367="Remove",$H367="Tree Protection Code: Tier 3 or Tier 4 Allowance",$H367&lt;&gt;"",ISNA(MATCH($I367,Tables!$B$200,0))),
Error!$B$17,
IF(AND($E367="Tier 3",$F367="Remove",$H367&lt;&gt;"",$H367="Tree Protection Code: Tier 3 or Tier 4 Allowance",OR($I367="",ISNA(MATCH($I367,Tables!$B$193:$B$197,0)))),
Error!$B$17,
IF(AND(OR($E367="Tier 2",$E367="Tier 2 Grove"),$F367="Remove",$H367="Tree Protection Code: Other removal allowance or exemption",$I367&lt;&gt;"",ISNA(MATCH($I367,Tables!$B$215:$B$218,0))),
Error!$B$17,
IF(AND(OR($E367="Tier 2",$E367="Tier 2 Grove"),$F367="Remove",$H367="Tree Protection Code: Development Capacity",$I367&lt;&gt;"",ISNA(MATCH($I367,Tables!$B$193:$B$197,0))),
Error!$B$17,
IF(AND(OR($E367="Tier 2",$E367="Tier 2 Grove"),$F367="Remove",$H367="Tree Protection Code: Necessary for Construction",$I367&lt;&gt;"",ISNA(MATCH($I367,Tables!$B$193:$B$197,0))),
Error!$B$17,
IF(AND($E367="Tier 1",$F367="Remove",$H367="Tree Protection Code: Special Exception",$I367&lt;&gt;"",ISNA(MATCH($I367,Tables!$B$215:$B$218,0))),
Error!$B$17,
IF(AND($E367="Tier 1",$F367="Remove",$H367="Tree Protection Code: Other removal allowance or exemption",$I367&lt;&gt;"",ISNA(MATCH($I367,Tables!$B$215:$B$218,0))),
Error!$B$17,
IF(AND($E367="ECA / Shoreline Tree",$F367="Remove",$H367&lt;&gt;"",OR($H367="Shoreline",$H367="Environmental Critical Area (ECA)"),ISNA(MATCH($I367,Tables!$B$209:$B$212,0))),
Error!$B$17,
IF(AND(_xlpm.baseRow,$F367="Retain",$E367="ECA / Shoreline Tree",_xlpm.ECA_Short=0),
Error!$B$61,
IF(AND($F367="Remove",ISNUMBER(MATCH($E367,{"Tier 1","Tier 2","Tier 3","Tier 4","Tier 2 Grove"},0)),ISNUMBER(MATCH($I367,{"On-site replacement","Off-site replacement"},0)),$J367="",$H367&lt;&gt;""),
Error!$B$19,
IF(AND(_xlpm.baseRow,$E367&lt;&gt;"",$D367&lt;&gt;"",$F367&lt;&gt;"",COUNTBLANK($B367:$C367)&gt;0,COUNTBLANK(_xlpm.HRange)&lt;&gt;4),
Error!$B$22,
IF(AND($H367="Zoning: Tree Points",$K367&lt;&gt;"",ISNA(MATCH($K367,Tables!$B$242:$B$253,0))),
Error!$B$58,
IF(AND($H367="Zoning: Tree Points",$K367="Small",$L367&lt;&gt;"",ISNA(MATCH($L367,Tables!$C$243:$C$244,0))),
Error!$B$59,
IF(AND($H367="Zoning: Tree Points",$K367="Small/Medium",$L367&lt;&gt;"",ISNA(MATCH($L367,Tables!$C$246:$C$247,0))),
Error!$B$59,
IF(AND($H367="Zoning: Tree Points",$K367="Medium/Large",$L367&lt;&gt;"",ISNA(MATCH($L367,Tables!$C$249:$C$250,0))),
Error!$B$59,
IF(AND($H367="Zoning: Tree Points",$K367="Large",$L367&lt;&gt;"",ISNA(MATCH($L367,Tables!$C$252:$C$253,0))),
Error!$B$59,
IF(AND($F367="Retain",$H367="Zoning: Tree Points",$C367&lt;&gt;"",$D367&lt;&gt;"",OR($K367="",$L367="",$M367="")),
Error!$B$20,
""
)))))))))))))))))))))))))))))))))))))))))))))))))))))))),
Error!$B$23))</f>
        <v/>
      </c>
      <c r="O367" s="343" t="str" cm="1">
        <f t="array" aca="1" ref="O367" ca="1">IFERROR(_xlfn.LET(
    _xlpm.txt, $C367,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68" spans="1:15" x14ac:dyDescent="0.3">
      <c r="A368" s="320"/>
      <c r="B368" s="616" t="str">
        <f t="shared" ref="B368:B370" si="406">IF($B367="", "", $B367)</f>
        <v/>
      </c>
      <c r="C368" s="617" t="str">
        <f t="shared" ref="C368:C370" si="407">IF($C367="", "", $C367)</f>
        <v/>
      </c>
      <c r="D368" s="618" t="str">
        <f t="shared" ref="D368:D370" si="408">IF($D367="", "", $D367)</f>
        <v/>
      </c>
      <c r="E368" s="616" t="str">
        <f t="shared" ref="E368:E370" si="409">IF($E367="", "", $E367)</f>
        <v/>
      </c>
      <c r="F368" s="616" t="str">
        <f t="shared" ref="F368:F370" si="410">IF($F367="", "", $F367)</f>
        <v/>
      </c>
      <c r="G368" s="619" t="str">
        <f>IF(Tree_Table1[[#This Row],[Tree Status  &amp;]]="Retain", Tables!$B$237, IF(Tree_Table1[[#This Row],[Tree Status  &amp;]]="Remove", Tables!$B$238, ""))</f>
        <v/>
      </c>
      <c r="H368" s="321"/>
      <c r="I368" s="322"/>
      <c r="J368" s="453"/>
      <c r="K368" s="323" t="str">
        <f>IFERROR(
    IF(
        AND($H368="Zoning: Tree Points", NOT(ISNUMBER(SEARCH("sp.", $C368)))),
        VLOOKUP($C368, 'Tree List'!$C$3:$F$601, 4, FALSE),
        ""
    ),
"")</f>
        <v/>
      </c>
      <c r="L368" s="324" t="str" cm="1">
        <f t="array" ref="L368">IFERROR(
IF(
    AND($H368="Zoning: Tree Points", NOT(ISNUMBER(SEARCH("sp.", $C368)))),
    _xlfn.IFS(
        (COUNTIFS('Tree List'!$C$3:$C$601,$C368,'Tree List'!$D$3:$D$601,"Coniferous")
        + COUNTIFS('Tree List'!$C$3:$C$601,$C368,'Tree List'!$D$3:$D$601,"Deciduous Conifer")) &gt; 0,
            _xlfn.IFS($K368="Small",0.5,$K368="Small/Medium",1,$K368="Medium/Large",1.4,$K368="Large",1.8),
        (COUNTIFS('Tree List'!$C$3:$C$601,$C368,'Tree List'!$D$3:$D$601,"Deciduous")
        + COUNTIFS('Tree List'!$C$3:$C$601,$C368,'Tree List'!$D$3:$D$601,"Broadleaf Evergreen")) &gt; 0,
            _xlfn.IFS($K368="Small",0.4,$K368="Small/Medium",0.8,$K368="Medium/Large",1.2,$K368="Large",1.6)
    ),
    ""
),
"")</f>
        <v/>
      </c>
      <c r="M368" s="475" t="str">
        <f t="shared" si="330"/>
        <v/>
      </c>
      <c r="N368" s="346" t="str" cm="1">
        <f t="array" aca="1" ref="N36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IF(AND(_xlpm.baseRow,ISNA(MATCH($C368,'Tree List'!$C$3:$C$601,0)),SUMPRODUCT(--ISNUMBER(SEARCH(Tables2!$C$677:$C$772,$O368)))&gt;0),
Error!$B$57,
IF(AND(_xlpm.hasDM,$F368="Remove",$H368&lt;&gt;"",OR($I368="On-site replacement",$I368="Off-site replacement",$I368="Payment In Lieu")),
Error!$B$56,
IF(AND(_xlpm.hasDM,$F368="Remove",$H368&lt;&gt;"",$I368="Relocation"),
Error!$B$66,
IF(AND(OR(_xlpm.hasCN,_xlpm.hasPH,_xlpm.hasGR),$H368&lt;&gt;"",COUNTIF(Tables!$B$132:$B$134,$H368)&gt;0,$I368="N/A (No replacement required)"),
Error!$B$62,
IF(AND(_xlpm.baseRow,$E368&lt;&gt;"",ISNA(MATCH($E368,Tables!$B$225:$B$232,0))),
Error!$B$2,
IF(AND(_xlpm.baseRow,$F368&lt;&gt;"",ISNA(MATCH($F368,Tables!$B$234:$B$235,0))),
Error!$B$24,
IF(AND(_xlpm.baseRow,_xlpm.ECA_H&gt;0,_xlpm.Shore_H&gt;0),
Error!$B$16,
IF(AND(_xlpm.baseRow,$E368&lt;&gt;"",$D368=""),
Error!$B$3,
IF(AND(_xlpm.baseRow,OR($E368="Tier 3",$E368="Tier 4"),$C368&lt;&gt;"",$D368&gt;=24,COUNTIF(Tables2!$B$166:$B$674,$C368)&gt;0),
Error!$B$44,
IF(AND(_xlpm.baseRow,OR($E368="Tier 3",$E368="Tier 4"),$C368&lt;&gt;"",$D368&lt;&gt;"",COUNTIF(Tables2!$B$73:$B$152,$C368)&gt;0,
$D368&gt;=IFERROR(INDEX(Tables2!$C$73:$C$152,MATCH($C368,Tables2!$B$73:$B$152,0)),-1)),
Error!$B$44,
IF(AND(_xlpm.baseRow,OR($E368="Tier 2",$E368="Tier 2 Grove"),$C368&lt;&gt;"",$D368&gt;=12,COUNTIF(Tables2!$B$153:$B$162,$C368)&gt;0),
Error!$B$45,
IF(AND(_xlpm.baseRow,$E368="Tier 2 Grove",$D368&lt;12),
Error!$B$41,
IF(AND(_xlpm.baseRow,$E368="Tier 2",$D368&lt;5.88),
Error!$B$40,
IF(AND(_xlpm.baseRow,OR($E368="Tier 2",$E368="Tier 2 Grove"),$C368&lt;&gt;"",$D368&lt;12,$D368&gt;=6,COUNTIF(Tables2!$B$153:$B$162,$C368)&gt;0),
Error!$B$54,
IF(AND(_xlpm.baseRow,$E368="Tier 2",COUNTIF(Tables2!$B$166:$B$674,$C368)&gt;0,$D368&lt;24),
Error!$B$54,
IF(AND(_xlpm.baseRow,$E368="Tier 3",ISNA(MATCH($C368,Tables2!$B$153:$B$162,0)),OR($D368&lt;12,$D368&gt;=24)),
Error!$B$9,
IF(AND(_xlpm.baseRow,$E368="Tier 3",COUNTIF(Tables2!$B$153:$B$162,$C368)&gt;0,$D368&lt;12),
Error!$B$46,
IF(AND(_xlpm.baseRow,$E368="Tier 4",OR($D368&lt;6,$D368&gt;=12)),
Error!$B$10,
IF(AND(_xlpm.baseRow,$E368="&lt;6in DSH for Tree Points",OR($D368&gt;=6,$D368="")),
Error!$B$8,
IF(AND(_xlpm.baseRow,$E368="Street Tree for Green Factor",$F368&lt;&gt;"",$F368&lt;&gt;"Retain"),
Error!$B$14,
IF(AND($E368="&lt;6in DSH for Tree Points",$F368="Retain",$H368&lt;&gt;"",ISNA(MATCH($H368,Tables!$B$174:$B$174,0))),
Error!$B$15,
IF(AND($E368="Street Tree for Green Factor",$F368="Retain",$H368&lt;&gt;"",$H368&lt;&gt;"Zoning: Green Factor"),
Error!$B$15,
IF(AND($E368="ECA / Shoreline Tree",$F368="Remove",$H368&lt;&gt;"",ISNA(MATCH($H368,Tables!$B$189:$B$190,0))),
Error!$B$15,
IF(AND($E368="ECA / Shoreline Tree",$F368="Retain",$H368&lt;&gt;"",ISNA(MATCH($H368,Tables!$B$184:$B$186,0))),
Error!$B$15,
IF(AND($E368="Tier 4",$F368="Remove",$H368&lt;&gt;"",ISNA(MATCH($H368,Tables!$B$171,0))),
Error!$B$15,
IF(AND($E368="Tier 4",$F368="Retain",$H368&lt;&gt;"",ISNA(MATCH($H368,Tables!$B$166:$B$168,0))),
Error!$B$15,
IF(AND($E368="Tier 3",$F368="Retain",$H368&lt;&gt;"",ISNA(MATCH($H368,Tables!$B$158:$B$160,0))),
Error!$B$15,
IF(AND($E368="Tier 3",$F368="Remove",$H368&lt;&gt;"",ISNA(MATCH($H368,Tables!$B$163,0))),
Error!$B$15,
IF(AND(OR($E368="Tier 2",$E368="Tier 2 Grove"),$F368="Remove",$H368&lt;&gt;"",ISNA(MATCH($H368,Tables!$B$153:$B$155,0))),
Error!$B$15,
IF(AND(OR($E368="Tier 2",$E368="Tier 2 Grove"),$F368="Retain",$H368&lt;&gt;"",ISNA(MATCH($H368,Tables!$B$147:$B$150,0))),
Error!$B$15,
IF(AND($E368="Tier 1",$F368="Remove",$H368&lt;&gt;"",ISNA(MATCH($H368,Tables!$B$143:$B$144,0))),
Error!$B$15,
IF(AND($E368="Tier 1",$F368="Retain",$H368&lt;&gt;"",ISNA(MATCH($H368,Tables!$B$137:$B$140,0))),
Error!$B$15,
IF(AND($E368&lt;&gt;"Tier 2",$E368&lt;&gt;"Tier 2 Grove",$E368&lt;&gt;"Tier 3",$E368&lt;&gt;"Tier 4",$H368="Zoning: Green Factor",OR($D368="",$D368&lt;6)),
Error!$B$11,
IF(AND(_xlpm.baseRow,$D368&lt;6,$E368="&lt;6in DSH for Tree Points",_xlpm.TreePoints_H=0),
Error!$B$21,
IF(AND(_xlpm.baseRow,$E368&lt;&gt;"",$D368&lt;&gt;"",$F368=""),
Error!$B$4,
IF(AND(_xlpm.baseRow,$F368="Remove",OR($E368="Tier 1",$E368="Tier 2",$E368="Tier 2 Grove"),COUNTBLANK(_xlpm.HRange)&lt;3,_xlpm.uniqueH&gt;=2),
Error!$B$48,
IF(AND(_xlpm.baseRow,$F368="Retain",OR($E368="Tier 1",$E368="Tier 2",$E368="Tier 2 Grove"),COUNTIF(_xlpm.HRange,"Tree Code: Required to Retain Tier 1-2 Tree")=0),
Error!$B$47,
IF(AND(_xlpm.baseRow,$E368&lt;&gt;"",$D368&lt;&gt;"",$F368&lt;&gt;"",COUNTBLANK(_xlpm.HRange)=4),
Error!$B$5,
IF(AND($F368="Remove",$H368&lt;&gt;"",$I368=""),
Error!$B$18,
IF(AND($E368="Tier 4",$F368="Remove",$H368="Tree Protection Code: Tier 3 or Tier 4 Allowance",$H368&lt;&gt;"",ISNA(MATCH($I368,Tables!$B$200,0))),
Error!$B$17,
IF(AND($E368="Tier 3",$F368="Remove",$H368&lt;&gt;"",$H368="Tree Protection Code: Tier 3 or Tier 4 Allowance",OR($I368="",ISNA(MATCH($I368,Tables!$B$193:$B$197,0)))),
Error!$B$17,
IF(AND(OR($E368="Tier 2",$E368="Tier 2 Grove"),$F368="Remove",$H368="Tree Protection Code: Other removal allowance or exemption",$I368&lt;&gt;"",ISNA(MATCH($I368,Tables!$B$215:$B$218,0))),
Error!$B$17,
IF(AND(OR($E368="Tier 2",$E368="Tier 2 Grove"),$F368="Remove",$H368="Tree Protection Code: Development Capacity",$I368&lt;&gt;"",ISNA(MATCH($I368,Tables!$B$193:$B$197,0))),
Error!$B$17,
IF(AND(OR($E368="Tier 2",$E368="Tier 2 Grove"),$F368="Remove",$H368="Tree Protection Code: Necessary for Construction",$I368&lt;&gt;"",ISNA(MATCH($I368,Tables!$B$193:$B$197,0))),
Error!$B$17,
IF(AND($E368="Tier 1",$F368="Remove",$H368="Tree Protection Code: Special Exception",$I368&lt;&gt;"",ISNA(MATCH($I368,Tables!$B$215:$B$218,0))),
Error!$B$17,
IF(AND($E368="Tier 1",$F368="Remove",$H368="Tree Protection Code: Other removal allowance or exemption",$I368&lt;&gt;"",ISNA(MATCH($I368,Tables!$B$215:$B$218,0))),
Error!$B$17,
IF(AND($E368="ECA / Shoreline Tree",$F368="Remove",$H368&lt;&gt;"",OR($H368="Shoreline",$H368="Environmental Critical Area (ECA)"),ISNA(MATCH($I368,Tables!$B$209:$B$212,0))),
Error!$B$17,
IF(AND(_xlpm.baseRow,$F368="Retain",$E368="ECA / Shoreline Tree",_xlpm.ECA_Short=0),
Error!$B$61,
IF(AND($F368="Remove",ISNUMBER(MATCH($E368,{"Tier 1","Tier 2","Tier 3","Tier 4","Tier 2 Grove"},0)),ISNUMBER(MATCH($I368,{"On-site replacement","Off-site replacement"},0)),$J368="",$H368&lt;&gt;""),
Error!$B$19,
IF(AND(_xlpm.baseRow,$E368&lt;&gt;"",$D368&lt;&gt;"",$F368&lt;&gt;"",COUNTBLANK($B368:$C368)&gt;0,COUNTBLANK(_xlpm.HRange)&lt;&gt;4),
Error!$B$22,
IF(AND($H368="Zoning: Tree Points",$K368&lt;&gt;"",ISNA(MATCH($K368,Tables!$B$242:$B$253,0))),
Error!$B$58,
IF(AND($H368="Zoning: Tree Points",$K368="Small",$L368&lt;&gt;"",ISNA(MATCH($L368,Tables!$C$243:$C$244,0))),
Error!$B$59,
IF(AND($H368="Zoning: Tree Points",$K368="Small/Medium",$L368&lt;&gt;"",ISNA(MATCH($L368,Tables!$C$246:$C$247,0))),
Error!$B$59,
IF(AND($H368="Zoning: Tree Points",$K368="Medium/Large",$L368&lt;&gt;"",ISNA(MATCH($L368,Tables!$C$249:$C$250,0))),
Error!$B$59,
IF(AND($H368="Zoning: Tree Points",$K368="Large",$L368&lt;&gt;"",ISNA(MATCH($L368,Tables!$C$252:$C$253,0))),
Error!$B$59,
IF(AND($F368="Retain",$H368="Zoning: Tree Points",$C368&lt;&gt;"",$D368&lt;&gt;"",OR($K368="",$L368="",$M368="")),
Error!$B$20,
""
)))))))))))))))))))))))))))))))))))))))))))))))))))))))),
Error!$B$23))</f>
        <v/>
      </c>
      <c r="O368" s="343" t="str" cm="1">
        <f t="array" aca="1" ref="O368" ca="1">IFERROR(_xlfn.LET(
    _xlpm.txt, $C368,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69" spans="1:15" x14ac:dyDescent="0.3">
      <c r="A369" s="320"/>
      <c r="B369" s="616" t="str">
        <f t="shared" si="406"/>
        <v/>
      </c>
      <c r="C369" s="617" t="str">
        <f t="shared" si="407"/>
        <v/>
      </c>
      <c r="D369" s="618" t="str">
        <f t="shared" si="408"/>
        <v/>
      </c>
      <c r="E369" s="616" t="str">
        <f t="shared" si="409"/>
        <v/>
      </c>
      <c r="F369" s="616" t="str">
        <f t="shared" si="410"/>
        <v/>
      </c>
      <c r="G369" s="619" t="str">
        <f>IF(Tree_Table1[[#This Row],[Tree Status  &amp;]]="Retain", Tables!$B$237, IF(Tree_Table1[[#This Row],[Tree Status  &amp;]]="Remove", Tables!$B$238, ""))</f>
        <v/>
      </c>
      <c r="H369" s="321"/>
      <c r="I369" s="322"/>
      <c r="J369" s="453"/>
      <c r="K369" s="323" t="str">
        <f>IFERROR(
    IF(
        AND($H369="Zoning: Tree Points", NOT(ISNUMBER(SEARCH("sp.", $C369)))),
        VLOOKUP($C369, 'Tree List'!$C$3:$F$601, 4, FALSE),
        ""
    ),
"")</f>
        <v/>
      </c>
      <c r="L369" s="324" t="str" cm="1">
        <f t="array" ref="L369">IFERROR(
IF(
    AND($H369="Zoning: Tree Points", NOT(ISNUMBER(SEARCH("sp.", $C369)))),
    _xlfn.IFS(
        (COUNTIFS('Tree List'!$C$3:$C$601,$C369,'Tree List'!$D$3:$D$601,"Coniferous")
        + COUNTIFS('Tree List'!$C$3:$C$601,$C369,'Tree List'!$D$3:$D$601,"Deciduous Conifer")) &gt; 0,
            _xlfn.IFS($K369="Small",0.5,$K369="Small/Medium",1,$K369="Medium/Large",1.4,$K369="Large",1.8),
        (COUNTIFS('Tree List'!$C$3:$C$601,$C369,'Tree List'!$D$3:$D$601,"Deciduous")
        + COUNTIFS('Tree List'!$C$3:$C$601,$C369,'Tree List'!$D$3:$D$601,"Broadleaf Evergreen")) &gt; 0,
            _xlfn.IFS($K369="Small",0.4,$K369="Small/Medium",0.8,$K369="Medium/Large",1.2,$K369="Large",1.6)
    ),
    ""
),
"")</f>
        <v/>
      </c>
      <c r="M369" s="475" t="str">
        <f t="shared" si="330"/>
        <v/>
      </c>
      <c r="N369" s="346" t="str" cm="1">
        <f t="array" aca="1" ref="N36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IF(AND(_xlpm.baseRow,ISNA(MATCH($C369,'Tree List'!$C$3:$C$601,0)),SUMPRODUCT(--ISNUMBER(SEARCH(Tables2!$C$677:$C$772,$O369)))&gt;0),
Error!$B$57,
IF(AND(_xlpm.hasDM,$F369="Remove",$H369&lt;&gt;"",OR($I369="On-site replacement",$I369="Off-site replacement",$I369="Payment In Lieu")),
Error!$B$56,
IF(AND(_xlpm.hasDM,$F369="Remove",$H369&lt;&gt;"",$I369="Relocation"),
Error!$B$66,
IF(AND(OR(_xlpm.hasCN,_xlpm.hasPH,_xlpm.hasGR),$H369&lt;&gt;"",COUNTIF(Tables!$B$132:$B$134,$H369)&gt;0,$I369="N/A (No replacement required)"),
Error!$B$62,
IF(AND(_xlpm.baseRow,$E369&lt;&gt;"",ISNA(MATCH($E369,Tables!$B$225:$B$232,0))),
Error!$B$2,
IF(AND(_xlpm.baseRow,$F369&lt;&gt;"",ISNA(MATCH($F369,Tables!$B$234:$B$235,0))),
Error!$B$24,
IF(AND(_xlpm.baseRow,_xlpm.ECA_H&gt;0,_xlpm.Shore_H&gt;0),
Error!$B$16,
IF(AND(_xlpm.baseRow,$E369&lt;&gt;"",$D369=""),
Error!$B$3,
IF(AND(_xlpm.baseRow,OR($E369="Tier 3",$E369="Tier 4"),$C369&lt;&gt;"",$D369&gt;=24,COUNTIF(Tables2!$B$166:$B$674,$C369)&gt;0),
Error!$B$44,
IF(AND(_xlpm.baseRow,OR($E369="Tier 3",$E369="Tier 4"),$C369&lt;&gt;"",$D369&lt;&gt;"",COUNTIF(Tables2!$B$73:$B$152,$C369)&gt;0,
$D369&gt;=IFERROR(INDEX(Tables2!$C$73:$C$152,MATCH($C369,Tables2!$B$73:$B$152,0)),-1)),
Error!$B$44,
IF(AND(_xlpm.baseRow,OR($E369="Tier 2",$E369="Tier 2 Grove"),$C369&lt;&gt;"",$D369&gt;=12,COUNTIF(Tables2!$B$153:$B$162,$C369)&gt;0),
Error!$B$45,
IF(AND(_xlpm.baseRow,$E369="Tier 2 Grove",$D369&lt;12),
Error!$B$41,
IF(AND(_xlpm.baseRow,$E369="Tier 2",$D369&lt;5.88),
Error!$B$40,
IF(AND(_xlpm.baseRow,OR($E369="Tier 2",$E369="Tier 2 Grove"),$C369&lt;&gt;"",$D369&lt;12,$D369&gt;=6,COUNTIF(Tables2!$B$153:$B$162,$C369)&gt;0),
Error!$B$54,
IF(AND(_xlpm.baseRow,$E369="Tier 2",COUNTIF(Tables2!$B$166:$B$674,$C369)&gt;0,$D369&lt;24),
Error!$B$54,
IF(AND(_xlpm.baseRow,$E369="Tier 3",ISNA(MATCH($C369,Tables2!$B$153:$B$162,0)),OR($D369&lt;12,$D369&gt;=24)),
Error!$B$9,
IF(AND(_xlpm.baseRow,$E369="Tier 3",COUNTIF(Tables2!$B$153:$B$162,$C369)&gt;0,$D369&lt;12),
Error!$B$46,
IF(AND(_xlpm.baseRow,$E369="Tier 4",OR($D369&lt;6,$D369&gt;=12)),
Error!$B$10,
IF(AND(_xlpm.baseRow,$E369="&lt;6in DSH for Tree Points",OR($D369&gt;=6,$D369="")),
Error!$B$8,
IF(AND(_xlpm.baseRow,$E369="Street Tree for Green Factor",$F369&lt;&gt;"",$F369&lt;&gt;"Retain"),
Error!$B$14,
IF(AND($E369="&lt;6in DSH for Tree Points",$F369="Retain",$H369&lt;&gt;"",ISNA(MATCH($H369,Tables!$B$174:$B$174,0))),
Error!$B$15,
IF(AND($E369="Street Tree for Green Factor",$F369="Retain",$H369&lt;&gt;"",$H369&lt;&gt;"Zoning: Green Factor"),
Error!$B$15,
IF(AND($E369="ECA / Shoreline Tree",$F369="Remove",$H369&lt;&gt;"",ISNA(MATCH($H369,Tables!$B$189:$B$190,0))),
Error!$B$15,
IF(AND($E369="ECA / Shoreline Tree",$F369="Retain",$H369&lt;&gt;"",ISNA(MATCH($H369,Tables!$B$184:$B$186,0))),
Error!$B$15,
IF(AND($E369="Tier 4",$F369="Remove",$H369&lt;&gt;"",ISNA(MATCH($H369,Tables!$B$171,0))),
Error!$B$15,
IF(AND($E369="Tier 4",$F369="Retain",$H369&lt;&gt;"",ISNA(MATCH($H369,Tables!$B$166:$B$168,0))),
Error!$B$15,
IF(AND($E369="Tier 3",$F369="Retain",$H369&lt;&gt;"",ISNA(MATCH($H369,Tables!$B$158:$B$160,0))),
Error!$B$15,
IF(AND($E369="Tier 3",$F369="Remove",$H369&lt;&gt;"",ISNA(MATCH($H369,Tables!$B$163,0))),
Error!$B$15,
IF(AND(OR($E369="Tier 2",$E369="Tier 2 Grove"),$F369="Remove",$H369&lt;&gt;"",ISNA(MATCH($H369,Tables!$B$153:$B$155,0))),
Error!$B$15,
IF(AND(OR($E369="Tier 2",$E369="Tier 2 Grove"),$F369="Retain",$H369&lt;&gt;"",ISNA(MATCH($H369,Tables!$B$147:$B$150,0))),
Error!$B$15,
IF(AND($E369="Tier 1",$F369="Remove",$H369&lt;&gt;"",ISNA(MATCH($H369,Tables!$B$143:$B$144,0))),
Error!$B$15,
IF(AND($E369="Tier 1",$F369="Retain",$H369&lt;&gt;"",ISNA(MATCH($H369,Tables!$B$137:$B$140,0))),
Error!$B$15,
IF(AND($E369&lt;&gt;"Tier 2",$E369&lt;&gt;"Tier 2 Grove",$E369&lt;&gt;"Tier 3",$E369&lt;&gt;"Tier 4",$H369="Zoning: Green Factor",OR($D369="",$D369&lt;6)),
Error!$B$11,
IF(AND(_xlpm.baseRow,$D369&lt;6,$E369="&lt;6in DSH for Tree Points",_xlpm.TreePoints_H=0),
Error!$B$21,
IF(AND(_xlpm.baseRow,$E369&lt;&gt;"",$D369&lt;&gt;"",$F369=""),
Error!$B$4,
IF(AND(_xlpm.baseRow,$F369="Remove",OR($E369="Tier 1",$E369="Tier 2",$E369="Tier 2 Grove"),COUNTBLANK(_xlpm.HRange)&lt;3,_xlpm.uniqueH&gt;=2),
Error!$B$48,
IF(AND(_xlpm.baseRow,$F369="Retain",OR($E369="Tier 1",$E369="Tier 2",$E369="Tier 2 Grove"),COUNTIF(_xlpm.HRange,"Tree Code: Required to Retain Tier 1-2 Tree")=0),
Error!$B$47,
IF(AND(_xlpm.baseRow,$E369&lt;&gt;"",$D369&lt;&gt;"",$F369&lt;&gt;"",COUNTBLANK(_xlpm.HRange)=4),
Error!$B$5,
IF(AND($F369="Remove",$H369&lt;&gt;"",$I369=""),
Error!$B$18,
IF(AND($E369="Tier 4",$F369="Remove",$H369="Tree Protection Code: Tier 3 or Tier 4 Allowance",$H369&lt;&gt;"",ISNA(MATCH($I369,Tables!$B$200,0))),
Error!$B$17,
IF(AND($E369="Tier 3",$F369="Remove",$H369&lt;&gt;"",$H369="Tree Protection Code: Tier 3 or Tier 4 Allowance",OR($I369="",ISNA(MATCH($I369,Tables!$B$193:$B$197,0)))),
Error!$B$17,
IF(AND(OR($E369="Tier 2",$E369="Tier 2 Grove"),$F369="Remove",$H369="Tree Protection Code: Other removal allowance or exemption",$I369&lt;&gt;"",ISNA(MATCH($I369,Tables!$B$215:$B$218,0))),
Error!$B$17,
IF(AND(OR($E369="Tier 2",$E369="Tier 2 Grove"),$F369="Remove",$H369="Tree Protection Code: Development Capacity",$I369&lt;&gt;"",ISNA(MATCH($I369,Tables!$B$193:$B$197,0))),
Error!$B$17,
IF(AND(OR($E369="Tier 2",$E369="Tier 2 Grove"),$F369="Remove",$H369="Tree Protection Code: Necessary for Construction",$I369&lt;&gt;"",ISNA(MATCH($I369,Tables!$B$193:$B$197,0))),
Error!$B$17,
IF(AND($E369="Tier 1",$F369="Remove",$H369="Tree Protection Code: Special Exception",$I369&lt;&gt;"",ISNA(MATCH($I369,Tables!$B$215:$B$218,0))),
Error!$B$17,
IF(AND($E369="Tier 1",$F369="Remove",$H369="Tree Protection Code: Other removal allowance or exemption",$I369&lt;&gt;"",ISNA(MATCH($I369,Tables!$B$215:$B$218,0))),
Error!$B$17,
IF(AND($E369="ECA / Shoreline Tree",$F369="Remove",$H369&lt;&gt;"",OR($H369="Shoreline",$H369="Environmental Critical Area (ECA)"),ISNA(MATCH($I369,Tables!$B$209:$B$212,0))),
Error!$B$17,
IF(AND(_xlpm.baseRow,$F369="Retain",$E369="ECA / Shoreline Tree",_xlpm.ECA_Short=0),
Error!$B$61,
IF(AND($F369="Remove",ISNUMBER(MATCH($E369,{"Tier 1","Tier 2","Tier 3","Tier 4","Tier 2 Grove"},0)),ISNUMBER(MATCH($I369,{"On-site replacement","Off-site replacement"},0)),$J369="",$H369&lt;&gt;""),
Error!$B$19,
IF(AND(_xlpm.baseRow,$E369&lt;&gt;"",$D369&lt;&gt;"",$F369&lt;&gt;"",COUNTBLANK($B369:$C369)&gt;0,COUNTBLANK(_xlpm.HRange)&lt;&gt;4),
Error!$B$22,
IF(AND($H369="Zoning: Tree Points",$K369&lt;&gt;"",ISNA(MATCH($K369,Tables!$B$242:$B$253,0))),
Error!$B$58,
IF(AND($H369="Zoning: Tree Points",$K369="Small",$L369&lt;&gt;"",ISNA(MATCH($L369,Tables!$C$243:$C$244,0))),
Error!$B$59,
IF(AND($H369="Zoning: Tree Points",$K369="Small/Medium",$L369&lt;&gt;"",ISNA(MATCH($L369,Tables!$C$246:$C$247,0))),
Error!$B$59,
IF(AND($H369="Zoning: Tree Points",$K369="Medium/Large",$L369&lt;&gt;"",ISNA(MATCH($L369,Tables!$C$249:$C$250,0))),
Error!$B$59,
IF(AND($H369="Zoning: Tree Points",$K369="Large",$L369&lt;&gt;"",ISNA(MATCH($L369,Tables!$C$252:$C$253,0))),
Error!$B$59,
IF(AND($F369="Retain",$H369="Zoning: Tree Points",$C369&lt;&gt;"",$D369&lt;&gt;"",OR($K369="",$L369="",$M369="")),
Error!$B$20,
""
)))))))))))))))))))))))))))))))))))))))))))))))))))))))),
Error!$B$23))</f>
        <v/>
      </c>
      <c r="O369" s="343" t="str" cm="1">
        <f t="array" aca="1" ref="O369" ca="1">IFERROR(_xlfn.LET(
    _xlpm.txt, $C369,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70" spans="1:15" ht="15" thickBot="1" x14ac:dyDescent="0.35">
      <c r="A370" s="331"/>
      <c r="B370" s="616" t="str">
        <f t="shared" si="406"/>
        <v/>
      </c>
      <c r="C370" s="617" t="str">
        <f t="shared" si="407"/>
        <v/>
      </c>
      <c r="D370" s="618" t="str">
        <f t="shared" si="408"/>
        <v/>
      </c>
      <c r="E370" s="616" t="str">
        <f t="shared" si="409"/>
        <v/>
      </c>
      <c r="F370" s="616" t="str">
        <f t="shared" si="410"/>
        <v/>
      </c>
      <c r="G370" s="619" t="str">
        <f>IF(Tree_Table1[[#This Row],[Tree Status  &amp;]]="Retain", Tables!$B$237, IF(Tree_Table1[[#This Row],[Tree Status  &amp;]]="Remove", Tables!$B$238, ""))</f>
        <v/>
      </c>
      <c r="H370" s="329"/>
      <c r="I370" s="330"/>
      <c r="J370" s="455"/>
      <c r="K370" s="327" t="str">
        <f>IFERROR(
    IF(
        AND($H370="Zoning: Tree Points", NOT(ISNUMBER(SEARCH("sp.", $C370)))),
        VLOOKUP($C370, 'Tree List'!$C$3:$F$601, 4, FALSE),
        ""
    ),
"")</f>
        <v/>
      </c>
      <c r="L370" s="328" t="str" cm="1">
        <f t="array" ref="L370">IFERROR(
IF(
    AND($H370="Zoning: Tree Points", NOT(ISNUMBER(SEARCH("sp.", $C370)))),
    _xlfn.IFS(
        (COUNTIFS('Tree List'!$C$3:$C$601,$C370,'Tree List'!$D$3:$D$601,"Coniferous")
        + COUNTIFS('Tree List'!$C$3:$C$601,$C370,'Tree List'!$D$3:$D$601,"Deciduous Conifer")) &gt; 0,
            _xlfn.IFS($K370="Small",0.5,$K370="Small/Medium",1,$K370="Medium/Large",1.4,$K370="Large",1.8),
        (COUNTIFS('Tree List'!$C$3:$C$601,$C370,'Tree List'!$D$3:$D$601,"Deciduous")
        + COUNTIFS('Tree List'!$C$3:$C$601,$C370,'Tree List'!$D$3:$D$601,"Broadleaf Evergreen")) &gt; 0,
            _xlfn.IFS($K370="Small",0.4,$K370="Small/Medium",0.8,$K370="Medium/Large",1.2,$K370="Large",1.6)
    ),
    ""
),
"")</f>
        <v/>
      </c>
      <c r="M370" s="476" t="str">
        <f t="shared" si="330"/>
        <v/>
      </c>
      <c r="N370" s="347" t="str" cm="1">
        <f t="array" aca="1" ref="N37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IF(AND(_xlpm.baseRow,ISNA(MATCH($C370,'Tree List'!$C$3:$C$601,0)),SUMPRODUCT(--ISNUMBER(SEARCH(Tables2!$C$677:$C$772,$O370)))&gt;0),
Error!$B$57,
IF(AND(_xlpm.hasDM,$F370="Remove",$H370&lt;&gt;"",OR($I370="On-site replacement",$I370="Off-site replacement",$I370="Payment In Lieu")),
Error!$B$56,
IF(AND(_xlpm.hasDM,$F370="Remove",$H370&lt;&gt;"",$I370="Relocation"),
Error!$B$66,
IF(AND(OR(_xlpm.hasCN,_xlpm.hasPH,_xlpm.hasGR),$H370&lt;&gt;"",COUNTIF(Tables!$B$132:$B$134,$H370)&gt;0,$I370="N/A (No replacement required)"),
Error!$B$62,
IF(AND(_xlpm.baseRow,$E370&lt;&gt;"",ISNA(MATCH($E370,Tables!$B$225:$B$232,0))),
Error!$B$2,
IF(AND(_xlpm.baseRow,$F370&lt;&gt;"",ISNA(MATCH($F370,Tables!$B$234:$B$235,0))),
Error!$B$24,
IF(AND(_xlpm.baseRow,_xlpm.ECA_H&gt;0,_xlpm.Shore_H&gt;0),
Error!$B$16,
IF(AND(_xlpm.baseRow,$E370&lt;&gt;"",$D370=""),
Error!$B$3,
IF(AND(_xlpm.baseRow,OR($E370="Tier 3",$E370="Tier 4"),$C370&lt;&gt;"",$D370&gt;=24,COUNTIF(Tables2!$B$166:$B$674,$C370)&gt;0),
Error!$B$44,
IF(AND(_xlpm.baseRow,OR($E370="Tier 3",$E370="Tier 4"),$C370&lt;&gt;"",$D370&lt;&gt;"",COUNTIF(Tables2!$B$73:$B$152,$C370)&gt;0,
$D370&gt;=IFERROR(INDEX(Tables2!$C$73:$C$152,MATCH($C370,Tables2!$B$73:$B$152,0)),-1)),
Error!$B$44,
IF(AND(_xlpm.baseRow,OR($E370="Tier 2",$E370="Tier 2 Grove"),$C370&lt;&gt;"",$D370&gt;=12,COUNTIF(Tables2!$B$153:$B$162,$C370)&gt;0),
Error!$B$45,
IF(AND(_xlpm.baseRow,$E370="Tier 2 Grove",$D370&lt;12),
Error!$B$41,
IF(AND(_xlpm.baseRow,$E370="Tier 2",$D370&lt;5.88),
Error!$B$40,
IF(AND(_xlpm.baseRow,OR($E370="Tier 2",$E370="Tier 2 Grove"),$C370&lt;&gt;"",$D370&lt;12,$D370&gt;=6,COUNTIF(Tables2!$B$153:$B$162,$C370)&gt;0),
Error!$B$54,
IF(AND(_xlpm.baseRow,$E370="Tier 2",COUNTIF(Tables2!$B$166:$B$674,$C370)&gt;0,$D370&lt;24),
Error!$B$54,
IF(AND(_xlpm.baseRow,$E370="Tier 3",ISNA(MATCH($C370,Tables2!$B$153:$B$162,0)),OR($D370&lt;12,$D370&gt;=24)),
Error!$B$9,
IF(AND(_xlpm.baseRow,$E370="Tier 3",COUNTIF(Tables2!$B$153:$B$162,$C370)&gt;0,$D370&lt;12),
Error!$B$46,
IF(AND(_xlpm.baseRow,$E370="Tier 4",OR($D370&lt;6,$D370&gt;=12)),
Error!$B$10,
IF(AND(_xlpm.baseRow,$E370="&lt;6in DSH for Tree Points",OR($D370&gt;=6,$D370="")),
Error!$B$8,
IF(AND(_xlpm.baseRow,$E370="Street Tree for Green Factor",$F370&lt;&gt;"",$F370&lt;&gt;"Retain"),
Error!$B$14,
IF(AND($E370="&lt;6in DSH for Tree Points",$F370="Retain",$H370&lt;&gt;"",ISNA(MATCH($H370,Tables!$B$174:$B$174,0))),
Error!$B$15,
IF(AND($E370="Street Tree for Green Factor",$F370="Retain",$H370&lt;&gt;"",$H370&lt;&gt;"Zoning: Green Factor"),
Error!$B$15,
IF(AND($E370="ECA / Shoreline Tree",$F370="Remove",$H370&lt;&gt;"",ISNA(MATCH($H370,Tables!$B$189:$B$190,0))),
Error!$B$15,
IF(AND($E370="ECA / Shoreline Tree",$F370="Retain",$H370&lt;&gt;"",ISNA(MATCH($H370,Tables!$B$184:$B$186,0))),
Error!$B$15,
IF(AND($E370="Tier 4",$F370="Remove",$H370&lt;&gt;"",ISNA(MATCH($H370,Tables!$B$171,0))),
Error!$B$15,
IF(AND($E370="Tier 4",$F370="Retain",$H370&lt;&gt;"",ISNA(MATCH($H370,Tables!$B$166:$B$168,0))),
Error!$B$15,
IF(AND($E370="Tier 3",$F370="Retain",$H370&lt;&gt;"",ISNA(MATCH($H370,Tables!$B$158:$B$160,0))),
Error!$B$15,
IF(AND($E370="Tier 3",$F370="Remove",$H370&lt;&gt;"",ISNA(MATCH($H370,Tables!$B$163,0))),
Error!$B$15,
IF(AND(OR($E370="Tier 2",$E370="Tier 2 Grove"),$F370="Remove",$H370&lt;&gt;"",ISNA(MATCH($H370,Tables!$B$153:$B$155,0))),
Error!$B$15,
IF(AND(OR($E370="Tier 2",$E370="Tier 2 Grove"),$F370="Retain",$H370&lt;&gt;"",ISNA(MATCH($H370,Tables!$B$147:$B$150,0))),
Error!$B$15,
IF(AND($E370="Tier 1",$F370="Remove",$H370&lt;&gt;"",ISNA(MATCH($H370,Tables!$B$143:$B$144,0))),
Error!$B$15,
IF(AND($E370="Tier 1",$F370="Retain",$H370&lt;&gt;"",ISNA(MATCH($H370,Tables!$B$137:$B$140,0))),
Error!$B$15,
IF(AND($E370&lt;&gt;"Tier 2",$E370&lt;&gt;"Tier 2 Grove",$E370&lt;&gt;"Tier 3",$E370&lt;&gt;"Tier 4",$H370="Zoning: Green Factor",OR($D370="",$D370&lt;6)),
Error!$B$11,
IF(AND(_xlpm.baseRow,$D370&lt;6,$E370="&lt;6in DSH for Tree Points",_xlpm.TreePoints_H=0),
Error!$B$21,
IF(AND(_xlpm.baseRow,$E370&lt;&gt;"",$D370&lt;&gt;"",$F370=""),
Error!$B$4,
IF(AND(_xlpm.baseRow,$F370="Remove",OR($E370="Tier 1",$E370="Tier 2",$E370="Tier 2 Grove"),COUNTBLANK(_xlpm.HRange)&lt;3,_xlpm.uniqueH&gt;=2),
Error!$B$48,
IF(AND(_xlpm.baseRow,$F370="Retain",OR($E370="Tier 1",$E370="Tier 2",$E370="Tier 2 Grove"),COUNTIF(_xlpm.HRange,"Tree Code: Required to Retain Tier 1-2 Tree")=0),
Error!$B$47,
IF(AND(_xlpm.baseRow,$E370&lt;&gt;"",$D370&lt;&gt;"",$F370&lt;&gt;"",COUNTBLANK(_xlpm.HRange)=4),
Error!$B$5,
IF(AND($F370="Remove",$H370&lt;&gt;"",$I370=""),
Error!$B$18,
IF(AND($E370="Tier 4",$F370="Remove",$H370="Tree Protection Code: Tier 3 or Tier 4 Allowance",$H370&lt;&gt;"",ISNA(MATCH($I370,Tables!$B$200,0))),
Error!$B$17,
IF(AND($E370="Tier 3",$F370="Remove",$H370&lt;&gt;"",$H370="Tree Protection Code: Tier 3 or Tier 4 Allowance",OR($I370="",ISNA(MATCH($I370,Tables!$B$193:$B$197,0)))),
Error!$B$17,
IF(AND(OR($E370="Tier 2",$E370="Tier 2 Grove"),$F370="Remove",$H370="Tree Protection Code: Other removal allowance or exemption",$I370&lt;&gt;"",ISNA(MATCH($I370,Tables!$B$215:$B$218,0))),
Error!$B$17,
IF(AND(OR($E370="Tier 2",$E370="Tier 2 Grove"),$F370="Remove",$H370="Tree Protection Code: Development Capacity",$I370&lt;&gt;"",ISNA(MATCH($I370,Tables!$B$193:$B$197,0))),
Error!$B$17,
IF(AND(OR($E370="Tier 2",$E370="Tier 2 Grove"),$F370="Remove",$H370="Tree Protection Code: Necessary for Construction",$I370&lt;&gt;"",ISNA(MATCH($I370,Tables!$B$193:$B$197,0))),
Error!$B$17,
IF(AND($E370="Tier 1",$F370="Remove",$H370="Tree Protection Code: Special Exception",$I370&lt;&gt;"",ISNA(MATCH($I370,Tables!$B$215:$B$218,0))),
Error!$B$17,
IF(AND($E370="Tier 1",$F370="Remove",$H370="Tree Protection Code: Other removal allowance or exemption",$I370&lt;&gt;"",ISNA(MATCH($I370,Tables!$B$215:$B$218,0))),
Error!$B$17,
IF(AND($E370="ECA / Shoreline Tree",$F370="Remove",$H370&lt;&gt;"",OR($H370="Shoreline",$H370="Environmental Critical Area (ECA)"),ISNA(MATCH($I370,Tables!$B$209:$B$212,0))),
Error!$B$17,
IF(AND(_xlpm.baseRow,$F370="Retain",$E370="ECA / Shoreline Tree",_xlpm.ECA_Short=0),
Error!$B$61,
IF(AND($F370="Remove",ISNUMBER(MATCH($E370,{"Tier 1","Tier 2","Tier 3","Tier 4","Tier 2 Grove"},0)),ISNUMBER(MATCH($I370,{"On-site replacement","Off-site replacement"},0)),$J370="",$H370&lt;&gt;""),
Error!$B$19,
IF(AND(_xlpm.baseRow,$E370&lt;&gt;"",$D370&lt;&gt;"",$F370&lt;&gt;"",COUNTBLANK($B370:$C370)&gt;0,COUNTBLANK(_xlpm.HRange)&lt;&gt;4),
Error!$B$22,
IF(AND($H370="Zoning: Tree Points",$K370&lt;&gt;"",ISNA(MATCH($K370,Tables!$B$242:$B$253,0))),
Error!$B$58,
IF(AND($H370="Zoning: Tree Points",$K370="Small",$L370&lt;&gt;"",ISNA(MATCH($L370,Tables!$C$243:$C$244,0))),
Error!$B$59,
IF(AND($H370="Zoning: Tree Points",$K370="Small/Medium",$L370&lt;&gt;"",ISNA(MATCH($L370,Tables!$C$246:$C$247,0))),
Error!$B$59,
IF(AND($H370="Zoning: Tree Points",$K370="Medium/Large",$L370&lt;&gt;"",ISNA(MATCH($L370,Tables!$C$249:$C$250,0))),
Error!$B$59,
IF(AND($H370="Zoning: Tree Points",$K370="Large",$L370&lt;&gt;"",ISNA(MATCH($L370,Tables!$C$252:$C$253,0))),
Error!$B$59,
IF(AND($F370="Retain",$H370="Zoning: Tree Points",$C370&lt;&gt;"",$D370&lt;&gt;"",OR($K370="",$L370="",$M370="")),
Error!$B$20,
""
)))))))))))))))))))))))))))))))))))))))))))))))))))))))),
Error!$B$23))</f>
        <v/>
      </c>
      <c r="O370" s="343" t="str" cm="1">
        <f t="array" aca="1" ref="O370" ca="1">IFERROR(_xlfn.LET(
    _xlpm.txt, $C370,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71" spans="1:15" ht="15" thickBot="1" x14ac:dyDescent="0.35">
      <c r="A371" s="311">
        <v>91</v>
      </c>
      <c r="B371" s="312"/>
      <c r="C371" s="313"/>
      <c r="D371" s="478"/>
      <c r="E371" s="314"/>
      <c r="F371" s="314"/>
      <c r="G371" s="315" t="str">
        <f>IF(Tree_Table1[[#This Row],[Tree Status  &amp;]]="Retain", Tables!$B$237, IF(Tree_Table1[[#This Row],[Tree Status  &amp;]]="Remove", Tables!$B$238, ""))</f>
        <v/>
      </c>
      <c r="H371" s="316"/>
      <c r="I371" s="317"/>
      <c r="J371" s="452"/>
      <c r="K371" s="318" t="str">
        <f>IFERROR(
    IF(
        AND($H371="Zoning: Tree Points", NOT(ISNUMBER(SEARCH("sp.", $C371)))),
        VLOOKUP($C371, 'Tree List'!$C$3:$F$601, 4, FALSE),
        ""
    ),
"")</f>
        <v/>
      </c>
      <c r="L371" s="319" t="str" cm="1">
        <f t="array" ref="L371">IFERROR(
IF(
    AND($H371="Zoning: Tree Points", NOT(ISNUMBER(SEARCH("sp.", $C371)))),
    _xlfn.IFS(
        (COUNTIFS('Tree List'!$C$3:$C$601,$C371,'Tree List'!$D$3:$D$601,"Coniferous")
        + COUNTIFS('Tree List'!$C$3:$C$601,$C371,'Tree List'!$D$3:$D$601,"Deciduous Conifer")) &gt; 0,
            _xlfn.IFS($K371="Small",0.5,$K371="Small/Medium",1,$K371="Medium/Large",1.4,$K371="Large",1.8),
        (COUNTIFS('Tree List'!$C$3:$C$601,$C371,'Tree List'!$D$3:$D$601,"Deciduous")
        + COUNTIFS('Tree List'!$C$3:$C$601,$C371,'Tree List'!$D$3:$D$601,"Broadleaf Evergreen")) &gt; 0,
            _xlfn.IFS($K371="Small",0.4,$K371="Small/Medium",0.8,$K371="Medium/Large",1.2,$K371="Large",1.6)
    ),
    ""
),
"")</f>
        <v/>
      </c>
      <c r="M371" s="474" t="str">
        <f t="shared" ref="M371:M434" si="411">IFERROR($D371*$L371,"")</f>
        <v/>
      </c>
      <c r="N371" s="620" t="str" cm="1">
        <f t="array" aca="1" ref="N37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IF(AND(_xlpm.baseRow,ISNA(MATCH($C371,'Tree List'!$C$3:$C$601,0)),SUMPRODUCT(--ISNUMBER(SEARCH(Tables2!$C$677:$C$772,$O371)))&gt;0),
Error!$B$57,
IF(AND(_xlpm.hasDM,$F371="Remove",$H371&lt;&gt;"",OR($I371="On-site replacement",$I371="Off-site replacement",$I371="Payment In Lieu")),
Error!$B$56,
IF(AND(_xlpm.hasDM,$F371="Remove",$H371&lt;&gt;"",$I371="Relocation"),
Error!$B$66,
IF(AND(OR(_xlpm.hasCN,_xlpm.hasPH,_xlpm.hasGR),$H371&lt;&gt;"",COUNTIF(Tables!$B$132:$B$134,$H371)&gt;0,$I371="N/A (No replacement required)"),
Error!$B$62,
IF(AND(_xlpm.baseRow,$E371&lt;&gt;"",ISNA(MATCH($E371,Tables!$B$225:$B$232,0))),
Error!$B$2,
IF(AND(_xlpm.baseRow,$F371&lt;&gt;"",ISNA(MATCH($F371,Tables!$B$234:$B$235,0))),
Error!$B$24,
IF(AND(_xlpm.baseRow,_xlpm.ECA_H&gt;0,_xlpm.Shore_H&gt;0),
Error!$B$16,
IF(AND(_xlpm.baseRow,$E371&lt;&gt;"",$D371=""),
Error!$B$3,
IF(AND(_xlpm.baseRow,OR($E371="Tier 3",$E371="Tier 4"),$C371&lt;&gt;"",$D371&gt;=24,COUNTIF(Tables2!$B$166:$B$674,$C371)&gt;0),
Error!$B$44,
IF(AND(_xlpm.baseRow,OR($E371="Tier 3",$E371="Tier 4"),$C371&lt;&gt;"",$D371&lt;&gt;"",COUNTIF(Tables2!$B$73:$B$152,$C371)&gt;0,
$D371&gt;=IFERROR(INDEX(Tables2!$C$73:$C$152,MATCH($C371,Tables2!$B$73:$B$152,0)),-1)),
Error!$B$44,
IF(AND(_xlpm.baseRow,OR($E371="Tier 2",$E371="Tier 2 Grove"),$C371&lt;&gt;"",$D371&gt;=12,COUNTIF(Tables2!$B$153:$B$162,$C371)&gt;0),
Error!$B$45,
IF(AND(_xlpm.baseRow,$E371="Tier 2 Grove",$D371&lt;12),
Error!$B$41,
IF(AND(_xlpm.baseRow,$E371="Tier 2",$D371&lt;5.88),
Error!$B$40,
IF(AND(_xlpm.baseRow,OR($E371="Tier 2",$E371="Tier 2 Grove"),$C371&lt;&gt;"",$D371&lt;12,$D371&gt;=6,COUNTIF(Tables2!$B$153:$B$162,$C371)&gt;0),
Error!$B$54,
IF(AND(_xlpm.baseRow,$E371="Tier 2",COUNTIF(Tables2!$B$166:$B$674,$C371)&gt;0,$D371&lt;24),
Error!$B$54,
IF(AND(_xlpm.baseRow,$E371="Tier 3",ISNA(MATCH($C371,Tables2!$B$153:$B$162,0)),OR($D371&lt;12,$D371&gt;=24)),
Error!$B$9,
IF(AND(_xlpm.baseRow,$E371="Tier 3",COUNTIF(Tables2!$B$153:$B$162,$C371)&gt;0,$D371&lt;12),
Error!$B$46,
IF(AND(_xlpm.baseRow,$E371="Tier 4",OR($D371&lt;6,$D371&gt;=12)),
Error!$B$10,
IF(AND(_xlpm.baseRow,$E371="&lt;6in DSH for Tree Points",OR($D371&gt;=6,$D371="")),
Error!$B$8,
IF(AND(_xlpm.baseRow,$E371="Street Tree for Green Factor",$F371&lt;&gt;"",$F371&lt;&gt;"Retain"),
Error!$B$14,
IF(AND($E371="&lt;6in DSH for Tree Points",$F371="Retain",$H371&lt;&gt;"",ISNA(MATCH($H371,Tables!$B$174:$B$174,0))),
Error!$B$15,
IF(AND($E371="Street Tree for Green Factor",$F371="Retain",$H371&lt;&gt;"",$H371&lt;&gt;"Zoning: Green Factor"),
Error!$B$15,
IF(AND($E371="ECA / Shoreline Tree",$F371="Remove",$H371&lt;&gt;"",ISNA(MATCH($H371,Tables!$B$189:$B$190,0))),
Error!$B$15,
IF(AND($E371="ECA / Shoreline Tree",$F371="Retain",$H371&lt;&gt;"",ISNA(MATCH($H371,Tables!$B$184:$B$186,0))),
Error!$B$15,
IF(AND($E371="Tier 4",$F371="Remove",$H371&lt;&gt;"",ISNA(MATCH($H371,Tables!$B$171,0))),
Error!$B$15,
IF(AND($E371="Tier 4",$F371="Retain",$H371&lt;&gt;"",ISNA(MATCH($H371,Tables!$B$166:$B$168,0))),
Error!$B$15,
IF(AND($E371="Tier 3",$F371="Retain",$H371&lt;&gt;"",ISNA(MATCH($H371,Tables!$B$158:$B$160,0))),
Error!$B$15,
IF(AND($E371="Tier 3",$F371="Remove",$H371&lt;&gt;"",ISNA(MATCH($H371,Tables!$B$163,0))),
Error!$B$15,
IF(AND(OR($E371="Tier 2",$E371="Tier 2 Grove"),$F371="Remove",$H371&lt;&gt;"",ISNA(MATCH($H371,Tables!$B$153:$B$155,0))),
Error!$B$15,
IF(AND(OR($E371="Tier 2",$E371="Tier 2 Grove"),$F371="Retain",$H371&lt;&gt;"",ISNA(MATCH($H371,Tables!$B$147:$B$150,0))),
Error!$B$15,
IF(AND($E371="Tier 1",$F371="Remove",$H371&lt;&gt;"",ISNA(MATCH($H371,Tables!$B$143:$B$144,0))),
Error!$B$15,
IF(AND($E371="Tier 1",$F371="Retain",$H371&lt;&gt;"",ISNA(MATCH($H371,Tables!$B$137:$B$140,0))),
Error!$B$15,
IF(AND($E371&lt;&gt;"Tier 2",$E371&lt;&gt;"Tier 2 Grove",$E371&lt;&gt;"Tier 3",$E371&lt;&gt;"Tier 4",$H371="Zoning: Green Factor",OR($D371="",$D371&lt;6)),
Error!$B$11,
IF(AND(_xlpm.baseRow,$D371&lt;6,$E371="&lt;6in DSH for Tree Points",_xlpm.TreePoints_H=0),
Error!$B$21,
IF(AND(_xlpm.baseRow,$E371&lt;&gt;"",$D371&lt;&gt;"",$F371=""),
Error!$B$4,
IF(AND(_xlpm.baseRow,$F371="Remove",OR($E371="Tier 1",$E371="Tier 2",$E371="Tier 2 Grove"),COUNTBLANK(_xlpm.HRange)&lt;3,_xlpm.uniqueH&gt;=2),
Error!$B$48,
IF(AND(_xlpm.baseRow,$F371="Retain",OR($E371="Tier 1",$E371="Tier 2",$E371="Tier 2 Grove"),COUNTIF(_xlpm.HRange,"Tree Code: Required to Retain Tier 1-2 Tree")=0),
Error!$B$47,
IF(AND(_xlpm.baseRow,$E371&lt;&gt;"",$D371&lt;&gt;"",$F371&lt;&gt;"",COUNTBLANK(_xlpm.HRange)=4),
Error!$B$5,
IF(AND($F371="Remove",$H371&lt;&gt;"",$I371=""),
Error!$B$18,
IF(AND($E371="Tier 4",$F371="Remove",$H371="Tree Protection Code: Tier 3 or Tier 4 Allowance",$H371&lt;&gt;"",ISNA(MATCH($I371,Tables!$B$200,0))),
Error!$B$17,
IF(AND($E371="Tier 3",$F371="Remove",$H371&lt;&gt;"",$H371="Tree Protection Code: Tier 3 or Tier 4 Allowance",OR($I371="",ISNA(MATCH($I371,Tables!$B$193:$B$197,0)))),
Error!$B$17,
IF(AND(OR($E371="Tier 2",$E371="Tier 2 Grove"),$F371="Remove",$H371="Tree Protection Code: Other removal allowance or exemption",$I371&lt;&gt;"",ISNA(MATCH($I371,Tables!$B$215:$B$218,0))),
Error!$B$17,
IF(AND(OR($E371="Tier 2",$E371="Tier 2 Grove"),$F371="Remove",$H371="Tree Protection Code: Development Capacity",$I371&lt;&gt;"",ISNA(MATCH($I371,Tables!$B$193:$B$197,0))),
Error!$B$17,
IF(AND(OR($E371="Tier 2",$E371="Tier 2 Grove"),$F371="Remove",$H371="Tree Protection Code: Necessary for Construction",$I371&lt;&gt;"",ISNA(MATCH($I371,Tables!$B$193:$B$197,0))),
Error!$B$17,
IF(AND($E371="Tier 1",$F371="Remove",$H371="Tree Protection Code: Special Exception",$I371&lt;&gt;"",ISNA(MATCH($I371,Tables!$B$215:$B$218,0))),
Error!$B$17,
IF(AND($E371="Tier 1",$F371="Remove",$H371="Tree Protection Code: Other removal allowance or exemption",$I371&lt;&gt;"",ISNA(MATCH($I371,Tables!$B$215:$B$218,0))),
Error!$B$17,
IF(AND($E371="ECA / Shoreline Tree",$F371="Remove",$H371&lt;&gt;"",OR($H371="Shoreline",$H371="Environmental Critical Area (ECA)"),ISNA(MATCH($I371,Tables!$B$209:$B$212,0))),
Error!$B$17,
IF(AND(_xlpm.baseRow,$F371="Retain",$E371="ECA / Shoreline Tree",_xlpm.ECA_Short=0),
Error!$B$61,
IF(AND($F371="Remove",ISNUMBER(MATCH($E371,{"Tier 1","Tier 2","Tier 3","Tier 4","Tier 2 Grove"},0)),ISNUMBER(MATCH($I371,{"On-site replacement","Off-site replacement"},0)),$J371="",$H371&lt;&gt;""),
Error!$B$19,
IF(AND(_xlpm.baseRow,$E371&lt;&gt;"",$D371&lt;&gt;"",$F371&lt;&gt;"",COUNTBLANK($B371:$C371)&gt;0,COUNTBLANK(_xlpm.HRange)&lt;&gt;4),
Error!$B$22,
IF(AND($H371="Zoning: Tree Points",$K371&lt;&gt;"",ISNA(MATCH($K371,Tables!$B$242:$B$253,0))),
Error!$B$58,
IF(AND($H371="Zoning: Tree Points",$K371="Small",$L371&lt;&gt;"",ISNA(MATCH($L371,Tables!$C$243:$C$244,0))),
Error!$B$59,
IF(AND($H371="Zoning: Tree Points",$K371="Small/Medium",$L371&lt;&gt;"",ISNA(MATCH($L371,Tables!$C$246:$C$247,0))),
Error!$B$59,
IF(AND($H371="Zoning: Tree Points",$K371="Medium/Large",$L371&lt;&gt;"",ISNA(MATCH($L371,Tables!$C$249:$C$250,0))),
Error!$B$59,
IF(AND($H371="Zoning: Tree Points",$K371="Large",$L371&lt;&gt;"",ISNA(MATCH($L371,Tables!$C$252:$C$253,0))),
Error!$B$59,
IF(AND($F371="Retain",$H371="Zoning: Tree Points",$C371&lt;&gt;"",$D371&lt;&gt;"",OR($K371="",$L371="",$M371="")),
Error!$B$20,
""
)))))))))))))))))))))))))))))))))))))))))))))))))))))))),
Error!$B$23))</f>
        <v/>
      </c>
      <c r="O371" s="343" t="str" cm="1">
        <f t="array" aca="1" ref="O371" ca="1">IFERROR(_xlfn.LET(
    _xlpm.txt, $C371,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72" spans="1:15" x14ac:dyDescent="0.3">
      <c r="A372" s="320"/>
      <c r="B372" s="616" t="str">
        <f t="shared" ref="B372:B374" si="412">IF($B371="", "", $B371)</f>
        <v/>
      </c>
      <c r="C372" s="617" t="str">
        <f t="shared" ref="C372:C374" si="413">IF($C371="", "", $C371)</f>
        <v/>
      </c>
      <c r="D372" s="618" t="str">
        <f t="shared" ref="D372:D374" si="414">IF($D371="", "", $D371)</f>
        <v/>
      </c>
      <c r="E372" s="616" t="str">
        <f t="shared" ref="E372:E374" si="415">IF($E371="", "", $E371)</f>
        <v/>
      </c>
      <c r="F372" s="616" t="str">
        <f t="shared" ref="F372:F374" si="416">IF($F371="", "", $F371)</f>
        <v/>
      </c>
      <c r="G372" s="619" t="str">
        <f>IF(Tree_Table1[[#This Row],[Tree Status  &amp;]]="Retain", Tables!$B$237, IF(Tree_Table1[[#This Row],[Tree Status  &amp;]]="Remove", Tables!$B$238, ""))</f>
        <v/>
      </c>
      <c r="H372" s="321"/>
      <c r="I372" s="322"/>
      <c r="J372" s="453"/>
      <c r="K372" s="323" t="str">
        <f>IFERROR(
    IF(
        AND($H372="Zoning: Tree Points", NOT(ISNUMBER(SEARCH("sp.", $C372)))),
        VLOOKUP($C372, 'Tree List'!$C$3:$F$601, 4, FALSE),
        ""
    ),
"")</f>
        <v/>
      </c>
      <c r="L372" s="324" t="str" cm="1">
        <f t="array" ref="L372">IFERROR(
IF(
    AND($H372="Zoning: Tree Points", NOT(ISNUMBER(SEARCH("sp.", $C372)))),
    _xlfn.IFS(
        (COUNTIFS('Tree List'!$C$3:$C$601,$C372,'Tree List'!$D$3:$D$601,"Coniferous")
        + COUNTIFS('Tree List'!$C$3:$C$601,$C372,'Tree List'!$D$3:$D$601,"Deciduous Conifer")) &gt; 0,
            _xlfn.IFS($K372="Small",0.5,$K372="Small/Medium",1,$K372="Medium/Large",1.4,$K372="Large",1.8),
        (COUNTIFS('Tree List'!$C$3:$C$601,$C372,'Tree List'!$D$3:$D$601,"Deciduous")
        + COUNTIFS('Tree List'!$C$3:$C$601,$C372,'Tree List'!$D$3:$D$601,"Broadleaf Evergreen")) &gt; 0,
            _xlfn.IFS($K372="Small",0.4,$K372="Small/Medium",0.8,$K372="Medium/Large",1.2,$K372="Large",1.6)
    ),
    ""
),
"")</f>
        <v/>
      </c>
      <c r="M372" s="475" t="str">
        <f t="shared" si="411"/>
        <v/>
      </c>
      <c r="N372" s="346" t="str" cm="1">
        <f t="array" aca="1" ref="N37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IF(AND(_xlpm.baseRow,ISNA(MATCH($C372,'Tree List'!$C$3:$C$601,0)),SUMPRODUCT(--ISNUMBER(SEARCH(Tables2!$C$677:$C$772,$O372)))&gt;0),
Error!$B$57,
IF(AND(_xlpm.hasDM,$F372="Remove",$H372&lt;&gt;"",OR($I372="On-site replacement",$I372="Off-site replacement",$I372="Payment In Lieu")),
Error!$B$56,
IF(AND(_xlpm.hasDM,$F372="Remove",$H372&lt;&gt;"",$I372="Relocation"),
Error!$B$66,
IF(AND(OR(_xlpm.hasCN,_xlpm.hasPH,_xlpm.hasGR),$H372&lt;&gt;"",COUNTIF(Tables!$B$132:$B$134,$H372)&gt;0,$I372="N/A (No replacement required)"),
Error!$B$62,
IF(AND(_xlpm.baseRow,$E372&lt;&gt;"",ISNA(MATCH($E372,Tables!$B$225:$B$232,0))),
Error!$B$2,
IF(AND(_xlpm.baseRow,$F372&lt;&gt;"",ISNA(MATCH($F372,Tables!$B$234:$B$235,0))),
Error!$B$24,
IF(AND(_xlpm.baseRow,_xlpm.ECA_H&gt;0,_xlpm.Shore_H&gt;0),
Error!$B$16,
IF(AND(_xlpm.baseRow,$E372&lt;&gt;"",$D372=""),
Error!$B$3,
IF(AND(_xlpm.baseRow,OR($E372="Tier 3",$E372="Tier 4"),$C372&lt;&gt;"",$D372&gt;=24,COUNTIF(Tables2!$B$166:$B$674,$C372)&gt;0),
Error!$B$44,
IF(AND(_xlpm.baseRow,OR($E372="Tier 3",$E372="Tier 4"),$C372&lt;&gt;"",$D372&lt;&gt;"",COUNTIF(Tables2!$B$73:$B$152,$C372)&gt;0,
$D372&gt;=IFERROR(INDEX(Tables2!$C$73:$C$152,MATCH($C372,Tables2!$B$73:$B$152,0)),-1)),
Error!$B$44,
IF(AND(_xlpm.baseRow,OR($E372="Tier 2",$E372="Tier 2 Grove"),$C372&lt;&gt;"",$D372&gt;=12,COUNTIF(Tables2!$B$153:$B$162,$C372)&gt;0),
Error!$B$45,
IF(AND(_xlpm.baseRow,$E372="Tier 2 Grove",$D372&lt;12),
Error!$B$41,
IF(AND(_xlpm.baseRow,$E372="Tier 2",$D372&lt;5.88),
Error!$B$40,
IF(AND(_xlpm.baseRow,OR($E372="Tier 2",$E372="Tier 2 Grove"),$C372&lt;&gt;"",$D372&lt;12,$D372&gt;=6,COUNTIF(Tables2!$B$153:$B$162,$C372)&gt;0),
Error!$B$54,
IF(AND(_xlpm.baseRow,$E372="Tier 2",COUNTIF(Tables2!$B$166:$B$674,$C372)&gt;0,$D372&lt;24),
Error!$B$54,
IF(AND(_xlpm.baseRow,$E372="Tier 3",ISNA(MATCH($C372,Tables2!$B$153:$B$162,0)),OR($D372&lt;12,$D372&gt;=24)),
Error!$B$9,
IF(AND(_xlpm.baseRow,$E372="Tier 3",COUNTIF(Tables2!$B$153:$B$162,$C372)&gt;0,$D372&lt;12),
Error!$B$46,
IF(AND(_xlpm.baseRow,$E372="Tier 4",OR($D372&lt;6,$D372&gt;=12)),
Error!$B$10,
IF(AND(_xlpm.baseRow,$E372="&lt;6in DSH for Tree Points",OR($D372&gt;=6,$D372="")),
Error!$B$8,
IF(AND(_xlpm.baseRow,$E372="Street Tree for Green Factor",$F372&lt;&gt;"",$F372&lt;&gt;"Retain"),
Error!$B$14,
IF(AND($E372="&lt;6in DSH for Tree Points",$F372="Retain",$H372&lt;&gt;"",ISNA(MATCH($H372,Tables!$B$174:$B$174,0))),
Error!$B$15,
IF(AND($E372="Street Tree for Green Factor",$F372="Retain",$H372&lt;&gt;"",$H372&lt;&gt;"Zoning: Green Factor"),
Error!$B$15,
IF(AND($E372="ECA / Shoreline Tree",$F372="Remove",$H372&lt;&gt;"",ISNA(MATCH($H372,Tables!$B$189:$B$190,0))),
Error!$B$15,
IF(AND($E372="ECA / Shoreline Tree",$F372="Retain",$H372&lt;&gt;"",ISNA(MATCH($H372,Tables!$B$184:$B$186,0))),
Error!$B$15,
IF(AND($E372="Tier 4",$F372="Remove",$H372&lt;&gt;"",ISNA(MATCH($H372,Tables!$B$171,0))),
Error!$B$15,
IF(AND($E372="Tier 4",$F372="Retain",$H372&lt;&gt;"",ISNA(MATCH($H372,Tables!$B$166:$B$168,0))),
Error!$B$15,
IF(AND($E372="Tier 3",$F372="Retain",$H372&lt;&gt;"",ISNA(MATCH($H372,Tables!$B$158:$B$160,0))),
Error!$B$15,
IF(AND($E372="Tier 3",$F372="Remove",$H372&lt;&gt;"",ISNA(MATCH($H372,Tables!$B$163,0))),
Error!$B$15,
IF(AND(OR($E372="Tier 2",$E372="Tier 2 Grove"),$F372="Remove",$H372&lt;&gt;"",ISNA(MATCH($H372,Tables!$B$153:$B$155,0))),
Error!$B$15,
IF(AND(OR($E372="Tier 2",$E372="Tier 2 Grove"),$F372="Retain",$H372&lt;&gt;"",ISNA(MATCH($H372,Tables!$B$147:$B$150,0))),
Error!$B$15,
IF(AND($E372="Tier 1",$F372="Remove",$H372&lt;&gt;"",ISNA(MATCH($H372,Tables!$B$143:$B$144,0))),
Error!$B$15,
IF(AND($E372="Tier 1",$F372="Retain",$H372&lt;&gt;"",ISNA(MATCH($H372,Tables!$B$137:$B$140,0))),
Error!$B$15,
IF(AND($E372&lt;&gt;"Tier 2",$E372&lt;&gt;"Tier 2 Grove",$E372&lt;&gt;"Tier 3",$E372&lt;&gt;"Tier 4",$H372="Zoning: Green Factor",OR($D372="",$D372&lt;6)),
Error!$B$11,
IF(AND(_xlpm.baseRow,$D372&lt;6,$E372="&lt;6in DSH for Tree Points",_xlpm.TreePoints_H=0),
Error!$B$21,
IF(AND(_xlpm.baseRow,$E372&lt;&gt;"",$D372&lt;&gt;"",$F372=""),
Error!$B$4,
IF(AND(_xlpm.baseRow,$F372="Remove",OR($E372="Tier 1",$E372="Tier 2",$E372="Tier 2 Grove"),COUNTBLANK(_xlpm.HRange)&lt;3,_xlpm.uniqueH&gt;=2),
Error!$B$48,
IF(AND(_xlpm.baseRow,$F372="Retain",OR($E372="Tier 1",$E372="Tier 2",$E372="Tier 2 Grove"),COUNTIF(_xlpm.HRange,"Tree Code: Required to Retain Tier 1-2 Tree")=0),
Error!$B$47,
IF(AND(_xlpm.baseRow,$E372&lt;&gt;"",$D372&lt;&gt;"",$F372&lt;&gt;"",COUNTBLANK(_xlpm.HRange)=4),
Error!$B$5,
IF(AND($F372="Remove",$H372&lt;&gt;"",$I372=""),
Error!$B$18,
IF(AND($E372="Tier 4",$F372="Remove",$H372="Tree Protection Code: Tier 3 or Tier 4 Allowance",$H372&lt;&gt;"",ISNA(MATCH($I372,Tables!$B$200,0))),
Error!$B$17,
IF(AND($E372="Tier 3",$F372="Remove",$H372&lt;&gt;"",$H372="Tree Protection Code: Tier 3 or Tier 4 Allowance",OR($I372="",ISNA(MATCH($I372,Tables!$B$193:$B$197,0)))),
Error!$B$17,
IF(AND(OR($E372="Tier 2",$E372="Tier 2 Grove"),$F372="Remove",$H372="Tree Protection Code: Other removal allowance or exemption",$I372&lt;&gt;"",ISNA(MATCH($I372,Tables!$B$215:$B$218,0))),
Error!$B$17,
IF(AND(OR($E372="Tier 2",$E372="Tier 2 Grove"),$F372="Remove",$H372="Tree Protection Code: Development Capacity",$I372&lt;&gt;"",ISNA(MATCH($I372,Tables!$B$193:$B$197,0))),
Error!$B$17,
IF(AND(OR($E372="Tier 2",$E372="Tier 2 Grove"),$F372="Remove",$H372="Tree Protection Code: Necessary for Construction",$I372&lt;&gt;"",ISNA(MATCH($I372,Tables!$B$193:$B$197,0))),
Error!$B$17,
IF(AND($E372="Tier 1",$F372="Remove",$H372="Tree Protection Code: Special Exception",$I372&lt;&gt;"",ISNA(MATCH($I372,Tables!$B$215:$B$218,0))),
Error!$B$17,
IF(AND($E372="Tier 1",$F372="Remove",$H372="Tree Protection Code: Other removal allowance or exemption",$I372&lt;&gt;"",ISNA(MATCH($I372,Tables!$B$215:$B$218,0))),
Error!$B$17,
IF(AND($E372="ECA / Shoreline Tree",$F372="Remove",$H372&lt;&gt;"",OR($H372="Shoreline",$H372="Environmental Critical Area (ECA)"),ISNA(MATCH($I372,Tables!$B$209:$B$212,0))),
Error!$B$17,
IF(AND(_xlpm.baseRow,$F372="Retain",$E372="ECA / Shoreline Tree",_xlpm.ECA_Short=0),
Error!$B$61,
IF(AND($F372="Remove",ISNUMBER(MATCH($E372,{"Tier 1","Tier 2","Tier 3","Tier 4","Tier 2 Grove"},0)),ISNUMBER(MATCH($I372,{"On-site replacement","Off-site replacement"},0)),$J372="",$H372&lt;&gt;""),
Error!$B$19,
IF(AND(_xlpm.baseRow,$E372&lt;&gt;"",$D372&lt;&gt;"",$F372&lt;&gt;"",COUNTBLANK($B372:$C372)&gt;0,COUNTBLANK(_xlpm.HRange)&lt;&gt;4),
Error!$B$22,
IF(AND($H372="Zoning: Tree Points",$K372&lt;&gt;"",ISNA(MATCH($K372,Tables!$B$242:$B$253,0))),
Error!$B$58,
IF(AND($H372="Zoning: Tree Points",$K372="Small",$L372&lt;&gt;"",ISNA(MATCH($L372,Tables!$C$243:$C$244,0))),
Error!$B$59,
IF(AND($H372="Zoning: Tree Points",$K372="Small/Medium",$L372&lt;&gt;"",ISNA(MATCH($L372,Tables!$C$246:$C$247,0))),
Error!$B$59,
IF(AND($H372="Zoning: Tree Points",$K372="Medium/Large",$L372&lt;&gt;"",ISNA(MATCH($L372,Tables!$C$249:$C$250,0))),
Error!$B$59,
IF(AND($H372="Zoning: Tree Points",$K372="Large",$L372&lt;&gt;"",ISNA(MATCH($L372,Tables!$C$252:$C$253,0))),
Error!$B$59,
IF(AND($F372="Retain",$H372="Zoning: Tree Points",$C372&lt;&gt;"",$D372&lt;&gt;"",OR($K372="",$L372="",$M372="")),
Error!$B$20,
""
)))))))))))))))))))))))))))))))))))))))))))))))))))))))),
Error!$B$23))</f>
        <v/>
      </c>
      <c r="O372" s="343" t="str" cm="1">
        <f t="array" aca="1" ref="O372" ca="1">IFERROR(_xlfn.LET(
    _xlpm.txt, $C372,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73" spans="1:15" x14ac:dyDescent="0.3">
      <c r="A373" s="320"/>
      <c r="B373" s="616" t="str">
        <f t="shared" si="412"/>
        <v/>
      </c>
      <c r="C373" s="617" t="str">
        <f t="shared" si="413"/>
        <v/>
      </c>
      <c r="D373" s="618" t="str">
        <f t="shared" si="414"/>
        <v/>
      </c>
      <c r="E373" s="616" t="str">
        <f t="shared" si="415"/>
        <v/>
      </c>
      <c r="F373" s="616" t="str">
        <f t="shared" si="416"/>
        <v/>
      </c>
      <c r="G373" s="619" t="str">
        <f>IF(Tree_Table1[[#This Row],[Tree Status  &amp;]]="Retain", Tables!$B$237, IF(Tree_Table1[[#This Row],[Tree Status  &amp;]]="Remove", Tables!$B$238, ""))</f>
        <v/>
      </c>
      <c r="H373" s="321"/>
      <c r="I373" s="322"/>
      <c r="J373" s="453"/>
      <c r="K373" s="323" t="str">
        <f>IFERROR(
    IF(
        AND($H373="Zoning: Tree Points", NOT(ISNUMBER(SEARCH("sp.", $C373)))),
        VLOOKUP($C373, 'Tree List'!$C$3:$F$601, 4, FALSE),
        ""
    ),
"")</f>
        <v/>
      </c>
      <c r="L373" s="324" t="str" cm="1">
        <f t="array" ref="L373">IFERROR(
IF(
    AND($H373="Zoning: Tree Points", NOT(ISNUMBER(SEARCH("sp.", $C373)))),
    _xlfn.IFS(
        (COUNTIFS('Tree List'!$C$3:$C$601,$C373,'Tree List'!$D$3:$D$601,"Coniferous")
        + COUNTIFS('Tree List'!$C$3:$C$601,$C373,'Tree List'!$D$3:$D$601,"Deciduous Conifer")) &gt; 0,
            _xlfn.IFS($K373="Small",0.5,$K373="Small/Medium",1,$K373="Medium/Large",1.4,$K373="Large",1.8),
        (COUNTIFS('Tree List'!$C$3:$C$601,$C373,'Tree List'!$D$3:$D$601,"Deciduous")
        + COUNTIFS('Tree List'!$C$3:$C$601,$C373,'Tree List'!$D$3:$D$601,"Broadleaf Evergreen")) &gt; 0,
            _xlfn.IFS($K373="Small",0.4,$K373="Small/Medium",0.8,$K373="Medium/Large",1.2,$K373="Large",1.6)
    ),
    ""
),
"")</f>
        <v/>
      </c>
      <c r="M373" s="475" t="str">
        <f t="shared" si="411"/>
        <v/>
      </c>
      <c r="N373" s="346" t="str" cm="1">
        <f t="array" aca="1" ref="N37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IF(AND(_xlpm.baseRow,ISNA(MATCH($C373,'Tree List'!$C$3:$C$601,0)),SUMPRODUCT(--ISNUMBER(SEARCH(Tables2!$C$677:$C$772,$O373)))&gt;0),
Error!$B$57,
IF(AND(_xlpm.hasDM,$F373="Remove",$H373&lt;&gt;"",OR($I373="On-site replacement",$I373="Off-site replacement",$I373="Payment In Lieu")),
Error!$B$56,
IF(AND(_xlpm.hasDM,$F373="Remove",$H373&lt;&gt;"",$I373="Relocation"),
Error!$B$66,
IF(AND(OR(_xlpm.hasCN,_xlpm.hasPH,_xlpm.hasGR),$H373&lt;&gt;"",COUNTIF(Tables!$B$132:$B$134,$H373)&gt;0,$I373="N/A (No replacement required)"),
Error!$B$62,
IF(AND(_xlpm.baseRow,$E373&lt;&gt;"",ISNA(MATCH($E373,Tables!$B$225:$B$232,0))),
Error!$B$2,
IF(AND(_xlpm.baseRow,$F373&lt;&gt;"",ISNA(MATCH($F373,Tables!$B$234:$B$235,0))),
Error!$B$24,
IF(AND(_xlpm.baseRow,_xlpm.ECA_H&gt;0,_xlpm.Shore_H&gt;0),
Error!$B$16,
IF(AND(_xlpm.baseRow,$E373&lt;&gt;"",$D373=""),
Error!$B$3,
IF(AND(_xlpm.baseRow,OR($E373="Tier 3",$E373="Tier 4"),$C373&lt;&gt;"",$D373&gt;=24,COUNTIF(Tables2!$B$166:$B$674,$C373)&gt;0),
Error!$B$44,
IF(AND(_xlpm.baseRow,OR($E373="Tier 3",$E373="Tier 4"),$C373&lt;&gt;"",$D373&lt;&gt;"",COUNTIF(Tables2!$B$73:$B$152,$C373)&gt;0,
$D373&gt;=IFERROR(INDEX(Tables2!$C$73:$C$152,MATCH($C373,Tables2!$B$73:$B$152,0)),-1)),
Error!$B$44,
IF(AND(_xlpm.baseRow,OR($E373="Tier 2",$E373="Tier 2 Grove"),$C373&lt;&gt;"",$D373&gt;=12,COUNTIF(Tables2!$B$153:$B$162,$C373)&gt;0),
Error!$B$45,
IF(AND(_xlpm.baseRow,$E373="Tier 2 Grove",$D373&lt;12),
Error!$B$41,
IF(AND(_xlpm.baseRow,$E373="Tier 2",$D373&lt;5.88),
Error!$B$40,
IF(AND(_xlpm.baseRow,OR($E373="Tier 2",$E373="Tier 2 Grove"),$C373&lt;&gt;"",$D373&lt;12,$D373&gt;=6,COUNTIF(Tables2!$B$153:$B$162,$C373)&gt;0),
Error!$B$54,
IF(AND(_xlpm.baseRow,$E373="Tier 2",COUNTIF(Tables2!$B$166:$B$674,$C373)&gt;0,$D373&lt;24),
Error!$B$54,
IF(AND(_xlpm.baseRow,$E373="Tier 3",ISNA(MATCH($C373,Tables2!$B$153:$B$162,0)),OR($D373&lt;12,$D373&gt;=24)),
Error!$B$9,
IF(AND(_xlpm.baseRow,$E373="Tier 3",COUNTIF(Tables2!$B$153:$B$162,$C373)&gt;0,$D373&lt;12),
Error!$B$46,
IF(AND(_xlpm.baseRow,$E373="Tier 4",OR($D373&lt;6,$D373&gt;=12)),
Error!$B$10,
IF(AND(_xlpm.baseRow,$E373="&lt;6in DSH for Tree Points",OR($D373&gt;=6,$D373="")),
Error!$B$8,
IF(AND(_xlpm.baseRow,$E373="Street Tree for Green Factor",$F373&lt;&gt;"",$F373&lt;&gt;"Retain"),
Error!$B$14,
IF(AND($E373="&lt;6in DSH for Tree Points",$F373="Retain",$H373&lt;&gt;"",ISNA(MATCH($H373,Tables!$B$174:$B$174,0))),
Error!$B$15,
IF(AND($E373="Street Tree for Green Factor",$F373="Retain",$H373&lt;&gt;"",$H373&lt;&gt;"Zoning: Green Factor"),
Error!$B$15,
IF(AND($E373="ECA / Shoreline Tree",$F373="Remove",$H373&lt;&gt;"",ISNA(MATCH($H373,Tables!$B$189:$B$190,0))),
Error!$B$15,
IF(AND($E373="ECA / Shoreline Tree",$F373="Retain",$H373&lt;&gt;"",ISNA(MATCH($H373,Tables!$B$184:$B$186,0))),
Error!$B$15,
IF(AND($E373="Tier 4",$F373="Remove",$H373&lt;&gt;"",ISNA(MATCH($H373,Tables!$B$171,0))),
Error!$B$15,
IF(AND($E373="Tier 4",$F373="Retain",$H373&lt;&gt;"",ISNA(MATCH($H373,Tables!$B$166:$B$168,0))),
Error!$B$15,
IF(AND($E373="Tier 3",$F373="Retain",$H373&lt;&gt;"",ISNA(MATCH($H373,Tables!$B$158:$B$160,0))),
Error!$B$15,
IF(AND($E373="Tier 3",$F373="Remove",$H373&lt;&gt;"",ISNA(MATCH($H373,Tables!$B$163,0))),
Error!$B$15,
IF(AND(OR($E373="Tier 2",$E373="Tier 2 Grove"),$F373="Remove",$H373&lt;&gt;"",ISNA(MATCH($H373,Tables!$B$153:$B$155,0))),
Error!$B$15,
IF(AND(OR($E373="Tier 2",$E373="Tier 2 Grove"),$F373="Retain",$H373&lt;&gt;"",ISNA(MATCH($H373,Tables!$B$147:$B$150,0))),
Error!$B$15,
IF(AND($E373="Tier 1",$F373="Remove",$H373&lt;&gt;"",ISNA(MATCH($H373,Tables!$B$143:$B$144,0))),
Error!$B$15,
IF(AND($E373="Tier 1",$F373="Retain",$H373&lt;&gt;"",ISNA(MATCH($H373,Tables!$B$137:$B$140,0))),
Error!$B$15,
IF(AND($E373&lt;&gt;"Tier 2",$E373&lt;&gt;"Tier 2 Grove",$E373&lt;&gt;"Tier 3",$E373&lt;&gt;"Tier 4",$H373="Zoning: Green Factor",OR($D373="",$D373&lt;6)),
Error!$B$11,
IF(AND(_xlpm.baseRow,$D373&lt;6,$E373="&lt;6in DSH for Tree Points",_xlpm.TreePoints_H=0),
Error!$B$21,
IF(AND(_xlpm.baseRow,$E373&lt;&gt;"",$D373&lt;&gt;"",$F373=""),
Error!$B$4,
IF(AND(_xlpm.baseRow,$F373="Remove",OR($E373="Tier 1",$E373="Tier 2",$E373="Tier 2 Grove"),COUNTBLANK(_xlpm.HRange)&lt;3,_xlpm.uniqueH&gt;=2),
Error!$B$48,
IF(AND(_xlpm.baseRow,$F373="Retain",OR($E373="Tier 1",$E373="Tier 2",$E373="Tier 2 Grove"),COUNTIF(_xlpm.HRange,"Tree Code: Required to Retain Tier 1-2 Tree")=0),
Error!$B$47,
IF(AND(_xlpm.baseRow,$E373&lt;&gt;"",$D373&lt;&gt;"",$F373&lt;&gt;"",COUNTBLANK(_xlpm.HRange)=4),
Error!$B$5,
IF(AND($F373="Remove",$H373&lt;&gt;"",$I373=""),
Error!$B$18,
IF(AND($E373="Tier 4",$F373="Remove",$H373="Tree Protection Code: Tier 3 or Tier 4 Allowance",$H373&lt;&gt;"",ISNA(MATCH($I373,Tables!$B$200,0))),
Error!$B$17,
IF(AND($E373="Tier 3",$F373="Remove",$H373&lt;&gt;"",$H373="Tree Protection Code: Tier 3 or Tier 4 Allowance",OR($I373="",ISNA(MATCH($I373,Tables!$B$193:$B$197,0)))),
Error!$B$17,
IF(AND(OR($E373="Tier 2",$E373="Tier 2 Grove"),$F373="Remove",$H373="Tree Protection Code: Other removal allowance or exemption",$I373&lt;&gt;"",ISNA(MATCH($I373,Tables!$B$215:$B$218,0))),
Error!$B$17,
IF(AND(OR($E373="Tier 2",$E373="Tier 2 Grove"),$F373="Remove",$H373="Tree Protection Code: Development Capacity",$I373&lt;&gt;"",ISNA(MATCH($I373,Tables!$B$193:$B$197,0))),
Error!$B$17,
IF(AND(OR($E373="Tier 2",$E373="Tier 2 Grove"),$F373="Remove",$H373="Tree Protection Code: Necessary for Construction",$I373&lt;&gt;"",ISNA(MATCH($I373,Tables!$B$193:$B$197,0))),
Error!$B$17,
IF(AND($E373="Tier 1",$F373="Remove",$H373="Tree Protection Code: Special Exception",$I373&lt;&gt;"",ISNA(MATCH($I373,Tables!$B$215:$B$218,0))),
Error!$B$17,
IF(AND($E373="Tier 1",$F373="Remove",$H373="Tree Protection Code: Other removal allowance or exemption",$I373&lt;&gt;"",ISNA(MATCH($I373,Tables!$B$215:$B$218,0))),
Error!$B$17,
IF(AND($E373="ECA / Shoreline Tree",$F373="Remove",$H373&lt;&gt;"",OR($H373="Shoreline",$H373="Environmental Critical Area (ECA)"),ISNA(MATCH($I373,Tables!$B$209:$B$212,0))),
Error!$B$17,
IF(AND(_xlpm.baseRow,$F373="Retain",$E373="ECA / Shoreline Tree",_xlpm.ECA_Short=0),
Error!$B$61,
IF(AND($F373="Remove",ISNUMBER(MATCH($E373,{"Tier 1","Tier 2","Tier 3","Tier 4","Tier 2 Grove"},0)),ISNUMBER(MATCH($I373,{"On-site replacement","Off-site replacement"},0)),$J373="",$H373&lt;&gt;""),
Error!$B$19,
IF(AND(_xlpm.baseRow,$E373&lt;&gt;"",$D373&lt;&gt;"",$F373&lt;&gt;"",COUNTBLANK($B373:$C373)&gt;0,COUNTBLANK(_xlpm.HRange)&lt;&gt;4),
Error!$B$22,
IF(AND($H373="Zoning: Tree Points",$K373&lt;&gt;"",ISNA(MATCH($K373,Tables!$B$242:$B$253,0))),
Error!$B$58,
IF(AND($H373="Zoning: Tree Points",$K373="Small",$L373&lt;&gt;"",ISNA(MATCH($L373,Tables!$C$243:$C$244,0))),
Error!$B$59,
IF(AND($H373="Zoning: Tree Points",$K373="Small/Medium",$L373&lt;&gt;"",ISNA(MATCH($L373,Tables!$C$246:$C$247,0))),
Error!$B$59,
IF(AND($H373="Zoning: Tree Points",$K373="Medium/Large",$L373&lt;&gt;"",ISNA(MATCH($L373,Tables!$C$249:$C$250,0))),
Error!$B$59,
IF(AND($H373="Zoning: Tree Points",$K373="Large",$L373&lt;&gt;"",ISNA(MATCH($L373,Tables!$C$252:$C$253,0))),
Error!$B$59,
IF(AND($F373="Retain",$H373="Zoning: Tree Points",$C373&lt;&gt;"",$D373&lt;&gt;"",OR($K373="",$L373="",$M373="")),
Error!$B$20,
""
)))))))))))))))))))))))))))))))))))))))))))))))))))))))),
Error!$B$23))</f>
        <v/>
      </c>
      <c r="O373" s="343" t="str" cm="1">
        <f t="array" aca="1" ref="O373" ca="1">IFERROR(_xlfn.LET(
    _xlpm.txt, $C373,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74" spans="1:15" ht="15" thickBot="1" x14ac:dyDescent="0.35">
      <c r="A374" s="331"/>
      <c r="B374" s="616" t="str">
        <f t="shared" si="412"/>
        <v/>
      </c>
      <c r="C374" s="617" t="str">
        <f t="shared" si="413"/>
        <v/>
      </c>
      <c r="D374" s="618" t="str">
        <f t="shared" si="414"/>
        <v/>
      </c>
      <c r="E374" s="616" t="str">
        <f t="shared" si="415"/>
        <v/>
      </c>
      <c r="F374" s="616" t="str">
        <f t="shared" si="416"/>
        <v/>
      </c>
      <c r="G374" s="619" t="str">
        <f>IF(Tree_Table1[[#This Row],[Tree Status  &amp;]]="Retain", Tables!$B$237, IF(Tree_Table1[[#This Row],[Tree Status  &amp;]]="Remove", Tables!$B$238, ""))</f>
        <v/>
      </c>
      <c r="H374" s="329"/>
      <c r="I374" s="330"/>
      <c r="J374" s="455"/>
      <c r="K374" s="327" t="str">
        <f>IFERROR(
    IF(
        AND($H374="Zoning: Tree Points", NOT(ISNUMBER(SEARCH("sp.", $C374)))),
        VLOOKUP($C374, 'Tree List'!$C$3:$F$601, 4, FALSE),
        ""
    ),
"")</f>
        <v/>
      </c>
      <c r="L374" s="328" t="str" cm="1">
        <f t="array" ref="L374">IFERROR(
IF(
    AND($H374="Zoning: Tree Points", NOT(ISNUMBER(SEARCH("sp.", $C374)))),
    _xlfn.IFS(
        (COUNTIFS('Tree List'!$C$3:$C$601,$C374,'Tree List'!$D$3:$D$601,"Coniferous")
        + COUNTIFS('Tree List'!$C$3:$C$601,$C374,'Tree List'!$D$3:$D$601,"Deciduous Conifer")) &gt; 0,
            _xlfn.IFS($K374="Small",0.5,$K374="Small/Medium",1,$K374="Medium/Large",1.4,$K374="Large",1.8),
        (COUNTIFS('Tree List'!$C$3:$C$601,$C374,'Tree List'!$D$3:$D$601,"Deciduous")
        + COUNTIFS('Tree List'!$C$3:$C$601,$C374,'Tree List'!$D$3:$D$601,"Broadleaf Evergreen")) &gt; 0,
            _xlfn.IFS($K374="Small",0.4,$K374="Small/Medium",0.8,$K374="Medium/Large",1.2,$K374="Large",1.6)
    ),
    ""
),
"")</f>
        <v/>
      </c>
      <c r="M374" s="476" t="str">
        <f t="shared" si="411"/>
        <v/>
      </c>
      <c r="N374" s="347" t="str" cm="1">
        <f t="array" aca="1" ref="N37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IF(AND(_xlpm.baseRow,ISNA(MATCH($C374,'Tree List'!$C$3:$C$601,0)),SUMPRODUCT(--ISNUMBER(SEARCH(Tables2!$C$677:$C$772,$O374)))&gt;0),
Error!$B$57,
IF(AND(_xlpm.hasDM,$F374="Remove",$H374&lt;&gt;"",OR($I374="On-site replacement",$I374="Off-site replacement",$I374="Payment In Lieu")),
Error!$B$56,
IF(AND(_xlpm.hasDM,$F374="Remove",$H374&lt;&gt;"",$I374="Relocation"),
Error!$B$66,
IF(AND(OR(_xlpm.hasCN,_xlpm.hasPH,_xlpm.hasGR),$H374&lt;&gt;"",COUNTIF(Tables!$B$132:$B$134,$H374)&gt;0,$I374="N/A (No replacement required)"),
Error!$B$62,
IF(AND(_xlpm.baseRow,$E374&lt;&gt;"",ISNA(MATCH($E374,Tables!$B$225:$B$232,0))),
Error!$B$2,
IF(AND(_xlpm.baseRow,$F374&lt;&gt;"",ISNA(MATCH($F374,Tables!$B$234:$B$235,0))),
Error!$B$24,
IF(AND(_xlpm.baseRow,_xlpm.ECA_H&gt;0,_xlpm.Shore_H&gt;0),
Error!$B$16,
IF(AND(_xlpm.baseRow,$E374&lt;&gt;"",$D374=""),
Error!$B$3,
IF(AND(_xlpm.baseRow,OR($E374="Tier 3",$E374="Tier 4"),$C374&lt;&gt;"",$D374&gt;=24,COUNTIF(Tables2!$B$166:$B$674,$C374)&gt;0),
Error!$B$44,
IF(AND(_xlpm.baseRow,OR($E374="Tier 3",$E374="Tier 4"),$C374&lt;&gt;"",$D374&lt;&gt;"",COUNTIF(Tables2!$B$73:$B$152,$C374)&gt;0,
$D374&gt;=IFERROR(INDEX(Tables2!$C$73:$C$152,MATCH($C374,Tables2!$B$73:$B$152,0)),-1)),
Error!$B$44,
IF(AND(_xlpm.baseRow,OR($E374="Tier 2",$E374="Tier 2 Grove"),$C374&lt;&gt;"",$D374&gt;=12,COUNTIF(Tables2!$B$153:$B$162,$C374)&gt;0),
Error!$B$45,
IF(AND(_xlpm.baseRow,$E374="Tier 2 Grove",$D374&lt;12),
Error!$B$41,
IF(AND(_xlpm.baseRow,$E374="Tier 2",$D374&lt;5.88),
Error!$B$40,
IF(AND(_xlpm.baseRow,OR($E374="Tier 2",$E374="Tier 2 Grove"),$C374&lt;&gt;"",$D374&lt;12,$D374&gt;=6,COUNTIF(Tables2!$B$153:$B$162,$C374)&gt;0),
Error!$B$54,
IF(AND(_xlpm.baseRow,$E374="Tier 2",COUNTIF(Tables2!$B$166:$B$674,$C374)&gt;0,$D374&lt;24),
Error!$B$54,
IF(AND(_xlpm.baseRow,$E374="Tier 3",ISNA(MATCH($C374,Tables2!$B$153:$B$162,0)),OR($D374&lt;12,$D374&gt;=24)),
Error!$B$9,
IF(AND(_xlpm.baseRow,$E374="Tier 3",COUNTIF(Tables2!$B$153:$B$162,$C374)&gt;0,$D374&lt;12),
Error!$B$46,
IF(AND(_xlpm.baseRow,$E374="Tier 4",OR($D374&lt;6,$D374&gt;=12)),
Error!$B$10,
IF(AND(_xlpm.baseRow,$E374="&lt;6in DSH for Tree Points",OR($D374&gt;=6,$D374="")),
Error!$B$8,
IF(AND(_xlpm.baseRow,$E374="Street Tree for Green Factor",$F374&lt;&gt;"",$F374&lt;&gt;"Retain"),
Error!$B$14,
IF(AND($E374="&lt;6in DSH for Tree Points",$F374="Retain",$H374&lt;&gt;"",ISNA(MATCH($H374,Tables!$B$174:$B$174,0))),
Error!$B$15,
IF(AND($E374="Street Tree for Green Factor",$F374="Retain",$H374&lt;&gt;"",$H374&lt;&gt;"Zoning: Green Factor"),
Error!$B$15,
IF(AND($E374="ECA / Shoreline Tree",$F374="Remove",$H374&lt;&gt;"",ISNA(MATCH($H374,Tables!$B$189:$B$190,0))),
Error!$B$15,
IF(AND($E374="ECA / Shoreline Tree",$F374="Retain",$H374&lt;&gt;"",ISNA(MATCH($H374,Tables!$B$184:$B$186,0))),
Error!$B$15,
IF(AND($E374="Tier 4",$F374="Remove",$H374&lt;&gt;"",ISNA(MATCH($H374,Tables!$B$171,0))),
Error!$B$15,
IF(AND($E374="Tier 4",$F374="Retain",$H374&lt;&gt;"",ISNA(MATCH($H374,Tables!$B$166:$B$168,0))),
Error!$B$15,
IF(AND($E374="Tier 3",$F374="Retain",$H374&lt;&gt;"",ISNA(MATCH($H374,Tables!$B$158:$B$160,0))),
Error!$B$15,
IF(AND($E374="Tier 3",$F374="Remove",$H374&lt;&gt;"",ISNA(MATCH($H374,Tables!$B$163,0))),
Error!$B$15,
IF(AND(OR($E374="Tier 2",$E374="Tier 2 Grove"),$F374="Remove",$H374&lt;&gt;"",ISNA(MATCH($H374,Tables!$B$153:$B$155,0))),
Error!$B$15,
IF(AND(OR($E374="Tier 2",$E374="Tier 2 Grove"),$F374="Retain",$H374&lt;&gt;"",ISNA(MATCH($H374,Tables!$B$147:$B$150,0))),
Error!$B$15,
IF(AND($E374="Tier 1",$F374="Remove",$H374&lt;&gt;"",ISNA(MATCH($H374,Tables!$B$143:$B$144,0))),
Error!$B$15,
IF(AND($E374="Tier 1",$F374="Retain",$H374&lt;&gt;"",ISNA(MATCH($H374,Tables!$B$137:$B$140,0))),
Error!$B$15,
IF(AND($E374&lt;&gt;"Tier 2",$E374&lt;&gt;"Tier 2 Grove",$E374&lt;&gt;"Tier 3",$E374&lt;&gt;"Tier 4",$H374="Zoning: Green Factor",OR($D374="",$D374&lt;6)),
Error!$B$11,
IF(AND(_xlpm.baseRow,$D374&lt;6,$E374="&lt;6in DSH for Tree Points",_xlpm.TreePoints_H=0),
Error!$B$21,
IF(AND(_xlpm.baseRow,$E374&lt;&gt;"",$D374&lt;&gt;"",$F374=""),
Error!$B$4,
IF(AND(_xlpm.baseRow,$F374="Remove",OR($E374="Tier 1",$E374="Tier 2",$E374="Tier 2 Grove"),COUNTBLANK(_xlpm.HRange)&lt;3,_xlpm.uniqueH&gt;=2),
Error!$B$48,
IF(AND(_xlpm.baseRow,$F374="Retain",OR($E374="Tier 1",$E374="Tier 2",$E374="Tier 2 Grove"),COUNTIF(_xlpm.HRange,"Tree Code: Required to Retain Tier 1-2 Tree")=0),
Error!$B$47,
IF(AND(_xlpm.baseRow,$E374&lt;&gt;"",$D374&lt;&gt;"",$F374&lt;&gt;"",COUNTBLANK(_xlpm.HRange)=4),
Error!$B$5,
IF(AND($F374="Remove",$H374&lt;&gt;"",$I374=""),
Error!$B$18,
IF(AND($E374="Tier 4",$F374="Remove",$H374="Tree Protection Code: Tier 3 or Tier 4 Allowance",$H374&lt;&gt;"",ISNA(MATCH($I374,Tables!$B$200,0))),
Error!$B$17,
IF(AND($E374="Tier 3",$F374="Remove",$H374&lt;&gt;"",$H374="Tree Protection Code: Tier 3 or Tier 4 Allowance",OR($I374="",ISNA(MATCH($I374,Tables!$B$193:$B$197,0)))),
Error!$B$17,
IF(AND(OR($E374="Tier 2",$E374="Tier 2 Grove"),$F374="Remove",$H374="Tree Protection Code: Other removal allowance or exemption",$I374&lt;&gt;"",ISNA(MATCH($I374,Tables!$B$215:$B$218,0))),
Error!$B$17,
IF(AND(OR($E374="Tier 2",$E374="Tier 2 Grove"),$F374="Remove",$H374="Tree Protection Code: Development Capacity",$I374&lt;&gt;"",ISNA(MATCH($I374,Tables!$B$193:$B$197,0))),
Error!$B$17,
IF(AND(OR($E374="Tier 2",$E374="Tier 2 Grove"),$F374="Remove",$H374="Tree Protection Code: Necessary for Construction",$I374&lt;&gt;"",ISNA(MATCH($I374,Tables!$B$193:$B$197,0))),
Error!$B$17,
IF(AND($E374="Tier 1",$F374="Remove",$H374="Tree Protection Code: Special Exception",$I374&lt;&gt;"",ISNA(MATCH($I374,Tables!$B$215:$B$218,0))),
Error!$B$17,
IF(AND($E374="Tier 1",$F374="Remove",$H374="Tree Protection Code: Other removal allowance or exemption",$I374&lt;&gt;"",ISNA(MATCH($I374,Tables!$B$215:$B$218,0))),
Error!$B$17,
IF(AND($E374="ECA / Shoreline Tree",$F374="Remove",$H374&lt;&gt;"",OR($H374="Shoreline",$H374="Environmental Critical Area (ECA)"),ISNA(MATCH($I374,Tables!$B$209:$B$212,0))),
Error!$B$17,
IF(AND(_xlpm.baseRow,$F374="Retain",$E374="ECA / Shoreline Tree",_xlpm.ECA_Short=0),
Error!$B$61,
IF(AND($F374="Remove",ISNUMBER(MATCH($E374,{"Tier 1","Tier 2","Tier 3","Tier 4","Tier 2 Grove"},0)),ISNUMBER(MATCH($I374,{"On-site replacement","Off-site replacement"},0)),$J374="",$H374&lt;&gt;""),
Error!$B$19,
IF(AND(_xlpm.baseRow,$E374&lt;&gt;"",$D374&lt;&gt;"",$F374&lt;&gt;"",COUNTBLANK($B374:$C374)&gt;0,COUNTBLANK(_xlpm.HRange)&lt;&gt;4),
Error!$B$22,
IF(AND($H374="Zoning: Tree Points",$K374&lt;&gt;"",ISNA(MATCH($K374,Tables!$B$242:$B$253,0))),
Error!$B$58,
IF(AND($H374="Zoning: Tree Points",$K374="Small",$L374&lt;&gt;"",ISNA(MATCH($L374,Tables!$C$243:$C$244,0))),
Error!$B$59,
IF(AND($H374="Zoning: Tree Points",$K374="Small/Medium",$L374&lt;&gt;"",ISNA(MATCH($L374,Tables!$C$246:$C$247,0))),
Error!$B$59,
IF(AND($H374="Zoning: Tree Points",$K374="Medium/Large",$L374&lt;&gt;"",ISNA(MATCH($L374,Tables!$C$249:$C$250,0))),
Error!$B$59,
IF(AND($H374="Zoning: Tree Points",$K374="Large",$L374&lt;&gt;"",ISNA(MATCH($L374,Tables!$C$252:$C$253,0))),
Error!$B$59,
IF(AND($F374="Retain",$H374="Zoning: Tree Points",$C374&lt;&gt;"",$D374&lt;&gt;"",OR($K374="",$L374="",$M374="")),
Error!$B$20,
""
)))))))))))))))))))))))))))))))))))))))))))))))))))))))),
Error!$B$23))</f>
        <v/>
      </c>
      <c r="O374" s="343" t="str" cm="1">
        <f t="array" aca="1" ref="O374" ca="1">IFERROR(_xlfn.LET(
    _xlpm.txt, $C374,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75" spans="1:15" ht="15" thickBot="1" x14ac:dyDescent="0.35">
      <c r="A375" s="311">
        <v>92</v>
      </c>
      <c r="B375" s="312"/>
      <c r="C375" s="313"/>
      <c r="D375" s="478"/>
      <c r="E375" s="314"/>
      <c r="F375" s="314"/>
      <c r="G375" s="315" t="str">
        <f>IF(Tree_Table1[[#This Row],[Tree Status  &amp;]]="Retain", Tables!$B$237, IF(Tree_Table1[[#This Row],[Tree Status  &amp;]]="Remove", Tables!$B$238, ""))</f>
        <v/>
      </c>
      <c r="H375" s="316"/>
      <c r="I375" s="317"/>
      <c r="J375" s="452"/>
      <c r="K375" s="318" t="str">
        <f>IFERROR(
    IF(
        AND($H375="Zoning: Tree Points", NOT(ISNUMBER(SEARCH("sp.", $C375)))),
        VLOOKUP($C375, 'Tree List'!$C$3:$F$601, 4, FALSE),
        ""
    ),
"")</f>
        <v/>
      </c>
      <c r="L375" s="319" t="str" cm="1">
        <f t="array" ref="L375">IFERROR(
IF(
    AND($H375="Zoning: Tree Points", NOT(ISNUMBER(SEARCH("sp.", $C375)))),
    _xlfn.IFS(
        (COUNTIFS('Tree List'!$C$3:$C$601,$C375,'Tree List'!$D$3:$D$601,"Coniferous")
        + COUNTIFS('Tree List'!$C$3:$C$601,$C375,'Tree List'!$D$3:$D$601,"Deciduous Conifer")) &gt; 0,
            _xlfn.IFS($K375="Small",0.5,$K375="Small/Medium",1,$K375="Medium/Large",1.4,$K375="Large",1.8),
        (COUNTIFS('Tree List'!$C$3:$C$601,$C375,'Tree List'!$D$3:$D$601,"Deciduous")
        + COUNTIFS('Tree List'!$C$3:$C$601,$C375,'Tree List'!$D$3:$D$601,"Broadleaf Evergreen")) &gt; 0,
            _xlfn.IFS($K375="Small",0.4,$K375="Small/Medium",0.8,$K375="Medium/Large",1.2,$K375="Large",1.6)
    ),
    ""
),
"")</f>
        <v/>
      </c>
      <c r="M375" s="474" t="str">
        <f t="shared" si="411"/>
        <v/>
      </c>
      <c r="N375" s="620" t="str" cm="1">
        <f t="array" aca="1" ref="N37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IF(AND(_xlpm.baseRow,ISNA(MATCH($C375,'Tree List'!$C$3:$C$601,0)),SUMPRODUCT(--ISNUMBER(SEARCH(Tables2!$C$677:$C$772,$O375)))&gt;0),
Error!$B$57,
IF(AND(_xlpm.hasDM,$F375="Remove",$H375&lt;&gt;"",OR($I375="On-site replacement",$I375="Off-site replacement",$I375="Payment In Lieu")),
Error!$B$56,
IF(AND(_xlpm.hasDM,$F375="Remove",$H375&lt;&gt;"",$I375="Relocation"),
Error!$B$66,
IF(AND(OR(_xlpm.hasCN,_xlpm.hasPH,_xlpm.hasGR),$H375&lt;&gt;"",COUNTIF(Tables!$B$132:$B$134,$H375)&gt;0,$I375="N/A (No replacement required)"),
Error!$B$62,
IF(AND(_xlpm.baseRow,$E375&lt;&gt;"",ISNA(MATCH($E375,Tables!$B$225:$B$232,0))),
Error!$B$2,
IF(AND(_xlpm.baseRow,$F375&lt;&gt;"",ISNA(MATCH($F375,Tables!$B$234:$B$235,0))),
Error!$B$24,
IF(AND(_xlpm.baseRow,_xlpm.ECA_H&gt;0,_xlpm.Shore_H&gt;0),
Error!$B$16,
IF(AND(_xlpm.baseRow,$E375&lt;&gt;"",$D375=""),
Error!$B$3,
IF(AND(_xlpm.baseRow,OR($E375="Tier 3",$E375="Tier 4"),$C375&lt;&gt;"",$D375&gt;=24,COUNTIF(Tables2!$B$166:$B$674,$C375)&gt;0),
Error!$B$44,
IF(AND(_xlpm.baseRow,OR($E375="Tier 3",$E375="Tier 4"),$C375&lt;&gt;"",$D375&lt;&gt;"",COUNTIF(Tables2!$B$73:$B$152,$C375)&gt;0,
$D375&gt;=IFERROR(INDEX(Tables2!$C$73:$C$152,MATCH($C375,Tables2!$B$73:$B$152,0)),-1)),
Error!$B$44,
IF(AND(_xlpm.baseRow,OR($E375="Tier 2",$E375="Tier 2 Grove"),$C375&lt;&gt;"",$D375&gt;=12,COUNTIF(Tables2!$B$153:$B$162,$C375)&gt;0),
Error!$B$45,
IF(AND(_xlpm.baseRow,$E375="Tier 2 Grove",$D375&lt;12),
Error!$B$41,
IF(AND(_xlpm.baseRow,$E375="Tier 2",$D375&lt;5.88),
Error!$B$40,
IF(AND(_xlpm.baseRow,OR($E375="Tier 2",$E375="Tier 2 Grove"),$C375&lt;&gt;"",$D375&lt;12,$D375&gt;=6,COUNTIF(Tables2!$B$153:$B$162,$C375)&gt;0),
Error!$B$54,
IF(AND(_xlpm.baseRow,$E375="Tier 2",COUNTIF(Tables2!$B$166:$B$674,$C375)&gt;0,$D375&lt;24),
Error!$B$54,
IF(AND(_xlpm.baseRow,$E375="Tier 3",ISNA(MATCH($C375,Tables2!$B$153:$B$162,0)),OR($D375&lt;12,$D375&gt;=24)),
Error!$B$9,
IF(AND(_xlpm.baseRow,$E375="Tier 3",COUNTIF(Tables2!$B$153:$B$162,$C375)&gt;0,$D375&lt;12),
Error!$B$46,
IF(AND(_xlpm.baseRow,$E375="Tier 4",OR($D375&lt;6,$D375&gt;=12)),
Error!$B$10,
IF(AND(_xlpm.baseRow,$E375="&lt;6in DSH for Tree Points",OR($D375&gt;=6,$D375="")),
Error!$B$8,
IF(AND(_xlpm.baseRow,$E375="Street Tree for Green Factor",$F375&lt;&gt;"",$F375&lt;&gt;"Retain"),
Error!$B$14,
IF(AND($E375="&lt;6in DSH for Tree Points",$F375="Retain",$H375&lt;&gt;"",ISNA(MATCH($H375,Tables!$B$174:$B$174,0))),
Error!$B$15,
IF(AND($E375="Street Tree for Green Factor",$F375="Retain",$H375&lt;&gt;"",$H375&lt;&gt;"Zoning: Green Factor"),
Error!$B$15,
IF(AND($E375="ECA / Shoreline Tree",$F375="Remove",$H375&lt;&gt;"",ISNA(MATCH($H375,Tables!$B$189:$B$190,0))),
Error!$B$15,
IF(AND($E375="ECA / Shoreline Tree",$F375="Retain",$H375&lt;&gt;"",ISNA(MATCH($H375,Tables!$B$184:$B$186,0))),
Error!$B$15,
IF(AND($E375="Tier 4",$F375="Remove",$H375&lt;&gt;"",ISNA(MATCH($H375,Tables!$B$171,0))),
Error!$B$15,
IF(AND($E375="Tier 4",$F375="Retain",$H375&lt;&gt;"",ISNA(MATCH($H375,Tables!$B$166:$B$168,0))),
Error!$B$15,
IF(AND($E375="Tier 3",$F375="Retain",$H375&lt;&gt;"",ISNA(MATCH($H375,Tables!$B$158:$B$160,0))),
Error!$B$15,
IF(AND($E375="Tier 3",$F375="Remove",$H375&lt;&gt;"",ISNA(MATCH($H375,Tables!$B$163,0))),
Error!$B$15,
IF(AND(OR($E375="Tier 2",$E375="Tier 2 Grove"),$F375="Remove",$H375&lt;&gt;"",ISNA(MATCH($H375,Tables!$B$153:$B$155,0))),
Error!$B$15,
IF(AND(OR($E375="Tier 2",$E375="Tier 2 Grove"),$F375="Retain",$H375&lt;&gt;"",ISNA(MATCH($H375,Tables!$B$147:$B$150,0))),
Error!$B$15,
IF(AND($E375="Tier 1",$F375="Remove",$H375&lt;&gt;"",ISNA(MATCH($H375,Tables!$B$143:$B$144,0))),
Error!$B$15,
IF(AND($E375="Tier 1",$F375="Retain",$H375&lt;&gt;"",ISNA(MATCH($H375,Tables!$B$137:$B$140,0))),
Error!$B$15,
IF(AND($E375&lt;&gt;"Tier 2",$E375&lt;&gt;"Tier 2 Grove",$E375&lt;&gt;"Tier 3",$E375&lt;&gt;"Tier 4",$H375="Zoning: Green Factor",OR($D375="",$D375&lt;6)),
Error!$B$11,
IF(AND(_xlpm.baseRow,$D375&lt;6,$E375="&lt;6in DSH for Tree Points",_xlpm.TreePoints_H=0),
Error!$B$21,
IF(AND(_xlpm.baseRow,$E375&lt;&gt;"",$D375&lt;&gt;"",$F375=""),
Error!$B$4,
IF(AND(_xlpm.baseRow,$F375="Remove",OR($E375="Tier 1",$E375="Tier 2",$E375="Tier 2 Grove"),COUNTBLANK(_xlpm.HRange)&lt;3,_xlpm.uniqueH&gt;=2),
Error!$B$48,
IF(AND(_xlpm.baseRow,$F375="Retain",OR($E375="Tier 1",$E375="Tier 2",$E375="Tier 2 Grove"),COUNTIF(_xlpm.HRange,"Tree Code: Required to Retain Tier 1-2 Tree")=0),
Error!$B$47,
IF(AND(_xlpm.baseRow,$E375&lt;&gt;"",$D375&lt;&gt;"",$F375&lt;&gt;"",COUNTBLANK(_xlpm.HRange)=4),
Error!$B$5,
IF(AND($F375="Remove",$H375&lt;&gt;"",$I375=""),
Error!$B$18,
IF(AND($E375="Tier 4",$F375="Remove",$H375="Tree Protection Code: Tier 3 or Tier 4 Allowance",$H375&lt;&gt;"",ISNA(MATCH($I375,Tables!$B$200,0))),
Error!$B$17,
IF(AND($E375="Tier 3",$F375="Remove",$H375&lt;&gt;"",$H375="Tree Protection Code: Tier 3 or Tier 4 Allowance",OR($I375="",ISNA(MATCH($I375,Tables!$B$193:$B$197,0)))),
Error!$B$17,
IF(AND(OR($E375="Tier 2",$E375="Tier 2 Grove"),$F375="Remove",$H375="Tree Protection Code: Other removal allowance or exemption",$I375&lt;&gt;"",ISNA(MATCH($I375,Tables!$B$215:$B$218,0))),
Error!$B$17,
IF(AND(OR($E375="Tier 2",$E375="Tier 2 Grove"),$F375="Remove",$H375="Tree Protection Code: Development Capacity",$I375&lt;&gt;"",ISNA(MATCH($I375,Tables!$B$193:$B$197,0))),
Error!$B$17,
IF(AND(OR($E375="Tier 2",$E375="Tier 2 Grove"),$F375="Remove",$H375="Tree Protection Code: Necessary for Construction",$I375&lt;&gt;"",ISNA(MATCH($I375,Tables!$B$193:$B$197,0))),
Error!$B$17,
IF(AND($E375="Tier 1",$F375="Remove",$H375="Tree Protection Code: Special Exception",$I375&lt;&gt;"",ISNA(MATCH($I375,Tables!$B$215:$B$218,0))),
Error!$B$17,
IF(AND($E375="Tier 1",$F375="Remove",$H375="Tree Protection Code: Other removal allowance or exemption",$I375&lt;&gt;"",ISNA(MATCH($I375,Tables!$B$215:$B$218,0))),
Error!$B$17,
IF(AND($E375="ECA / Shoreline Tree",$F375="Remove",$H375&lt;&gt;"",OR($H375="Shoreline",$H375="Environmental Critical Area (ECA)"),ISNA(MATCH($I375,Tables!$B$209:$B$212,0))),
Error!$B$17,
IF(AND(_xlpm.baseRow,$F375="Retain",$E375="ECA / Shoreline Tree",_xlpm.ECA_Short=0),
Error!$B$61,
IF(AND($F375="Remove",ISNUMBER(MATCH($E375,{"Tier 1","Tier 2","Tier 3","Tier 4","Tier 2 Grove"},0)),ISNUMBER(MATCH($I375,{"On-site replacement","Off-site replacement"},0)),$J375="",$H375&lt;&gt;""),
Error!$B$19,
IF(AND(_xlpm.baseRow,$E375&lt;&gt;"",$D375&lt;&gt;"",$F375&lt;&gt;"",COUNTBLANK($B375:$C375)&gt;0,COUNTBLANK(_xlpm.HRange)&lt;&gt;4),
Error!$B$22,
IF(AND($H375="Zoning: Tree Points",$K375&lt;&gt;"",ISNA(MATCH($K375,Tables!$B$242:$B$253,0))),
Error!$B$58,
IF(AND($H375="Zoning: Tree Points",$K375="Small",$L375&lt;&gt;"",ISNA(MATCH($L375,Tables!$C$243:$C$244,0))),
Error!$B$59,
IF(AND($H375="Zoning: Tree Points",$K375="Small/Medium",$L375&lt;&gt;"",ISNA(MATCH($L375,Tables!$C$246:$C$247,0))),
Error!$B$59,
IF(AND($H375="Zoning: Tree Points",$K375="Medium/Large",$L375&lt;&gt;"",ISNA(MATCH($L375,Tables!$C$249:$C$250,0))),
Error!$B$59,
IF(AND($H375="Zoning: Tree Points",$K375="Large",$L375&lt;&gt;"",ISNA(MATCH($L375,Tables!$C$252:$C$253,0))),
Error!$B$59,
IF(AND($F375="Retain",$H375="Zoning: Tree Points",$C375&lt;&gt;"",$D375&lt;&gt;"",OR($K375="",$L375="",$M375="")),
Error!$B$20,
""
)))))))))))))))))))))))))))))))))))))))))))))))))))))))),
Error!$B$23))</f>
        <v/>
      </c>
      <c r="O375" s="343" t="str" cm="1">
        <f t="array" aca="1" ref="O375" ca="1">IFERROR(_xlfn.LET(
    _xlpm.txt, $C375,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76" spans="1:15" x14ac:dyDescent="0.3">
      <c r="A376" s="320"/>
      <c r="B376" s="616" t="str">
        <f t="shared" ref="B376:B378" si="417">IF($B375="", "", $B375)</f>
        <v/>
      </c>
      <c r="C376" s="617" t="str">
        <f t="shared" ref="C376:C378" si="418">IF($C375="", "", $C375)</f>
        <v/>
      </c>
      <c r="D376" s="618" t="str">
        <f t="shared" ref="D376:D378" si="419">IF($D375="", "", $D375)</f>
        <v/>
      </c>
      <c r="E376" s="616" t="str">
        <f t="shared" ref="E376:E378" si="420">IF($E375="", "", $E375)</f>
        <v/>
      </c>
      <c r="F376" s="616" t="str">
        <f t="shared" ref="F376:F378" si="421">IF($F375="", "", $F375)</f>
        <v/>
      </c>
      <c r="G376" s="619" t="str">
        <f>IF(Tree_Table1[[#This Row],[Tree Status  &amp;]]="Retain", Tables!$B$237, IF(Tree_Table1[[#This Row],[Tree Status  &amp;]]="Remove", Tables!$B$238, ""))</f>
        <v/>
      </c>
      <c r="H376" s="321"/>
      <c r="I376" s="322"/>
      <c r="J376" s="453"/>
      <c r="K376" s="323" t="str">
        <f>IFERROR(
    IF(
        AND($H376="Zoning: Tree Points", NOT(ISNUMBER(SEARCH("sp.", $C376)))),
        VLOOKUP($C376, 'Tree List'!$C$3:$F$601, 4, FALSE),
        ""
    ),
"")</f>
        <v/>
      </c>
      <c r="L376" s="324" t="str" cm="1">
        <f t="array" ref="L376">IFERROR(
IF(
    AND($H376="Zoning: Tree Points", NOT(ISNUMBER(SEARCH("sp.", $C376)))),
    _xlfn.IFS(
        (COUNTIFS('Tree List'!$C$3:$C$601,$C376,'Tree List'!$D$3:$D$601,"Coniferous")
        + COUNTIFS('Tree List'!$C$3:$C$601,$C376,'Tree List'!$D$3:$D$601,"Deciduous Conifer")) &gt; 0,
            _xlfn.IFS($K376="Small",0.5,$K376="Small/Medium",1,$K376="Medium/Large",1.4,$K376="Large",1.8),
        (COUNTIFS('Tree List'!$C$3:$C$601,$C376,'Tree List'!$D$3:$D$601,"Deciduous")
        + COUNTIFS('Tree List'!$C$3:$C$601,$C376,'Tree List'!$D$3:$D$601,"Broadleaf Evergreen")) &gt; 0,
            _xlfn.IFS($K376="Small",0.4,$K376="Small/Medium",0.8,$K376="Medium/Large",1.2,$K376="Large",1.6)
    ),
    ""
),
"")</f>
        <v/>
      </c>
      <c r="M376" s="475" t="str">
        <f t="shared" si="411"/>
        <v/>
      </c>
      <c r="N376" s="346" t="str" cm="1">
        <f t="array" aca="1" ref="N37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IF(AND(_xlpm.baseRow,ISNA(MATCH($C376,'Tree List'!$C$3:$C$601,0)),SUMPRODUCT(--ISNUMBER(SEARCH(Tables2!$C$677:$C$772,$O376)))&gt;0),
Error!$B$57,
IF(AND(_xlpm.hasDM,$F376="Remove",$H376&lt;&gt;"",OR($I376="On-site replacement",$I376="Off-site replacement",$I376="Payment In Lieu")),
Error!$B$56,
IF(AND(_xlpm.hasDM,$F376="Remove",$H376&lt;&gt;"",$I376="Relocation"),
Error!$B$66,
IF(AND(OR(_xlpm.hasCN,_xlpm.hasPH,_xlpm.hasGR),$H376&lt;&gt;"",COUNTIF(Tables!$B$132:$B$134,$H376)&gt;0,$I376="N/A (No replacement required)"),
Error!$B$62,
IF(AND(_xlpm.baseRow,$E376&lt;&gt;"",ISNA(MATCH($E376,Tables!$B$225:$B$232,0))),
Error!$B$2,
IF(AND(_xlpm.baseRow,$F376&lt;&gt;"",ISNA(MATCH($F376,Tables!$B$234:$B$235,0))),
Error!$B$24,
IF(AND(_xlpm.baseRow,_xlpm.ECA_H&gt;0,_xlpm.Shore_H&gt;0),
Error!$B$16,
IF(AND(_xlpm.baseRow,$E376&lt;&gt;"",$D376=""),
Error!$B$3,
IF(AND(_xlpm.baseRow,OR($E376="Tier 3",$E376="Tier 4"),$C376&lt;&gt;"",$D376&gt;=24,COUNTIF(Tables2!$B$166:$B$674,$C376)&gt;0),
Error!$B$44,
IF(AND(_xlpm.baseRow,OR($E376="Tier 3",$E376="Tier 4"),$C376&lt;&gt;"",$D376&lt;&gt;"",COUNTIF(Tables2!$B$73:$B$152,$C376)&gt;0,
$D376&gt;=IFERROR(INDEX(Tables2!$C$73:$C$152,MATCH($C376,Tables2!$B$73:$B$152,0)),-1)),
Error!$B$44,
IF(AND(_xlpm.baseRow,OR($E376="Tier 2",$E376="Tier 2 Grove"),$C376&lt;&gt;"",$D376&gt;=12,COUNTIF(Tables2!$B$153:$B$162,$C376)&gt;0),
Error!$B$45,
IF(AND(_xlpm.baseRow,$E376="Tier 2 Grove",$D376&lt;12),
Error!$B$41,
IF(AND(_xlpm.baseRow,$E376="Tier 2",$D376&lt;5.88),
Error!$B$40,
IF(AND(_xlpm.baseRow,OR($E376="Tier 2",$E376="Tier 2 Grove"),$C376&lt;&gt;"",$D376&lt;12,$D376&gt;=6,COUNTIF(Tables2!$B$153:$B$162,$C376)&gt;0),
Error!$B$54,
IF(AND(_xlpm.baseRow,$E376="Tier 2",COUNTIF(Tables2!$B$166:$B$674,$C376)&gt;0,$D376&lt;24),
Error!$B$54,
IF(AND(_xlpm.baseRow,$E376="Tier 3",ISNA(MATCH($C376,Tables2!$B$153:$B$162,0)),OR($D376&lt;12,$D376&gt;=24)),
Error!$B$9,
IF(AND(_xlpm.baseRow,$E376="Tier 3",COUNTIF(Tables2!$B$153:$B$162,$C376)&gt;0,$D376&lt;12),
Error!$B$46,
IF(AND(_xlpm.baseRow,$E376="Tier 4",OR($D376&lt;6,$D376&gt;=12)),
Error!$B$10,
IF(AND(_xlpm.baseRow,$E376="&lt;6in DSH for Tree Points",OR($D376&gt;=6,$D376="")),
Error!$B$8,
IF(AND(_xlpm.baseRow,$E376="Street Tree for Green Factor",$F376&lt;&gt;"",$F376&lt;&gt;"Retain"),
Error!$B$14,
IF(AND($E376="&lt;6in DSH for Tree Points",$F376="Retain",$H376&lt;&gt;"",ISNA(MATCH($H376,Tables!$B$174:$B$174,0))),
Error!$B$15,
IF(AND($E376="Street Tree for Green Factor",$F376="Retain",$H376&lt;&gt;"",$H376&lt;&gt;"Zoning: Green Factor"),
Error!$B$15,
IF(AND($E376="ECA / Shoreline Tree",$F376="Remove",$H376&lt;&gt;"",ISNA(MATCH($H376,Tables!$B$189:$B$190,0))),
Error!$B$15,
IF(AND($E376="ECA / Shoreline Tree",$F376="Retain",$H376&lt;&gt;"",ISNA(MATCH($H376,Tables!$B$184:$B$186,0))),
Error!$B$15,
IF(AND($E376="Tier 4",$F376="Remove",$H376&lt;&gt;"",ISNA(MATCH($H376,Tables!$B$171,0))),
Error!$B$15,
IF(AND($E376="Tier 4",$F376="Retain",$H376&lt;&gt;"",ISNA(MATCH($H376,Tables!$B$166:$B$168,0))),
Error!$B$15,
IF(AND($E376="Tier 3",$F376="Retain",$H376&lt;&gt;"",ISNA(MATCH($H376,Tables!$B$158:$B$160,0))),
Error!$B$15,
IF(AND($E376="Tier 3",$F376="Remove",$H376&lt;&gt;"",ISNA(MATCH($H376,Tables!$B$163,0))),
Error!$B$15,
IF(AND(OR($E376="Tier 2",$E376="Tier 2 Grove"),$F376="Remove",$H376&lt;&gt;"",ISNA(MATCH($H376,Tables!$B$153:$B$155,0))),
Error!$B$15,
IF(AND(OR($E376="Tier 2",$E376="Tier 2 Grove"),$F376="Retain",$H376&lt;&gt;"",ISNA(MATCH($H376,Tables!$B$147:$B$150,0))),
Error!$B$15,
IF(AND($E376="Tier 1",$F376="Remove",$H376&lt;&gt;"",ISNA(MATCH($H376,Tables!$B$143:$B$144,0))),
Error!$B$15,
IF(AND($E376="Tier 1",$F376="Retain",$H376&lt;&gt;"",ISNA(MATCH($H376,Tables!$B$137:$B$140,0))),
Error!$B$15,
IF(AND($E376&lt;&gt;"Tier 2",$E376&lt;&gt;"Tier 2 Grove",$E376&lt;&gt;"Tier 3",$E376&lt;&gt;"Tier 4",$H376="Zoning: Green Factor",OR($D376="",$D376&lt;6)),
Error!$B$11,
IF(AND(_xlpm.baseRow,$D376&lt;6,$E376="&lt;6in DSH for Tree Points",_xlpm.TreePoints_H=0),
Error!$B$21,
IF(AND(_xlpm.baseRow,$E376&lt;&gt;"",$D376&lt;&gt;"",$F376=""),
Error!$B$4,
IF(AND(_xlpm.baseRow,$F376="Remove",OR($E376="Tier 1",$E376="Tier 2",$E376="Tier 2 Grove"),COUNTBLANK(_xlpm.HRange)&lt;3,_xlpm.uniqueH&gt;=2),
Error!$B$48,
IF(AND(_xlpm.baseRow,$F376="Retain",OR($E376="Tier 1",$E376="Tier 2",$E376="Tier 2 Grove"),COUNTIF(_xlpm.HRange,"Tree Code: Required to Retain Tier 1-2 Tree")=0),
Error!$B$47,
IF(AND(_xlpm.baseRow,$E376&lt;&gt;"",$D376&lt;&gt;"",$F376&lt;&gt;"",COUNTBLANK(_xlpm.HRange)=4),
Error!$B$5,
IF(AND($F376="Remove",$H376&lt;&gt;"",$I376=""),
Error!$B$18,
IF(AND($E376="Tier 4",$F376="Remove",$H376="Tree Protection Code: Tier 3 or Tier 4 Allowance",$H376&lt;&gt;"",ISNA(MATCH($I376,Tables!$B$200,0))),
Error!$B$17,
IF(AND($E376="Tier 3",$F376="Remove",$H376&lt;&gt;"",$H376="Tree Protection Code: Tier 3 or Tier 4 Allowance",OR($I376="",ISNA(MATCH($I376,Tables!$B$193:$B$197,0)))),
Error!$B$17,
IF(AND(OR($E376="Tier 2",$E376="Tier 2 Grove"),$F376="Remove",$H376="Tree Protection Code: Other removal allowance or exemption",$I376&lt;&gt;"",ISNA(MATCH($I376,Tables!$B$215:$B$218,0))),
Error!$B$17,
IF(AND(OR($E376="Tier 2",$E376="Tier 2 Grove"),$F376="Remove",$H376="Tree Protection Code: Development Capacity",$I376&lt;&gt;"",ISNA(MATCH($I376,Tables!$B$193:$B$197,0))),
Error!$B$17,
IF(AND(OR($E376="Tier 2",$E376="Tier 2 Grove"),$F376="Remove",$H376="Tree Protection Code: Necessary for Construction",$I376&lt;&gt;"",ISNA(MATCH($I376,Tables!$B$193:$B$197,0))),
Error!$B$17,
IF(AND($E376="Tier 1",$F376="Remove",$H376="Tree Protection Code: Special Exception",$I376&lt;&gt;"",ISNA(MATCH($I376,Tables!$B$215:$B$218,0))),
Error!$B$17,
IF(AND($E376="Tier 1",$F376="Remove",$H376="Tree Protection Code: Other removal allowance or exemption",$I376&lt;&gt;"",ISNA(MATCH($I376,Tables!$B$215:$B$218,0))),
Error!$B$17,
IF(AND($E376="ECA / Shoreline Tree",$F376="Remove",$H376&lt;&gt;"",OR($H376="Shoreline",$H376="Environmental Critical Area (ECA)"),ISNA(MATCH($I376,Tables!$B$209:$B$212,0))),
Error!$B$17,
IF(AND(_xlpm.baseRow,$F376="Retain",$E376="ECA / Shoreline Tree",_xlpm.ECA_Short=0),
Error!$B$61,
IF(AND($F376="Remove",ISNUMBER(MATCH($E376,{"Tier 1","Tier 2","Tier 3","Tier 4","Tier 2 Grove"},0)),ISNUMBER(MATCH($I376,{"On-site replacement","Off-site replacement"},0)),$J376="",$H376&lt;&gt;""),
Error!$B$19,
IF(AND(_xlpm.baseRow,$E376&lt;&gt;"",$D376&lt;&gt;"",$F376&lt;&gt;"",COUNTBLANK($B376:$C376)&gt;0,COUNTBLANK(_xlpm.HRange)&lt;&gt;4),
Error!$B$22,
IF(AND($H376="Zoning: Tree Points",$K376&lt;&gt;"",ISNA(MATCH($K376,Tables!$B$242:$B$253,0))),
Error!$B$58,
IF(AND($H376="Zoning: Tree Points",$K376="Small",$L376&lt;&gt;"",ISNA(MATCH($L376,Tables!$C$243:$C$244,0))),
Error!$B$59,
IF(AND($H376="Zoning: Tree Points",$K376="Small/Medium",$L376&lt;&gt;"",ISNA(MATCH($L376,Tables!$C$246:$C$247,0))),
Error!$B$59,
IF(AND($H376="Zoning: Tree Points",$K376="Medium/Large",$L376&lt;&gt;"",ISNA(MATCH($L376,Tables!$C$249:$C$250,0))),
Error!$B$59,
IF(AND($H376="Zoning: Tree Points",$K376="Large",$L376&lt;&gt;"",ISNA(MATCH($L376,Tables!$C$252:$C$253,0))),
Error!$B$59,
IF(AND($F376="Retain",$H376="Zoning: Tree Points",$C376&lt;&gt;"",$D376&lt;&gt;"",OR($K376="",$L376="",$M376="")),
Error!$B$20,
""
)))))))))))))))))))))))))))))))))))))))))))))))))))))))),
Error!$B$23))</f>
        <v/>
      </c>
      <c r="O376" s="343" t="str" cm="1">
        <f t="array" aca="1" ref="O376" ca="1">IFERROR(_xlfn.LET(
    _xlpm.txt, $C376,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77" spans="1:15" x14ac:dyDescent="0.3">
      <c r="A377" s="320"/>
      <c r="B377" s="616" t="str">
        <f t="shared" si="417"/>
        <v/>
      </c>
      <c r="C377" s="617" t="str">
        <f t="shared" si="418"/>
        <v/>
      </c>
      <c r="D377" s="618" t="str">
        <f t="shared" si="419"/>
        <v/>
      </c>
      <c r="E377" s="616" t="str">
        <f t="shared" si="420"/>
        <v/>
      </c>
      <c r="F377" s="616" t="str">
        <f t="shared" si="421"/>
        <v/>
      </c>
      <c r="G377" s="619" t="str">
        <f>IF(Tree_Table1[[#This Row],[Tree Status  &amp;]]="Retain", Tables!$B$237, IF(Tree_Table1[[#This Row],[Tree Status  &amp;]]="Remove", Tables!$B$238, ""))</f>
        <v/>
      </c>
      <c r="H377" s="321"/>
      <c r="I377" s="322"/>
      <c r="J377" s="453"/>
      <c r="K377" s="323" t="str">
        <f>IFERROR(
    IF(
        AND($H377="Zoning: Tree Points", NOT(ISNUMBER(SEARCH("sp.", $C377)))),
        VLOOKUP($C377, 'Tree List'!$C$3:$F$601, 4, FALSE),
        ""
    ),
"")</f>
        <v/>
      </c>
      <c r="L377" s="324" t="str" cm="1">
        <f t="array" ref="L377">IFERROR(
IF(
    AND($H377="Zoning: Tree Points", NOT(ISNUMBER(SEARCH("sp.", $C377)))),
    _xlfn.IFS(
        (COUNTIFS('Tree List'!$C$3:$C$601,$C377,'Tree List'!$D$3:$D$601,"Coniferous")
        + COUNTIFS('Tree List'!$C$3:$C$601,$C377,'Tree List'!$D$3:$D$601,"Deciduous Conifer")) &gt; 0,
            _xlfn.IFS($K377="Small",0.5,$K377="Small/Medium",1,$K377="Medium/Large",1.4,$K377="Large",1.8),
        (COUNTIFS('Tree List'!$C$3:$C$601,$C377,'Tree List'!$D$3:$D$601,"Deciduous")
        + COUNTIFS('Tree List'!$C$3:$C$601,$C377,'Tree List'!$D$3:$D$601,"Broadleaf Evergreen")) &gt; 0,
            _xlfn.IFS($K377="Small",0.4,$K377="Small/Medium",0.8,$K377="Medium/Large",1.2,$K377="Large",1.6)
    ),
    ""
),
"")</f>
        <v/>
      </c>
      <c r="M377" s="475" t="str">
        <f t="shared" si="411"/>
        <v/>
      </c>
      <c r="N377" s="346" t="str" cm="1">
        <f t="array" aca="1" ref="N37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IF(AND(_xlpm.baseRow,ISNA(MATCH($C377,'Tree List'!$C$3:$C$601,0)),SUMPRODUCT(--ISNUMBER(SEARCH(Tables2!$C$677:$C$772,$O377)))&gt;0),
Error!$B$57,
IF(AND(_xlpm.hasDM,$F377="Remove",$H377&lt;&gt;"",OR($I377="On-site replacement",$I377="Off-site replacement",$I377="Payment In Lieu")),
Error!$B$56,
IF(AND(_xlpm.hasDM,$F377="Remove",$H377&lt;&gt;"",$I377="Relocation"),
Error!$B$66,
IF(AND(OR(_xlpm.hasCN,_xlpm.hasPH,_xlpm.hasGR),$H377&lt;&gt;"",COUNTIF(Tables!$B$132:$B$134,$H377)&gt;0,$I377="N/A (No replacement required)"),
Error!$B$62,
IF(AND(_xlpm.baseRow,$E377&lt;&gt;"",ISNA(MATCH($E377,Tables!$B$225:$B$232,0))),
Error!$B$2,
IF(AND(_xlpm.baseRow,$F377&lt;&gt;"",ISNA(MATCH($F377,Tables!$B$234:$B$235,0))),
Error!$B$24,
IF(AND(_xlpm.baseRow,_xlpm.ECA_H&gt;0,_xlpm.Shore_H&gt;0),
Error!$B$16,
IF(AND(_xlpm.baseRow,$E377&lt;&gt;"",$D377=""),
Error!$B$3,
IF(AND(_xlpm.baseRow,OR($E377="Tier 3",$E377="Tier 4"),$C377&lt;&gt;"",$D377&gt;=24,COUNTIF(Tables2!$B$166:$B$674,$C377)&gt;0),
Error!$B$44,
IF(AND(_xlpm.baseRow,OR($E377="Tier 3",$E377="Tier 4"),$C377&lt;&gt;"",$D377&lt;&gt;"",COUNTIF(Tables2!$B$73:$B$152,$C377)&gt;0,
$D377&gt;=IFERROR(INDEX(Tables2!$C$73:$C$152,MATCH($C377,Tables2!$B$73:$B$152,0)),-1)),
Error!$B$44,
IF(AND(_xlpm.baseRow,OR($E377="Tier 2",$E377="Tier 2 Grove"),$C377&lt;&gt;"",$D377&gt;=12,COUNTIF(Tables2!$B$153:$B$162,$C377)&gt;0),
Error!$B$45,
IF(AND(_xlpm.baseRow,$E377="Tier 2 Grove",$D377&lt;12),
Error!$B$41,
IF(AND(_xlpm.baseRow,$E377="Tier 2",$D377&lt;5.88),
Error!$B$40,
IF(AND(_xlpm.baseRow,OR($E377="Tier 2",$E377="Tier 2 Grove"),$C377&lt;&gt;"",$D377&lt;12,$D377&gt;=6,COUNTIF(Tables2!$B$153:$B$162,$C377)&gt;0),
Error!$B$54,
IF(AND(_xlpm.baseRow,$E377="Tier 2",COUNTIF(Tables2!$B$166:$B$674,$C377)&gt;0,$D377&lt;24),
Error!$B$54,
IF(AND(_xlpm.baseRow,$E377="Tier 3",ISNA(MATCH($C377,Tables2!$B$153:$B$162,0)),OR($D377&lt;12,$D377&gt;=24)),
Error!$B$9,
IF(AND(_xlpm.baseRow,$E377="Tier 3",COUNTIF(Tables2!$B$153:$B$162,$C377)&gt;0,$D377&lt;12),
Error!$B$46,
IF(AND(_xlpm.baseRow,$E377="Tier 4",OR($D377&lt;6,$D377&gt;=12)),
Error!$B$10,
IF(AND(_xlpm.baseRow,$E377="&lt;6in DSH for Tree Points",OR($D377&gt;=6,$D377="")),
Error!$B$8,
IF(AND(_xlpm.baseRow,$E377="Street Tree for Green Factor",$F377&lt;&gt;"",$F377&lt;&gt;"Retain"),
Error!$B$14,
IF(AND($E377="&lt;6in DSH for Tree Points",$F377="Retain",$H377&lt;&gt;"",ISNA(MATCH($H377,Tables!$B$174:$B$174,0))),
Error!$B$15,
IF(AND($E377="Street Tree for Green Factor",$F377="Retain",$H377&lt;&gt;"",$H377&lt;&gt;"Zoning: Green Factor"),
Error!$B$15,
IF(AND($E377="ECA / Shoreline Tree",$F377="Remove",$H377&lt;&gt;"",ISNA(MATCH($H377,Tables!$B$189:$B$190,0))),
Error!$B$15,
IF(AND($E377="ECA / Shoreline Tree",$F377="Retain",$H377&lt;&gt;"",ISNA(MATCH($H377,Tables!$B$184:$B$186,0))),
Error!$B$15,
IF(AND($E377="Tier 4",$F377="Remove",$H377&lt;&gt;"",ISNA(MATCH($H377,Tables!$B$171,0))),
Error!$B$15,
IF(AND($E377="Tier 4",$F377="Retain",$H377&lt;&gt;"",ISNA(MATCH($H377,Tables!$B$166:$B$168,0))),
Error!$B$15,
IF(AND($E377="Tier 3",$F377="Retain",$H377&lt;&gt;"",ISNA(MATCH($H377,Tables!$B$158:$B$160,0))),
Error!$B$15,
IF(AND($E377="Tier 3",$F377="Remove",$H377&lt;&gt;"",ISNA(MATCH($H377,Tables!$B$163,0))),
Error!$B$15,
IF(AND(OR($E377="Tier 2",$E377="Tier 2 Grove"),$F377="Remove",$H377&lt;&gt;"",ISNA(MATCH($H377,Tables!$B$153:$B$155,0))),
Error!$B$15,
IF(AND(OR($E377="Tier 2",$E377="Tier 2 Grove"),$F377="Retain",$H377&lt;&gt;"",ISNA(MATCH($H377,Tables!$B$147:$B$150,0))),
Error!$B$15,
IF(AND($E377="Tier 1",$F377="Remove",$H377&lt;&gt;"",ISNA(MATCH($H377,Tables!$B$143:$B$144,0))),
Error!$B$15,
IF(AND($E377="Tier 1",$F377="Retain",$H377&lt;&gt;"",ISNA(MATCH($H377,Tables!$B$137:$B$140,0))),
Error!$B$15,
IF(AND($E377&lt;&gt;"Tier 2",$E377&lt;&gt;"Tier 2 Grove",$E377&lt;&gt;"Tier 3",$E377&lt;&gt;"Tier 4",$H377="Zoning: Green Factor",OR($D377="",$D377&lt;6)),
Error!$B$11,
IF(AND(_xlpm.baseRow,$D377&lt;6,$E377="&lt;6in DSH for Tree Points",_xlpm.TreePoints_H=0),
Error!$B$21,
IF(AND(_xlpm.baseRow,$E377&lt;&gt;"",$D377&lt;&gt;"",$F377=""),
Error!$B$4,
IF(AND(_xlpm.baseRow,$F377="Remove",OR($E377="Tier 1",$E377="Tier 2",$E377="Tier 2 Grove"),COUNTBLANK(_xlpm.HRange)&lt;3,_xlpm.uniqueH&gt;=2),
Error!$B$48,
IF(AND(_xlpm.baseRow,$F377="Retain",OR($E377="Tier 1",$E377="Tier 2",$E377="Tier 2 Grove"),COUNTIF(_xlpm.HRange,"Tree Code: Required to Retain Tier 1-2 Tree")=0),
Error!$B$47,
IF(AND(_xlpm.baseRow,$E377&lt;&gt;"",$D377&lt;&gt;"",$F377&lt;&gt;"",COUNTBLANK(_xlpm.HRange)=4),
Error!$B$5,
IF(AND($F377="Remove",$H377&lt;&gt;"",$I377=""),
Error!$B$18,
IF(AND($E377="Tier 4",$F377="Remove",$H377="Tree Protection Code: Tier 3 or Tier 4 Allowance",$H377&lt;&gt;"",ISNA(MATCH($I377,Tables!$B$200,0))),
Error!$B$17,
IF(AND($E377="Tier 3",$F377="Remove",$H377&lt;&gt;"",$H377="Tree Protection Code: Tier 3 or Tier 4 Allowance",OR($I377="",ISNA(MATCH($I377,Tables!$B$193:$B$197,0)))),
Error!$B$17,
IF(AND(OR($E377="Tier 2",$E377="Tier 2 Grove"),$F377="Remove",$H377="Tree Protection Code: Other removal allowance or exemption",$I377&lt;&gt;"",ISNA(MATCH($I377,Tables!$B$215:$B$218,0))),
Error!$B$17,
IF(AND(OR($E377="Tier 2",$E377="Tier 2 Grove"),$F377="Remove",$H377="Tree Protection Code: Development Capacity",$I377&lt;&gt;"",ISNA(MATCH($I377,Tables!$B$193:$B$197,0))),
Error!$B$17,
IF(AND(OR($E377="Tier 2",$E377="Tier 2 Grove"),$F377="Remove",$H377="Tree Protection Code: Necessary for Construction",$I377&lt;&gt;"",ISNA(MATCH($I377,Tables!$B$193:$B$197,0))),
Error!$B$17,
IF(AND($E377="Tier 1",$F377="Remove",$H377="Tree Protection Code: Special Exception",$I377&lt;&gt;"",ISNA(MATCH($I377,Tables!$B$215:$B$218,0))),
Error!$B$17,
IF(AND($E377="Tier 1",$F377="Remove",$H377="Tree Protection Code: Other removal allowance or exemption",$I377&lt;&gt;"",ISNA(MATCH($I377,Tables!$B$215:$B$218,0))),
Error!$B$17,
IF(AND($E377="ECA / Shoreline Tree",$F377="Remove",$H377&lt;&gt;"",OR($H377="Shoreline",$H377="Environmental Critical Area (ECA)"),ISNA(MATCH($I377,Tables!$B$209:$B$212,0))),
Error!$B$17,
IF(AND(_xlpm.baseRow,$F377="Retain",$E377="ECA / Shoreline Tree",_xlpm.ECA_Short=0),
Error!$B$61,
IF(AND($F377="Remove",ISNUMBER(MATCH($E377,{"Tier 1","Tier 2","Tier 3","Tier 4","Tier 2 Grove"},0)),ISNUMBER(MATCH($I377,{"On-site replacement","Off-site replacement"},0)),$J377="",$H377&lt;&gt;""),
Error!$B$19,
IF(AND(_xlpm.baseRow,$E377&lt;&gt;"",$D377&lt;&gt;"",$F377&lt;&gt;"",COUNTBLANK($B377:$C377)&gt;0,COUNTBLANK(_xlpm.HRange)&lt;&gt;4),
Error!$B$22,
IF(AND($H377="Zoning: Tree Points",$K377&lt;&gt;"",ISNA(MATCH($K377,Tables!$B$242:$B$253,0))),
Error!$B$58,
IF(AND($H377="Zoning: Tree Points",$K377="Small",$L377&lt;&gt;"",ISNA(MATCH($L377,Tables!$C$243:$C$244,0))),
Error!$B$59,
IF(AND($H377="Zoning: Tree Points",$K377="Small/Medium",$L377&lt;&gt;"",ISNA(MATCH($L377,Tables!$C$246:$C$247,0))),
Error!$B$59,
IF(AND($H377="Zoning: Tree Points",$K377="Medium/Large",$L377&lt;&gt;"",ISNA(MATCH($L377,Tables!$C$249:$C$250,0))),
Error!$B$59,
IF(AND($H377="Zoning: Tree Points",$K377="Large",$L377&lt;&gt;"",ISNA(MATCH($L377,Tables!$C$252:$C$253,0))),
Error!$B$59,
IF(AND($F377="Retain",$H377="Zoning: Tree Points",$C377&lt;&gt;"",$D377&lt;&gt;"",OR($K377="",$L377="",$M377="")),
Error!$B$20,
""
)))))))))))))))))))))))))))))))))))))))))))))))))))))))),
Error!$B$23))</f>
        <v/>
      </c>
      <c r="O377" s="343" t="str" cm="1">
        <f t="array" aca="1" ref="O377" ca="1">IFERROR(_xlfn.LET(
    _xlpm.txt, $C377,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78" spans="1:15" ht="15" thickBot="1" x14ac:dyDescent="0.35">
      <c r="A378" s="331"/>
      <c r="B378" s="616" t="str">
        <f t="shared" si="417"/>
        <v/>
      </c>
      <c r="C378" s="617" t="str">
        <f t="shared" si="418"/>
        <v/>
      </c>
      <c r="D378" s="618" t="str">
        <f t="shared" si="419"/>
        <v/>
      </c>
      <c r="E378" s="616" t="str">
        <f t="shared" si="420"/>
        <v/>
      </c>
      <c r="F378" s="616" t="str">
        <f t="shared" si="421"/>
        <v/>
      </c>
      <c r="G378" s="619" t="str">
        <f>IF(Tree_Table1[[#This Row],[Tree Status  &amp;]]="Retain", Tables!$B$237, IF(Tree_Table1[[#This Row],[Tree Status  &amp;]]="Remove", Tables!$B$238, ""))</f>
        <v/>
      </c>
      <c r="H378" s="329"/>
      <c r="I378" s="330"/>
      <c r="J378" s="455"/>
      <c r="K378" s="327" t="str">
        <f>IFERROR(
    IF(
        AND($H378="Zoning: Tree Points", NOT(ISNUMBER(SEARCH("sp.", $C378)))),
        VLOOKUP($C378, 'Tree List'!$C$3:$F$601, 4, FALSE),
        ""
    ),
"")</f>
        <v/>
      </c>
      <c r="L378" s="328" t="str" cm="1">
        <f t="array" ref="L378">IFERROR(
IF(
    AND($H378="Zoning: Tree Points", NOT(ISNUMBER(SEARCH("sp.", $C378)))),
    _xlfn.IFS(
        (COUNTIFS('Tree List'!$C$3:$C$601,$C378,'Tree List'!$D$3:$D$601,"Coniferous")
        + COUNTIFS('Tree List'!$C$3:$C$601,$C378,'Tree List'!$D$3:$D$601,"Deciduous Conifer")) &gt; 0,
            _xlfn.IFS($K378="Small",0.5,$K378="Small/Medium",1,$K378="Medium/Large",1.4,$K378="Large",1.8),
        (COUNTIFS('Tree List'!$C$3:$C$601,$C378,'Tree List'!$D$3:$D$601,"Deciduous")
        + COUNTIFS('Tree List'!$C$3:$C$601,$C378,'Tree List'!$D$3:$D$601,"Broadleaf Evergreen")) &gt; 0,
            _xlfn.IFS($K378="Small",0.4,$K378="Small/Medium",0.8,$K378="Medium/Large",1.2,$K378="Large",1.6)
    ),
    ""
),
"")</f>
        <v/>
      </c>
      <c r="M378" s="476" t="str">
        <f t="shared" si="411"/>
        <v/>
      </c>
      <c r="N378" s="347" t="str" cm="1">
        <f t="array" aca="1" ref="N37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IF(AND(_xlpm.baseRow,ISNA(MATCH($C378,'Tree List'!$C$3:$C$601,0)),SUMPRODUCT(--ISNUMBER(SEARCH(Tables2!$C$677:$C$772,$O378)))&gt;0),
Error!$B$57,
IF(AND(_xlpm.hasDM,$F378="Remove",$H378&lt;&gt;"",OR($I378="On-site replacement",$I378="Off-site replacement",$I378="Payment In Lieu")),
Error!$B$56,
IF(AND(_xlpm.hasDM,$F378="Remove",$H378&lt;&gt;"",$I378="Relocation"),
Error!$B$66,
IF(AND(OR(_xlpm.hasCN,_xlpm.hasPH,_xlpm.hasGR),$H378&lt;&gt;"",COUNTIF(Tables!$B$132:$B$134,$H378)&gt;0,$I378="N/A (No replacement required)"),
Error!$B$62,
IF(AND(_xlpm.baseRow,$E378&lt;&gt;"",ISNA(MATCH($E378,Tables!$B$225:$B$232,0))),
Error!$B$2,
IF(AND(_xlpm.baseRow,$F378&lt;&gt;"",ISNA(MATCH($F378,Tables!$B$234:$B$235,0))),
Error!$B$24,
IF(AND(_xlpm.baseRow,_xlpm.ECA_H&gt;0,_xlpm.Shore_H&gt;0),
Error!$B$16,
IF(AND(_xlpm.baseRow,$E378&lt;&gt;"",$D378=""),
Error!$B$3,
IF(AND(_xlpm.baseRow,OR($E378="Tier 3",$E378="Tier 4"),$C378&lt;&gt;"",$D378&gt;=24,COUNTIF(Tables2!$B$166:$B$674,$C378)&gt;0),
Error!$B$44,
IF(AND(_xlpm.baseRow,OR($E378="Tier 3",$E378="Tier 4"),$C378&lt;&gt;"",$D378&lt;&gt;"",COUNTIF(Tables2!$B$73:$B$152,$C378)&gt;0,
$D378&gt;=IFERROR(INDEX(Tables2!$C$73:$C$152,MATCH($C378,Tables2!$B$73:$B$152,0)),-1)),
Error!$B$44,
IF(AND(_xlpm.baseRow,OR($E378="Tier 2",$E378="Tier 2 Grove"),$C378&lt;&gt;"",$D378&gt;=12,COUNTIF(Tables2!$B$153:$B$162,$C378)&gt;0),
Error!$B$45,
IF(AND(_xlpm.baseRow,$E378="Tier 2 Grove",$D378&lt;12),
Error!$B$41,
IF(AND(_xlpm.baseRow,$E378="Tier 2",$D378&lt;5.88),
Error!$B$40,
IF(AND(_xlpm.baseRow,OR($E378="Tier 2",$E378="Tier 2 Grove"),$C378&lt;&gt;"",$D378&lt;12,$D378&gt;=6,COUNTIF(Tables2!$B$153:$B$162,$C378)&gt;0),
Error!$B$54,
IF(AND(_xlpm.baseRow,$E378="Tier 2",COUNTIF(Tables2!$B$166:$B$674,$C378)&gt;0,$D378&lt;24),
Error!$B$54,
IF(AND(_xlpm.baseRow,$E378="Tier 3",ISNA(MATCH($C378,Tables2!$B$153:$B$162,0)),OR($D378&lt;12,$D378&gt;=24)),
Error!$B$9,
IF(AND(_xlpm.baseRow,$E378="Tier 3",COUNTIF(Tables2!$B$153:$B$162,$C378)&gt;0,$D378&lt;12),
Error!$B$46,
IF(AND(_xlpm.baseRow,$E378="Tier 4",OR($D378&lt;6,$D378&gt;=12)),
Error!$B$10,
IF(AND(_xlpm.baseRow,$E378="&lt;6in DSH for Tree Points",OR($D378&gt;=6,$D378="")),
Error!$B$8,
IF(AND(_xlpm.baseRow,$E378="Street Tree for Green Factor",$F378&lt;&gt;"",$F378&lt;&gt;"Retain"),
Error!$B$14,
IF(AND($E378="&lt;6in DSH for Tree Points",$F378="Retain",$H378&lt;&gt;"",ISNA(MATCH($H378,Tables!$B$174:$B$174,0))),
Error!$B$15,
IF(AND($E378="Street Tree for Green Factor",$F378="Retain",$H378&lt;&gt;"",$H378&lt;&gt;"Zoning: Green Factor"),
Error!$B$15,
IF(AND($E378="ECA / Shoreline Tree",$F378="Remove",$H378&lt;&gt;"",ISNA(MATCH($H378,Tables!$B$189:$B$190,0))),
Error!$B$15,
IF(AND($E378="ECA / Shoreline Tree",$F378="Retain",$H378&lt;&gt;"",ISNA(MATCH($H378,Tables!$B$184:$B$186,0))),
Error!$B$15,
IF(AND($E378="Tier 4",$F378="Remove",$H378&lt;&gt;"",ISNA(MATCH($H378,Tables!$B$171,0))),
Error!$B$15,
IF(AND($E378="Tier 4",$F378="Retain",$H378&lt;&gt;"",ISNA(MATCH($H378,Tables!$B$166:$B$168,0))),
Error!$B$15,
IF(AND($E378="Tier 3",$F378="Retain",$H378&lt;&gt;"",ISNA(MATCH($H378,Tables!$B$158:$B$160,0))),
Error!$B$15,
IF(AND($E378="Tier 3",$F378="Remove",$H378&lt;&gt;"",ISNA(MATCH($H378,Tables!$B$163,0))),
Error!$B$15,
IF(AND(OR($E378="Tier 2",$E378="Tier 2 Grove"),$F378="Remove",$H378&lt;&gt;"",ISNA(MATCH($H378,Tables!$B$153:$B$155,0))),
Error!$B$15,
IF(AND(OR($E378="Tier 2",$E378="Tier 2 Grove"),$F378="Retain",$H378&lt;&gt;"",ISNA(MATCH($H378,Tables!$B$147:$B$150,0))),
Error!$B$15,
IF(AND($E378="Tier 1",$F378="Remove",$H378&lt;&gt;"",ISNA(MATCH($H378,Tables!$B$143:$B$144,0))),
Error!$B$15,
IF(AND($E378="Tier 1",$F378="Retain",$H378&lt;&gt;"",ISNA(MATCH($H378,Tables!$B$137:$B$140,0))),
Error!$B$15,
IF(AND($E378&lt;&gt;"Tier 2",$E378&lt;&gt;"Tier 2 Grove",$E378&lt;&gt;"Tier 3",$E378&lt;&gt;"Tier 4",$H378="Zoning: Green Factor",OR($D378="",$D378&lt;6)),
Error!$B$11,
IF(AND(_xlpm.baseRow,$D378&lt;6,$E378="&lt;6in DSH for Tree Points",_xlpm.TreePoints_H=0),
Error!$B$21,
IF(AND(_xlpm.baseRow,$E378&lt;&gt;"",$D378&lt;&gt;"",$F378=""),
Error!$B$4,
IF(AND(_xlpm.baseRow,$F378="Remove",OR($E378="Tier 1",$E378="Tier 2",$E378="Tier 2 Grove"),COUNTBLANK(_xlpm.HRange)&lt;3,_xlpm.uniqueH&gt;=2),
Error!$B$48,
IF(AND(_xlpm.baseRow,$F378="Retain",OR($E378="Tier 1",$E378="Tier 2",$E378="Tier 2 Grove"),COUNTIF(_xlpm.HRange,"Tree Code: Required to Retain Tier 1-2 Tree")=0),
Error!$B$47,
IF(AND(_xlpm.baseRow,$E378&lt;&gt;"",$D378&lt;&gt;"",$F378&lt;&gt;"",COUNTBLANK(_xlpm.HRange)=4),
Error!$B$5,
IF(AND($F378="Remove",$H378&lt;&gt;"",$I378=""),
Error!$B$18,
IF(AND($E378="Tier 4",$F378="Remove",$H378="Tree Protection Code: Tier 3 or Tier 4 Allowance",$H378&lt;&gt;"",ISNA(MATCH($I378,Tables!$B$200,0))),
Error!$B$17,
IF(AND($E378="Tier 3",$F378="Remove",$H378&lt;&gt;"",$H378="Tree Protection Code: Tier 3 or Tier 4 Allowance",OR($I378="",ISNA(MATCH($I378,Tables!$B$193:$B$197,0)))),
Error!$B$17,
IF(AND(OR($E378="Tier 2",$E378="Tier 2 Grove"),$F378="Remove",$H378="Tree Protection Code: Other removal allowance or exemption",$I378&lt;&gt;"",ISNA(MATCH($I378,Tables!$B$215:$B$218,0))),
Error!$B$17,
IF(AND(OR($E378="Tier 2",$E378="Tier 2 Grove"),$F378="Remove",$H378="Tree Protection Code: Development Capacity",$I378&lt;&gt;"",ISNA(MATCH($I378,Tables!$B$193:$B$197,0))),
Error!$B$17,
IF(AND(OR($E378="Tier 2",$E378="Tier 2 Grove"),$F378="Remove",$H378="Tree Protection Code: Necessary for Construction",$I378&lt;&gt;"",ISNA(MATCH($I378,Tables!$B$193:$B$197,0))),
Error!$B$17,
IF(AND($E378="Tier 1",$F378="Remove",$H378="Tree Protection Code: Special Exception",$I378&lt;&gt;"",ISNA(MATCH($I378,Tables!$B$215:$B$218,0))),
Error!$B$17,
IF(AND($E378="Tier 1",$F378="Remove",$H378="Tree Protection Code: Other removal allowance or exemption",$I378&lt;&gt;"",ISNA(MATCH($I378,Tables!$B$215:$B$218,0))),
Error!$B$17,
IF(AND($E378="ECA / Shoreline Tree",$F378="Remove",$H378&lt;&gt;"",OR($H378="Shoreline",$H378="Environmental Critical Area (ECA)"),ISNA(MATCH($I378,Tables!$B$209:$B$212,0))),
Error!$B$17,
IF(AND(_xlpm.baseRow,$F378="Retain",$E378="ECA / Shoreline Tree",_xlpm.ECA_Short=0),
Error!$B$61,
IF(AND($F378="Remove",ISNUMBER(MATCH($E378,{"Tier 1","Tier 2","Tier 3","Tier 4","Tier 2 Grove"},0)),ISNUMBER(MATCH($I378,{"On-site replacement","Off-site replacement"},0)),$J378="",$H378&lt;&gt;""),
Error!$B$19,
IF(AND(_xlpm.baseRow,$E378&lt;&gt;"",$D378&lt;&gt;"",$F378&lt;&gt;"",COUNTBLANK($B378:$C378)&gt;0,COUNTBLANK(_xlpm.HRange)&lt;&gt;4),
Error!$B$22,
IF(AND($H378="Zoning: Tree Points",$K378&lt;&gt;"",ISNA(MATCH($K378,Tables!$B$242:$B$253,0))),
Error!$B$58,
IF(AND($H378="Zoning: Tree Points",$K378="Small",$L378&lt;&gt;"",ISNA(MATCH($L378,Tables!$C$243:$C$244,0))),
Error!$B$59,
IF(AND($H378="Zoning: Tree Points",$K378="Small/Medium",$L378&lt;&gt;"",ISNA(MATCH($L378,Tables!$C$246:$C$247,0))),
Error!$B$59,
IF(AND($H378="Zoning: Tree Points",$K378="Medium/Large",$L378&lt;&gt;"",ISNA(MATCH($L378,Tables!$C$249:$C$250,0))),
Error!$B$59,
IF(AND($H378="Zoning: Tree Points",$K378="Large",$L378&lt;&gt;"",ISNA(MATCH($L378,Tables!$C$252:$C$253,0))),
Error!$B$59,
IF(AND($F378="Retain",$H378="Zoning: Tree Points",$C378&lt;&gt;"",$D378&lt;&gt;"",OR($K378="",$L378="",$M378="")),
Error!$B$20,
""
)))))))))))))))))))))))))))))))))))))))))))))))))))))))),
Error!$B$23))</f>
        <v/>
      </c>
      <c r="O378" s="343" t="str" cm="1">
        <f t="array" aca="1" ref="O378" ca="1">IFERROR(_xlfn.LET(
    _xlpm.txt, $C378,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79" spans="1:15" ht="15" thickBot="1" x14ac:dyDescent="0.35">
      <c r="A379" s="311">
        <v>93</v>
      </c>
      <c r="B379" s="312"/>
      <c r="C379" s="313"/>
      <c r="D379" s="478"/>
      <c r="E379" s="314"/>
      <c r="F379" s="314"/>
      <c r="G379" s="315" t="str">
        <f>IF(Tree_Table1[[#This Row],[Tree Status  &amp;]]="Retain", Tables!$B$237, IF(Tree_Table1[[#This Row],[Tree Status  &amp;]]="Remove", Tables!$B$238, ""))</f>
        <v/>
      </c>
      <c r="H379" s="316"/>
      <c r="I379" s="317"/>
      <c r="J379" s="452"/>
      <c r="K379" s="318" t="str">
        <f>IFERROR(
    IF(
        AND($H379="Zoning: Tree Points", NOT(ISNUMBER(SEARCH("sp.", $C379)))),
        VLOOKUP($C379, 'Tree List'!$C$3:$F$601, 4, FALSE),
        ""
    ),
"")</f>
        <v/>
      </c>
      <c r="L379" s="319" t="str" cm="1">
        <f t="array" ref="L379">IFERROR(
IF(
    AND($H379="Zoning: Tree Points", NOT(ISNUMBER(SEARCH("sp.", $C379)))),
    _xlfn.IFS(
        (COUNTIFS('Tree List'!$C$3:$C$601,$C379,'Tree List'!$D$3:$D$601,"Coniferous")
        + COUNTIFS('Tree List'!$C$3:$C$601,$C379,'Tree List'!$D$3:$D$601,"Deciduous Conifer")) &gt; 0,
            _xlfn.IFS($K379="Small",0.5,$K379="Small/Medium",1,$K379="Medium/Large",1.4,$K379="Large",1.8),
        (COUNTIFS('Tree List'!$C$3:$C$601,$C379,'Tree List'!$D$3:$D$601,"Deciduous")
        + COUNTIFS('Tree List'!$C$3:$C$601,$C379,'Tree List'!$D$3:$D$601,"Broadleaf Evergreen")) &gt; 0,
            _xlfn.IFS($K379="Small",0.4,$K379="Small/Medium",0.8,$K379="Medium/Large",1.2,$K379="Large",1.6)
    ),
    ""
),
"")</f>
        <v/>
      </c>
      <c r="M379" s="474" t="str">
        <f t="shared" si="411"/>
        <v/>
      </c>
      <c r="N379" s="620" t="str" cm="1">
        <f t="array" aca="1" ref="N37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IF(AND(_xlpm.baseRow,ISNA(MATCH($C379,'Tree List'!$C$3:$C$601,0)),SUMPRODUCT(--ISNUMBER(SEARCH(Tables2!$C$677:$C$772,$O379)))&gt;0),
Error!$B$57,
IF(AND(_xlpm.hasDM,$F379="Remove",$H379&lt;&gt;"",OR($I379="On-site replacement",$I379="Off-site replacement",$I379="Payment In Lieu")),
Error!$B$56,
IF(AND(_xlpm.hasDM,$F379="Remove",$H379&lt;&gt;"",$I379="Relocation"),
Error!$B$66,
IF(AND(OR(_xlpm.hasCN,_xlpm.hasPH,_xlpm.hasGR),$H379&lt;&gt;"",COUNTIF(Tables!$B$132:$B$134,$H379)&gt;0,$I379="N/A (No replacement required)"),
Error!$B$62,
IF(AND(_xlpm.baseRow,$E379&lt;&gt;"",ISNA(MATCH($E379,Tables!$B$225:$B$232,0))),
Error!$B$2,
IF(AND(_xlpm.baseRow,$F379&lt;&gt;"",ISNA(MATCH($F379,Tables!$B$234:$B$235,0))),
Error!$B$24,
IF(AND(_xlpm.baseRow,_xlpm.ECA_H&gt;0,_xlpm.Shore_H&gt;0),
Error!$B$16,
IF(AND(_xlpm.baseRow,$E379&lt;&gt;"",$D379=""),
Error!$B$3,
IF(AND(_xlpm.baseRow,OR($E379="Tier 3",$E379="Tier 4"),$C379&lt;&gt;"",$D379&gt;=24,COUNTIF(Tables2!$B$166:$B$674,$C379)&gt;0),
Error!$B$44,
IF(AND(_xlpm.baseRow,OR($E379="Tier 3",$E379="Tier 4"),$C379&lt;&gt;"",$D379&lt;&gt;"",COUNTIF(Tables2!$B$73:$B$152,$C379)&gt;0,
$D379&gt;=IFERROR(INDEX(Tables2!$C$73:$C$152,MATCH($C379,Tables2!$B$73:$B$152,0)),-1)),
Error!$B$44,
IF(AND(_xlpm.baseRow,OR($E379="Tier 2",$E379="Tier 2 Grove"),$C379&lt;&gt;"",$D379&gt;=12,COUNTIF(Tables2!$B$153:$B$162,$C379)&gt;0),
Error!$B$45,
IF(AND(_xlpm.baseRow,$E379="Tier 2 Grove",$D379&lt;12),
Error!$B$41,
IF(AND(_xlpm.baseRow,$E379="Tier 2",$D379&lt;5.88),
Error!$B$40,
IF(AND(_xlpm.baseRow,OR($E379="Tier 2",$E379="Tier 2 Grove"),$C379&lt;&gt;"",$D379&lt;12,$D379&gt;=6,COUNTIF(Tables2!$B$153:$B$162,$C379)&gt;0),
Error!$B$54,
IF(AND(_xlpm.baseRow,$E379="Tier 2",COUNTIF(Tables2!$B$166:$B$674,$C379)&gt;0,$D379&lt;24),
Error!$B$54,
IF(AND(_xlpm.baseRow,$E379="Tier 3",ISNA(MATCH($C379,Tables2!$B$153:$B$162,0)),OR($D379&lt;12,$D379&gt;=24)),
Error!$B$9,
IF(AND(_xlpm.baseRow,$E379="Tier 3",COUNTIF(Tables2!$B$153:$B$162,$C379)&gt;0,$D379&lt;12),
Error!$B$46,
IF(AND(_xlpm.baseRow,$E379="Tier 4",OR($D379&lt;6,$D379&gt;=12)),
Error!$B$10,
IF(AND(_xlpm.baseRow,$E379="&lt;6in DSH for Tree Points",OR($D379&gt;=6,$D379="")),
Error!$B$8,
IF(AND(_xlpm.baseRow,$E379="Street Tree for Green Factor",$F379&lt;&gt;"",$F379&lt;&gt;"Retain"),
Error!$B$14,
IF(AND($E379="&lt;6in DSH for Tree Points",$F379="Retain",$H379&lt;&gt;"",ISNA(MATCH($H379,Tables!$B$174:$B$174,0))),
Error!$B$15,
IF(AND($E379="Street Tree for Green Factor",$F379="Retain",$H379&lt;&gt;"",$H379&lt;&gt;"Zoning: Green Factor"),
Error!$B$15,
IF(AND($E379="ECA / Shoreline Tree",$F379="Remove",$H379&lt;&gt;"",ISNA(MATCH($H379,Tables!$B$189:$B$190,0))),
Error!$B$15,
IF(AND($E379="ECA / Shoreline Tree",$F379="Retain",$H379&lt;&gt;"",ISNA(MATCH($H379,Tables!$B$184:$B$186,0))),
Error!$B$15,
IF(AND($E379="Tier 4",$F379="Remove",$H379&lt;&gt;"",ISNA(MATCH($H379,Tables!$B$171,0))),
Error!$B$15,
IF(AND($E379="Tier 4",$F379="Retain",$H379&lt;&gt;"",ISNA(MATCH($H379,Tables!$B$166:$B$168,0))),
Error!$B$15,
IF(AND($E379="Tier 3",$F379="Retain",$H379&lt;&gt;"",ISNA(MATCH($H379,Tables!$B$158:$B$160,0))),
Error!$B$15,
IF(AND($E379="Tier 3",$F379="Remove",$H379&lt;&gt;"",ISNA(MATCH($H379,Tables!$B$163,0))),
Error!$B$15,
IF(AND(OR($E379="Tier 2",$E379="Tier 2 Grove"),$F379="Remove",$H379&lt;&gt;"",ISNA(MATCH($H379,Tables!$B$153:$B$155,0))),
Error!$B$15,
IF(AND(OR($E379="Tier 2",$E379="Tier 2 Grove"),$F379="Retain",$H379&lt;&gt;"",ISNA(MATCH($H379,Tables!$B$147:$B$150,0))),
Error!$B$15,
IF(AND($E379="Tier 1",$F379="Remove",$H379&lt;&gt;"",ISNA(MATCH($H379,Tables!$B$143:$B$144,0))),
Error!$B$15,
IF(AND($E379="Tier 1",$F379="Retain",$H379&lt;&gt;"",ISNA(MATCH($H379,Tables!$B$137:$B$140,0))),
Error!$B$15,
IF(AND($E379&lt;&gt;"Tier 2",$E379&lt;&gt;"Tier 2 Grove",$E379&lt;&gt;"Tier 3",$E379&lt;&gt;"Tier 4",$H379="Zoning: Green Factor",OR($D379="",$D379&lt;6)),
Error!$B$11,
IF(AND(_xlpm.baseRow,$D379&lt;6,$E379="&lt;6in DSH for Tree Points",_xlpm.TreePoints_H=0),
Error!$B$21,
IF(AND(_xlpm.baseRow,$E379&lt;&gt;"",$D379&lt;&gt;"",$F379=""),
Error!$B$4,
IF(AND(_xlpm.baseRow,$F379="Remove",OR($E379="Tier 1",$E379="Tier 2",$E379="Tier 2 Grove"),COUNTBLANK(_xlpm.HRange)&lt;3,_xlpm.uniqueH&gt;=2),
Error!$B$48,
IF(AND(_xlpm.baseRow,$F379="Retain",OR($E379="Tier 1",$E379="Tier 2",$E379="Tier 2 Grove"),COUNTIF(_xlpm.HRange,"Tree Code: Required to Retain Tier 1-2 Tree")=0),
Error!$B$47,
IF(AND(_xlpm.baseRow,$E379&lt;&gt;"",$D379&lt;&gt;"",$F379&lt;&gt;"",COUNTBLANK(_xlpm.HRange)=4),
Error!$B$5,
IF(AND($F379="Remove",$H379&lt;&gt;"",$I379=""),
Error!$B$18,
IF(AND($E379="Tier 4",$F379="Remove",$H379="Tree Protection Code: Tier 3 or Tier 4 Allowance",$H379&lt;&gt;"",ISNA(MATCH($I379,Tables!$B$200,0))),
Error!$B$17,
IF(AND($E379="Tier 3",$F379="Remove",$H379&lt;&gt;"",$H379="Tree Protection Code: Tier 3 or Tier 4 Allowance",OR($I379="",ISNA(MATCH($I379,Tables!$B$193:$B$197,0)))),
Error!$B$17,
IF(AND(OR($E379="Tier 2",$E379="Tier 2 Grove"),$F379="Remove",$H379="Tree Protection Code: Other removal allowance or exemption",$I379&lt;&gt;"",ISNA(MATCH($I379,Tables!$B$215:$B$218,0))),
Error!$B$17,
IF(AND(OR($E379="Tier 2",$E379="Tier 2 Grove"),$F379="Remove",$H379="Tree Protection Code: Development Capacity",$I379&lt;&gt;"",ISNA(MATCH($I379,Tables!$B$193:$B$197,0))),
Error!$B$17,
IF(AND(OR($E379="Tier 2",$E379="Tier 2 Grove"),$F379="Remove",$H379="Tree Protection Code: Necessary for Construction",$I379&lt;&gt;"",ISNA(MATCH($I379,Tables!$B$193:$B$197,0))),
Error!$B$17,
IF(AND($E379="Tier 1",$F379="Remove",$H379="Tree Protection Code: Special Exception",$I379&lt;&gt;"",ISNA(MATCH($I379,Tables!$B$215:$B$218,0))),
Error!$B$17,
IF(AND($E379="Tier 1",$F379="Remove",$H379="Tree Protection Code: Other removal allowance or exemption",$I379&lt;&gt;"",ISNA(MATCH($I379,Tables!$B$215:$B$218,0))),
Error!$B$17,
IF(AND($E379="ECA / Shoreline Tree",$F379="Remove",$H379&lt;&gt;"",OR($H379="Shoreline",$H379="Environmental Critical Area (ECA)"),ISNA(MATCH($I379,Tables!$B$209:$B$212,0))),
Error!$B$17,
IF(AND(_xlpm.baseRow,$F379="Retain",$E379="ECA / Shoreline Tree",_xlpm.ECA_Short=0),
Error!$B$61,
IF(AND($F379="Remove",ISNUMBER(MATCH($E379,{"Tier 1","Tier 2","Tier 3","Tier 4","Tier 2 Grove"},0)),ISNUMBER(MATCH($I379,{"On-site replacement","Off-site replacement"},0)),$J379="",$H379&lt;&gt;""),
Error!$B$19,
IF(AND(_xlpm.baseRow,$E379&lt;&gt;"",$D379&lt;&gt;"",$F379&lt;&gt;"",COUNTBLANK($B379:$C379)&gt;0,COUNTBLANK(_xlpm.HRange)&lt;&gt;4),
Error!$B$22,
IF(AND($H379="Zoning: Tree Points",$K379&lt;&gt;"",ISNA(MATCH($K379,Tables!$B$242:$B$253,0))),
Error!$B$58,
IF(AND($H379="Zoning: Tree Points",$K379="Small",$L379&lt;&gt;"",ISNA(MATCH($L379,Tables!$C$243:$C$244,0))),
Error!$B$59,
IF(AND($H379="Zoning: Tree Points",$K379="Small/Medium",$L379&lt;&gt;"",ISNA(MATCH($L379,Tables!$C$246:$C$247,0))),
Error!$B$59,
IF(AND($H379="Zoning: Tree Points",$K379="Medium/Large",$L379&lt;&gt;"",ISNA(MATCH($L379,Tables!$C$249:$C$250,0))),
Error!$B$59,
IF(AND($H379="Zoning: Tree Points",$K379="Large",$L379&lt;&gt;"",ISNA(MATCH($L379,Tables!$C$252:$C$253,0))),
Error!$B$59,
IF(AND($F379="Retain",$H379="Zoning: Tree Points",$C379&lt;&gt;"",$D379&lt;&gt;"",OR($K379="",$L379="",$M379="")),
Error!$B$20,
""
)))))))))))))))))))))))))))))))))))))))))))))))))))))))),
Error!$B$23))</f>
        <v/>
      </c>
      <c r="O379" s="343" t="str" cm="1">
        <f t="array" aca="1" ref="O379" ca="1">IFERROR(_xlfn.LET(
    _xlpm.txt, $C379,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80" spans="1:15" x14ac:dyDescent="0.3">
      <c r="A380" s="320"/>
      <c r="B380" s="616" t="str">
        <f t="shared" ref="B380:B382" si="422">IF($B379="", "", $B379)</f>
        <v/>
      </c>
      <c r="C380" s="617" t="str">
        <f t="shared" ref="C380:C382" si="423">IF($C379="", "", $C379)</f>
        <v/>
      </c>
      <c r="D380" s="618" t="str">
        <f t="shared" ref="D380:D382" si="424">IF($D379="", "", $D379)</f>
        <v/>
      </c>
      <c r="E380" s="616" t="str">
        <f t="shared" ref="E380:E382" si="425">IF($E379="", "", $E379)</f>
        <v/>
      </c>
      <c r="F380" s="616" t="str">
        <f t="shared" ref="F380:F382" si="426">IF($F379="", "", $F379)</f>
        <v/>
      </c>
      <c r="G380" s="619" t="str">
        <f>IF(Tree_Table1[[#This Row],[Tree Status  &amp;]]="Retain", Tables!$B$237, IF(Tree_Table1[[#This Row],[Tree Status  &amp;]]="Remove", Tables!$B$238, ""))</f>
        <v/>
      </c>
      <c r="H380" s="321"/>
      <c r="I380" s="322"/>
      <c r="J380" s="453"/>
      <c r="K380" s="323" t="str">
        <f>IFERROR(
    IF(
        AND($H380="Zoning: Tree Points", NOT(ISNUMBER(SEARCH("sp.", $C380)))),
        VLOOKUP($C380, 'Tree List'!$C$3:$F$601, 4, FALSE),
        ""
    ),
"")</f>
        <v/>
      </c>
      <c r="L380" s="324" t="str" cm="1">
        <f t="array" ref="L380">IFERROR(
IF(
    AND($H380="Zoning: Tree Points", NOT(ISNUMBER(SEARCH("sp.", $C380)))),
    _xlfn.IFS(
        (COUNTIFS('Tree List'!$C$3:$C$601,$C380,'Tree List'!$D$3:$D$601,"Coniferous")
        + COUNTIFS('Tree List'!$C$3:$C$601,$C380,'Tree List'!$D$3:$D$601,"Deciduous Conifer")) &gt; 0,
            _xlfn.IFS($K380="Small",0.5,$K380="Small/Medium",1,$K380="Medium/Large",1.4,$K380="Large",1.8),
        (COUNTIFS('Tree List'!$C$3:$C$601,$C380,'Tree List'!$D$3:$D$601,"Deciduous")
        + COUNTIFS('Tree List'!$C$3:$C$601,$C380,'Tree List'!$D$3:$D$601,"Broadleaf Evergreen")) &gt; 0,
            _xlfn.IFS($K380="Small",0.4,$K380="Small/Medium",0.8,$K380="Medium/Large",1.2,$K380="Large",1.6)
    ),
    ""
),
"")</f>
        <v/>
      </c>
      <c r="M380" s="475" t="str">
        <f t="shared" si="411"/>
        <v/>
      </c>
      <c r="N380" s="346" t="str" cm="1">
        <f t="array" aca="1" ref="N38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IF(AND(_xlpm.baseRow,ISNA(MATCH($C380,'Tree List'!$C$3:$C$601,0)),SUMPRODUCT(--ISNUMBER(SEARCH(Tables2!$C$677:$C$772,$O380)))&gt;0),
Error!$B$57,
IF(AND(_xlpm.hasDM,$F380="Remove",$H380&lt;&gt;"",OR($I380="On-site replacement",$I380="Off-site replacement",$I380="Payment In Lieu")),
Error!$B$56,
IF(AND(_xlpm.hasDM,$F380="Remove",$H380&lt;&gt;"",$I380="Relocation"),
Error!$B$66,
IF(AND(OR(_xlpm.hasCN,_xlpm.hasPH,_xlpm.hasGR),$H380&lt;&gt;"",COUNTIF(Tables!$B$132:$B$134,$H380)&gt;0,$I380="N/A (No replacement required)"),
Error!$B$62,
IF(AND(_xlpm.baseRow,$E380&lt;&gt;"",ISNA(MATCH($E380,Tables!$B$225:$B$232,0))),
Error!$B$2,
IF(AND(_xlpm.baseRow,$F380&lt;&gt;"",ISNA(MATCH($F380,Tables!$B$234:$B$235,0))),
Error!$B$24,
IF(AND(_xlpm.baseRow,_xlpm.ECA_H&gt;0,_xlpm.Shore_H&gt;0),
Error!$B$16,
IF(AND(_xlpm.baseRow,$E380&lt;&gt;"",$D380=""),
Error!$B$3,
IF(AND(_xlpm.baseRow,OR($E380="Tier 3",$E380="Tier 4"),$C380&lt;&gt;"",$D380&gt;=24,COUNTIF(Tables2!$B$166:$B$674,$C380)&gt;0),
Error!$B$44,
IF(AND(_xlpm.baseRow,OR($E380="Tier 3",$E380="Tier 4"),$C380&lt;&gt;"",$D380&lt;&gt;"",COUNTIF(Tables2!$B$73:$B$152,$C380)&gt;0,
$D380&gt;=IFERROR(INDEX(Tables2!$C$73:$C$152,MATCH($C380,Tables2!$B$73:$B$152,0)),-1)),
Error!$B$44,
IF(AND(_xlpm.baseRow,OR($E380="Tier 2",$E380="Tier 2 Grove"),$C380&lt;&gt;"",$D380&gt;=12,COUNTIF(Tables2!$B$153:$B$162,$C380)&gt;0),
Error!$B$45,
IF(AND(_xlpm.baseRow,$E380="Tier 2 Grove",$D380&lt;12),
Error!$B$41,
IF(AND(_xlpm.baseRow,$E380="Tier 2",$D380&lt;5.88),
Error!$B$40,
IF(AND(_xlpm.baseRow,OR($E380="Tier 2",$E380="Tier 2 Grove"),$C380&lt;&gt;"",$D380&lt;12,$D380&gt;=6,COUNTIF(Tables2!$B$153:$B$162,$C380)&gt;0),
Error!$B$54,
IF(AND(_xlpm.baseRow,$E380="Tier 2",COUNTIF(Tables2!$B$166:$B$674,$C380)&gt;0,$D380&lt;24),
Error!$B$54,
IF(AND(_xlpm.baseRow,$E380="Tier 3",ISNA(MATCH($C380,Tables2!$B$153:$B$162,0)),OR($D380&lt;12,$D380&gt;=24)),
Error!$B$9,
IF(AND(_xlpm.baseRow,$E380="Tier 3",COUNTIF(Tables2!$B$153:$B$162,$C380)&gt;0,$D380&lt;12),
Error!$B$46,
IF(AND(_xlpm.baseRow,$E380="Tier 4",OR($D380&lt;6,$D380&gt;=12)),
Error!$B$10,
IF(AND(_xlpm.baseRow,$E380="&lt;6in DSH for Tree Points",OR($D380&gt;=6,$D380="")),
Error!$B$8,
IF(AND(_xlpm.baseRow,$E380="Street Tree for Green Factor",$F380&lt;&gt;"",$F380&lt;&gt;"Retain"),
Error!$B$14,
IF(AND($E380="&lt;6in DSH for Tree Points",$F380="Retain",$H380&lt;&gt;"",ISNA(MATCH($H380,Tables!$B$174:$B$174,0))),
Error!$B$15,
IF(AND($E380="Street Tree for Green Factor",$F380="Retain",$H380&lt;&gt;"",$H380&lt;&gt;"Zoning: Green Factor"),
Error!$B$15,
IF(AND($E380="ECA / Shoreline Tree",$F380="Remove",$H380&lt;&gt;"",ISNA(MATCH($H380,Tables!$B$189:$B$190,0))),
Error!$B$15,
IF(AND($E380="ECA / Shoreline Tree",$F380="Retain",$H380&lt;&gt;"",ISNA(MATCH($H380,Tables!$B$184:$B$186,0))),
Error!$B$15,
IF(AND($E380="Tier 4",$F380="Remove",$H380&lt;&gt;"",ISNA(MATCH($H380,Tables!$B$171,0))),
Error!$B$15,
IF(AND($E380="Tier 4",$F380="Retain",$H380&lt;&gt;"",ISNA(MATCH($H380,Tables!$B$166:$B$168,0))),
Error!$B$15,
IF(AND($E380="Tier 3",$F380="Retain",$H380&lt;&gt;"",ISNA(MATCH($H380,Tables!$B$158:$B$160,0))),
Error!$B$15,
IF(AND($E380="Tier 3",$F380="Remove",$H380&lt;&gt;"",ISNA(MATCH($H380,Tables!$B$163,0))),
Error!$B$15,
IF(AND(OR($E380="Tier 2",$E380="Tier 2 Grove"),$F380="Remove",$H380&lt;&gt;"",ISNA(MATCH($H380,Tables!$B$153:$B$155,0))),
Error!$B$15,
IF(AND(OR($E380="Tier 2",$E380="Tier 2 Grove"),$F380="Retain",$H380&lt;&gt;"",ISNA(MATCH($H380,Tables!$B$147:$B$150,0))),
Error!$B$15,
IF(AND($E380="Tier 1",$F380="Remove",$H380&lt;&gt;"",ISNA(MATCH($H380,Tables!$B$143:$B$144,0))),
Error!$B$15,
IF(AND($E380="Tier 1",$F380="Retain",$H380&lt;&gt;"",ISNA(MATCH($H380,Tables!$B$137:$B$140,0))),
Error!$B$15,
IF(AND($E380&lt;&gt;"Tier 2",$E380&lt;&gt;"Tier 2 Grove",$E380&lt;&gt;"Tier 3",$E380&lt;&gt;"Tier 4",$H380="Zoning: Green Factor",OR($D380="",$D380&lt;6)),
Error!$B$11,
IF(AND(_xlpm.baseRow,$D380&lt;6,$E380="&lt;6in DSH for Tree Points",_xlpm.TreePoints_H=0),
Error!$B$21,
IF(AND(_xlpm.baseRow,$E380&lt;&gt;"",$D380&lt;&gt;"",$F380=""),
Error!$B$4,
IF(AND(_xlpm.baseRow,$F380="Remove",OR($E380="Tier 1",$E380="Tier 2",$E380="Tier 2 Grove"),COUNTBLANK(_xlpm.HRange)&lt;3,_xlpm.uniqueH&gt;=2),
Error!$B$48,
IF(AND(_xlpm.baseRow,$F380="Retain",OR($E380="Tier 1",$E380="Tier 2",$E380="Tier 2 Grove"),COUNTIF(_xlpm.HRange,"Tree Code: Required to Retain Tier 1-2 Tree")=0),
Error!$B$47,
IF(AND(_xlpm.baseRow,$E380&lt;&gt;"",$D380&lt;&gt;"",$F380&lt;&gt;"",COUNTBLANK(_xlpm.HRange)=4),
Error!$B$5,
IF(AND($F380="Remove",$H380&lt;&gt;"",$I380=""),
Error!$B$18,
IF(AND($E380="Tier 4",$F380="Remove",$H380="Tree Protection Code: Tier 3 or Tier 4 Allowance",$H380&lt;&gt;"",ISNA(MATCH($I380,Tables!$B$200,0))),
Error!$B$17,
IF(AND($E380="Tier 3",$F380="Remove",$H380&lt;&gt;"",$H380="Tree Protection Code: Tier 3 or Tier 4 Allowance",OR($I380="",ISNA(MATCH($I380,Tables!$B$193:$B$197,0)))),
Error!$B$17,
IF(AND(OR($E380="Tier 2",$E380="Tier 2 Grove"),$F380="Remove",$H380="Tree Protection Code: Other removal allowance or exemption",$I380&lt;&gt;"",ISNA(MATCH($I380,Tables!$B$215:$B$218,0))),
Error!$B$17,
IF(AND(OR($E380="Tier 2",$E380="Tier 2 Grove"),$F380="Remove",$H380="Tree Protection Code: Development Capacity",$I380&lt;&gt;"",ISNA(MATCH($I380,Tables!$B$193:$B$197,0))),
Error!$B$17,
IF(AND(OR($E380="Tier 2",$E380="Tier 2 Grove"),$F380="Remove",$H380="Tree Protection Code: Necessary for Construction",$I380&lt;&gt;"",ISNA(MATCH($I380,Tables!$B$193:$B$197,0))),
Error!$B$17,
IF(AND($E380="Tier 1",$F380="Remove",$H380="Tree Protection Code: Special Exception",$I380&lt;&gt;"",ISNA(MATCH($I380,Tables!$B$215:$B$218,0))),
Error!$B$17,
IF(AND($E380="Tier 1",$F380="Remove",$H380="Tree Protection Code: Other removal allowance or exemption",$I380&lt;&gt;"",ISNA(MATCH($I380,Tables!$B$215:$B$218,0))),
Error!$B$17,
IF(AND($E380="ECA / Shoreline Tree",$F380="Remove",$H380&lt;&gt;"",OR($H380="Shoreline",$H380="Environmental Critical Area (ECA)"),ISNA(MATCH($I380,Tables!$B$209:$B$212,0))),
Error!$B$17,
IF(AND(_xlpm.baseRow,$F380="Retain",$E380="ECA / Shoreline Tree",_xlpm.ECA_Short=0),
Error!$B$61,
IF(AND($F380="Remove",ISNUMBER(MATCH($E380,{"Tier 1","Tier 2","Tier 3","Tier 4","Tier 2 Grove"},0)),ISNUMBER(MATCH($I380,{"On-site replacement","Off-site replacement"},0)),$J380="",$H380&lt;&gt;""),
Error!$B$19,
IF(AND(_xlpm.baseRow,$E380&lt;&gt;"",$D380&lt;&gt;"",$F380&lt;&gt;"",COUNTBLANK($B380:$C380)&gt;0,COUNTBLANK(_xlpm.HRange)&lt;&gt;4),
Error!$B$22,
IF(AND($H380="Zoning: Tree Points",$K380&lt;&gt;"",ISNA(MATCH($K380,Tables!$B$242:$B$253,0))),
Error!$B$58,
IF(AND($H380="Zoning: Tree Points",$K380="Small",$L380&lt;&gt;"",ISNA(MATCH($L380,Tables!$C$243:$C$244,0))),
Error!$B$59,
IF(AND($H380="Zoning: Tree Points",$K380="Small/Medium",$L380&lt;&gt;"",ISNA(MATCH($L380,Tables!$C$246:$C$247,0))),
Error!$B$59,
IF(AND($H380="Zoning: Tree Points",$K380="Medium/Large",$L380&lt;&gt;"",ISNA(MATCH($L380,Tables!$C$249:$C$250,0))),
Error!$B$59,
IF(AND($H380="Zoning: Tree Points",$K380="Large",$L380&lt;&gt;"",ISNA(MATCH($L380,Tables!$C$252:$C$253,0))),
Error!$B$59,
IF(AND($F380="Retain",$H380="Zoning: Tree Points",$C380&lt;&gt;"",$D380&lt;&gt;"",OR($K380="",$L380="",$M380="")),
Error!$B$20,
""
)))))))))))))))))))))))))))))))))))))))))))))))))))))))),
Error!$B$23))</f>
        <v/>
      </c>
      <c r="O380" s="343" t="str" cm="1">
        <f t="array" aca="1" ref="O380" ca="1">IFERROR(_xlfn.LET(
    _xlpm.txt, $C380,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81" spans="1:15" x14ac:dyDescent="0.3">
      <c r="A381" s="320"/>
      <c r="B381" s="616" t="str">
        <f t="shared" si="422"/>
        <v/>
      </c>
      <c r="C381" s="617" t="str">
        <f t="shared" si="423"/>
        <v/>
      </c>
      <c r="D381" s="618" t="str">
        <f t="shared" si="424"/>
        <v/>
      </c>
      <c r="E381" s="616" t="str">
        <f t="shared" si="425"/>
        <v/>
      </c>
      <c r="F381" s="616" t="str">
        <f t="shared" si="426"/>
        <v/>
      </c>
      <c r="G381" s="619" t="str">
        <f>IF(Tree_Table1[[#This Row],[Tree Status  &amp;]]="Retain", Tables!$B$237, IF(Tree_Table1[[#This Row],[Tree Status  &amp;]]="Remove", Tables!$B$238, ""))</f>
        <v/>
      </c>
      <c r="H381" s="321"/>
      <c r="I381" s="322"/>
      <c r="J381" s="453"/>
      <c r="K381" s="323" t="str">
        <f>IFERROR(
    IF(
        AND($H381="Zoning: Tree Points", NOT(ISNUMBER(SEARCH("sp.", $C381)))),
        VLOOKUP($C381, 'Tree List'!$C$3:$F$601, 4, FALSE),
        ""
    ),
"")</f>
        <v/>
      </c>
      <c r="L381" s="324" t="str" cm="1">
        <f t="array" ref="L381">IFERROR(
IF(
    AND($H381="Zoning: Tree Points", NOT(ISNUMBER(SEARCH("sp.", $C381)))),
    _xlfn.IFS(
        (COUNTIFS('Tree List'!$C$3:$C$601,$C381,'Tree List'!$D$3:$D$601,"Coniferous")
        + COUNTIFS('Tree List'!$C$3:$C$601,$C381,'Tree List'!$D$3:$D$601,"Deciduous Conifer")) &gt; 0,
            _xlfn.IFS($K381="Small",0.5,$K381="Small/Medium",1,$K381="Medium/Large",1.4,$K381="Large",1.8),
        (COUNTIFS('Tree List'!$C$3:$C$601,$C381,'Tree List'!$D$3:$D$601,"Deciduous")
        + COUNTIFS('Tree List'!$C$3:$C$601,$C381,'Tree List'!$D$3:$D$601,"Broadleaf Evergreen")) &gt; 0,
            _xlfn.IFS($K381="Small",0.4,$K381="Small/Medium",0.8,$K381="Medium/Large",1.2,$K381="Large",1.6)
    ),
    ""
),
"")</f>
        <v/>
      </c>
      <c r="M381" s="475" t="str">
        <f t="shared" si="411"/>
        <v/>
      </c>
      <c r="N381" s="346" t="str" cm="1">
        <f t="array" aca="1" ref="N38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IF(AND(_xlpm.baseRow,ISNA(MATCH($C381,'Tree List'!$C$3:$C$601,0)),SUMPRODUCT(--ISNUMBER(SEARCH(Tables2!$C$677:$C$772,$O381)))&gt;0),
Error!$B$57,
IF(AND(_xlpm.hasDM,$F381="Remove",$H381&lt;&gt;"",OR($I381="On-site replacement",$I381="Off-site replacement",$I381="Payment In Lieu")),
Error!$B$56,
IF(AND(_xlpm.hasDM,$F381="Remove",$H381&lt;&gt;"",$I381="Relocation"),
Error!$B$66,
IF(AND(OR(_xlpm.hasCN,_xlpm.hasPH,_xlpm.hasGR),$H381&lt;&gt;"",COUNTIF(Tables!$B$132:$B$134,$H381)&gt;0,$I381="N/A (No replacement required)"),
Error!$B$62,
IF(AND(_xlpm.baseRow,$E381&lt;&gt;"",ISNA(MATCH($E381,Tables!$B$225:$B$232,0))),
Error!$B$2,
IF(AND(_xlpm.baseRow,$F381&lt;&gt;"",ISNA(MATCH($F381,Tables!$B$234:$B$235,0))),
Error!$B$24,
IF(AND(_xlpm.baseRow,_xlpm.ECA_H&gt;0,_xlpm.Shore_H&gt;0),
Error!$B$16,
IF(AND(_xlpm.baseRow,$E381&lt;&gt;"",$D381=""),
Error!$B$3,
IF(AND(_xlpm.baseRow,OR($E381="Tier 3",$E381="Tier 4"),$C381&lt;&gt;"",$D381&gt;=24,COUNTIF(Tables2!$B$166:$B$674,$C381)&gt;0),
Error!$B$44,
IF(AND(_xlpm.baseRow,OR($E381="Tier 3",$E381="Tier 4"),$C381&lt;&gt;"",$D381&lt;&gt;"",COUNTIF(Tables2!$B$73:$B$152,$C381)&gt;0,
$D381&gt;=IFERROR(INDEX(Tables2!$C$73:$C$152,MATCH($C381,Tables2!$B$73:$B$152,0)),-1)),
Error!$B$44,
IF(AND(_xlpm.baseRow,OR($E381="Tier 2",$E381="Tier 2 Grove"),$C381&lt;&gt;"",$D381&gt;=12,COUNTIF(Tables2!$B$153:$B$162,$C381)&gt;0),
Error!$B$45,
IF(AND(_xlpm.baseRow,$E381="Tier 2 Grove",$D381&lt;12),
Error!$B$41,
IF(AND(_xlpm.baseRow,$E381="Tier 2",$D381&lt;5.88),
Error!$B$40,
IF(AND(_xlpm.baseRow,OR($E381="Tier 2",$E381="Tier 2 Grove"),$C381&lt;&gt;"",$D381&lt;12,$D381&gt;=6,COUNTIF(Tables2!$B$153:$B$162,$C381)&gt;0),
Error!$B$54,
IF(AND(_xlpm.baseRow,$E381="Tier 2",COUNTIF(Tables2!$B$166:$B$674,$C381)&gt;0,$D381&lt;24),
Error!$B$54,
IF(AND(_xlpm.baseRow,$E381="Tier 3",ISNA(MATCH($C381,Tables2!$B$153:$B$162,0)),OR($D381&lt;12,$D381&gt;=24)),
Error!$B$9,
IF(AND(_xlpm.baseRow,$E381="Tier 3",COUNTIF(Tables2!$B$153:$B$162,$C381)&gt;0,$D381&lt;12),
Error!$B$46,
IF(AND(_xlpm.baseRow,$E381="Tier 4",OR($D381&lt;6,$D381&gt;=12)),
Error!$B$10,
IF(AND(_xlpm.baseRow,$E381="&lt;6in DSH for Tree Points",OR($D381&gt;=6,$D381="")),
Error!$B$8,
IF(AND(_xlpm.baseRow,$E381="Street Tree for Green Factor",$F381&lt;&gt;"",$F381&lt;&gt;"Retain"),
Error!$B$14,
IF(AND($E381="&lt;6in DSH for Tree Points",$F381="Retain",$H381&lt;&gt;"",ISNA(MATCH($H381,Tables!$B$174:$B$174,0))),
Error!$B$15,
IF(AND($E381="Street Tree for Green Factor",$F381="Retain",$H381&lt;&gt;"",$H381&lt;&gt;"Zoning: Green Factor"),
Error!$B$15,
IF(AND($E381="ECA / Shoreline Tree",$F381="Remove",$H381&lt;&gt;"",ISNA(MATCH($H381,Tables!$B$189:$B$190,0))),
Error!$B$15,
IF(AND($E381="ECA / Shoreline Tree",$F381="Retain",$H381&lt;&gt;"",ISNA(MATCH($H381,Tables!$B$184:$B$186,0))),
Error!$B$15,
IF(AND($E381="Tier 4",$F381="Remove",$H381&lt;&gt;"",ISNA(MATCH($H381,Tables!$B$171,0))),
Error!$B$15,
IF(AND($E381="Tier 4",$F381="Retain",$H381&lt;&gt;"",ISNA(MATCH($H381,Tables!$B$166:$B$168,0))),
Error!$B$15,
IF(AND($E381="Tier 3",$F381="Retain",$H381&lt;&gt;"",ISNA(MATCH($H381,Tables!$B$158:$B$160,0))),
Error!$B$15,
IF(AND($E381="Tier 3",$F381="Remove",$H381&lt;&gt;"",ISNA(MATCH($H381,Tables!$B$163,0))),
Error!$B$15,
IF(AND(OR($E381="Tier 2",$E381="Tier 2 Grove"),$F381="Remove",$H381&lt;&gt;"",ISNA(MATCH($H381,Tables!$B$153:$B$155,0))),
Error!$B$15,
IF(AND(OR($E381="Tier 2",$E381="Tier 2 Grove"),$F381="Retain",$H381&lt;&gt;"",ISNA(MATCH($H381,Tables!$B$147:$B$150,0))),
Error!$B$15,
IF(AND($E381="Tier 1",$F381="Remove",$H381&lt;&gt;"",ISNA(MATCH($H381,Tables!$B$143:$B$144,0))),
Error!$B$15,
IF(AND($E381="Tier 1",$F381="Retain",$H381&lt;&gt;"",ISNA(MATCH($H381,Tables!$B$137:$B$140,0))),
Error!$B$15,
IF(AND($E381&lt;&gt;"Tier 2",$E381&lt;&gt;"Tier 2 Grove",$E381&lt;&gt;"Tier 3",$E381&lt;&gt;"Tier 4",$H381="Zoning: Green Factor",OR($D381="",$D381&lt;6)),
Error!$B$11,
IF(AND(_xlpm.baseRow,$D381&lt;6,$E381="&lt;6in DSH for Tree Points",_xlpm.TreePoints_H=0),
Error!$B$21,
IF(AND(_xlpm.baseRow,$E381&lt;&gt;"",$D381&lt;&gt;"",$F381=""),
Error!$B$4,
IF(AND(_xlpm.baseRow,$F381="Remove",OR($E381="Tier 1",$E381="Tier 2",$E381="Tier 2 Grove"),COUNTBLANK(_xlpm.HRange)&lt;3,_xlpm.uniqueH&gt;=2),
Error!$B$48,
IF(AND(_xlpm.baseRow,$F381="Retain",OR($E381="Tier 1",$E381="Tier 2",$E381="Tier 2 Grove"),COUNTIF(_xlpm.HRange,"Tree Code: Required to Retain Tier 1-2 Tree")=0),
Error!$B$47,
IF(AND(_xlpm.baseRow,$E381&lt;&gt;"",$D381&lt;&gt;"",$F381&lt;&gt;"",COUNTBLANK(_xlpm.HRange)=4),
Error!$B$5,
IF(AND($F381="Remove",$H381&lt;&gt;"",$I381=""),
Error!$B$18,
IF(AND($E381="Tier 4",$F381="Remove",$H381="Tree Protection Code: Tier 3 or Tier 4 Allowance",$H381&lt;&gt;"",ISNA(MATCH($I381,Tables!$B$200,0))),
Error!$B$17,
IF(AND($E381="Tier 3",$F381="Remove",$H381&lt;&gt;"",$H381="Tree Protection Code: Tier 3 or Tier 4 Allowance",OR($I381="",ISNA(MATCH($I381,Tables!$B$193:$B$197,0)))),
Error!$B$17,
IF(AND(OR($E381="Tier 2",$E381="Tier 2 Grove"),$F381="Remove",$H381="Tree Protection Code: Other removal allowance or exemption",$I381&lt;&gt;"",ISNA(MATCH($I381,Tables!$B$215:$B$218,0))),
Error!$B$17,
IF(AND(OR($E381="Tier 2",$E381="Tier 2 Grove"),$F381="Remove",$H381="Tree Protection Code: Development Capacity",$I381&lt;&gt;"",ISNA(MATCH($I381,Tables!$B$193:$B$197,0))),
Error!$B$17,
IF(AND(OR($E381="Tier 2",$E381="Tier 2 Grove"),$F381="Remove",$H381="Tree Protection Code: Necessary for Construction",$I381&lt;&gt;"",ISNA(MATCH($I381,Tables!$B$193:$B$197,0))),
Error!$B$17,
IF(AND($E381="Tier 1",$F381="Remove",$H381="Tree Protection Code: Special Exception",$I381&lt;&gt;"",ISNA(MATCH($I381,Tables!$B$215:$B$218,0))),
Error!$B$17,
IF(AND($E381="Tier 1",$F381="Remove",$H381="Tree Protection Code: Other removal allowance or exemption",$I381&lt;&gt;"",ISNA(MATCH($I381,Tables!$B$215:$B$218,0))),
Error!$B$17,
IF(AND($E381="ECA / Shoreline Tree",$F381="Remove",$H381&lt;&gt;"",OR($H381="Shoreline",$H381="Environmental Critical Area (ECA)"),ISNA(MATCH($I381,Tables!$B$209:$B$212,0))),
Error!$B$17,
IF(AND(_xlpm.baseRow,$F381="Retain",$E381="ECA / Shoreline Tree",_xlpm.ECA_Short=0),
Error!$B$61,
IF(AND($F381="Remove",ISNUMBER(MATCH($E381,{"Tier 1","Tier 2","Tier 3","Tier 4","Tier 2 Grove"},0)),ISNUMBER(MATCH($I381,{"On-site replacement","Off-site replacement"},0)),$J381="",$H381&lt;&gt;""),
Error!$B$19,
IF(AND(_xlpm.baseRow,$E381&lt;&gt;"",$D381&lt;&gt;"",$F381&lt;&gt;"",COUNTBLANK($B381:$C381)&gt;0,COUNTBLANK(_xlpm.HRange)&lt;&gt;4),
Error!$B$22,
IF(AND($H381="Zoning: Tree Points",$K381&lt;&gt;"",ISNA(MATCH($K381,Tables!$B$242:$B$253,0))),
Error!$B$58,
IF(AND($H381="Zoning: Tree Points",$K381="Small",$L381&lt;&gt;"",ISNA(MATCH($L381,Tables!$C$243:$C$244,0))),
Error!$B$59,
IF(AND($H381="Zoning: Tree Points",$K381="Small/Medium",$L381&lt;&gt;"",ISNA(MATCH($L381,Tables!$C$246:$C$247,0))),
Error!$B$59,
IF(AND($H381="Zoning: Tree Points",$K381="Medium/Large",$L381&lt;&gt;"",ISNA(MATCH($L381,Tables!$C$249:$C$250,0))),
Error!$B$59,
IF(AND($H381="Zoning: Tree Points",$K381="Large",$L381&lt;&gt;"",ISNA(MATCH($L381,Tables!$C$252:$C$253,0))),
Error!$B$59,
IF(AND($F381="Retain",$H381="Zoning: Tree Points",$C381&lt;&gt;"",$D381&lt;&gt;"",OR($K381="",$L381="",$M381="")),
Error!$B$20,
""
)))))))))))))))))))))))))))))))))))))))))))))))))))))))),
Error!$B$23))</f>
        <v/>
      </c>
      <c r="O381" s="343" t="str" cm="1">
        <f t="array" aca="1" ref="O381" ca="1">IFERROR(_xlfn.LET(
    _xlpm.txt, $C381,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82" spans="1:15" ht="15" thickBot="1" x14ac:dyDescent="0.35">
      <c r="A382" s="331"/>
      <c r="B382" s="616" t="str">
        <f t="shared" si="422"/>
        <v/>
      </c>
      <c r="C382" s="617" t="str">
        <f t="shared" si="423"/>
        <v/>
      </c>
      <c r="D382" s="618" t="str">
        <f t="shared" si="424"/>
        <v/>
      </c>
      <c r="E382" s="616" t="str">
        <f t="shared" si="425"/>
        <v/>
      </c>
      <c r="F382" s="616" t="str">
        <f t="shared" si="426"/>
        <v/>
      </c>
      <c r="G382" s="619" t="str">
        <f>IF(Tree_Table1[[#This Row],[Tree Status  &amp;]]="Retain", Tables!$B$237, IF(Tree_Table1[[#This Row],[Tree Status  &amp;]]="Remove", Tables!$B$238, ""))</f>
        <v/>
      </c>
      <c r="H382" s="329"/>
      <c r="I382" s="330"/>
      <c r="J382" s="455"/>
      <c r="K382" s="327" t="str">
        <f>IFERROR(
    IF(
        AND($H382="Zoning: Tree Points", NOT(ISNUMBER(SEARCH("sp.", $C382)))),
        VLOOKUP($C382, 'Tree List'!$C$3:$F$601, 4, FALSE),
        ""
    ),
"")</f>
        <v/>
      </c>
      <c r="L382" s="328" t="str" cm="1">
        <f t="array" ref="L382">IFERROR(
IF(
    AND($H382="Zoning: Tree Points", NOT(ISNUMBER(SEARCH("sp.", $C382)))),
    _xlfn.IFS(
        (COUNTIFS('Tree List'!$C$3:$C$601,$C382,'Tree List'!$D$3:$D$601,"Coniferous")
        + COUNTIFS('Tree List'!$C$3:$C$601,$C382,'Tree List'!$D$3:$D$601,"Deciduous Conifer")) &gt; 0,
            _xlfn.IFS($K382="Small",0.5,$K382="Small/Medium",1,$K382="Medium/Large",1.4,$K382="Large",1.8),
        (COUNTIFS('Tree List'!$C$3:$C$601,$C382,'Tree List'!$D$3:$D$601,"Deciduous")
        + COUNTIFS('Tree List'!$C$3:$C$601,$C382,'Tree List'!$D$3:$D$601,"Broadleaf Evergreen")) &gt; 0,
            _xlfn.IFS($K382="Small",0.4,$K382="Small/Medium",0.8,$K382="Medium/Large",1.2,$K382="Large",1.6)
    ),
    ""
),
"")</f>
        <v/>
      </c>
      <c r="M382" s="476" t="str">
        <f t="shared" si="411"/>
        <v/>
      </c>
      <c r="N382" s="347" t="str" cm="1">
        <f t="array" aca="1" ref="N38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IF(AND(_xlpm.baseRow,ISNA(MATCH($C382,'Tree List'!$C$3:$C$601,0)),SUMPRODUCT(--ISNUMBER(SEARCH(Tables2!$C$677:$C$772,$O382)))&gt;0),
Error!$B$57,
IF(AND(_xlpm.hasDM,$F382="Remove",$H382&lt;&gt;"",OR($I382="On-site replacement",$I382="Off-site replacement",$I382="Payment In Lieu")),
Error!$B$56,
IF(AND(_xlpm.hasDM,$F382="Remove",$H382&lt;&gt;"",$I382="Relocation"),
Error!$B$66,
IF(AND(OR(_xlpm.hasCN,_xlpm.hasPH,_xlpm.hasGR),$H382&lt;&gt;"",COUNTIF(Tables!$B$132:$B$134,$H382)&gt;0,$I382="N/A (No replacement required)"),
Error!$B$62,
IF(AND(_xlpm.baseRow,$E382&lt;&gt;"",ISNA(MATCH($E382,Tables!$B$225:$B$232,0))),
Error!$B$2,
IF(AND(_xlpm.baseRow,$F382&lt;&gt;"",ISNA(MATCH($F382,Tables!$B$234:$B$235,0))),
Error!$B$24,
IF(AND(_xlpm.baseRow,_xlpm.ECA_H&gt;0,_xlpm.Shore_H&gt;0),
Error!$B$16,
IF(AND(_xlpm.baseRow,$E382&lt;&gt;"",$D382=""),
Error!$B$3,
IF(AND(_xlpm.baseRow,OR($E382="Tier 3",$E382="Tier 4"),$C382&lt;&gt;"",$D382&gt;=24,COUNTIF(Tables2!$B$166:$B$674,$C382)&gt;0),
Error!$B$44,
IF(AND(_xlpm.baseRow,OR($E382="Tier 3",$E382="Tier 4"),$C382&lt;&gt;"",$D382&lt;&gt;"",COUNTIF(Tables2!$B$73:$B$152,$C382)&gt;0,
$D382&gt;=IFERROR(INDEX(Tables2!$C$73:$C$152,MATCH($C382,Tables2!$B$73:$B$152,0)),-1)),
Error!$B$44,
IF(AND(_xlpm.baseRow,OR($E382="Tier 2",$E382="Tier 2 Grove"),$C382&lt;&gt;"",$D382&gt;=12,COUNTIF(Tables2!$B$153:$B$162,$C382)&gt;0),
Error!$B$45,
IF(AND(_xlpm.baseRow,$E382="Tier 2 Grove",$D382&lt;12),
Error!$B$41,
IF(AND(_xlpm.baseRow,$E382="Tier 2",$D382&lt;5.88),
Error!$B$40,
IF(AND(_xlpm.baseRow,OR($E382="Tier 2",$E382="Tier 2 Grove"),$C382&lt;&gt;"",$D382&lt;12,$D382&gt;=6,COUNTIF(Tables2!$B$153:$B$162,$C382)&gt;0),
Error!$B$54,
IF(AND(_xlpm.baseRow,$E382="Tier 2",COUNTIF(Tables2!$B$166:$B$674,$C382)&gt;0,$D382&lt;24),
Error!$B$54,
IF(AND(_xlpm.baseRow,$E382="Tier 3",ISNA(MATCH($C382,Tables2!$B$153:$B$162,0)),OR($D382&lt;12,$D382&gt;=24)),
Error!$B$9,
IF(AND(_xlpm.baseRow,$E382="Tier 3",COUNTIF(Tables2!$B$153:$B$162,$C382)&gt;0,$D382&lt;12),
Error!$B$46,
IF(AND(_xlpm.baseRow,$E382="Tier 4",OR($D382&lt;6,$D382&gt;=12)),
Error!$B$10,
IF(AND(_xlpm.baseRow,$E382="&lt;6in DSH for Tree Points",OR($D382&gt;=6,$D382="")),
Error!$B$8,
IF(AND(_xlpm.baseRow,$E382="Street Tree for Green Factor",$F382&lt;&gt;"",$F382&lt;&gt;"Retain"),
Error!$B$14,
IF(AND($E382="&lt;6in DSH for Tree Points",$F382="Retain",$H382&lt;&gt;"",ISNA(MATCH($H382,Tables!$B$174:$B$174,0))),
Error!$B$15,
IF(AND($E382="Street Tree for Green Factor",$F382="Retain",$H382&lt;&gt;"",$H382&lt;&gt;"Zoning: Green Factor"),
Error!$B$15,
IF(AND($E382="ECA / Shoreline Tree",$F382="Remove",$H382&lt;&gt;"",ISNA(MATCH($H382,Tables!$B$189:$B$190,0))),
Error!$B$15,
IF(AND($E382="ECA / Shoreline Tree",$F382="Retain",$H382&lt;&gt;"",ISNA(MATCH($H382,Tables!$B$184:$B$186,0))),
Error!$B$15,
IF(AND($E382="Tier 4",$F382="Remove",$H382&lt;&gt;"",ISNA(MATCH($H382,Tables!$B$171,0))),
Error!$B$15,
IF(AND($E382="Tier 4",$F382="Retain",$H382&lt;&gt;"",ISNA(MATCH($H382,Tables!$B$166:$B$168,0))),
Error!$B$15,
IF(AND($E382="Tier 3",$F382="Retain",$H382&lt;&gt;"",ISNA(MATCH($H382,Tables!$B$158:$B$160,0))),
Error!$B$15,
IF(AND($E382="Tier 3",$F382="Remove",$H382&lt;&gt;"",ISNA(MATCH($H382,Tables!$B$163,0))),
Error!$B$15,
IF(AND(OR($E382="Tier 2",$E382="Tier 2 Grove"),$F382="Remove",$H382&lt;&gt;"",ISNA(MATCH($H382,Tables!$B$153:$B$155,0))),
Error!$B$15,
IF(AND(OR($E382="Tier 2",$E382="Tier 2 Grove"),$F382="Retain",$H382&lt;&gt;"",ISNA(MATCH($H382,Tables!$B$147:$B$150,0))),
Error!$B$15,
IF(AND($E382="Tier 1",$F382="Remove",$H382&lt;&gt;"",ISNA(MATCH($H382,Tables!$B$143:$B$144,0))),
Error!$B$15,
IF(AND($E382="Tier 1",$F382="Retain",$H382&lt;&gt;"",ISNA(MATCH($H382,Tables!$B$137:$B$140,0))),
Error!$B$15,
IF(AND($E382&lt;&gt;"Tier 2",$E382&lt;&gt;"Tier 2 Grove",$E382&lt;&gt;"Tier 3",$E382&lt;&gt;"Tier 4",$H382="Zoning: Green Factor",OR($D382="",$D382&lt;6)),
Error!$B$11,
IF(AND(_xlpm.baseRow,$D382&lt;6,$E382="&lt;6in DSH for Tree Points",_xlpm.TreePoints_H=0),
Error!$B$21,
IF(AND(_xlpm.baseRow,$E382&lt;&gt;"",$D382&lt;&gt;"",$F382=""),
Error!$B$4,
IF(AND(_xlpm.baseRow,$F382="Remove",OR($E382="Tier 1",$E382="Tier 2",$E382="Tier 2 Grove"),COUNTBLANK(_xlpm.HRange)&lt;3,_xlpm.uniqueH&gt;=2),
Error!$B$48,
IF(AND(_xlpm.baseRow,$F382="Retain",OR($E382="Tier 1",$E382="Tier 2",$E382="Tier 2 Grove"),COUNTIF(_xlpm.HRange,"Tree Code: Required to Retain Tier 1-2 Tree")=0),
Error!$B$47,
IF(AND(_xlpm.baseRow,$E382&lt;&gt;"",$D382&lt;&gt;"",$F382&lt;&gt;"",COUNTBLANK(_xlpm.HRange)=4),
Error!$B$5,
IF(AND($F382="Remove",$H382&lt;&gt;"",$I382=""),
Error!$B$18,
IF(AND($E382="Tier 4",$F382="Remove",$H382="Tree Protection Code: Tier 3 or Tier 4 Allowance",$H382&lt;&gt;"",ISNA(MATCH($I382,Tables!$B$200,0))),
Error!$B$17,
IF(AND($E382="Tier 3",$F382="Remove",$H382&lt;&gt;"",$H382="Tree Protection Code: Tier 3 or Tier 4 Allowance",OR($I382="",ISNA(MATCH($I382,Tables!$B$193:$B$197,0)))),
Error!$B$17,
IF(AND(OR($E382="Tier 2",$E382="Tier 2 Grove"),$F382="Remove",$H382="Tree Protection Code: Other removal allowance or exemption",$I382&lt;&gt;"",ISNA(MATCH($I382,Tables!$B$215:$B$218,0))),
Error!$B$17,
IF(AND(OR($E382="Tier 2",$E382="Tier 2 Grove"),$F382="Remove",$H382="Tree Protection Code: Development Capacity",$I382&lt;&gt;"",ISNA(MATCH($I382,Tables!$B$193:$B$197,0))),
Error!$B$17,
IF(AND(OR($E382="Tier 2",$E382="Tier 2 Grove"),$F382="Remove",$H382="Tree Protection Code: Necessary for Construction",$I382&lt;&gt;"",ISNA(MATCH($I382,Tables!$B$193:$B$197,0))),
Error!$B$17,
IF(AND($E382="Tier 1",$F382="Remove",$H382="Tree Protection Code: Special Exception",$I382&lt;&gt;"",ISNA(MATCH($I382,Tables!$B$215:$B$218,0))),
Error!$B$17,
IF(AND($E382="Tier 1",$F382="Remove",$H382="Tree Protection Code: Other removal allowance or exemption",$I382&lt;&gt;"",ISNA(MATCH($I382,Tables!$B$215:$B$218,0))),
Error!$B$17,
IF(AND($E382="ECA / Shoreline Tree",$F382="Remove",$H382&lt;&gt;"",OR($H382="Shoreline",$H382="Environmental Critical Area (ECA)"),ISNA(MATCH($I382,Tables!$B$209:$B$212,0))),
Error!$B$17,
IF(AND(_xlpm.baseRow,$F382="Retain",$E382="ECA / Shoreline Tree",_xlpm.ECA_Short=0),
Error!$B$61,
IF(AND($F382="Remove",ISNUMBER(MATCH($E382,{"Tier 1","Tier 2","Tier 3","Tier 4","Tier 2 Grove"},0)),ISNUMBER(MATCH($I382,{"On-site replacement","Off-site replacement"},0)),$J382="",$H382&lt;&gt;""),
Error!$B$19,
IF(AND(_xlpm.baseRow,$E382&lt;&gt;"",$D382&lt;&gt;"",$F382&lt;&gt;"",COUNTBLANK($B382:$C382)&gt;0,COUNTBLANK(_xlpm.HRange)&lt;&gt;4),
Error!$B$22,
IF(AND($H382="Zoning: Tree Points",$K382&lt;&gt;"",ISNA(MATCH($K382,Tables!$B$242:$B$253,0))),
Error!$B$58,
IF(AND($H382="Zoning: Tree Points",$K382="Small",$L382&lt;&gt;"",ISNA(MATCH($L382,Tables!$C$243:$C$244,0))),
Error!$B$59,
IF(AND($H382="Zoning: Tree Points",$K382="Small/Medium",$L382&lt;&gt;"",ISNA(MATCH($L382,Tables!$C$246:$C$247,0))),
Error!$B$59,
IF(AND($H382="Zoning: Tree Points",$K382="Medium/Large",$L382&lt;&gt;"",ISNA(MATCH($L382,Tables!$C$249:$C$250,0))),
Error!$B$59,
IF(AND($H382="Zoning: Tree Points",$K382="Large",$L382&lt;&gt;"",ISNA(MATCH($L382,Tables!$C$252:$C$253,0))),
Error!$B$59,
IF(AND($F382="Retain",$H382="Zoning: Tree Points",$C382&lt;&gt;"",$D382&lt;&gt;"",OR($K382="",$L382="",$M382="")),
Error!$B$20,
""
)))))))))))))))))))))))))))))))))))))))))))))))))))))))),
Error!$B$23))</f>
        <v/>
      </c>
      <c r="O382" s="343" t="str" cm="1">
        <f t="array" aca="1" ref="O382" ca="1">IFERROR(_xlfn.LET(
    _xlpm.txt, $C382,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83" spans="1:15" ht="15" thickBot="1" x14ac:dyDescent="0.35">
      <c r="A383" s="311">
        <v>94</v>
      </c>
      <c r="B383" s="312"/>
      <c r="C383" s="313"/>
      <c r="D383" s="478"/>
      <c r="E383" s="314"/>
      <c r="F383" s="314"/>
      <c r="G383" s="315" t="str">
        <f>IF(Tree_Table1[[#This Row],[Tree Status  &amp;]]="Retain", Tables!$B$237, IF(Tree_Table1[[#This Row],[Tree Status  &amp;]]="Remove", Tables!$B$238, ""))</f>
        <v/>
      </c>
      <c r="H383" s="316"/>
      <c r="I383" s="317"/>
      <c r="J383" s="452"/>
      <c r="K383" s="318" t="str">
        <f>IFERROR(
    IF(
        AND($H383="Zoning: Tree Points", NOT(ISNUMBER(SEARCH("sp.", $C383)))),
        VLOOKUP($C383, 'Tree List'!$C$3:$F$601, 4, FALSE),
        ""
    ),
"")</f>
        <v/>
      </c>
      <c r="L383" s="319" t="str" cm="1">
        <f t="array" ref="L383">IFERROR(
IF(
    AND($H383="Zoning: Tree Points", NOT(ISNUMBER(SEARCH("sp.", $C383)))),
    _xlfn.IFS(
        (COUNTIFS('Tree List'!$C$3:$C$601,$C383,'Tree List'!$D$3:$D$601,"Coniferous")
        + COUNTIFS('Tree List'!$C$3:$C$601,$C383,'Tree List'!$D$3:$D$601,"Deciduous Conifer")) &gt; 0,
            _xlfn.IFS($K383="Small",0.5,$K383="Small/Medium",1,$K383="Medium/Large",1.4,$K383="Large",1.8),
        (COUNTIFS('Tree List'!$C$3:$C$601,$C383,'Tree List'!$D$3:$D$601,"Deciduous")
        + COUNTIFS('Tree List'!$C$3:$C$601,$C383,'Tree List'!$D$3:$D$601,"Broadleaf Evergreen")) &gt; 0,
            _xlfn.IFS($K383="Small",0.4,$K383="Small/Medium",0.8,$K383="Medium/Large",1.2,$K383="Large",1.6)
    ),
    ""
),
"")</f>
        <v/>
      </c>
      <c r="M383" s="474" t="str">
        <f t="shared" si="411"/>
        <v/>
      </c>
      <c r="N383" s="620" t="str" cm="1">
        <f t="array" aca="1" ref="N38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IF(AND(_xlpm.baseRow,ISNA(MATCH($C383,'Tree List'!$C$3:$C$601,0)),SUMPRODUCT(--ISNUMBER(SEARCH(Tables2!$C$677:$C$772,$O383)))&gt;0),
Error!$B$57,
IF(AND(_xlpm.hasDM,$F383="Remove",$H383&lt;&gt;"",OR($I383="On-site replacement",$I383="Off-site replacement",$I383="Payment In Lieu")),
Error!$B$56,
IF(AND(_xlpm.hasDM,$F383="Remove",$H383&lt;&gt;"",$I383="Relocation"),
Error!$B$66,
IF(AND(OR(_xlpm.hasCN,_xlpm.hasPH,_xlpm.hasGR),$H383&lt;&gt;"",COUNTIF(Tables!$B$132:$B$134,$H383)&gt;0,$I383="N/A (No replacement required)"),
Error!$B$62,
IF(AND(_xlpm.baseRow,$E383&lt;&gt;"",ISNA(MATCH($E383,Tables!$B$225:$B$232,0))),
Error!$B$2,
IF(AND(_xlpm.baseRow,$F383&lt;&gt;"",ISNA(MATCH($F383,Tables!$B$234:$B$235,0))),
Error!$B$24,
IF(AND(_xlpm.baseRow,_xlpm.ECA_H&gt;0,_xlpm.Shore_H&gt;0),
Error!$B$16,
IF(AND(_xlpm.baseRow,$E383&lt;&gt;"",$D383=""),
Error!$B$3,
IF(AND(_xlpm.baseRow,OR($E383="Tier 3",$E383="Tier 4"),$C383&lt;&gt;"",$D383&gt;=24,COUNTIF(Tables2!$B$166:$B$674,$C383)&gt;0),
Error!$B$44,
IF(AND(_xlpm.baseRow,OR($E383="Tier 3",$E383="Tier 4"),$C383&lt;&gt;"",$D383&lt;&gt;"",COUNTIF(Tables2!$B$73:$B$152,$C383)&gt;0,
$D383&gt;=IFERROR(INDEX(Tables2!$C$73:$C$152,MATCH($C383,Tables2!$B$73:$B$152,0)),-1)),
Error!$B$44,
IF(AND(_xlpm.baseRow,OR($E383="Tier 2",$E383="Tier 2 Grove"),$C383&lt;&gt;"",$D383&gt;=12,COUNTIF(Tables2!$B$153:$B$162,$C383)&gt;0),
Error!$B$45,
IF(AND(_xlpm.baseRow,$E383="Tier 2 Grove",$D383&lt;12),
Error!$B$41,
IF(AND(_xlpm.baseRow,$E383="Tier 2",$D383&lt;5.88),
Error!$B$40,
IF(AND(_xlpm.baseRow,OR($E383="Tier 2",$E383="Tier 2 Grove"),$C383&lt;&gt;"",$D383&lt;12,$D383&gt;=6,COUNTIF(Tables2!$B$153:$B$162,$C383)&gt;0),
Error!$B$54,
IF(AND(_xlpm.baseRow,$E383="Tier 2",COUNTIF(Tables2!$B$166:$B$674,$C383)&gt;0,$D383&lt;24),
Error!$B$54,
IF(AND(_xlpm.baseRow,$E383="Tier 3",ISNA(MATCH($C383,Tables2!$B$153:$B$162,0)),OR($D383&lt;12,$D383&gt;=24)),
Error!$B$9,
IF(AND(_xlpm.baseRow,$E383="Tier 3",COUNTIF(Tables2!$B$153:$B$162,$C383)&gt;0,$D383&lt;12),
Error!$B$46,
IF(AND(_xlpm.baseRow,$E383="Tier 4",OR($D383&lt;6,$D383&gt;=12)),
Error!$B$10,
IF(AND(_xlpm.baseRow,$E383="&lt;6in DSH for Tree Points",OR($D383&gt;=6,$D383="")),
Error!$B$8,
IF(AND(_xlpm.baseRow,$E383="Street Tree for Green Factor",$F383&lt;&gt;"",$F383&lt;&gt;"Retain"),
Error!$B$14,
IF(AND($E383="&lt;6in DSH for Tree Points",$F383="Retain",$H383&lt;&gt;"",ISNA(MATCH($H383,Tables!$B$174:$B$174,0))),
Error!$B$15,
IF(AND($E383="Street Tree for Green Factor",$F383="Retain",$H383&lt;&gt;"",$H383&lt;&gt;"Zoning: Green Factor"),
Error!$B$15,
IF(AND($E383="ECA / Shoreline Tree",$F383="Remove",$H383&lt;&gt;"",ISNA(MATCH($H383,Tables!$B$189:$B$190,0))),
Error!$B$15,
IF(AND($E383="ECA / Shoreline Tree",$F383="Retain",$H383&lt;&gt;"",ISNA(MATCH($H383,Tables!$B$184:$B$186,0))),
Error!$B$15,
IF(AND($E383="Tier 4",$F383="Remove",$H383&lt;&gt;"",ISNA(MATCH($H383,Tables!$B$171,0))),
Error!$B$15,
IF(AND($E383="Tier 4",$F383="Retain",$H383&lt;&gt;"",ISNA(MATCH($H383,Tables!$B$166:$B$168,0))),
Error!$B$15,
IF(AND($E383="Tier 3",$F383="Retain",$H383&lt;&gt;"",ISNA(MATCH($H383,Tables!$B$158:$B$160,0))),
Error!$B$15,
IF(AND($E383="Tier 3",$F383="Remove",$H383&lt;&gt;"",ISNA(MATCH($H383,Tables!$B$163,0))),
Error!$B$15,
IF(AND(OR($E383="Tier 2",$E383="Tier 2 Grove"),$F383="Remove",$H383&lt;&gt;"",ISNA(MATCH($H383,Tables!$B$153:$B$155,0))),
Error!$B$15,
IF(AND(OR($E383="Tier 2",$E383="Tier 2 Grove"),$F383="Retain",$H383&lt;&gt;"",ISNA(MATCH($H383,Tables!$B$147:$B$150,0))),
Error!$B$15,
IF(AND($E383="Tier 1",$F383="Remove",$H383&lt;&gt;"",ISNA(MATCH($H383,Tables!$B$143:$B$144,0))),
Error!$B$15,
IF(AND($E383="Tier 1",$F383="Retain",$H383&lt;&gt;"",ISNA(MATCH($H383,Tables!$B$137:$B$140,0))),
Error!$B$15,
IF(AND($E383&lt;&gt;"Tier 2",$E383&lt;&gt;"Tier 2 Grove",$E383&lt;&gt;"Tier 3",$E383&lt;&gt;"Tier 4",$H383="Zoning: Green Factor",OR($D383="",$D383&lt;6)),
Error!$B$11,
IF(AND(_xlpm.baseRow,$D383&lt;6,$E383="&lt;6in DSH for Tree Points",_xlpm.TreePoints_H=0),
Error!$B$21,
IF(AND(_xlpm.baseRow,$E383&lt;&gt;"",$D383&lt;&gt;"",$F383=""),
Error!$B$4,
IF(AND(_xlpm.baseRow,$F383="Remove",OR($E383="Tier 1",$E383="Tier 2",$E383="Tier 2 Grove"),COUNTBLANK(_xlpm.HRange)&lt;3,_xlpm.uniqueH&gt;=2),
Error!$B$48,
IF(AND(_xlpm.baseRow,$F383="Retain",OR($E383="Tier 1",$E383="Tier 2",$E383="Tier 2 Grove"),COUNTIF(_xlpm.HRange,"Tree Code: Required to Retain Tier 1-2 Tree")=0),
Error!$B$47,
IF(AND(_xlpm.baseRow,$E383&lt;&gt;"",$D383&lt;&gt;"",$F383&lt;&gt;"",COUNTBLANK(_xlpm.HRange)=4),
Error!$B$5,
IF(AND($F383="Remove",$H383&lt;&gt;"",$I383=""),
Error!$B$18,
IF(AND($E383="Tier 4",$F383="Remove",$H383="Tree Protection Code: Tier 3 or Tier 4 Allowance",$H383&lt;&gt;"",ISNA(MATCH($I383,Tables!$B$200,0))),
Error!$B$17,
IF(AND($E383="Tier 3",$F383="Remove",$H383&lt;&gt;"",$H383="Tree Protection Code: Tier 3 or Tier 4 Allowance",OR($I383="",ISNA(MATCH($I383,Tables!$B$193:$B$197,0)))),
Error!$B$17,
IF(AND(OR($E383="Tier 2",$E383="Tier 2 Grove"),$F383="Remove",$H383="Tree Protection Code: Other removal allowance or exemption",$I383&lt;&gt;"",ISNA(MATCH($I383,Tables!$B$215:$B$218,0))),
Error!$B$17,
IF(AND(OR($E383="Tier 2",$E383="Tier 2 Grove"),$F383="Remove",$H383="Tree Protection Code: Development Capacity",$I383&lt;&gt;"",ISNA(MATCH($I383,Tables!$B$193:$B$197,0))),
Error!$B$17,
IF(AND(OR($E383="Tier 2",$E383="Tier 2 Grove"),$F383="Remove",$H383="Tree Protection Code: Necessary for Construction",$I383&lt;&gt;"",ISNA(MATCH($I383,Tables!$B$193:$B$197,0))),
Error!$B$17,
IF(AND($E383="Tier 1",$F383="Remove",$H383="Tree Protection Code: Special Exception",$I383&lt;&gt;"",ISNA(MATCH($I383,Tables!$B$215:$B$218,0))),
Error!$B$17,
IF(AND($E383="Tier 1",$F383="Remove",$H383="Tree Protection Code: Other removal allowance or exemption",$I383&lt;&gt;"",ISNA(MATCH($I383,Tables!$B$215:$B$218,0))),
Error!$B$17,
IF(AND($E383="ECA / Shoreline Tree",$F383="Remove",$H383&lt;&gt;"",OR($H383="Shoreline",$H383="Environmental Critical Area (ECA)"),ISNA(MATCH($I383,Tables!$B$209:$B$212,0))),
Error!$B$17,
IF(AND(_xlpm.baseRow,$F383="Retain",$E383="ECA / Shoreline Tree",_xlpm.ECA_Short=0),
Error!$B$61,
IF(AND($F383="Remove",ISNUMBER(MATCH($E383,{"Tier 1","Tier 2","Tier 3","Tier 4","Tier 2 Grove"},0)),ISNUMBER(MATCH($I383,{"On-site replacement","Off-site replacement"},0)),$J383="",$H383&lt;&gt;""),
Error!$B$19,
IF(AND(_xlpm.baseRow,$E383&lt;&gt;"",$D383&lt;&gt;"",$F383&lt;&gt;"",COUNTBLANK($B383:$C383)&gt;0,COUNTBLANK(_xlpm.HRange)&lt;&gt;4),
Error!$B$22,
IF(AND($H383="Zoning: Tree Points",$K383&lt;&gt;"",ISNA(MATCH($K383,Tables!$B$242:$B$253,0))),
Error!$B$58,
IF(AND($H383="Zoning: Tree Points",$K383="Small",$L383&lt;&gt;"",ISNA(MATCH($L383,Tables!$C$243:$C$244,0))),
Error!$B$59,
IF(AND($H383="Zoning: Tree Points",$K383="Small/Medium",$L383&lt;&gt;"",ISNA(MATCH($L383,Tables!$C$246:$C$247,0))),
Error!$B$59,
IF(AND($H383="Zoning: Tree Points",$K383="Medium/Large",$L383&lt;&gt;"",ISNA(MATCH($L383,Tables!$C$249:$C$250,0))),
Error!$B$59,
IF(AND($H383="Zoning: Tree Points",$K383="Large",$L383&lt;&gt;"",ISNA(MATCH($L383,Tables!$C$252:$C$253,0))),
Error!$B$59,
IF(AND($F383="Retain",$H383="Zoning: Tree Points",$C383&lt;&gt;"",$D383&lt;&gt;"",OR($K383="",$L383="",$M383="")),
Error!$B$20,
""
)))))))))))))))))))))))))))))))))))))))))))))))))))))))),
Error!$B$23))</f>
        <v/>
      </c>
      <c r="O383" s="343" t="str" cm="1">
        <f t="array" aca="1" ref="O383" ca="1">IFERROR(_xlfn.LET(
    _xlpm.txt, $C383,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84" spans="1:15" x14ac:dyDescent="0.3">
      <c r="A384" s="320"/>
      <c r="B384" s="616" t="str">
        <f t="shared" ref="B384:B386" si="427">IF($B383="", "", $B383)</f>
        <v/>
      </c>
      <c r="C384" s="617" t="str">
        <f t="shared" ref="C384:C386" si="428">IF($C383="", "", $C383)</f>
        <v/>
      </c>
      <c r="D384" s="618" t="str">
        <f t="shared" ref="D384:D386" si="429">IF($D383="", "", $D383)</f>
        <v/>
      </c>
      <c r="E384" s="616" t="str">
        <f t="shared" ref="E384:E386" si="430">IF($E383="", "", $E383)</f>
        <v/>
      </c>
      <c r="F384" s="616" t="str">
        <f t="shared" ref="F384:F386" si="431">IF($F383="", "", $F383)</f>
        <v/>
      </c>
      <c r="G384" s="619" t="str">
        <f>IF(Tree_Table1[[#This Row],[Tree Status  &amp;]]="Retain", Tables!$B$237, IF(Tree_Table1[[#This Row],[Tree Status  &amp;]]="Remove", Tables!$B$238, ""))</f>
        <v/>
      </c>
      <c r="H384" s="321"/>
      <c r="I384" s="322"/>
      <c r="J384" s="453"/>
      <c r="K384" s="323" t="str">
        <f>IFERROR(
    IF(
        AND($H384="Zoning: Tree Points", NOT(ISNUMBER(SEARCH("sp.", $C384)))),
        VLOOKUP($C384, 'Tree List'!$C$3:$F$601, 4, FALSE),
        ""
    ),
"")</f>
        <v/>
      </c>
      <c r="L384" s="324" t="str" cm="1">
        <f t="array" ref="L384">IFERROR(
IF(
    AND($H384="Zoning: Tree Points", NOT(ISNUMBER(SEARCH("sp.", $C384)))),
    _xlfn.IFS(
        (COUNTIFS('Tree List'!$C$3:$C$601,$C384,'Tree List'!$D$3:$D$601,"Coniferous")
        + COUNTIFS('Tree List'!$C$3:$C$601,$C384,'Tree List'!$D$3:$D$601,"Deciduous Conifer")) &gt; 0,
            _xlfn.IFS($K384="Small",0.5,$K384="Small/Medium",1,$K384="Medium/Large",1.4,$K384="Large",1.8),
        (COUNTIFS('Tree List'!$C$3:$C$601,$C384,'Tree List'!$D$3:$D$601,"Deciduous")
        + COUNTIFS('Tree List'!$C$3:$C$601,$C384,'Tree List'!$D$3:$D$601,"Broadleaf Evergreen")) &gt; 0,
            _xlfn.IFS($K384="Small",0.4,$K384="Small/Medium",0.8,$K384="Medium/Large",1.2,$K384="Large",1.6)
    ),
    ""
),
"")</f>
        <v/>
      </c>
      <c r="M384" s="475" t="str">
        <f t="shared" si="411"/>
        <v/>
      </c>
      <c r="N384" s="346" t="str" cm="1">
        <f t="array" aca="1" ref="N38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IF(AND(_xlpm.baseRow,ISNA(MATCH($C384,'Tree List'!$C$3:$C$601,0)),SUMPRODUCT(--ISNUMBER(SEARCH(Tables2!$C$677:$C$772,$O384)))&gt;0),
Error!$B$57,
IF(AND(_xlpm.hasDM,$F384="Remove",$H384&lt;&gt;"",OR($I384="On-site replacement",$I384="Off-site replacement",$I384="Payment In Lieu")),
Error!$B$56,
IF(AND(_xlpm.hasDM,$F384="Remove",$H384&lt;&gt;"",$I384="Relocation"),
Error!$B$66,
IF(AND(OR(_xlpm.hasCN,_xlpm.hasPH,_xlpm.hasGR),$H384&lt;&gt;"",COUNTIF(Tables!$B$132:$B$134,$H384)&gt;0,$I384="N/A (No replacement required)"),
Error!$B$62,
IF(AND(_xlpm.baseRow,$E384&lt;&gt;"",ISNA(MATCH($E384,Tables!$B$225:$B$232,0))),
Error!$B$2,
IF(AND(_xlpm.baseRow,$F384&lt;&gt;"",ISNA(MATCH($F384,Tables!$B$234:$B$235,0))),
Error!$B$24,
IF(AND(_xlpm.baseRow,_xlpm.ECA_H&gt;0,_xlpm.Shore_H&gt;0),
Error!$B$16,
IF(AND(_xlpm.baseRow,$E384&lt;&gt;"",$D384=""),
Error!$B$3,
IF(AND(_xlpm.baseRow,OR($E384="Tier 3",$E384="Tier 4"),$C384&lt;&gt;"",$D384&gt;=24,COUNTIF(Tables2!$B$166:$B$674,$C384)&gt;0),
Error!$B$44,
IF(AND(_xlpm.baseRow,OR($E384="Tier 3",$E384="Tier 4"),$C384&lt;&gt;"",$D384&lt;&gt;"",COUNTIF(Tables2!$B$73:$B$152,$C384)&gt;0,
$D384&gt;=IFERROR(INDEX(Tables2!$C$73:$C$152,MATCH($C384,Tables2!$B$73:$B$152,0)),-1)),
Error!$B$44,
IF(AND(_xlpm.baseRow,OR($E384="Tier 2",$E384="Tier 2 Grove"),$C384&lt;&gt;"",$D384&gt;=12,COUNTIF(Tables2!$B$153:$B$162,$C384)&gt;0),
Error!$B$45,
IF(AND(_xlpm.baseRow,$E384="Tier 2 Grove",$D384&lt;12),
Error!$B$41,
IF(AND(_xlpm.baseRow,$E384="Tier 2",$D384&lt;5.88),
Error!$B$40,
IF(AND(_xlpm.baseRow,OR($E384="Tier 2",$E384="Tier 2 Grove"),$C384&lt;&gt;"",$D384&lt;12,$D384&gt;=6,COUNTIF(Tables2!$B$153:$B$162,$C384)&gt;0),
Error!$B$54,
IF(AND(_xlpm.baseRow,$E384="Tier 2",COUNTIF(Tables2!$B$166:$B$674,$C384)&gt;0,$D384&lt;24),
Error!$B$54,
IF(AND(_xlpm.baseRow,$E384="Tier 3",ISNA(MATCH($C384,Tables2!$B$153:$B$162,0)),OR($D384&lt;12,$D384&gt;=24)),
Error!$B$9,
IF(AND(_xlpm.baseRow,$E384="Tier 3",COUNTIF(Tables2!$B$153:$B$162,$C384)&gt;0,$D384&lt;12),
Error!$B$46,
IF(AND(_xlpm.baseRow,$E384="Tier 4",OR($D384&lt;6,$D384&gt;=12)),
Error!$B$10,
IF(AND(_xlpm.baseRow,$E384="&lt;6in DSH for Tree Points",OR($D384&gt;=6,$D384="")),
Error!$B$8,
IF(AND(_xlpm.baseRow,$E384="Street Tree for Green Factor",$F384&lt;&gt;"",$F384&lt;&gt;"Retain"),
Error!$B$14,
IF(AND($E384="&lt;6in DSH for Tree Points",$F384="Retain",$H384&lt;&gt;"",ISNA(MATCH($H384,Tables!$B$174:$B$174,0))),
Error!$B$15,
IF(AND($E384="Street Tree for Green Factor",$F384="Retain",$H384&lt;&gt;"",$H384&lt;&gt;"Zoning: Green Factor"),
Error!$B$15,
IF(AND($E384="ECA / Shoreline Tree",$F384="Remove",$H384&lt;&gt;"",ISNA(MATCH($H384,Tables!$B$189:$B$190,0))),
Error!$B$15,
IF(AND($E384="ECA / Shoreline Tree",$F384="Retain",$H384&lt;&gt;"",ISNA(MATCH($H384,Tables!$B$184:$B$186,0))),
Error!$B$15,
IF(AND($E384="Tier 4",$F384="Remove",$H384&lt;&gt;"",ISNA(MATCH($H384,Tables!$B$171,0))),
Error!$B$15,
IF(AND($E384="Tier 4",$F384="Retain",$H384&lt;&gt;"",ISNA(MATCH($H384,Tables!$B$166:$B$168,0))),
Error!$B$15,
IF(AND($E384="Tier 3",$F384="Retain",$H384&lt;&gt;"",ISNA(MATCH($H384,Tables!$B$158:$B$160,0))),
Error!$B$15,
IF(AND($E384="Tier 3",$F384="Remove",$H384&lt;&gt;"",ISNA(MATCH($H384,Tables!$B$163,0))),
Error!$B$15,
IF(AND(OR($E384="Tier 2",$E384="Tier 2 Grove"),$F384="Remove",$H384&lt;&gt;"",ISNA(MATCH($H384,Tables!$B$153:$B$155,0))),
Error!$B$15,
IF(AND(OR($E384="Tier 2",$E384="Tier 2 Grove"),$F384="Retain",$H384&lt;&gt;"",ISNA(MATCH($H384,Tables!$B$147:$B$150,0))),
Error!$B$15,
IF(AND($E384="Tier 1",$F384="Remove",$H384&lt;&gt;"",ISNA(MATCH($H384,Tables!$B$143:$B$144,0))),
Error!$B$15,
IF(AND($E384="Tier 1",$F384="Retain",$H384&lt;&gt;"",ISNA(MATCH($H384,Tables!$B$137:$B$140,0))),
Error!$B$15,
IF(AND($E384&lt;&gt;"Tier 2",$E384&lt;&gt;"Tier 2 Grove",$E384&lt;&gt;"Tier 3",$E384&lt;&gt;"Tier 4",$H384="Zoning: Green Factor",OR($D384="",$D384&lt;6)),
Error!$B$11,
IF(AND(_xlpm.baseRow,$D384&lt;6,$E384="&lt;6in DSH for Tree Points",_xlpm.TreePoints_H=0),
Error!$B$21,
IF(AND(_xlpm.baseRow,$E384&lt;&gt;"",$D384&lt;&gt;"",$F384=""),
Error!$B$4,
IF(AND(_xlpm.baseRow,$F384="Remove",OR($E384="Tier 1",$E384="Tier 2",$E384="Tier 2 Grove"),COUNTBLANK(_xlpm.HRange)&lt;3,_xlpm.uniqueH&gt;=2),
Error!$B$48,
IF(AND(_xlpm.baseRow,$F384="Retain",OR($E384="Tier 1",$E384="Tier 2",$E384="Tier 2 Grove"),COUNTIF(_xlpm.HRange,"Tree Code: Required to Retain Tier 1-2 Tree")=0),
Error!$B$47,
IF(AND(_xlpm.baseRow,$E384&lt;&gt;"",$D384&lt;&gt;"",$F384&lt;&gt;"",COUNTBLANK(_xlpm.HRange)=4),
Error!$B$5,
IF(AND($F384="Remove",$H384&lt;&gt;"",$I384=""),
Error!$B$18,
IF(AND($E384="Tier 4",$F384="Remove",$H384="Tree Protection Code: Tier 3 or Tier 4 Allowance",$H384&lt;&gt;"",ISNA(MATCH($I384,Tables!$B$200,0))),
Error!$B$17,
IF(AND($E384="Tier 3",$F384="Remove",$H384&lt;&gt;"",$H384="Tree Protection Code: Tier 3 or Tier 4 Allowance",OR($I384="",ISNA(MATCH($I384,Tables!$B$193:$B$197,0)))),
Error!$B$17,
IF(AND(OR($E384="Tier 2",$E384="Tier 2 Grove"),$F384="Remove",$H384="Tree Protection Code: Other removal allowance or exemption",$I384&lt;&gt;"",ISNA(MATCH($I384,Tables!$B$215:$B$218,0))),
Error!$B$17,
IF(AND(OR($E384="Tier 2",$E384="Tier 2 Grove"),$F384="Remove",$H384="Tree Protection Code: Development Capacity",$I384&lt;&gt;"",ISNA(MATCH($I384,Tables!$B$193:$B$197,0))),
Error!$B$17,
IF(AND(OR($E384="Tier 2",$E384="Tier 2 Grove"),$F384="Remove",$H384="Tree Protection Code: Necessary for Construction",$I384&lt;&gt;"",ISNA(MATCH($I384,Tables!$B$193:$B$197,0))),
Error!$B$17,
IF(AND($E384="Tier 1",$F384="Remove",$H384="Tree Protection Code: Special Exception",$I384&lt;&gt;"",ISNA(MATCH($I384,Tables!$B$215:$B$218,0))),
Error!$B$17,
IF(AND($E384="Tier 1",$F384="Remove",$H384="Tree Protection Code: Other removal allowance or exemption",$I384&lt;&gt;"",ISNA(MATCH($I384,Tables!$B$215:$B$218,0))),
Error!$B$17,
IF(AND($E384="ECA / Shoreline Tree",$F384="Remove",$H384&lt;&gt;"",OR($H384="Shoreline",$H384="Environmental Critical Area (ECA)"),ISNA(MATCH($I384,Tables!$B$209:$B$212,0))),
Error!$B$17,
IF(AND(_xlpm.baseRow,$F384="Retain",$E384="ECA / Shoreline Tree",_xlpm.ECA_Short=0),
Error!$B$61,
IF(AND($F384="Remove",ISNUMBER(MATCH($E384,{"Tier 1","Tier 2","Tier 3","Tier 4","Tier 2 Grove"},0)),ISNUMBER(MATCH($I384,{"On-site replacement","Off-site replacement"},0)),$J384="",$H384&lt;&gt;""),
Error!$B$19,
IF(AND(_xlpm.baseRow,$E384&lt;&gt;"",$D384&lt;&gt;"",$F384&lt;&gt;"",COUNTBLANK($B384:$C384)&gt;0,COUNTBLANK(_xlpm.HRange)&lt;&gt;4),
Error!$B$22,
IF(AND($H384="Zoning: Tree Points",$K384&lt;&gt;"",ISNA(MATCH($K384,Tables!$B$242:$B$253,0))),
Error!$B$58,
IF(AND($H384="Zoning: Tree Points",$K384="Small",$L384&lt;&gt;"",ISNA(MATCH($L384,Tables!$C$243:$C$244,0))),
Error!$B$59,
IF(AND($H384="Zoning: Tree Points",$K384="Small/Medium",$L384&lt;&gt;"",ISNA(MATCH($L384,Tables!$C$246:$C$247,0))),
Error!$B$59,
IF(AND($H384="Zoning: Tree Points",$K384="Medium/Large",$L384&lt;&gt;"",ISNA(MATCH($L384,Tables!$C$249:$C$250,0))),
Error!$B$59,
IF(AND($H384="Zoning: Tree Points",$K384="Large",$L384&lt;&gt;"",ISNA(MATCH($L384,Tables!$C$252:$C$253,0))),
Error!$B$59,
IF(AND($F384="Retain",$H384="Zoning: Tree Points",$C384&lt;&gt;"",$D384&lt;&gt;"",OR($K384="",$L384="",$M384="")),
Error!$B$20,
""
)))))))))))))))))))))))))))))))))))))))))))))))))))))))),
Error!$B$23))</f>
        <v/>
      </c>
      <c r="O384" s="343" t="str" cm="1">
        <f t="array" aca="1" ref="O384" ca="1">IFERROR(_xlfn.LET(
    _xlpm.txt, $C384,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85" spans="1:15" x14ac:dyDescent="0.3">
      <c r="A385" s="320"/>
      <c r="B385" s="616" t="str">
        <f t="shared" si="427"/>
        <v/>
      </c>
      <c r="C385" s="617" t="str">
        <f t="shared" si="428"/>
        <v/>
      </c>
      <c r="D385" s="618" t="str">
        <f t="shared" si="429"/>
        <v/>
      </c>
      <c r="E385" s="616" t="str">
        <f t="shared" si="430"/>
        <v/>
      </c>
      <c r="F385" s="616" t="str">
        <f t="shared" si="431"/>
        <v/>
      </c>
      <c r="G385" s="619" t="str">
        <f>IF(Tree_Table1[[#This Row],[Tree Status  &amp;]]="Retain", Tables!$B$237, IF(Tree_Table1[[#This Row],[Tree Status  &amp;]]="Remove", Tables!$B$238, ""))</f>
        <v/>
      </c>
      <c r="H385" s="321"/>
      <c r="I385" s="322"/>
      <c r="J385" s="453"/>
      <c r="K385" s="323" t="str">
        <f>IFERROR(
    IF(
        AND($H385="Zoning: Tree Points", NOT(ISNUMBER(SEARCH("sp.", $C385)))),
        VLOOKUP($C385, 'Tree List'!$C$3:$F$601, 4, FALSE),
        ""
    ),
"")</f>
        <v/>
      </c>
      <c r="L385" s="324" t="str" cm="1">
        <f t="array" ref="L385">IFERROR(
IF(
    AND($H385="Zoning: Tree Points", NOT(ISNUMBER(SEARCH("sp.", $C385)))),
    _xlfn.IFS(
        (COUNTIFS('Tree List'!$C$3:$C$601,$C385,'Tree List'!$D$3:$D$601,"Coniferous")
        + COUNTIFS('Tree List'!$C$3:$C$601,$C385,'Tree List'!$D$3:$D$601,"Deciduous Conifer")) &gt; 0,
            _xlfn.IFS($K385="Small",0.5,$K385="Small/Medium",1,$K385="Medium/Large",1.4,$K385="Large",1.8),
        (COUNTIFS('Tree List'!$C$3:$C$601,$C385,'Tree List'!$D$3:$D$601,"Deciduous")
        + COUNTIFS('Tree List'!$C$3:$C$601,$C385,'Tree List'!$D$3:$D$601,"Broadleaf Evergreen")) &gt; 0,
            _xlfn.IFS($K385="Small",0.4,$K385="Small/Medium",0.8,$K385="Medium/Large",1.2,$K385="Large",1.6)
    ),
    ""
),
"")</f>
        <v/>
      </c>
      <c r="M385" s="475" t="str">
        <f t="shared" si="411"/>
        <v/>
      </c>
      <c r="N385" s="346" t="str" cm="1">
        <f t="array" aca="1" ref="N38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IF(AND(_xlpm.baseRow,ISNA(MATCH($C385,'Tree List'!$C$3:$C$601,0)),SUMPRODUCT(--ISNUMBER(SEARCH(Tables2!$C$677:$C$772,$O385)))&gt;0),
Error!$B$57,
IF(AND(_xlpm.hasDM,$F385="Remove",$H385&lt;&gt;"",OR($I385="On-site replacement",$I385="Off-site replacement",$I385="Payment In Lieu")),
Error!$B$56,
IF(AND(_xlpm.hasDM,$F385="Remove",$H385&lt;&gt;"",$I385="Relocation"),
Error!$B$66,
IF(AND(OR(_xlpm.hasCN,_xlpm.hasPH,_xlpm.hasGR),$H385&lt;&gt;"",COUNTIF(Tables!$B$132:$B$134,$H385)&gt;0,$I385="N/A (No replacement required)"),
Error!$B$62,
IF(AND(_xlpm.baseRow,$E385&lt;&gt;"",ISNA(MATCH($E385,Tables!$B$225:$B$232,0))),
Error!$B$2,
IF(AND(_xlpm.baseRow,$F385&lt;&gt;"",ISNA(MATCH($F385,Tables!$B$234:$B$235,0))),
Error!$B$24,
IF(AND(_xlpm.baseRow,_xlpm.ECA_H&gt;0,_xlpm.Shore_H&gt;0),
Error!$B$16,
IF(AND(_xlpm.baseRow,$E385&lt;&gt;"",$D385=""),
Error!$B$3,
IF(AND(_xlpm.baseRow,OR($E385="Tier 3",$E385="Tier 4"),$C385&lt;&gt;"",$D385&gt;=24,COUNTIF(Tables2!$B$166:$B$674,$C385)&gt;0),
Error!$B$44,
IF(AND(_xlpm.baseRow,OR($E385="Tier 3",$E385="Tier 4"),$C385&lt;&gt;"",$D385&lt;&gt;"",COUNTIF(Tables2!$B$73:$B$152,$C385)&gt;0,
$D385&gt;=IFERROR(INDEX(Tables2!$C$73:$C$152,MATCH($C385,Tables2!$B$73:$B$152,0)),-1)),
Error!$B$44,
IF(AND(_xlpm.baseRow,OR($E385="Tier 2",$E385="Tier 2 Grove"),$C385&lt;&gt;"",$D385&gt;=12,COUNTIF(Tables2!$B$153:$B$162,$C385)&gt;0),
Error!$B$45,
IF(AND(_xlpm.baseRow,$E385="Tier 2 Grove",$D385&lt;12),
Error!$B$41,
IF(AND(_xlpm.baseRow,$E385="Tier 2",$D385&lt;5.88),
Error!$B$40,
IF(AND(_xlpm.baseRow,OR($E385="Tier 2",$E385="Tier 2 Grove"),$C385&lt;&gt;"",$D385&lt;12,$D385&gt;=6,COUNTIF(Tables2!$B$153:$B$162,$C385)&gt;0),
Error!$B$54,
IF(AND(_xlpm.baseRow,$E385="Tier 2",COUNTIF(Tables2!$B$166:$B$674,$C385)&gt;0,$D385&lt;24),
Error!$B$54,
IF(AND(_xlpm.baseRow,$E385="Tier 3",ISNA(MATCH($C385,Tables2!$B$153:$B$162,0)),OR($D385&lt;12,$D385&gt;=24)),
Error!$B$9,
IF(AND(_xlpm.baseRow,$E385="Tier 3",COUNTIF(Tables2!$B$153:$B$162,$C385)&gt;0,$D385&lt;12),
Error!$B$46,
IF(AND(_xlpm.baseRow,$E385="Tier 4",OR($D385&lt;6,$D385&gt;=12)),
Error!$B$10,
IF(AND(_xlpm.baseRow,$E385="&lt;6in DSH for Tree Points",OR($D385&gt;=6,$D385="")),
Error!$B$8,
IF(AND(_xlpm.baseRow,$E385="Street Tree for Green Factor",$F385&lt;&gt;"",$F385&lt;&gt;"Retain"),
Error!$B$14,
IF(AND($E385="&lt;6in DSH for Tree Points",$F385="Retain",$H385&lt;&gt;"",ISNA(MATCH($H385,Tables!$B$174:$B$174,0))),
Error!$B$15,
IF(AND($E385="Street Tree for Green Factor",$F385="Retain",$H385&lt;&gt;"",$H385&lt;&gt;"Zoning: Green Factor"),
Error!$B$15,
IF(AND($E385="ECA / Shoreline Tree",$F385="Remove",$H385&lt;&gt;"",ISNA(MATCH($H385,Tables!$B$189:$B$190,0))),
Error!$B$15,
IF(AND($E385="ECA / Shoreline Tree",$F385="Retain",$H385&lt;&gt;"",ISNA(MATCH($H385,Tables!$B$184:$B$186,0))),
Error!$B$15,
IF(AND($E385="Tier 4",$F385="Remove",$H385&lt;&gt;"",ISNA(MATCH($H385,Tables!$B$171,0))),
Error!$B$15,
IF(AND($E385="Tier 4",$F385="Retain",$H385&lt;&gt;"",ISNA(MATCH($H385,Tables!$B$166:$B$168,0))),
Error!$B$15,
IF(AND($E385="Tier 3",$F385="Retain",$H385&lt;&gt;"",ISNA(MATCH($H385,Tables!$B$158:$B$160,0))),
Error!$B$15,
IF(AND($E385="Tier 3",$F385="Remove",$H385&lt;&gt;"",ISNA(MATCH($H385,Tables!$B$163,0))),
Error!$B$15,
IF(AND(OR($E385="Tier 2",$E385="Tier 2 Grove"),$F385="Remove",$H385&lt;&gt;"",ISNA(MATCH($H385,Tables!$B$153:$B$155,0))),
Error!$B$15,
IF(AND(OR($E385="Tier 2",$E385="Tier 2 Grove"),$F385="Retain",$H385&lt;&gt;"",ISNA(MATCH($H385,Tables!$B$147:$B$150,0))),
Error!$B$15,
IF(AND($E385="Tier 1",$F385="Remove",$H385&lt;&gt;"",ISNA(MATCH($H385,Tables!$B$143:$B$144,0))),
Error!$B$15,
IF(AND($E385="Tier 1",$F385="Retain",$H385&lt;&gt;"",ISNA(MATCH($H385,Tables!$B$137:$B$140,0))),
Error!$B$15,
IF(AND($E385&lt;&gt;"Tier 2",$E385&lt;&gt;"Tier 2 Grove",$E385&lt;&gt;"Tier 3",$E385&lt;&gt;"Tier 4",$H385="Zoning: Green Factor",OR($D385="",$D385&lt;6)),
Error!$B$11,
IF(AND(_xlpm.baseRow,$D385&lt;6,$E385="&lt;6in DSH for Tree Points",_xlpm.TreePoints_H=0),
Error!$B$21,
IF(AND(_xlpm.baseRow,$E385&lt;&gt;"",$D385&lt;&gt;"",$F385=""),
Error!$B$4,
IF(AND(_xlpm.baseRow,$F385="Remove",OR($E385="Tier 1",$E385="Tier 2",$E385="Tier 2 Grove"),COUNTBLANK(_xlpm.HRange)&lt;3,_xlpm.uniqueH&gt;=2),
Error!$B$48,
IF(AND(_xlpm.baseRow,$F385="Retain",OR($E385="Tier 1",$E385="Tier 2",$E385="Tier 2 Grove"),COUNTIF(_xlpm.HRange,"Tree Code: Required to Retain Tier 1-2 Tree")=0),
Error!$B$47,
IF(AND(_xlpm.baseRow,$E385&lt;&gt;"",$D385&lt;&gt;"",$F385&lt;&gt;"",COUNTBLANK(_xlpm.HRange)=4),
Error!$B$5,
IF(AND($F385="Remove",$H385&lt;&gt;"",$I385=""),
Error!$B$18,
IF(AND($E385="Tier 4",$F385="Remove",$H385="Tree Protection Code: Tier 3 or Tier 4 Allowance",$H385&lt;&gt;"",ISNA(MATCH($I385,Tables!$B$200,0))),
Error!$B$17,
IF(AND($E385="Tier 3",$F385="Remove",$H385&lt;&gt;"",$H385="Tree Protection Code: Tier 3 or Tier 4 Allowance",OR($I385="",ISNA(MATCH($I385,Tables!$B$193:$B$197,0)))),
Error!$B$17,
IF(AND(OR($E385="Tier 2",$E385="Tier 2 Grove"),$F385="Remove",$H385="Tree Protection Code: Other removal allowance or exemption",$I385&lt;&gt;"",ISNA(MATCH($I385,Tables!$B$215:$B$218,0))),
Error!$B$17,
IF(AND(OR($E385="Tier 2",$E385="Tier 2 Grove"),$F385="Remove",$H385="Tree Protection Code: Development Capacity",$I385&lt;&gt;"",ISNA(MATCH($I385,Tables!$B$193:$B$197,0))),
Error!$B$17,
IF(AND(OR($E385="Tier 2",$E385="Tier 2 Grove"),$F385="Remove",$H385="Tree Protection Code: Necessary for Construction",$I385&lt;&gt;"",ISNA(MATCH($I385,Tables!$B$193:$B$197,0))),
Error!$B$17,
IF(AND($E385="Tier 1",$F385="Remove",$H385="Tree Protection Code: Special Exception",$I385&lt;&gt;"",ISNA(MATCH($I385,Tables!$B$215:$B$218,0))),
Error!$B$17,
IF(AND($E385="Tier 1",$F385="Remove",$H385="Tree Protection Code: Other removal allowance or exemption",$I385&lt;&gt;"",ISNA(MATCH($I385,Tables!$B$215:$B$218,0))),
Error!$B$17,
IF(AND($E385="ECA / Shoreline Tree",$F385="Remove",$H385&lt;&gt;"",OR($H385="Shoreline",$H385="Environmental Critical Area (ECA)"),ISNA(MATCH($I385,Tables!$B$209:$B$212,0))),
Error!$B$17,
IF(AND(_xlpm.baseRow,$F385="Retain",$E385="ECA / Shoreline Tree",_xlpm.ECA_Short=0),
Error!$B$61,
IF(AND($F385="Remove",ISNUMBER(MATCH($E385,{"Tier 1","Tier 2","Tier 3","Tier 4","Tier 2 Grove"},0)),ISNUMBER(MATCH($I385,{"On-site replacement","Off-site replacement"},0)),$J385="",$H385&lt;&gt;""),
Error!$B$19,
IF(AND(_xlpm.baseRow,$E385&lt;&gt;"",$D385&lt;&gt;"",$F385&lt;&gt;"",COUNTBLANK($B385:$C385)&gt;0,COUNTBLANK(_xlpm.HRange)&lt;&gt;4),
Error!$B$22,
IF(AND($H385="Zoning: Tree Points",$K385&lt;&gt;"",ISNA(MATCH($K385,Tables!$B$242:$B$253,0))),
Error!$B$58,
IF(AND($H385="Zoning: Tree Points",$K385="Small",$L385&lt;&gt;"",ISNA(MATCH($L385,Tables!$C$243:$C$244,0))),
Error!$B$59,
IF(AND($H385="Zoning: Tree Points",$K385="Small/Medium",$L385&lt;&gt;"",ISNA(MATCH($L385,Tables!$C$246:$C$247,0))),
Error!$B$59,
IF(AND($H385="Zoning: Tree Points",$K385="Medium/Large",$L385&lt;&gt;"",ISNA(MATCH($L385,Tables!$C$249:$C$250,0))),
Error!$B$59,
IF(AND($H385="Zoning: Tree Points",$K385="Large",$L385&lt;&gt;"",ISNA(MATCH($L385,Tables!$C$252:$C$253,0))),
Error!$B$59,
IF(AND($F385="Retain",$H385="Zoning: Tree Points",$C385&lt;&gt;"",$D385&lt;&gt;"",OR($K385="",$L385="",$M385="")),
Error!$B$20,
""
)))))))))))))))))))))))))))))))))))))))))))))))))))))))),
Error!$B$23))</f>
        <v/>
      </c>
      <c r="O385" s="343" t="str" cm="1">
        <f t="array" aca="1" ref="O385" ca="1">IFERROR(_xlfn.LET(
    _xlpm.txt, $C385,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86" spans="1:15" ht="15" thickBot="1" x14ac:dyDescent="0.35">
      <c r="A386" s="331"/>
      <c r="B386" s="616" t="str">
        <f t="shared" si="427"/>
        <v/>
      </c>
      <c r="C386" s="617" t="str">
        <f t="shared" si="428"/>
        <v/>
      </c>
      <c r="D386" s="618" t="str">
        <f t="shared" si="429"/>
        <v/>
      </c>
      <c r="E386" s="616" t="str">
        <f t="shared" si="430"/>
        <v/>
      </c>
      <c r="F386" s="616" t="str">
        <f t="shared" si="431"/>
        <v/>
      </c>
      <c r="G386" s="619" t="str">
        <f>IF(Tree_Table1[[#This Row],[Tree Status  &amp;]]="Retain", Tables!$B$237, IF(Tree_Table1[[#This Row],[Tree Status  &amp;]]="Remove", Tables!$B$238, ""))</f>
        <v/>
      </c>
      <c r="H386" s="329"/>
      <c r="I386" s="330"/>
      <c r="J386" s="455"/>
      <c r="K386" s="327" t="str">
        <f>IFERROR(
    IF(
        AND($H386="Zoning: Tree Points", NOT(ISNUMBER(SEARCH("sp.", $C386)))),
        VLOOKUP($C386, 'Tree List'!$C$3:$F$601, 4, FALSE),
        ""
    ),
"")</f>
        <v/>
      </c>
      <c r="L386" s="328" t="str" cm="1">
        <f t="array" ref="L386">IFERROR(
IF(
    AND($H386="Zoning: Tree Points", NOT(ISNUMBER(SEARCH("sp.", $C386)))),
    _xlfn.IFS(
        (COUNTIFS('Tree List'!$C$3:$C$601,$C386,'Tree List'!$D$3:$D$601,"Coniferous")
        + COUNTIFS('Tree List'!$C$3:$C$601,$C386,'Tree List'!$D$3:$D$601,"Deciduous Conifer")) &gt; 0,
            _xlfn.IFS($K386="Small",0.5,$K386="Small/Medium",1,$K386="Medium/Large",1.4,$K386="Large",1.8),
        (COUNTIFS('Tree List'!$C$3:$C$601,$C386,'Tree List'!$D$3:$D$601,"Deciduous")
        + COUNTIFS('Tree List'!$C$3:$C$601,$C386,'Tree List'!$D$3:$D$601,"Broadleaf Evergreen")) &gt; 0,
            _xlfn.IFS($K386="Small",0.4,$K386="Small/Medium",0.8,$K386="Medium/Large",1.2,$K386="Large",1.6)
    ),
    ""
),
"")</f>
        <v/>
      </c>
      <c r="M386" s="476" t="str">
        <f t="shared" si="411"/>
        <v/>
      </c>
      <c r="N386" s="347" t="str" cm="1">
        <f t="array" aca="1" ref="N38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IF(AND(_xlpm.baseRow,ISNA(MATCH($C386,'Tree List'!$C$3:$C$601,0)),SUMPRODUCT(--ISNUMBER(SEARCH(Tables2!$C$677:$C$772,$O386)))&gt;0),
Error!$B$57,
IF(AND(_xlpm.hasDM,$F386="Remove",$H386&lt;&gt;"",OR($I386="On-site replacement",$I386="Off-site replacement",$I386="Payment In Lieu")),
Error!$B$56,
IF(AND(_xlpm.hasDM,$F386="Remove",$H386&lt;&gt;"",$I386="Relocation"),
Error!$B$66,
IF(AND(OR(_xlpm.hasCN,_xlpm.hasPH,_xlpm.hasGR),$H386&lt;&gt;"",COUNTIF(Tables!$B$132:$B$134,$H386)&gt;0,$I386="N/A (No replacement required)"),
Error!$B$62,
IF(AND(_xlpm.baseRow,$E386&lt;&gt;"",ISNA(MATCH($E386,Tables!$B$225:$B$232,0))),
Error!$B$2,
IF(AND(_xlpm.baseRow,$F386&lt;&gt;"",ISNA(MATCH($F386,Tables!$B$234:$B$235,0))),
Error!$B$24,
IF(AND(_xlpm.baseRow,_xlpm.ECA_H&gt;0,_xlpm.Shore_H&gt;0),
Error!$B$16,
IF(AND(_xlpm.baseRow,$E386&lt;&gt;"",$D386=""),
Error!$B$3,
IF(AND(_xlpm.baseRow,OR($E386="Tier 3",$E386="Tier 4"),$C386&lt;&gt;"",$D386&gt;=24,COUNTIF(Tables2!$B$166:$B$674,$C386)&gt;0),
Error!$B$44,
IF(AND(_xlpm.baseRow,OR($E386="Tier 3",$E386="Tier 4"),$C386&lt;&gt;"",$D386&lt;&gt;"",COUNTIF(Tables2!$B$73:$B$152,$C386)&gt;0,
$D386&gt;=IFERROR(INDEX(Tables2!$C$73:$C$152,MATCH($C386,Tables2!$B$73:$B$152,0)),-1)),
Error!$B$44,
IF(AND(_xlpm.baseRow,OR($E386="Tier 2",$E386="Tier 2 Grove"),$C386&lt;&gt;"",$D386&gt;=12,COUNTIF(Tables2!$B$153:$B$162,$C386)&gt;0),
Error!$B$45,
IF(AND(_xlpm.baseRow,$E386="Tier 2 Grove",$D386&lt;12),
Error!$B$41,
IF(AND(_xlpm.baseRow,$E386="Tier 2",$D386&lt;5.88),
Error!$B$40,
IF(AND(_xlpm.baseRow,OR($E386="Tier 2",$E386="Tier 2 Grove"),$C386&lt;&gt;"",$D386&lt;12,$D386&gt;=6,COUNTIF(Tables2!$B$153:$B$162,$C386)&gt;0),
Error!$B$54,
IF(AND(_xlpm.baseRow,$E386="Tier 2",COUNTIF(Tables2!$B$166:$B$674,$C386)&gt;0,$D386&lt;24),
Error!$B$54,
IF(AND(_xlpm.baseRow,$E386="Tier 3",ISNA(MATCH($C386,Tables2!$B$153:$B$162,0)),OR($D386&lt;12,$D386&gt;=24)),
Error!$B$9,
IF(AND(_xlpm.baseRow,$E386="Tier 3",COUNTIF(Tables2!$B$153:$B$162,$C386)&gt;0,$D386&lt;12),
Error!$B$46,
IF(AND(_xlpm.baseRow,$E386="Tier 4",OR($D386&lt;6,$D386&gt;=12)),
Error!$B$10,
IF(AND(_xlpm.baseRow,$E386="&lt;6in DSH for Tree Points",OR($D386&gt;=6,$D386="")),
Error!$B$8,
IF(AND(_xlpm.baseRow,$E386="Street Tree for Green Factor",$F386&lt;&gt;"",$F386&lt;&gt;"Retain"),
Error!$B$14,
IF(AND($E386="&lt;6in DSH for Tree Points",$F386="Retain",$H386&lt;&gt;"",ISNA(MATCH($H386,Tables!$B$174:$B$174,0))),
Error!$B$15,
IF(AND($E386="Street Tree for Green Factor",$F386="Retain",$H386&lt;&gt;"",$H386&lt;&gt;"Zoning: Green Factor"),
Error!$B$15,
IF(AND($E386="ECA / Shoreline Tree",$F386="Remove",$H386&lt;&gt;"",ISNA(MATCH($H386,Tables!$B$189:$B$190,0))),
Error!$B$15,
IF(AND($E386="ECA / Shoreline Tree",$F386="Retain",$H386&lt;&gt;"",ISNA(MATCH($H386,Tables!$B$184:$B$186,0))),
Error!$B$15,
IF(AND($E386="Tier 4",$F386="Remove",$H386&lt;&gt;"",ISNA(MATCH($H386,Tables!$B$171,0))),
Error!$B$15,
IF(AND($E386="Tier 4",$F386="Retain",$H386&lt;&gt;"",ISNA(MATCH($H386,Tables!$B$166:$B$168,0))),
Error!$B$15,
IF(AND($E386="Tier 3",$F386="Retain",$H386&lt;&gt;"",ISNA(MATCH($H386,Tables!$B$158:$B$160,0))),
Error!$B$15,
IF(AND($E386="Tier 3",$F386="Remove",$H386&lt;&gt;"",ISNA(MATCH($H386,Tables!$B$163,0))),
Error!$B$15,
IF(AND(OR($E386="Tier 2",$E386="Tier 2 Grove"),$F386="Remove",$H386&lt;&gt;"",ISNA(MATCH($H386,Tables!$B$153:$B$155,0))),
Error!$B$15,
IF(AND(OR($E386="Tier 2",$E386="Tier 2 Grove"),$F386="Retain",$H386&lt;&gt;"",ISNA(MATCH($H386,Tables!$B$147:$B$150,0))),
Error!$B$15,
IF(AND($E386="Tier 1",$F386="Remove",$H386&lt;&gt;"",ISNA(MATCH($H386,Tables!$B$143:$B$144,0))),
Error!$B$15,
IF(AND($E386="Tier 1",$F386="Retain",$H386&lt;&gt;"",ISNA(MATCH($H386,Tables!$B$137:$B$140,0))),
Error!$B$15,
IF(AND($E386&lt;&gt;"Tier 2",$E386&lt;&gt;"Tier 2 Grove",$E386&lt;&gt;"Tier 3",$E386&lt;&gt;"Tier 4",$H386="Zoning: Green Factor",OR($D386="",$D386&lt;6)),
Error!$B$11,
IF(AND(_xlpm.baseRow,$D386&lt;6,$E386="&lt;6in DSH for Tree Points",_xlpm.TreePoints_H=0),
Error!$B$21,
IF(AND(_xlpm.baseRow,$E386&lt;&gt;"",$D386&lt;&gt;"",$F386=""),
Error!$B$4,
IF(AND(_xlpm.baseRow,$F386="Remove",OR($E386="Tier 1",$E386="Tier 2",$E386="Tier 2 Grove"),COUNTBLANK(_xlpm.HRange)&lt;3,_xlpm.uniqueH&gt;=2),
Error!$B$48,
IF(AND(_xlpm.baseRow,$F386="Retain",OR($E386="Tier 1",$E386="Tier 2",$E386="Tier 2 Grove"),COUNTIF(_xlpm.HRange,"Tree Code: Required to Retain Tier 1-2 Tree")=0),
Error!$B$47,
IF(AND(_xlpm.baseRow,$E386&lt;&gt;"",$D386&lt;&gt;"",$F386&lt;&gt;"",COUNTBLANK(_xlpm.HRange)=4),
Error!$B$5,
IF(AND($F386="Remove",$H386&lt;&gt;"",$I386=""),
Error!$B$18,
IF(AND($E386="Tier 4",$F386="Remove",$H386="Tree Protection Code: Tier 3 or Tier 4 Allowance",$H386&lt;&gt;"",ISNA(MATCH($I386,Tables!$B$200,0))),
Error!$B$17,
IF(AND($E386="Tier 3",$F386="Remove",$H386&lt;&gt;"",$H386="Tree Protection Code: Tier 3 or Tier 4 Allowance",OR($I386="",ISNA(MATCH($I386,Tables!$B$193:$B$197,0)))),
Error!$B$17,
IF(AND(OR($E386="Tier 2",$E386="Tier 2 Grove"),$F386="Remove",$H386="Tree Protection Code: Other removal allowance or exemption",$I386&lt;&gt;"",ISNA(MATCH($I386,Tables!$B$215:$B$218,0))),
Error!$B$17,
IF(AND(OR($E386="Tier 2",$E386="Tier 2 Grove"),$F386="Remove",$H386="Tree Protection Code: Development Capacity",$I386&lt;&gt;"",ISNA(MATCH($I386,Tables!$B$193:$B$197,0))),
Error!$B$17,
IF(AND(OR($E386="Tier 2",$E386="Tier 2 Grove"),$F386="Remove",$H386="Tree Protection Code: Necessary for Construction",$I386&lt;&gt;"",ISNA(MATCH($I386,Tables!$B$193:$B$197,0))),
Error!$B$17,
IF(AND($E386="Tier 1",$F386="Remove",$H386="Tree Protection Code: Special Exception",$I386&lt;&gt;"",ISNA(MATCH($I386,Tables!$B$215:$B$218,0))),
Error!$B$17,
IF(AND($E386="Tier 1",$F386="Remove",$H386="Tree Protection Code: Other removal allowance or exemption",$I386&lt;&gt;"",ISNA(MATCH($I386,Tables!$B$215:$B$218,0))),
Error!$B$17,
IF(AND($E386="ECA / Shoreline Tree",$F386="Remove",$H386&lt;&gt;"",OR($H386="Shoreline",$H386="Environmental Critical Area (ECA)"),ISNA(MATCH($I386,Tables!$B$209:$B$212,0))),
Error!$B$17,
IF(AND(_xlpm.baseRow,$F386="Retain",$E386="ECA / Shoreline Tree",_xlpm.ECA_Short=0),
Error!$B$61,
IF(AND($F386="Remove",ISNUMBER(MATCH($E386,{"Tier 1","Tier 2","Tier 3","Tier 4","Tier 2 Grove"},0)),ISNUMBER(MATCH($I386,{"On-site replacement","Off-site replacement"},0)),$J386="",$H386&lt;&gt;""),
Error!$B$19,
IF(AND(_xlpm.baseRow,$E386&lt;&gt;"",$D386&lt;&gt;"",$F386&lt;&gt;"",COUNTBLANK($B386:$C386)&gt;0,COUNTBLANK(_xlpm.HRange)&lt;&gt;4),
Error!$B$22,
IF(AND($H386="Zoning: Tree Points",$K386&lt;&gt;"",ISNA(MATCH($K386,Tables!$B$242:$B$253,0))),
Error!$B$58,
IF(AND($H386="Zoning: Tree Points",$K386="Small",$L386&lt;&gt;"",ISNA(MATCH($L386,Tables!$C$243:$C$244,0))),
Error!$B$59,
IF(AND($H386="Zoning: Tree Points",$K386="Small/Medium",$L386&lt;&gt;"",ISNA(MATCH($L386,Tables!$C$246:$C$247,0))),
Error!$B$59,
IF(AND($H386="Zoning: Tree Points",$K386="Medium/Large",$L386&lt;&gt;"",ISNA(MATCH($L386,Tables!$C$249:$C$250,0))),
Error!$B$59,
IF(AND($H386="Zoning: Tree Points",$K386="Large",$L386&lt;&gt;"",ISNA(MATCH($L386,Tables!$C$252:$C$253,0))),
Error!$B$59,
IF(AND($F386="Retain",$H386="Zoning: Tree Points",$C386&lt;&gt;"",$D386&lt;&gt;"",OR($K386="",$L386="",$M386="")),
Error!$B$20,
""
)))))))))))))))))))))))))))))))))))))))))))))))))))))))),
Error!$B$23))</f>
        <v/>
      </c>
      <c r="O386" s="343" t="str" cm="1">
        <f t="array" aca="1" ref="O386" ca="1">IFERROR(_xlfn.LET(
    _xlpm.txt, $C386,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87" spans="1:15" ht="15" thickBot="1" x14ac:dyDescent="0.35">
      <c r="A387" s="311">
        <v>95</v>
      </c>
      <c r="B387" s="312"/>
      <c r="C387" s="313"/>
      <c r="D387" s="478"/>
      <c r="E387" s="314"/>
      <c r="F387" s="314"/>
      <c r="G387" s="315" t="str">
        <f>IF(Tree_Table1[[#This Row],[Tree Status  &amp;]]="Retain", Tables!$B$237, IF(Tree_Table1[[#This Row],[Tree Status  &amp;]]="Remove", Tables!$B$238, ""))</f>
        <v/>
      </c>
      <c r="H387" s="316"/>
      <c r="I387" s="317"/>
      <c r="J387" s="452"/>
      <c r="K387" s="318" t="str">
        <f>IFERROR(
    IF(
        AND($H387="Zoning: Tree Points", NOT(ISNUMBER(SEARCH("sp.", $C387)))),
        VLOOKUP($C387, 'Tree List'!$C$3:$F$601, 4, FALSE),
        ""
    ),
"")</f>
        <v/>
      </c>
      <c r="L387" s="319" t="str" cm="1">
        <f t="array" ref="L387">IFERROR(
IF(
    AND($H387="Zoning: Tree Points", NOT(ISNUMBER(SEARCH("sp.", $C387)))),
    _xlfn.IFS(
        (COUNTIFS('Tree List'!$C$3:$C$601,$C387,'Tree List'!$D$3:$D$601,"Coniferous")
        + COUNTIFS('Tree List'!$C$3:$C$601,$C387,'Tree List'!$D$3:$D$601,"Deciduous Conifer")) &gt; 0,
            _xlfn.IFS($K387="Small",0.5,$K387="Small/Medium",1,$K387="Medium/Large",1.4,$K387="Large",1.8),
        (COUNTIFS('Tree List'!$C$3:$C$601,$C387,'Tree List'!$D$3:$D$601,"Deciduous")
        + COUNTIFS('Tree List'!$C$3:$C$601,$C387,'Tree List'!$D$3:$D$601,"Broadleaf Evergreen")) &gt; 0,
            _xlfn.IFS($K387="Small",0.4,$K387="Small/Medium",0.8,$K387="Medium/Large",1.2,$K387="Large",1.6)
    ),
    ""
),
"")</f>
        <v/>
      </c>
      <c r="M387" s="474" t="str">
        <f t="shared" si="411"/>
        <v/>
      </c>
      <c r="N387" s="620" t="str" cm="1">
        <f t="array" aca="1" ref="N38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IF(AND(_xlpm.baseRow,ISNA(MATCH($C387,'Tree List'!$C$3:$C$601,0)),SUMPRODUCT(--ISNUMBER(SEARCH(Tables2!$C$677:$C$772,$O387)))&gt;0),
Error!$B$57,
IF(AND(_xlpm.hasDM,$F387="Remove",$H387&lt;&gt;"",OR($I387="On-site replacement",$I387="Off-site replacement",$I387="Payment In Lieu")),
Error!$B$56,
IF(AND(_xlpm.hasDM,$F387="Remove",$H387&lt;&gt;"",$I387="Relocation"),
Error!$B$66,
IF(AND(OR(_xlpm.hasCN,_xlpm.hasPH,_xlpm.hasGR),$H387&lt;&gt;"",COUNTIF(Tables!$B$132:$B$134,$H387)&gt;0,$I387="N/A (No replacement required)"),
Error!$B$62,
IF(AND(_xlpm.baseRow,$E387&lt;&gt;"",ISNA(MATCH($E387,Tables!$B$225:$B$232,0))),
Error!$B$2,
IF(AND(_xlpm.baseRow,$F387&lt;&gt;"",ISNA(MATCH($F387,Tables!$B$234:$B$235,0))),
Error!$B$24,
IF(AND(_xlpm.baseRow,_xlpm.ECA_H&gt;0,_xlpm.Shore_H&gt;0),
Error!$B$16,
IF(AND(_xlpm.baseRow,$E387&lt;&gt;"",$D387=""),
Error!$B$3,
IF(AND(_xlpm.baseRow,OR($E387="Tier 3",$E387="Tier 4"),$C387&lt;&gt;"",$D387&gt;=24,COUNTIF(Tables2!$B$166:$B$674,$C387)&gt;0),
Error!$B$44,
IF(AND(_xlpm.baseRow,OR($E387="Tier 3",$E387="Tier 4"),$C387&lt;&gt;"",$D387&lt;&gt;"",COUNTIF(Tables2!$B$73:$B$152,$C387)&gt;0,
$D387&gt;=IFERROR(INDEX(Tables2!$C$73:$C$152,MATCH($C387,Tables2!$B$73:$B$152,0)),-1)),
Error!$B$44,
IF(AND(_xlpm.baseRow,OR($E387="Tier 2",$E387="Tier 2 Grove"),$C387&lt;&gt;"",$D387&gt;=12,COUNTIF(Tables2!$B$153:$B$162,$C387)&gt;0),
Error!$B$45,
IF(AND(_xlpm.baseRow,$E387="Tier 2 Grove",$D387&lt;12),
Error!$B$41,
IF(AND(_xlpm.baseRow,$E387="Tier 2",$D387&lt;5.88),
Error!$B$40,
IF(AND(_xlpm.baseRow,OR($E387="Tier 2",$E387="Tier 2 Grove"),$C387&lt;&gt;"",$D387&lt;12,$D387&gt;=6,COUNTIF(Tables2!$B$153:$B$162,$C387)&gt;0),
Error!$B$54,
IF(AND(_xlpm.baseRow,$E387="Tier 2",COUNTIF(Tables2!$B$166:$B$674,$C387)&gt;0,$D387&lt;24),
Error!$B$54,
IF(AND(_xlpm.baseRow,$E387="Tier 3",ISNA(MATCH($C387,Tables2!$B$153:$B$162,0)),OR($D387&lt;12,$D387&gt;=24)),
Error!$B$9,
IF(AND(_xlpm.baseRow,$E387="Tier 3",COUNTIF(Tables2!$B$153:$B$162,$C387)&gt;0,$D387&lt;12),
Error!$B$46,
IF(AND(_xlpm.baseRow,$E387="Tier 4",OR($D387&lt;6,$D387&gt;=12)),
Error!$B$10,
IF(AND(_xlpm.baseRow,$E387="&lt;6in DSH for Tree Points",OR($D387&gt;=6,$D387="")),
Error!$B$8,
IF(AND(_xlpm.baseRow,$E387="Street Tree for Green Factor",$F387&lt;&gt;"",$F387&lt;&gt;"Retain"),
Error!$B$14,
IF(AND($E387="&lt;6in DSH for Tree Points",$F387="Retain",$H387&lt;&gt;"",ISNA(MATCH($H387,Tables!$B$174:$B$174,0))),
Error!$B$15,
IF(AND($E387="Street Tree for Green Factor",$F387="Retain",$H387&lt;&gt;"",$H387&lt;&gt;"Zoning: Green Factor"),
Error!$B$15,
IF(AND($E387="ECA / Shoreline Tree",$F387="Remove",$H387&lt;&gt;"",ISNA(MATCH($H387,Tables!$B$189:$B$190,0))),
Error!$B$15,
IF(AND($E387="ECA / Shoreline Tree",$F387="Retain",$H387&lt;&gt;"",ISNA(MATCH($H387,Tables!$B$184:$B$186,0))),
Error!$B$15,
IF(AND($E387="Tier 4",$F387="Remove",$H387&lt;&gt;"",ISNA(MATCH($H387,Tables!$B$171,0))),
Error!$B$15,
IF(AND($E387="Tier 4",$F387="Retain",$H387&lt;&gt;"",ISNA(MATCH($H387,Tables!$B$166:$B$168,0))),
Error!$B$15,
IF(AND($E387="Tier 3",$F387="Retain",$H387&lt;&gt;"",ISNA(MATCH($H387,Tables!$B$158:$B$160,0))),
Error!$B$15,
IF(AND($E387="Tier 3",$F387="Remove",$H387&lt;&gt;"",ISNA(MATCH($H387,Tables!$B$163,0))),
Error!$B$15,
IF(AND(OR($E387="Tier 2",$E387="Tier 2 Grove"),$F387="Remove",$H387&lt;&gt;"",ISNA(MATCH($H387,Tables!$B$153:$B$155,0))),
Error!$B$15,
IF(AND(OR($E387="Tier 2",$E387="Tier 2 Grove"),$F387="Retain",$H387&lt;&gt;"",ISNA(MATCH($H387,Tables!$B$147:$B$150,0))),
Error!$B$15,
IF(AND($E387="Tier 1",$F387="Remove",$H387&lt;&gt;"",ISNA(MATCH($H387,Tables!$B$143:$B$144,0))),
Error!$B$15,
IF(AND($E387="Tier 1",$F387="Retain",$H387&lt;&gt;"",ISNA(MATCH($H387,Tables!$B$137:$B$140,0))),
Error!$B$15,
IF(AND($E387&lt;&gt;"Tier 2",$E387&lt;&gt;"Tier 2 Grove",$E387&lt;&gt;"Tier 3",$E387&lt;&gt;"Tier 4",$H387="Zoning: Green Factor",OR($D387="",$D387&lt;6)),
Error!$B$11,
IF(AND(_xlpm.baseRow,$D387&lt;6,$E387="&lt;6in DSH for Tree Points",_xlpm.TreePoints_H=0),
Error!$B$21,
IF(AND(_xlpm.baseRow,$E387&lt;&gt;"",$D387&lt;&gt;"",$F387=""),
Error!$B$4,
IF(AND(_xlpm.baseRow,$F387="Remove",OR($E387="Tier 1",$E387="Tier 2",$E387="Tier 2 Grove"),COUNTBLANK(_xlpm.HRange)&lt;3,_xlpm.uniqueH&gt;=2),
Error!$B$48,
IF(AND(_xlpm.baseRow,$F387="Retain",OR($E387="Tier 1",$E387="Tier 2",$E387="Tier 2 Grove"),COUNTIF(_xlpm.HRange,"Tree Code: Required to Retain Tier 1-2 Tree")=0),
Error!$B$47,
IF(AND(_xlpm.baseRow,$E387&lt;&gt;"",$D387&lt;&gt;"",$F387&lt;&gt;"",COUNTBLANK(_xlpm.HRange)=4),
Error!$B$5,
IF(AND($F387="Remove",$H387&lt;&gt;"",$I387=""),
Error!$B$18,
IF(AND($E387="Tier 4",$F387="Remove",$H387="Tree Protection Code: Tier 3 or Tier 4 Allowance",$H387&lt;&gt;"",ISNA(MATCH($I387,Tables!$B$200,0))),
Error!$B$17,
IF(AND($E387="Tier 3",$F387="Remove",$H387&lt;&gt;"",$H387="Tree Protection Code: Tier 3 or Tier 4 Allowance",OR($I387="",ISNA(MATCH($I387,Tables!$B$193:$B$197,0)))),
Error!$B$17,
IF(AND(OR($E387="Tier 2",$E387="Tier 2 Grove"),$F387="Remove",$H387="Tree Protection Code: Other removal allowance or exemption",$I387&lt;&gt;"",ISNA(MATCH($I387,Tables!$B$215:$B$218,0))),
Error!$B$17,
IF(AND(OR($E387="Tier 2",$E387="Tier 2 Grove"),$F387="Remove",$H387="Tree Protection Code: Development Capacity",$I387&lt;&gt;"",ISNA(MATCH($I387,Tables!$B$193:$B$197,0))),
Error!$B$17,
IF(AND(OR($E387="Tier 2",$E387="Tier 2 Grove"),$F387="Remove",$H387="Tree Protection Code: Necessary for Construction",$I387&lt;&gt;"",ISNA(MATCH($I387,Tables!$B$193:$B$197,0))),
Error!$B$17,
IF(AND($E387="Tier 1",$F387="Remove",$H387="Tree Protection Code: Special Exception",$I387&lt;&gt;"",ISNA(MATCH($I387,Tables!$B$215:$B$218,0))),
Error!$B$17,
IF(AND($E387="Tier 1",$F387="Remove",$H387="Tree Protection Code: Other removal allowance or exemption",$I387&lt;&gt;"",ISNA(MATCH($I387,Tables!$B$215:$B$218,0))),
Error!$B$17,
IF(AND($E387="ECA / Shoreline Tree",$F387="Remove",$H387&lt;&gt;"",OR($H387="Shoreline",$H387="Environmental Critical Area (ECA)"),ISNA(MATCH($I387,Tables!$B$209:$B$212,0))),
Error!$B$17,
IF(AND(_xlpm.baseRow,$F387="Retain",$E387="ECA / Shoreline Tree",_xlpm.ECA_Short=0),
Error!$B$61,
IF(AND($F387="Remove",ISNUMBER(MATCH($E387,{"Tier 1","Tier 2","Tier 3","Tier 4","Tier 2 Grove"},0)),ISNUMBER(MATCH($I387,{"On-site replacement","Off-site replacement"},0)),$J387="",$H387&lt;&gt;""),
Error!$B$19,
IF(AND(_xlpm.baseRow,$E387&lt;&gt;"",$D387&lt;&gt;"",$F387&lt;&gt;"",COUNTBLANK($B387:$C387)&gt;0,COUNTBLANK(_xlpm.HRange)&lt;&gt;4),
Error!$B$22,
IF(AND($H387="Zoning: Tree Points",$K387&lt;&gt;"",ISNA(MATCH($K387,Tables!$B$242:$B$253,0))),
Error!$B$58,
IF(AND($H387="Zoning: Tree Points",$K387="Small",$L387&lt;&gt;"",ISNA(MATCH($L387,Tables!$C$243:$C$244,0))),
Error!$B$59,
IF(AND($H387="Zoning: Tree Points",$K387="Small/Medium",$L387&lt;&gt;"",ISNA(MATCH($L387,Tables!$C$246:$C$247,0))),
Error!$B$59,
IF(AND($H387="Zoning: Tree Points",$K387="Medium/Large",$L387&lt;&gt;"",ISNA(MATCH($L387,Tables!$C$249:$C$250,0))),
Error!$B$59,
IF(AND($H387="Zoning: Tree Points",$K387="Large",$L387&lt;&gt;"",ISNA(MATCH($L387,Tables!$C$252:$C$253,0))),
Error!$B$59,
IF(AND($F387="Retain",$H387="Zoning: Tree Points",$C387&lt;&gt;"",$D387&lt;&gt;"",OR($K387="",$L387="",$M387="")),
Error!$B$20,
""
)))))))))))))))))))))))))))))))))))))))))))))))))))))))),
Error!$B$23))</f>
        <v/>
      </c>
      <c r="O387" s="343" t="str" cm="1">
        <f t="array" aca="1" ref="O387" ca="1">IFERROR(_xlfn.LET(
    _xlpm.txt, $C387,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88" spans="1:15" x14ac:dyDescent="0.3">
      <c r="A388" s="320"/>
      <c r="B388" s="616" t="str">
        <f t="shared" ref="B388:B390" si="432">IF($B387="", "", $B387)</f>
        <v/>
      </c>
      <c r="C388" s="617" t="str">
        <f t="shared" ref="C388:C390" si="433">IF($C387="", "", $C387)</f>
        <v/>
      </c>
      <c r="D388" s="618" t="str">
        <f t="shared" ref="D388:D390" si="434">IF($D387="", "", $D387)</f>
        <v/>
      </c>
      <c r="E388" s="616" t="str">
        <f t="shared" ref="E388:E390" si="435">IF($E387="", "", $E387)</f>
        <v/>
      </c>
      <c r="F388" s="616" t="str">
        <f t="shared" ref="F388:F390" si="436">IF($F387="", "", $F387)</f>
        <v/>
      </c>
      <c r="G388" s="619" t="str">
        <f>IF(Tree_Table1[[#This Row],[Tree Status  &amp;]]="Retain", Tables!$B$237, IF(Tree_Table1[[#This Row],[Tree Status  &amp;]]="Remove", Tables!$B$238, ""))</f>
        <v/>
      </c>
      <c r="H388" s="321"/>
      <c r="I388" s="322"/>
      <c r="J388" s="453"/>
      <c r="K388" s="323" t="str">
        <f>IFERROR(
    IF(
        AND($H388="Zoning: Tree Points", NOT(ISNUMBER(SEARCH("sp.", $C388)))),
        VLOOKUP($C388, 'Tree List'!$C$3:$F$601, 4, FALSE),
        ""
    ),
"")</f>
        <v/>
      </c>
      <c r="L388" s="324" t="str" cm="1">
        <f t="array" ref="L388">IFERROR(
IF(
    AND($H388="Zoning: Tree Points", NOT(ISNUMBER(SEARCH("sp.", $C388)))),
    _xlfn.IFS(
        (COUNTIFS('Tree List'!$C$3:$C$601,$C388,'Tree List'!$D$3:$D$601,"Coniferous")
        + COUNTIFS('Tree List'!$C$3:$C$601,$C388,'Tree List'!$D$3:$D$601,"Deciduous Conifer")) &gt; 0,
            _xlfn.IFS($K388="Small",0.5,$K388="Small/Medium",1,$K388="Medium/Large",1.4,$K388="Large",1.8),
        (COUNTIFS('Tree List'!$C$3:$C$601,$C388,'Tree List'!$D$3:$D$601,"Deciduous")
        + COUNTIFS('Tree List'!$C$3:$C$601,$C388,'Tree List'!$D$3:$D$601,"Broadleaf Evergreen")) &gt; 0,
            _xlfn.IFS($K388="Small",0.4,$K388="Small/Medium",0.8,$K388="Medium/Large",1.2,$K388="Large",1.6)
    ),
    ""
),
"")</f>
        <v/>
      </c>
      <c r="M388" s="475" t="str">
        <f t="shared" si="411"/>
        <v/>
      </c>
      <c r="N388" s="346" t="str" cm="1">
        <f t="array" aca="1" ref="N38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IF(AND(_xlpm.baseRow,ISNA(MATCH($C388,'Tree List'!$C$3:$C$601,0)),SUMPRODUCT(--ISNUMBER(SEARCH(Tables2!$C$677:$C$772,$O388)))&gt;0),
Error!$B$57,
IF(AND(_xlpm.hasDM,$F388="Remove",$H388&lt;&gt;"",OR($I388="On-site replacement",$I388="Off-site replacement",$I388="Payment In Lieu")),
Error!$B$56,
IF(AND(_xlpm.hasDM,$F388="Remove",$H388&lt;&gt;"",$I388="Relocation"),
Error!$B$66,
IF(AND(OR(_xlpm.hasCN,_xlpm.hasPH,_xlpm.hasGR),$H388&lt;&gt;"",COUNTIF(Tables!$B$132:$B$134,$H388)&gt;0,$I388="N/A (No replacement required)"),
Error!$B$62,
IF(AND(_xlpm.baseRow,$E388&lt;&gt;"",ISNA(MATCH($E388,Tables!$B$225:$B$232,0))),
Error!$B$2,
IF(AND(_xlpm.baseRow,$F388&lt;&gt;"",ISNA(MATCH($F388,Tables!$B$234:$B$235,0))),
Error!$B$24,
IF(AND(_xlpm.baseRow,_xlpm.ECA_H&gt;0,_xlpm.Shore_H&gt;0),
Error!$B$16,
IF(AND(_xlpm.baseRow,$E388&lt;&gt;"",$D388=""),
Error!$B$3,
IF(AND(_xlpm.baseRow,OR($E388="Tier 3",$E388="Tier 4"),$C388&lt;&gt;"",$D388&gt;=24,COUNTIF(Tables2!$B$166:$B$674,$C388)&gt;0),
Error!$B$44,
IF(AND(_xlpm.baseRow,OR($E388="Tier 3",$E388="Tier 4"),$C388&lt;&gt;"",$D388&lt;&gt;"",COUNTIF(Tables2!$B$73:$B$152,$C388)&gt;0,
$D388&gt;=IFERROR(INDEX(Tables2!$C$73:$C$152,MATCH($C388,Tables2!$B$73:$B$152,0)),-1)),
Error!$B$44,
IF(AND(_xlpm.baseRow,OR($E388="Tier 2",$E388="Tier 2 Grove"),$C388&lt;&gt;"",$D388&gt;=12,COUNTIF(Tables2!$B$153:$B$162,$C388)&gt;0),
Error!$B$45,
IF(AND(_xlpm.baseRow,$E388="Tier 2 Grove",$D388&lt;12),
Error!$B$41,
IF(AND(_xlpm.baseRow,$E388="Tier 2",$D388&lt;5.88),
Error!$B$40,
IF(AND(_xlpm.baseRow,OR($E388="Tier 2",$E388="Tier 2 Grove"),$C388&lt;&gt;"",$D388&lt;12,$D388&gt;=6,COUNTIF(Tables2!$B$153:$B$162,$C388)&gt;0),
Error!$B$54,
IF(AND(_xlpm.baseRow,$E388="Tier 2",COUNTIF(Tables2!$B$166:$B$674,$C388)&gt;0,$D388&lt;24),
Error!$B$54,
IF(AND(_xlpm.baseRow,$E388="Tier 3",ISNA(MATCH($C388,Tables2!$B$153:$B$162,0)),OR($D388&lt;12,$D388&gt;=24)),
Error!$B$9,
IF(AND(_xlpm.baseRow,$E388="Tier 3",COUNTIF(Tables2!$B$153:$B$162,$C388)&gt;0,$D388&lt;12),
Error!$B$46,
IF(AND(_xlpm.baseRow,$E388="Tier 4",OR($D388&lt;6,$D388&gt;=12)),
Error!$B$10,
IF(AND(_xlpm.baseRow,$E388="&lt;6in DSH for Tree Points",OR($D388&gt;=6,$D388="")),
Error!$B$8,
IF(AND(_xlpm.baseRow,$E388="Street Tree for Green Factor",$F388&lt;&gt;"",$F388&lt;&gt;"Retain"),
Error!$B$14,
IF(AND($E388="&lt;6in DSH for Tree Points",$F388="Retain",$H388&lt;&gt;"",ISNA(MATCH($H388,Tables!$B$174:$B$174,0))),
Error!$B$15,
IF(AND($E388="Street Tree for Green Factor",$F388="Retain",$H388&lt;&gt;"",$H388&lt;&gt;"Zoning: Green Factor"),
Error!$B$15,
IF(AND($E388="ECA / Shoreline Tree",$F388="Remove",$H388&lt;&gt;"",ISNA(MATCH($H388,Tables!$B$189:$B$190,0))),
Error!$B$15,
IF(AND($E388="ECA / Shoreline Tree",$F388="Retain",$H388&lt;&gt;"",ISNA(MATCH($H388,Tables!$B$184:$B$186,0))),
Error!$B$15,
IF(AND($E388="Tier 4",$F388="Remove",$H388&lt;&gt;"",ISNA(MATCH($H388,Tables!$B$171,0))),
Error!$B$15,
IF(AND($E388="Tier 4",$F388="Retain",$H388&lt;&gt;"",ISNA(MATCH($H388,Tables!$B$166:$B$168,0))),
Error!$B$15,
IF(AND($E388="Tier 3",$F388="Retain",$H388&lt;&gt;"",ISNA(MATCH($H388,Tables!$B$158:$B$160,0))),
Error!$B$15,
IF(AND($E388="Tier 3",$F388="Remove",$H388&lt;&gt;"",ISNA(MATCH($H388,Tables!$B$163,0))),
Error!$B$15,
IF(AND(OR($E388="Tier 2",$E388="Tier 2 Grove"),$F388="Remove",$H388&lt;&gt;"",ISNA(MATCH($H388,Tables!$B$153:$B$155,0))),
Error!$B$15,
IF(AND(OR($E388="Tier 2",$E388="Tier 2 Grove"),$F388="Retain",$H388&lt;&gt;"",ISNA(MATCH($H388,Tables!$B$147:$B$150,0))),
Error!$B$15,
IF(AND($E388="Tier 1",$F388="Remove",$H388&lt;&gt;"",ISNA(MATCH($H388,Tables!$B$143:$B$144,0))),
Error!$B$15,
IF(AND($E388="Tier 1",$F388="Retain",$H388&lt;&gt;"",ISNA(MATCH($H388,Tables!$B$137:$B$140,0))),
Error!$B$15,
IF(AND($E388&lt;&gt;"Tier 2",$E388&lt;&gt;"Tier 2 Grove",$E388&lt;&gt;"Tier 3",$E388&lt;&gt;"Tier 4",$H388="Zoning: Green Factor",OR($D388="",$D388&lt;6)),
Error!$B$11,
IF(AND(_xlpm.baseRow,$D388&lt;6,$E388="&lt;6in DSH for Tree Points",_xlpm.TreePoints_H=0),
Error!$B$21,
IF(AND(_xlpm.baseRow,$E388&lt;&gt;"",$D388&lt;&gt;"",$F388=""),
Error!$B$4,
IF(AND(_xlpm.baseRow,$F388="Remove",OR($E388="Tier 1",$E388="Tier 2",$E388="Tier 2 Grove"),COUNTBLANK(_xlpm.HRange)&lt;3,_xlpm.uniqueH&gt;=2),
Error!$B$48,
IF(AND(_xlpm.baseRow,$F388="Retain",OR($E388="Tier 1",$E388="Tier 2",$E388="Tier 2 Grove"),COUNTIF(_xlpm.HRange,"Tree Code: Required to Retain Tier 1-2 Tree")=0),
Error!$B$47,
IF(AND(_xlpm.baseRow,$E388&lt;&gt;"",$D388&lt;&gt;"",$F388&lt;&gt;"",COUNTBLANK(_xlpm.HRange)=4),
Error!$B$5,
IF(AND($F388="Remove",$H388&lt;&gt;"",$I388=""),
Error!$B$18,
IF(AND($E388="Tier 4",$F388="Remove",$H388="Tree Protection Code: Tier 3 or Tier 4 Allowance",$H388&lt;&gt;"",ISNA(MATCH($I388,Tables!$B$200,0))),
Error!$B$17,
IF(AND($E388="Tier 3",$F388="Remove",$H388&lt;&gt;"",$H388="Tree Protection Code: Tier 3 or Tier 4 Allowance",OR($I388="",ISNA(MATCH($I388,Tables!$B$193:$B$197,0)))),
Error!$B$17,
IF(AND(OR($E388="Tier 2",$E388="Tier 2 Grove"),$F388="Remove",$H388="Tree Protection Code: Other removal allowance or exemption",$I388&lt;&gt;"",ISNA(MATCH($I388,Tables!$B$215:$B$218,0))),
Error!$B$17,
IF(AND(OR($E388="Tier 2",$E388="Tier 2 Grove"),$F388="Remove",$H388="Tree Protection Code: Development Capacity",$I388&lt;&gt;"",ISNA(MATCH($I388,Tables!$B$193:$B$197,0))),
Error!$B$17,
IF(AND(OR($E388="Tier 2",$E388="Tier 2 Grove"),$F388="Remove",$H388="Tree Protection Code: Necessary for Construction",$I388&lt;&gt;"",ISNA(MATCH($I388,Tables!$B$193:$B$197,0))),
Error!$B$17,
IF(AND($E388="Tier 1",$F388="Remove",$H388="Tree Protection Code: Special Exception",$I388&lt;&gt;"",ISNA(MATCH($I388,Tables!$B$215:$B$218,0))),
Error!$B$17,
IF(AND($E388="Tier 1",$F388="Remove",$H388="Tree Protection Code: Other removal allowance or exemption",$I388&lt;&gt;"",ISNA(MATCH($I388,Tables!$B$215:$B$218,0))),
Error!$B$17,
IF(AND($E388="ECA / Shoreline Tree",$F388="Remove",$H388&lt;&gt;"",OR($H388="Shoreline",$H388="Environmental Critical Area (ECA)"),ISNA(MATCH($I388,Tables!$B$209:$B$212,0))),
Error!$B$17,
IF(AND(_xlpm.baseRow,$F388="Retain",$E388="ECA / Shoreline Tree",_xlpm.ECA_Short=0),
Error!$B$61,
IF(AND($F388="Remove",ISNUMBER(MATCH($E388,{"Tier 1","Tier 2","Tier 3","Tier 4","Tier 2 Grove"},0)),ISNUMBER(MATCH($I388,{"On-site replacement","Off-site replacement"},0)),$J388="",$H388&lt;&gt;""),
Error!$B$19,
IF(AND(_xlpm.baseRow,$E388&lt;&gt;"",$D388&lt;&gt;"",$F388&lt;&gt;"",COUNTBLANK($B388:$C388)&gt;0,COUNTBLANK(_xlpm.HRange)&lt;&gt;4),
Error!$B$22,
IF(AND($H388="Zoning: Tree Points",$K388&lt;&gt;"",ISNA(MATCH($K388,Tables!$B$242:$B$253,0))),
Error!$B$58,
IF(AND($H388="Zoning: Tree Points",$K388="Small",$L388&lt;&gt;"",ISNA(MATCH($L388,Tables!$C$243:$C$244,0))),
Error!$B$59,
IF(AND($H388="Zoning: Tree Points",$K388="Small/Medium",$L388&lt;&gt;"",ISNA(MATCH($L388,Tables!$C$246:$C$247,0))),
Error!$B$59,
IF(AND($H388="Zoning: Tree Points",$K388="Medium/Large",$L388&lt;&gt;"",ISNA(MATCH($L388,Tables!$C$249:$C$250,0))),
Error!$B$59,
IF(AND($H388="Zoning: Tree Points",$K388="Large",$L388&lt;&gt;"",ISNA(MATCH($L388,Tables!$C$252:$C$253,0))),
Error!$B$59,
IF(AND($F388="Retain",$H388="Zoning: Tree Points",$C388&lt;&gt;"",$D388&lt;&gt;"",OR($K388="",$L388="",$M388="")),
Error!$B$20,
""
)))))))))))))))))))))))))))))))))))))))))))))))))))))))),
Error!$B$23))</f>
        <v/>
      </c>
      <c r="O388" s="343" t="str" cm="1">
        <f t="array" aca="1" ref="O388" ca="1">IFERROR(_xlfn.LET(
    _xlpm.txt, $C388,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89" spans="1:15" x14ac:dyDescent="0.3">
      <c r="A389" s="320"/>
      <c r="B389" s="616" t="str">
        <f t="shared" si="432"/>
        <v/>
      </c>
      <c r="C389" s="617" t="str">
        <f t="shared" si="433"/>
        <v/>
      </c>
      <c r="D389" s="618" t="str">
        <f t="shared" si="434"/>
        <v/>
      </c>
      <c r="E389" s="616" t="str">
        <f t="shared" si="435"/>
        <v/>
      </c>
      <c r="F389" s="616" t="str">
        <f t="shared" si="436"/>
        <v/>
      </c>
      <c r="G389" s="619" t="str">
        <f>IF(Tree_Table1[[#This Row],[Tree Status  &amp;]]="Retain", Tables!$B$237, IF(Tree_Table1[[#This Row],[Tree Status  &amp;]]="Remove", Tables!$B$238, ""))</f>
        <v/>
      </c>
      <c r="H389" s="321"/>
      <c r="I389" s="322"/>
      <c r="J389" s="453"/>
      <c r="K389" s="323" t="str">
        <f>IFERROR(
    IF(
        AND($H389="Zoning: Tree Points", NOT(ISNUMBER(SEARCH("sp.", $C389)))),
        VLOOKUP($C389, 'Tree List'!$C$3:$F$601, 4, FALSE),
        ""
    ),
"")</f>
        <v/>
      </c>
      <c r="L389" s="324" t="str" cm="1">
        <f t="array" ref="L389">IFERROR(
IF(
    AND($H389="Zoning: Tree Points", NOT(ISNUMBER(SEARCH("sp.", $C389)))),
    _xlfn.IFS(
        (COUNTIFS('Tree List'!$C$3:$C$601,$C389,'Tree List'!$D$3:$D$601,"Coniferous")
        + COUNTIFS('Tree List'!$C$3:$C$601,$C389,'Tree List'!$D$3:$D$601,"Deciduous Conifer")) &gt; 0,
            _xlfn.IFS($K389="Small",0.5,$K389="Small/Medium",1,$K389="Medium/Large",1.4,$K389="Large",1.8),
        (COUNTIFS('Tree List'!$C$3:$C$601,$C389,'Tree List'!$D$3:$D$601,"Deciduous")
        + COUNTIFS('Tree List'!$C$3:$C$601,$C389,'Tree List'!$D$3:$D$601,"Broadleaf Evergreen")) &gt; 0,
            _xlfn.IFS($K389="Small",0.4,$K389="Small/Medium",0.8,$K389="Medium/Large",1.2,$K389="Large",1.6)
    ),
    ""
),
"")</f>
        <v/>
      </c>
      <c r="M389" s="475" t="str">
        <f t="shared" si="411"/>
        <v/>
      </c>
      <c r="N389" s="346" t="str" cm="1">
        <f t="array" aca="1" ref="N38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IF(AND(_xlpm.baseRow,ISNA(MATCH($C389,'Tree List'!$C$3:$C$601,0)),SUMPRODUCT(--ISNUMBER(SEARCH(Tables2!$C$677:$C$772,$O389)))&gt;0),
Error!$B$57,
IF(AND(_xlpm.hasDM,$F389="Remove",$H389&lt;&gt;"",OR($I389="On-site replacement",$I389="Off-site replacement",$I389="Payment In Lieu")),
Error!$B$56,
IF(AND(_xlpm.hasDM,$F389="Remove",$H389&lt;&gt;"",$I389="Relocation"),
Error!$B$66,
IF(AND(OR(_xlpm.hasCN,_xlpm.hasPH,_xlpm.hasGR),$H389&lt;&gt;"",COUNTIF(Tables!$B$132:$B$134,$H389)&gt;0,$I389="N/A (No replacement required)"),
Error!$B$62,
IF(AND(_xlpm.baseRow,$E389&lt;&gt;"",ISNA(MATCH($E389,Tables!$B$225:$B$232,0))),
Error!$B$2,
IF(AND(_xlpm.baseRow,$F389&lt;&gt;"",ISNA(MATCH($F389,Tables!$B$234:$B$235,0))),
Error!$B$24,
IF(AND(_xlpm.baseRow,_xlpm.ECA_H&gt;0,_xlpm.Shore_H&gt;0),
Error!$B$16,
IF(AND(_xlpm.baseRow,$E389&lt;&gt;"",$D389=""),
Error!$B$3,
IF(AND(_xlpm.baseRow,OR($E389="Tier 3",$E389="Tier 4"),$C389&lt;&gt;"",$D389&gt;=24,COUNTIF(Tables2!$B$166:$B$674,$C389)&gt;0),
Error!$B$44,
IF(AND(_xlpm.baseRow,OR($E389="Tier 3",$E389="Tier 4"),$C389&lt;&gt;"",$D389&lt;&gt;"",COUNTIF(Tables2!$B$73:$B$152,$C389)&gt;0,
$D389&gt;=IFERROR(INDEX(Tables2!$C$73:$C$152,MATCH($C389,Tables2!$B$73:$B$152,0)),-1)),
Error!$B$44,
IF(AND(_xlpm.baseRow,OR($E389="Tier 2",$E389="Tier 2 Grove"),$C389&lt;&gt;"",$D389&gt;=12,COUNTIF(Tables2!$B$153:$B$162,$C389)&gt;0),
Error!$B$45,
IF(AND(_xlpm.baseRow,$E389="Tier 2 Grove",$D389&lt;12),
Error!$B$41,
IF(AND(_xlpm.baseRow,$E389="Tier 2",$D389&lt;5.88),
Error!$B$40,
IF(AND(_xlpm.baseRow,OR($E389="Tier 2",$E389="Tier 2 Grove"),$C389&lt;&gt;"",$D389&lt;12,$D389&gt;=6,COUNTIF(Tables2!$B$153:$B$162,$C389)&gt;0),
Error!$B$54,
IF(AND(_xlpm.baseRow,$E389="Tier 2",COUNTIF(Tables2!$B$166:$B$674,$C389)&gt;0,$D389&lt;24),
Error!$B$54,
IF(AND(_xlpm.baseRow,$E389="Tier 3",ISNA(MATCH($C389,Tables2!$B$153:$B$162,0)),OR($D389&lt;12,$D389&gt;=24)),
Error!$B$9,
IF(AND(_xlpm.baseRow,$E389="Tier 3",COUNTIF(Tables2!$B$153:$B$162,$C389)&gt;0,$D389&lt;12),
Error!$B$46,
IF(AND(_xlpm.baseRow,$E389="Tier 4",OR($D389&lt;6,$D389&gt;=12)),
Error!$B$10,
IF(AND(_xlpm.baseRow,$E389="&lt;6in DSH for Tree Points",OR($D389&gt;=6,$D389="")),
Error!$B$8,
IF(AND(_xlpm.baseRow,$E389="Street Tree for Green Factor",$F389&lt;&gt;"",$F389&lt;&gt;"Retain"),
Error!$B$14,
IF(AND($E389="&lt;6in DSH for Tree Points",$F389="Retain",$H389&lt;&gt;"",ISNA(MATCH($H389,Tables!$B$174:$B$174,0))),
Error!$B$15,
IF(AND($E389="Street Tree for Green Factor",$F389="Retain",$H389&lt;&gt;"",$H389&lt;&gt;"Zoning: Green Factor"),
Error!$B$15,
IF(AND($E389="ECA / Shoreline Tree",$F389="Remove",$H389&lt;&gt;"",ISNA(MATCH($H389,Tables!$B$189:$B$190,0))),
Error!$B$15,
IF(AND($E389="ECA / Shoreline Tree",$F389="Retain",$H389&lt;&gt;"",ISNA(MATCH($H389,Tables!$B$184:$B$186,0))),
Error!$B$15,
IF(AND($E389="Tier 4",$F389="Remove",$H389&lt;&gt;"",ISNA(MATCH($H389,Tables!$B$171,0))),
Error!$B$15,
IF(AND($E389="Tier 4",$F389="Retain",$H389&lt;&gt;"",ISNA(MATCH($H389,Tables!$B$166:$B$168,0))),
Error!$B$15,
IF(AND($E389="Tier 3",$F389="Retain",$H389&lt;&gt;"",ISNA(MATCH($H389,Tables!$B$158:$B$160,0))),
Error!$B$15,
IF(AND($E389="Tier 3",$F389="Remove",$H389&lt;&gt;"",ISNA(MATCH($H389,Tables!$B$163,0))),
Error!$B$15,
IF(AND(OR($E389="Tier 2",$E389="Tier 2 Grove"),$F389="Remove",$H389&lt;&gt;"",ISNA(MATCH($H389,Tables!$B$153:$B$155,0))),
Error!$B$15,
IF(AND(OR($E389="Tier 2",$E389="Tier 2 Grove"),$F389="Retain",$H389&lt;&gt;"",ISNA(MATCH($H389,Tables!$B$147:$B$150,0))),
Error!$B$15,
IF(AND($E389="Tier 1",$F389="Remove",$H389&lt;&gt;"",ISNA(MATCH($H389,Tables!$B$143:$B$144,0))),
Error!$B$15,
IF(AND($E389="Tier 1",$F389="Retain",$H389&lt;&gt;"",ISNA(MATCH($H389,Tables!$B$137:$B$140,0))),
Error!$B$15,
IF(AND($E389&lt;&gt;"Tier 2",$E389&lt;&gt;"Tier 2 Grove",$E389&lt;&gt;"Tier 3",$E389&lt;&gt;"Tier 4",$H389="Zoning: Green Factor",OR($D389="",$D389&lt;6)),
Error!$B$11,
IF(AND(_xlpm.baseRow,$D389&lt;6,$E389="&lt;6in DSH for Tree Points",_xlpm.TreePoints_H=0),
Error!$B$21,
IF(AND(_xlpm.baseRow,$E389&lt;&gt;"",$D389&lt;&gt;"",$F389=""),
Error!$B$4,
IF(AND(_xlpm.baseRow,$F389="Remove",OR($E389="Tier 1",$E389="Tier 2",$E389="Tier 2 Grove"),COUNTBLANK(_xlpm.HRange)&lt;3,_xlpm.uniqueH&gt;=2),
Error!$B$48,
IF(AND(_xlpm.baseRow,$F389="Retain",OR($E389="Tier 1",$E389="Tier 2",$E389="Tier 2 Grove"),COUNTIF(_xlpm.HRange,"Tree Code: Required to Retain Tier 1-2 Tree")=0),
Error!$B$47,
IF(AND(_xlpm.baseRow,$E389&lt;&gt;"",$D389&lt;&gt;"",$F389&lt;&gt;"",COUNTBLANK(_xlpm.HRange)=4),
Error!$B$5,
IF(AND($F389="Remove",$H389&lt;&gt;"",$I389=""),
Error!$B$18,
IF(AND($E389="Tier 4",$F389="Remove",$H389="Tree Protection Code: Tier 3 or Tier 4 Allowance",$H389&lt;&gt;"",ISNA(MATCH($I389,Tables!$B$200,0))),
Error!$B$17,
IF(AND($E389="Tier 3",$F389="Remove",$H389&lt;&gt;"",$H389="Tree Protection Code: Tier 3 or Tier 4 Allowance",OR($I389="",ISNA(MATCH($I389,Tables!$B$193:$B$197,0)))),
Error!$B$17,
IF(AND(OR($E389="Tier 2",$E389="Tier 2 Grove"),$F389="Remove",$H389="Tree Protection Code: Other removal allowance or exemption",$I389&lt;&gt;"",ISNA(MATCH($I389,Tables!$B$215:$B$218,0))),
Error!$B$17,
IF(AND(OR($E389="Tier 2",$E389="Tier 2 Grove"),$F389="Remove",$H389="Tree Protection Code: Development Capacity",$I389&lt;&gt;"",ISNA(MATCH($I389,Tables!$B$193:$B$197,0))),
Error!$B$17,
IF(AND(OR($E389="Tier 2",$E389="Tier 2 Grove"),$F389="Remove",$H389="Tree Protection Code: Necessary for Construction",$I389&lt;&gt;"",ISNA(MATCH($I389,Tables!$B$193:$B$197,0))),
Error!$B$17,
IF(AND($E389="Tier 1",$F389="Remove",$H389="Tree Protection Code: Special Exception",$I389&lt;&gt;"",ISNA(MATCH($I389,Tables!$B$215:$B$218,0))),
Error!$B$17,
IF(AND($E389="Tier 1",$F389="Remove",$H389="Tree Protection Code: Other removal allowance or exemption",$I389&lt;&gt;"",ISNA(MATCH($I389,Tables!$B$215:$B$218,0))),
Error!$B$17,
IF(AND($E389="ECA / Shoreline Tree",$F389="Remove",$H389&lt;&gt;"",OR($H389="Shoreline",$H389="Environmental Critical Area (ECA)"),ISNA(MATCH($I389,Tables!$B$209:$B$212,0))),
Error!$B$17,
IF(AND(_xlpm.baseRow,$F389="Retain",$E389="ECA / Shoreline Tree",_xlpm.ECA_Short=0),
Error!$B$61,
IF(AND($F389="Remove",ISNUMBER(MATCH($E389,{"Tier 1","Tier 2","Tier 3","Tier 4","Tier 2 Grove"},0)),ISNUMBER(MATCH($I389,{"On-site replacement","Off-site replacement"},0)),$J389="",$H389&lt;&gt;""),
Error!$B$19,
IF(AND(_xlpm.baseRow,$E389&lt;&gt;"",$D389&lt;&gt;"",$F389&lt;&gt;"",COUNTBLANK($B389:$C389)&gt;0,COUNTBLANK(_xlpm.HRange)&lt;&gt;4),
Error!$B$22,
IF(AND($H389="Zoning: Tree Points",$K389&lt;&gt;"",ISNA(MATCH($K389,Tables!$B$242:$B$253,0))),
Error!$B$58,
IF(AND($H389="Zoning: Tree Points",$K389="Small",$L389&lt;&gt;"",ISNA(MATCH($L389,Tables!$C$243:$C$244,0))),
Error!$B$59,
IF(AND($H389="Zoning: Tree Points",$K389="Small/Medium",$L389&lt;&gt;"",ISNA(MATCH($L389,Tables!$C$246:$C$247,0))),
Error!$B$59,
IF(AND($H389="Zoning: Tree Points",$K389="Medium/Large",$L389&lt;&gt;"",ISNA(MATCH($L389,Tables!$C$249:$C$250,0))),
Error!$B$59,
IF(AND($H389="Zoning: Tree Points",$K389="Large",$L389&lt;&gt;"",ISNA(MATCH($L389,Tables!$C$252:$C$253,0))),
Error!$B$59,
IF(AND($F389="Retain",$H389="Zoning: Tree Points",$C389&lt;&gt;"",$D389&lt;&gt;"",OR($K389="",$L389="",$M389="")),
Error!$B$20,
""
)))))))))))))))))))))))))))))))))))))))))))))))))))))))),
Error!$B$23))</f>
        <v/>
      </c>
      <c r="O389" s="343" t="str" cm="1">
        <f t="array" aca="1" ref="O389" ca="1">IFERROR(_xlfn.LET(
    _xlpm.txt, $C389,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90" spans="1:15" ht="15" thickBot="1" x14ac:dyDescent="0.35">
      <c r="A390" s="331"/>
      <c r="B390" s="616" t="str">
        <f t="shared" si="432"/>
        <v/>
      </c>
      <c r="C390" s="617" t="str">
        <f t="shared" si="433"/>
        <v/>
      </c>
      <c r="D390" s="618" t="str">
        <f t="shared" si="434"/>
        <v/>
      </c>
      <c r="E390" s="616" t="str">
        <f t="shared" si="435"/>
        <v/>
      </c>
      <c r="F390" s="616" t="str">
        <f t="shared" si="436"/>
        <v/>
      </c>
      <c r="G390" s="619" t="str">
        <f>IF(Tree_Table1[[#This Row],[Tree Status  &amp;]]="Retain", Tables!$B$237, IF(Tree_Table1[[#This Row],[Tree Status  &amp;]]="Remove", Tables!$B$238, ""))</f>
        <v/>
      </c>
      <c r="H390" s="329"/>
      <c r="I390" s="330"/>
      <c r="J390" s="455"/>
      <c r="K390" s="327" t="str">
        <f>IFERROR(
    IF(
        AND($H390="Zoning: Tree Points", NOT(ISNUMBER(SEARCH("sp.", $C390)))),
        VLOOKUP($C390, 'Tree List'!$C$3:$F$601, 4, FALSE),
        ""
    ),
"")</f>
        <v/>
      </c>
      <c r="L390" s="328" t="str" cm="1">
        <f t="array" ref="L390">IFERROR(
IF(
    AND($H390="Zoning: Tree Points", NOT(ISNUMBER(SEARCH("sp.", $C390)))),
    _xlfn.IFS(
        (COUNTIFS('Tree List'!$C$3:$C$601,$C390,'Tree List'!$D$3:$D$601,"Coniferous")
        + COUNTIFS('Tree List'!$C$3:$C$601,$C390,'Tree List'!$D$3:$D$601,"Deciduous Conifer")) &gt; 0,
            _xlfn.IFS($K390="Small",0.5,$K390="Small/Medium",1,$K390="Medium/Large",1.4,$K390="Large",1.8),
        (COUNTIFS('Tree List'!$C$3:$C$601,$C390,'Tree List'!$D$3:$D$601,"Deciduous")
        + COUNTIFS('Tree List'!$C$3:$C$601,$C390,'Tree List'!$D$3:$D$601,"Broadleaf Evergreen")) &gt; 0,
            _xlfn.IFS($K390="Small",0.4,$K390="Small/Medium",0.8,$K390="Medium/Large",1.2,$K390="Large",1.6)
    ),
    ""
),
"")</f>
        <v/>
      </c>
      <c r="M390" s="476" t="str">
        <f t="shared" si="411"/>
        <v/>
      </c>
      <c r="N390" s="347" t="str" cm="1">
        <f t="array" aca="1" ref="N39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IF(AND(_xlpm.baseRow,ISNA(MATCH($C390,'Tree List'!$C$3:$C$601,0)),SUMPRODUCT(--ISNUMBER(SEARCH(Tables2!$C$677:$C$772,$O390)))&gt;0),
Error!$B$57,
IF(AND(_xlpm.hasDM,$F390="Remove",$H390&lt;&gt;"",OR($I390="On-site replacement",$I390="Off-site replacement",$I390="Payment In Lieu")),
Error!$B$56,
IF(AND(_xlpm.hasDM,$F390="Remove",$H390&lt;&gt;"",$I390="Relocation"),
Error!$B$66,
IF(AND(OR(_xlpm.hasCN,_xlpm.hasPH,_xlpm.hasGR),$H390&lt;&gt;"",COUNTIF(Tables!$B$132:$B$134,$H390)&gt;0,$I390="N/A (No replacement required)"),
Error!$B$62,
IF(AND(_xlpm.baseRow,$E390&lt;&gt;"",ISNA(MATCH($E390,Tables!$B$225:$B$232,0))),
Error!$B$2,
IF(AND(_xlpm.baseRow,$F390&lt;&gt;"",ISNA(MATCH($F390,Tables!$B$234:$B$235,0))),
Error!$B$24,
IF(AND(_xlpm.baseRow,_xlpm.ECA_H&gt;0,_xlpm.Shore_H&gt;0),
Error!$B$16,
IF(AND(_xlpm.baseRow,$E390&lt;&gt;"",$D390=""),
Error!$B$3,
IF(AND(_xlpm.baseRow,OR($E390="Tier 3",$E390="Tier 4"),$C390&lt;&gt;"",$D390&gt;=24,COUNTIF(Tables2!$B$166:$B$674,$C390)&gt;0),
Error!$B$44,
IF(AND(_xlpm.baseRow,OR($E390="Tier 3",$E390="Tier 4"),$C390&lt;&gt;"",$D390&lt;&gt;"",COUNTIF(Tables2!$B$73:$B$152,$C390)&gt;0,
$D390&gt;=IFERROR(INDEX(Tables2!$C$73:$C$152,MATCH($C390,Tables2!$B$73:$B$152,0)),-1)),
Error!$B$44,
IF(AND(_xlpm.baseRow,OR($E390="Tier 2",$E390="Tier 2 Grove"),$C390&lt;&gt;"",$D390&gt;=12,COUNTIF(Tables2!$B$153:$B$162,$C390)&gt;0),
Error!$B$45,
IF(AND(_xlpm.baseRow,$E390="Tier 2 Grove",$D390&lt;12),
Error!$B$41,
IF(AND(_xlpm.baseRow,$E390="Tier 2",$D390&lt;5.88),
Error!$B$40,
IF(AND(_xlpm.baseRow,OR($E390="Tier 2",$E390="Tier 2 Grove"),$C390&lt;&gt;"",$D390&lt;12,$D390&gt;=6,COUNTIF(Tables2!$B$153:$B$162,$C390)&gt;0),
Error!$B$54,
IF(AND(_xlpm.baseRow,$E390="Tier 2",COUNTIF(Tables2!$B$166:$B$674,$C390)&gt;0,$D390&lt;24),
Error!$B$54,
IF(AND(_xlpm.baseRow,$E390="Tier 3",ISNA(MATCH($C390,Tables2!$B$153:$B$162,0)),OR($D390&lt;12,$D390&gt;=24)),
Error!$B$9,
IF(AND(_xlpm.baseRow,$E390="Tier 3",COUNTIF(Tables2!$B$153:$B$162,$C390)&gt;0,$D390&lt;12),
Error!$B$46,
IF(AND(_xlpm.baseRow,$E390="Tier 4",OR($D390&lt;6,$D390&gt;=12)),
Error!$B$10,
IF(AND(_xlpm.baseRow,$E390="&lt;6in DSH for Tree Points",OR($D390&gt;=6,$D390="")),
Error!$B$8,
IF(AND(_xlpm.baseRow,$E390="Street Tree for Green Factor",$F390&lt;&gt;"",$F390&lt;&gt;"Retain"),
Error!$B$14,
IF(AND($E390="&lt;6in DSH for Tree Points",$F390="Retain",$H390&lt;&gt;"",ISNA(MATCH($H390,Tables!$B$174:$B$174,0))),
Error!$B$15,
IF(AND($E390="Street Tree for Green Factor",$F390="Retain",$H390&lt;&gt;"",$H390&lt;&gt;"Zoning: Green Factor"),
Error!$B$15,
IF(AND($E390="ECA / Shoreline Tree",$F390="Remove",$H390&lt;&gt;"",ISNA(MATCH($H390,Tables!$B$189:$B$190,0))),
Error!$B$15,
IF(AND($E390="ECA / Shoreline Tree",$F390="Retain",$H390&lt;&gt;"",ISNA(MATCH($H390,Tables!$B$184:$B$186,0))),
Error!$B$15,
IF(AND($E390="Tier 4",$F390="Remove",$H390&lt;&gt;"",ISNA(MATCH($H390,Tables!$B$171,0))),
Error!$B$15,
IF(AND($E390="Tier 4",$F390="Retain",$H390&lt;&gt;"",ISNA(MATCH($H390,Tables!$B$166:$B$168,0))),
Error!$B$15,
IF(AND($E390="Tier 3",$F390="Retain",$H390&lt;&gt;"",ISNA(MATCH($H390,Tables!$B$158:$B$160,0))),
Error!$B$15,
IF(AND($E390="Tier 3",$F390="Remove",$H390&lt;&gt;"",ISNA(MATCH($H390,Tables!$B$163,0))),
Error!$B$15,
IF(AND(OR($E390="Tier 2",$E390="Tier 2 Grove"),$F390="Remove",$H390&lt;&gt;"",ISNA(MATCH($H390,Tables!$B$153:$B$155,0))),
Error!$B$15,
IF(AND(OR($E390="Tier 2",$E390="Tier 2 Grove"),$F390="Retain",$H390&lt;&gt;"",ISNA(MATCH($H390,Tables!$B$147:$B$150,0))),
Error!$B$15,
IF(AND($E390="Tier 1",$F390="Remove",$H390&lt;&gt;"",ISNA(MATCH($H390,Tables!$B$143:$B$144,0))),
Error!$B$15,
IF(AND($E390="Tier 1",$F390="Retain",$H390&lt;&gt;"",ISNA(MATCH($H390,Tables!$B$137:$B$140,0))),
Error!$B$15,
IF(AND($E390&lt;&gt;"Tier 2",$E390&lt;&gt;"Tier 2 Grove",$E390&lt;&gt;"Tier 3",$E390&lt;&gt;"Tier 4",$H390="Zoning: Green Factor",OR($D390="",$D390&lt;6)),
Error!$B$11,
IF(AND(_xlpm.baseRow,$D390&lt;6,$E390="&lt;6in DSH for Tree Points",_xlpm.TreePoints_H=0),
Error!$B$21,
IF(AND(_xlpm.baseRow,$E390&lt;&gt;"",$D390&lt;&gt;"",$F390=""),
Error!$B$4,
IF(AND(_xlpm.baseRow,$F390="Remove",OR($E390="Tier 1",$E390="Tier 2",$E390="Tier 2 Grove"),COUNTBLANK(_xlpm.HRange)&lt;3,_xlpm.uniqueH&gt;=2),
Error!$B$48,
IF(AND(_xlpm.baseRow,$F390="Retain",OR($E390="Tier 1",$E390="Tier 2",$E390="Tier 2 Grove"),COUNTIF(_xlpm.HRange,"Tree Code: Required to Retain Tier 1-2 Tree")=0),
Error!$B$47,
IF(AND(_xlpm.baseRow,$E390&lt;&gt;"",$D390&lt;&gt;"",$F390&lt;&gt;"",COUNTBLANK(_xlpm.HRange)=4),
Error!$B$5,
IF(AND($F390="Remove",$H390&lt;&gt;"",$I390=""),
Error!$B$18,
IF(AND($E390="Tier 4",$F390="Remove",$H390="Tree Protection Code: Tier 3 or Tier 4 Allowance",$H390&lt;&gt;"",ISNA(MATCH($I390,Tables!$B$200,0))),
Error!$B$17,
IF(AND($E390="Tier 3",$F390="Remove",$H390&lt;&gt;"",$H390="Tree Protection Code: Tier 3 or Tier 4 Allowance",OR($I390="",ISNA(MATCH($I390,Tables!$B$193:$B$197,0)))),
Error!$B$17,
IF(AND(OR($E390="Tier 2",$E390="Tier 2 Grove"),$F390="Remove",$H390="Tree Protection Code: Other removal allowance or exemption",$I390&lt;&gt;"",ISNA(MATCH($I390,Tables!$B$215:$B$218,0))),
Error!$B$17,
IF(AND(OR($E390="Tier 2",$E390="Tier 2 Grove"),$F390="Remove",$H390="Tree Protection Code: Development Capacity",$I390&lt;&gt;"",ISNA(MATCH($I390,Tables!$B$193:$B$197,0))),
Error!$B$17,
IF(AND(OR($E390="Tier 2",$E390="Tier 2 Grove"),$F390="Remove",$H390="Tree Protection Code: Necessary for Construction",$I390&lt;&gt;"",ISNA(MATCH($I390,Tables!$B$193:$B$197,0))),
Error!$B$17,
IF(AND($E390="Tier 1",$F390="Remove",$H390="Tree Protection Code: Special Exception",$I390&lt;&gt;"",ISNA(MATCH($I390,Tables!$B$215:$B$218,0))),
Error!$B$17,
IF(AND($E390="Tier 1",$F390="Remove",$H390="Tree Protection Code: Other removal allowance or exemption",$I390&lt;&gt;"",ISNA(MATCH($I390,Tables!$B$215:$B$218,0))),
Error!$B$17,
IF(AND($E390="ECA / Shoreline Tree",$F390="Remove",$H390&lt;&gt;"",OR($H390="Shoreline",$H390="Environmental Critical Area (ECA)"),ISNA(MATCH($I390,Tables!$B$209:$B$212,0))),
Error!$B$17,
IF(AND(_xlpm.baseRow,$F390="Retain",$E390="ECA / Shoreline Tree",_xlpm.ECA_Short=0),
Error!$B$61,
IF(AND($F390="Remove",ISNUMBER(MATCH($E390,{"Tier 1","Tier 2","Tier 3","Tier 4","Tier 2 Grove"},0)),ISNUMBER(MATCH($I390,{"On-site replacement","Off-site replacement"},0)),$J390="",$H390&lt;&gt;""),
Error!$B$19,
IF(AND(_xlpm.baseRow,$E390&lt;&gt;"",$D390&lt;&gt;"",$F390&lt;&gt;"",COUNTBLANK($B390:$C390)&gt;0,COUNTBLANK(_xlpm.HRange)&lt;&gt;4),
Error!$B$22,
IF(AND($H390="Zoning: Tree Points",$K390&lt;&gt;"",ISNA(MATCH($K390,Tables!$B$242:$B$253,0))),
Error!$B$58,
IF(AND($H390="Zoning: Tree Points",$K390="Small",$L390&lt;&gt;"",ISNA(MATCH($L390,Tables!$C$243:$C$244,0))),
Error!$B$59,
IF(AND($H390="Zoning: Tree Points",$K390="Small/Medium",$L390&lt;&gt;"",ISNA(MATCH($L390,Tables!$C$246:$C$247,0))),
Error!$B$59,
IF(AND($H390="Zoning: Tree Points",$K390="Medium/Large",$L390&lt;&gt;"",ISNA(MATCH($L390,Tables!$C$249:$C$250,0))),
Error!$B$59,
IF(AND($H390="Zoning: Tree Points",$K390="Large",$L390&lt;&gt;"",ISNA(MATCH($L390,Tables!$C$252:$C$253,0))),
Error!$B$59,
IF(AND($F390="Retain",$H390="Zoning: Tree Points",$C390&lt;&gt;"",$D390&lt;&gt;"",OR($K390="",$L390="",$M390="")),
Error!$B$20,
""
)))))))))))))))))))))))))))))))))))))))))))))))))))))))),
Error!$B$23))</f>
        <v/>
      </c>
      <c r="O390" s="343" t="str" cm="1">
        <f t="array" aca="1" ref="O390" ca="1">IFERROR(_xlfn.LET(
    _xlpm.txt, $C390,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91" spans="1:15" ht="15" thickBot="1" x14ac:dyDescent="0.35">
      <c r="A391" s="311">
        <v>96</v>
      </c>
      <c r="B391" s="312"/>
      <c r="C391" s="313"/>
      <c r="D391" s="478"/>
      <c r="E391" s="314"/>
      <c r="F391" s="314"/>
      <c r="G391" s="315" t="str">
        <f>IF(Tree_Table1[[#This Row],[Tree Status  &amp;]]="Retain", Tables!$B$237, IF(Tree_Table1[[#This Row],[Tree Status  &amp;]]="Remove", Tables!$B$238, ""))</f>
        <v/>
      </c>
      <c r="H391" s="316"/>
      <c r="I391" s="317"/>
      <c r="J391" s="452"/>
      <c r="K391" s="318" t="str">
        <f>IFERROR(
    IF(
        AND($H391="Zoning: Tree Points", NOT(ISNUMBER(SEARCH("sp.", $C391)))),
        VLOOKUP($C391, 'Tree List'!$C$3:$F$601, 4, FALSE),
        ""
    ),
"")</f>
        <v/>
      </c>
      <c r="L391" s="319" t="str" cm="1">
        <f t="array" ref="L391">IFERROR(
IF(
    AND($H391="Zoning: Tree Points", NOT(ISNUMBER(SEARCH("sp.", $C391)))),
    _xlfn.IFS(
        (COUNTIFS('Tree List'!$C$3:$C$601,$C391,'Tree List'!$D$3:$D$601,"Coniferous")
        + COUNTIFS('Tree List'!$C$3:$C$601,$C391,'Tree List'!$D$3:$D$601,"Deciduous Conifer")) &gt; 0,
            _xlfn.IFS($K391="Small",0.5,$K391="Small/Medium",1,$K391="Medium/Large",1.4,$K391="Large",1.8),
        (COUNTIFS('Tree List'!$C$3:$C$601,$C391,'Tree List'!$D$3:$D$601,"Deciduous")
        + COUNTIFS('Tree List'!$C$3:$C$601,$C391,'Tree List'!$D$3:$D$601,"Broadleaf Evergreen")) &gt; 0,
            _xlfn.IFS($K391="Small",0.4,$K391="Small/Medium",0.8,$K391="Medium/Large",1.2,$K391="Large",1.6)
    ),
    ""
),
"")</f>
        <v/>
      </c>
      <c r="M391" s="474" t="str">
        <f t="shared" si="411"/>
        <v/>
      </c>
      <c r="N391" s="620" t="str" cm="1">
        <f t="array" aca="1" ref="N39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IF(AND(_xlpm.baseRow,ISNA(MATCH($C391,'Tree List'!$C$3:$C$601,0)),SUMPRODUCT(--ISNUMBER(SEARCH(Tables2!$C$677:$C$772,$O391)))&gt;0),
Error!$B$57,
IF(AND(_xlpm.hasDM,$F391="Remove",$H391&lt;&gt;"",OR($I391="On-site replacement",$I391="Off-site replacement",$I391="Payment In Lieu")),
Error!$B$56,
IF(AND(_xlpm.hasDM,$F391="Remove",$H391&lt;&gt;"",$I391="Relocation"),
Error!$B$66,
IF(AND(OR(_xlpm.hasCN,_xlpm.hasPH,_xlpm.hasGR),$H391&lt;&gt;"",COUNTIF(Tables!$B$132:$B$134,$H391)&gt;0,$I391="N/A (No replacement required)"),
Error!$B$62,
IF(AND(_xlpm.baseRow,$E391&lt;&gt;"",ISNA(MATCH($E391,Tables!$B$225:$B$232,0))),
Error!$B$2,
IF(AND(_xlpm.baseRow,$F391&lt;&gt;"",ISNA(MATCH($F391,Tables!$B$234:$B$235,0))),
Error!$B$24,
IF(AND(_xlpm.baseRow,_xlpm.ECA_H&gt;0,_xlpm.Shore_H&gt;0),
Error!$B$16,
IF(AND(_xlpm.baseRow,$E391&lt;&gt;"",$D391=""),
Error!$B$3,
IF(AND(_xlpm.baseRow,OR($E391="Tier 3",$E391="Tier 4"),$C391&lt;&gt;"",$D391&gt;=24,COUNTIF(Tables2!$B$166:$B$674,$C391)&gt;0),
Error!$B$44,
IF(AND(_xlpm.baseRow,OR($E391="Tier 3",$E391="Tier 4"),$C391&lt;&gt;"",$D391&lt;&gt;"",COUNTIF(Tables2!$B$73:$B$152,$C391)&gt;0,
$D391&gt;=IFERROR(INDEX(Tables2!$C$73:$C$152,MATCH($C391,Tables2!$B$73:$B$152,0)),-1)),
Error!$B$44,
IF(AND(_xlpm.baseRow,OR($E391="Tier 2",$E391="Tier 2 Grove"),$C391&lt;&gt;"",$D391&gt;=12,COUNTIF(Tables2!$B$153:$B$162,$C391)&gt;0),
Error!$B$45,
IF(AND(_xlpm.baseRow,$E391="Tier 2 Grove",$D391&lt;12),
Error!$B$41,
IF(AND(_xlpm.baseRow,$E391="Tier 2",$D391&lt;5.88),
Error!$B$40,
IF(AND(_xlpm.baseRow,OR($E391="Tier 2",$E391="Tier 2 Grove"),$C391&lt;&gt;"",$D391&lt;12,$D391&gt;=6,COUNTIF(Tables2!$B$153:$B$162,$C391)&gt;0),
Error!$B$54,
IF(AND(_xlpm.baseRow,$E391="Tier 2",COUNTIF(Tables2!$B$166:$B$674,$C391)&gt;0,$D391&lt;24),
Error!$B$54,
IF(AND(_xlpm.baseRow,$E391="Tier 3",ISNA(MATCH($C391,Tables2!$B$153:$B$162,0)),OR($D391&lt;12,$D391&gt;=24)),
Error!$B$9,
IF(AND(_xlpm.baseRow,$E391="Tier 3",COUNTIF(Tables2!$B$153:$B$162,$C391)&gt;0,$D391&lt;12),
Error!$B$46,
IF(AND(_xlpm.baseRow,$E391="Tier 4",OR($D391&lt;6,$D391&gt;=12)),
Error!$B$10,
IF(AND(_xlpm.baseRow,$E391="&lt;6in DSH for Tree Points",OR($D391&gt;=6,$D391="")),
Error!$B$8,
IF(AND(_xlpm.baseRow,$E391="Street Tree for Green Factor",$F391&lt;&gt;"",$F391&lt;&gt;"Retain"),
Error!$B$14,
IF(AND($E391="&lt;6in DSH for Tree Points",$F391="Retain",$H391&lt;&gt;"",ISNA(MATCH($H391,Tables!$B$174:$B$174,0))),
Error!$B$15,
IF(AND($E391="Street Tree for Green Factor",$F391="Retain",$H391&lt;&gt;"",$H391&lt;&gt;"Zoning: Green Factor"),
Error!$B$15,
IF(AND($E391="ECA / Shoreline Tree",$F391="Remove",$H391&lt;&gt;"",ISNA(MATCH($H391,Tables!$B$189:$B$190,0))),
Error!$B$15,
IF(AND($E391="ECA / Shoreline Tree",$F391="Retain",$H391&lt;&gt;"",ISNA(MATCH($H391,Tables!$B$184:$B$186,0))),
Error!$B$15,
IF(AND($E391="Tier 4",$F391="Remove",$H391&lt;&gt;"",ISNA(MATCH($H391,Tables!$B$171,0))),
Error!$B$15,
IF(AND($E391="Tier 4",$F391="Retain",$H391&lt;&gt;"",ISNA(MATCH($H391,Tables!$B$166:$B$168,0))),
Error!$B$15,
IF(AND($E391="Tier 3",$F391="Retain",$H391&lt;&gt;"",ISNA(MATCH($H391,Tables!$B$158:$B$160,0))),
Error!$B$15,
IF(AND($E391="Tier 3",$F391="Remove",$H391&lt;&gt;"",ISNA(MATCH($H391,Tables!$B$163,0))),
Error!$B$15,
IF(AND(OR($E391="Tier 2",$E391="Tier 2 Grove"),$F391="Remove",$H391&lt;&gt;"",ISNA(MATCH($H391,Tables!$B$153:$B$155,0))),
Error!$B$15,
IF(AND(OR($E391="Tier 2",$E391="Tier 2 Grove"),$F391="Retain",$H391&lt;&gt;"",ISNA(MATCH($H391,Tables!$B$147:$B$150,0))),
Error!$B$15,
IF(AND($E391="Tier 1",$F391="Remove",$H391&lt;&gt;"",ISNA(MATCH($H391,Tables!$B$143:$B$144,0))),
Error!$B$15,
IF(AND($E391="Tier 1",$F391="Retain",$H391&lt;&gt;"",ISNA(MATCH($H391,Tables!$B$137:$B$140,0))),
Error!$B$15,
IF(AND($E391&lt;&gt;"Tier 2",$E391&lt;&gt;"Tier 2 Grove",$E391&lt;&gt;"Tier 3",$E391&lt;&gt;"Tier 4",$H391="Zoning: Green Factor",OR($D391="",$D391&lt;6)),
Error!$B$11,
IF(AND(_xlpm.baseRow,$D391&lt;6,$E391="&lt;6in DSH for Tree Points",_xlpm.TreePoints_H=0),
Error!$B$21,
IF(AND(_xlpm.baseRow,$E391&lt;&gt;"",$D391&lt;&gt;"",$F391=""),
Error!$B$4,
IF(AND(_xlpm.baseRow,$F391="Remove",OR($E391="Tier 1",$E391="Tier 2",$E391="Tier 2 Grove"),COUNTBLANK(_xlpm.HRange)&lt;3,_xlpm.uniqueH&gt;=2),
Error!$B$48,
IF(AND(_xlpm.baseRow,$F391="Retain",OR($E391="Tier 1",$E391="Tier 2",$E391="Tier 2 Grove"),COUNTIF(_xlpm.HRange,"Tree Code: Required to Retain Tier 1-2 Tree")=0),
Error!$B$47,
IF(AND(_xlpm.baseRow,$E391&lt;&gt;"",$D391&lt;&gt;"",$F391&lt;&gt;"",COUNTBLANK(_xlpm.HRange)=4),
Error!$B$5,
IF(AND($F391="Remove",$H391&lt;&gt;"",$I391=""),
Error!$B$18,
IF(AND($E391="Tier 4",$F391="Remove",$H391="Tree Protection Code: Tier 3 or Tier 4 Allowance",$H391&lt;&gt;"",ISNA(MATCH($I391,Tables!$B$200,0))),
Error!$B$17,
IF(AND($E391="Tier 3",$F391="Remove",$H391&lt;&gt;"",$H391="Tree Protection Code: Tier 3 or Tier 4 Allowance",OR($I391="",ISNA(MATCH($I391,Tables!$B$193:$B$197,0)))),
Error!$B$17,
IF(AND(OR($E391="Tier 2",$E391="Tier 2 Grove"),$F391="Remove",$H391="Tree Protection Code: Other removal allowance or exemption",$I391&lt;&gt;"",ISNA(MATCH($I391,Tables!$B$215:$B$218,0))),
Error!$B$17,
IF(AND(OR($E391="Tier 2",$E391="Tier 2 Grove"),$F391="Remove",$H391="Tree Protection Code: Development Capacity",$I391&lt;&gt;"",ISNA(MATCH($I391,Tables!$B$193:$B$197,0))),
Error!$B$17,
IF(AND(OR($E391="Tier 2",$E391="Tier 2 Grove"),$F391="Remove",$H391="Tree Protection Code: Necessary for Construction",$I391&lt;&gt;"",ISNA(MATCH($I391,Tables!$B$193:$B$197,0))),
Error!$B$17,
IF(AND($E391="Tier 1",$F391="Remove",$H391="Tree Protection Code: Special Exception",$I391&lt;&gt;"",ISNA(MATCH($I391,Tables!$B$215:$B$218,0))),
Error!$B$17,
IF(AND($E391="Tier 1",$F391="Remove",$H391="Tree Protection Code: Other removal allowance or exemption",$I391&lt;&gt;"",ISNA(MATCH($I391,Tables!$B$215:$B$218,0))),
Error!$B$17,
IF(AND($E391="ECA / Shoreline Tree",$F391="Remove",$H391&lt;&gt;"",OR($H391="Shoreline",$H391="Environmental Critical Area (ECA)"),ISNA(MATCH($I391,Tables!$B$209:$B$212,0))),
Error!$B$17,
IF(AND(_xlpm.baseRow,$F391="Retain",$E391="ECA / Shoreline Tree",_xlpm.ECA_Short=0),
Error!$B$61,
IF(AND($F391="Remove",ISNUMBER(MATCH($E391,{"Tier 1","Tier 2","Tier 3","Tier 4","Tier 2 Grove"},0)),ISNUMBER(MATCH($I391,{"On-site replacement","Off-site replacement"},0)),$J391="",$H391&lt;&gt;""),
Error!$B$19,
IF(AND(_xlpm.baseRow,$E391&lt;&gt;"",$D391&lt;&gt;"",$F391&lt;&gt;"",COUNTBLANK($B391:$C391)&gt;0,COUNTBLANK(_xlpm.HRange)&lt;&gt;4),
Error!$B$22,
IF(AND($H391="Zoning: Tree Points",$K391&lt;&gt;"",ISNA(MATCH($K391,Tables!$B$242:$B$253,0))),
Error!$B$58,
IF(AND($H391="Zoning: Tree Points",$K391="Small",$L391&lt;&gt;"",ISNA(MATCH($L391,Tables!$C$243:$C$244,0))),
Error!$B$59,
IF(AND($H391="Zoning: Tree Points",$K391="Small/Medium",$L391&lt;&gt;"",ISNA(MATCH($L391,Tables!$C$246:$C$247,0))),
Error!$B$59,
IF(AND($H391="Zoning: Tree Points",$K391="Medium/Large",$L391&lt;&gt;"",ISNA(MATCH($L391,Tables!$C$249:$C$250,0))),
Error!$B$59,
IF(AND($H391="Zoning: Tree Points",$K391="Large",$L391&lt;&gt;"",ISNA(MATCH($L391,Tables!$C$252:$C$253,0))),
Error!$B$59,
IF(AND($F391="Retain",$H391="Zoning: Tree Points",$C391&lt;&gt;"",$D391&lt;&gt;"",OR($K391="",$L391="",$M391="")),
Error!$B$20,
""
)))))))))))))))))))))))))))))))))))))))))))))))))))))))),
Error!$B$23))</f>
        <v/>
      </c>
      <c r="O391" s="343" t="str" cm="1">
        <f t="array" aca="1" ref="O391" ca="1">IFERROR(_xlfn.LET(
    _xlpm.txt, $C391,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92" spans="1:15" x14ac:dyDescent="0.3">
      <c r="A392" s="320"/>
      <c r="B392" s="616" t="str">
        <f t="shared" ref="B392:B394" si="437">IF($B391="", "", $B391)</f>
        <v/>
      </c>
      <c r="C392" s="617" t="str">
        <f t="shared" ref="C392:C394" si="438">IF($C391="", "", $C391)</f>
        <v/>
      </c>
      <c r="D392" s="618" t="str">
        <f t="shared" ref="D392:D394" si="439">IF($D391="", "", $D391)</f>
        <v/>
      </c>
      <c r="E392" s="616" t="str">
        <f t="shared" ref="E392:E394" si="440">IF($E391="", "", $E391)</f>
        <v/>
      </c>
      <c r="F392" s="616" t="str">
        <f t="shared" ref="F392:F394" si="441">IF($F391="", "", $F391)</f>
        <v/>
      </c>
      <c r="G392" s="619" t="str">
        <f>IF(Tree_Table1[[#This Row],[Tree Status  &amp;]]="Retain", Tables!$B$237, IF(Tree_Table1[[#This Row],[Tree Status  &amp;]]="Remove", Tables!$B$238, ""))</f>
        <v/>
      </c>
      <c r="H392" s="321"/>
      <c r="I392" s="322"/>
      <c r="J392" s="453"/>
      <c r="K392" s="323" t="str">
        <f>IFERROR(
    IF(
        AND($H392="Zoning: Tree Points", NOT(ISNUMBER(SEARCH("sp.", $C392)))),
        VLOOKUP($C392, 'Tree List'!$C$3:$F$601, 4, FALSE),
        ""
    ),
"")</f>
        <v/>
      </c>
      <c r="L392" s="324" t="str" cm="1">
        <f t="array" ref="L392">IFERROR(
IF(
    AND($H392="Zoning: Tree Points", NOT(ISNUMBER(SEARCH("sp.", $C392)))),
    _xlfn.IFS(
        (COUNTIFS('Tree List'!$C$3:$C$601,$C392,'Tree List'!$D$3:$D$601,"Coniferous")
        + COUNTIFS('Tree List'!$C$3:$C$601,$C392,'Tree List'!$D$3:$D$601,"Deciduous Conifer")) &gt; 0,
            _xlfn.IFS($K392="Small",0.5,$K392="Small/Medium",1,$K392="Medium/Large",1.4,$K392="Large",1.8),
        (COUNTIFS('Tree List'!$C$3:$C$601,$C392,'Tree List'!$D$3:$D$601,"Deciduous")
        + COUNTIFS('Tree List'!$C$3:$C$601,$C392,'Tree List'!$D$3:$D$601,"Broadleaf Evergreen")) &gt; 0,
            _xlfn.IFS($K392="Small",0.4,$K392="Small/Medium",0.8,$K392="Medium/Large",1.2,$K392="Large",1.6)
    ),
    ""
),
"")</f>
        <v/>
      </c>
      <c r="M392" s="475" t="str">
        <f t="shared" si="411"/>
        <v/>
      </c>
      <c r="N392" s="346" t="str" cm="1">
        <f t="array" aca="1" ref="N39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IF(AND(_xlpm.baseRow,ISNA(MATCH($C392,'Tree List'!$C$3:$C$601,0)),SUMPRODUCT(--ISNUMBER(SEARCH(Tables2!$C$677:$C$772,$O392)))&gt;0),
Error!$B$57,
IF(AND(_xlpm.hasDM,$F392="Remove",$H392&lt;&gt;"",OR($I392="On-site replacement",$I392="Off-site replacement",$I392="Payment In Lieu")),
Error!$B$56,
IF(AND(_xlpm.hasDM,$F392="Remove",$H392&lt;&gt;"",$I392="Relocation"),
Error!$B$66,
IF(AND(OR(_xlpm.hasCN,_xlpm.hasPH,_xlpm.hasGR),$H392&lt;&gt;"",COUNTIF(Tables!$B$132:$B$134,$H392)&gt;0,$I392="N/A (No replacement required)"),
Error!$B$62,
IF(AND(_xlpm.baseRow,$E392&lt;&gt;"",ISNA(MATCH($E392,Tables!$B$225:$B$232,0))),
Error!$B$2,
IF(AND(_xlpm.baseRow,$F392&lt;&gt;"",ISNA(MATCH($F392,Tables!$B$234:$B$235,0))),
Error!$B$24,
IF(AND(_xlpm.baseRow,_xlpm.ECA_H&gt;0,_xlpm.Shore_H&gt;0),
Error!$B$16,
IF(AND(_xlpm.baseRow,$E392&lt;&gt;"",$D392=""),
Error!$B$3,
IF(AND(_xlpm.baseRow,OR($E392="Tier 3",$E392="Tier 4"),$C392&lt;&gt;"",$D392&gt;=24,COUNTIF(Tables2!$B$166:$B$674,$C392)&gt;0),
Error!$B$44,
IF(AND(_xlpm.baseRow,OR($E392="Tier 3",$E392="Tier 4"),$C392&lt;&gt;"",$D392&lt;&gt;"",COUNTIF(Tables2!$B$73:$B$152,$C392)&gt;0,
$D392&gt;=IFERROR(INDEX(Tables2!$C$73:$C$152,MATCH($C392,Tables2!$B$73:$B$152,0)),-1)),
Error!$B$44,
IF(AND(_xlpm.baseRow,OR($E392="Tier 2",$E392="Tier 2 Grove"),$C392&lt;&gt;"",$D392&gt;=12,COUNTIF(Tables2!$B$153:$B$162,$C392)&gt;0),
Error!$B$45,
IF(AND(_xlpm.baseRow,$E392="Tier 2 Grove",$D392&lt;12),
Error!$B$41,
IF(AND(_xlpm.baseRow,$E392="Tier 2",$D392&lt;5.88),
Error!$B$40,
IF(AND(_xlpm.baseRow,OR($E392="Tier 2",$E392="Tier 2 Grove"),$C392&lt;&gt;"",$D392&lt;12,$D392&gt;=6,COUNTIF(Tables2!$B$153:$B$162,$C392)&gt;0),
Error!$B$54,
IF(AND(_xlpm.baseRow,$E392="Tier 2",COUNTIF(Tables2!$B$166:$B$674,$C392)&gt;0,$D392&lt;24),
Error!$B$54,
IF(AND(_xlpm.baseRow,$E392="Tier 3",ISNA(MATCH($C392,Tables2!$B$153:$B$162,0)),OR($D392&lt;12,$D392&gt;=24)),
Error!$B$9,
IF(AND(_xlpm.baseRow,$E392="Tier 3",COUNTIF(Tables2!$B$153:$B$162,$C392)&gt;0,$D392&lt;12),
Error!$B$46,
IF(AND(_xlpm.baseRow,$E392="Tier 4",OR($D392&lt;6,$D392&gt;=12)),
Error!$B$10,
IF(AND(_xlpm.baseRow,$E392="&lt;6in DSH for Tree Points",OR($D392&gt;=6,$D392="")),
Error!$B$8,
IF(AND(_xlpm.baseRow,$E392="Street Tree for Green Factor",$F392&lt;&gt;"",$F392&lt;&gt;"Retain"),
Error!$B$14,
IF(AND($E392="&lt;6in DSH for Tree Points",$F392="Retain",$H392&lt;&gt;"",ISNA(MATCH($H392,Tables!$B$174:$B$174,0))),
Error!$B$15,
IF(AND($E392="Street Tree for Green Factor",$F392="Retain",$H392&lt;&gt;"",$H392&lt;&gt;"Zoning: Green Factor"),
Error!$B$15,
IF(AND($E392="ECA / Shoreline Tree",$F392="Remove",$H392&lt;&gt;"",ISNA(MATCH($H392,Tables!$B$189:$B$190,0))),
Error!$B$15,
IF(AND($E392="ECA / Shoreline Tree",$F392="Retain",$H392&lt;&gt;"",ISNA(MATCH($H392,Tables!$B$184:$B$186,0))),
Error!$B$15,
IF(AND($E392="Tier 4",$F392="Remove",$H392&lt;&gt;"",ISNA(MATCH($H392,Tables!$B$171,0))),
Error!$B$15,
IF(AND($E392="Tier 4",$F392="Retain",$H392&lt;&gt;"",ISNA(MATCH($H392,Tables!$B$166:$B$168,0))),
Error!$B$15,
IF(AND($E392="Tier 3",$F392="Retain",$H392&lt;&gt;"",ISNA(MATCH($H392,Tables!$B$158:$B$160,0))),
Error!$B$15,
IF(AND($E392="Tier 3",$F392="Remove",$H392&lt;&gt;"",ISNA(MATCH($H392,Tables!$B$163,0))),
Error!$B$15,
IF(AND(OR($E392="Tier 2",$E392="Tier 2 Grove"),$F392="Remove",$H392&lt;&gt;"",ISNA(MATCH($H392,Tables!$B$153:$B$155,0))),
Error!$B$15,
IF(AND(OR($E392="Tier 2",$E392="Tier 2 Grove"),$F392="Retain",$H392&lt;&gt;"",ISNA(MATCH($H392,Tables!$B$147:$B$150,0))),
Error!$B$15,
IF(AND($E392="Tier 1",$F392="Remove",$H392&lt;&gt;"",ISNA(MATCH($H392,Tables!$B$143:$B$144,0))),
Error!$B$15,
IF(AND($E392="Tier 1",$F392="Retain",$H392&lt;&gt;"",ISNA(MATCH($H392,Tables!$B$137:$B$140,0))),
Error!$B$15,
IF(AND($E392&lt;&gt;"Tier 2",$E392&lt;&gt;"Tier 2 Grove",$E392&lt;&gt;"Tier 3",$E392&lt;&gt;"Tier 4",$H392="Zoning: Green Factor",OR($D392="",$D392&lt;6)),
Error!$B$11,
IF(AND(_xlpm.baseRow,$D392&lt;6,$E392="&lt;6in DSH for Tree Points",_xlpm.TreePoints_H=0),
Error!$B$21,
IF(AND(_xlpm.baseRow,$E392&lt;&gt;"",$D392&lt;&gt;"",$F392=""),
Error!$B$4,
IF(AND(_xlpm.baseRow,$F392="Remove",OR($E392="Tier 1",$E392="Tier 2",$E392="Tier 2 Grove"),COUNTBLANK(_xlpm.HRange)&lt;3,_xlpm.uniqueH&gt;=2),
Error!$B$48,
IF(AND(_xlpm.baseRow,$F392="Retain",OR($E392="Tier 1",$E392="Tier 2",$E392="Tier 2 Grove"),COUNTIF(_xlpm.HRange,"Tree Code: Required to Retain Tier 1-2 Tree")=0),
Error!$B$47,
IF(AND(_xlpm.baseRow,$E392&lt;&gt;"",$D392&lt;&gt;"",$F392&lt;&gt;"",COUNTBLANK(_xlpm.HRange)=4),
Error!$B$5,
IF(AND($F392="Remove",$H392&lt;&gt;"",$I392=""),
Error!$B$18,
IF(AND($E392="Tier 4",$F392="Remove",$H392="Tree Protection Code: Tier 3 or Tier 4 Allowance",$H392&lt;&gt;"",ISNA(MATCH($I392,Tables!$B$200,0))),
Error!$B$17,
IF(AND($E392="Tier 3",$F392="Remove",$H392&lt;&gt;"",$H392="Tree Protection Code: Tier 3 or Tier 4 Allowance",OR($I392="",ISNA(MATCH($I392,Tables!$B$193:$B$197,0)))),
Error!$B$17,
IF(AND(OR($E392="Tier 2",$E392="Tier 2 Grove"),$F392="Remove",$H392="Tree Protection Code: Other removal allowance or exemption",$I392&lt;&gt;"",ISNA(MATCH($I392,Tables!$B$215:$B$218,0))),
Error!$B$17,
IF(AND(OR($E392="Tier 2",$E392="Tier 2 Grove"),$F392="Remove",$H392="Tree Protection Code: Development Capacity",$I392&lt;&gt;"",ISNA(MATCH($I392,Tables!$B$193:$B$197,0))),
Error!$B$17,
IF(AND(OR($E392="Tier 2",$E392="Tier 2 Grove"),$F392="Remove",$H392="Tree Protection Code: Necessary for Construction",$I392&lt;&gt;"",ISNA(MATCH($I392,Tables!$B$193:$B$197,0))),
Error!$B$17,
IF(AND($E392="Tier 1",$F392="Remove",$H392="Tree Protection Code: Special Exception",$I392&lt;&gt;"",ISNA(MATCH($I392,Tables!$B$215:$B$218,0))),
Error!$B$17,
IF(AND($E392="Tier 1",$F392="Remove",$H392="Tree Protection Code: Other removal allowance or exemption",$I392&lt;&gt;"",ISNA(MATCH($I392,Tables!$B$215:$B$218,0))),
Error!$B$17,
IF(AND($E392="ECA / Shoreline Tree",$F392="Remove",$H392&lt;&gt;"",OR($H392="Shoreline",$H392="Environmental Critical Area (ECA)"),ISNA(MATCH($I392,Tables!$B$209:$B$212,0))),
Error!$B$17,
IF(AND(_xlpm.baseRow,$F392="Retain",$E392="ECA / Shoreline Tree",_xlpm.ECA_Short=0),
Error!$B$61,
IF(AND($F392="Remove",ISNUMBER(MATCH($E392,{"Tier 1","Tier 2","Tier 3","Tier 4","Tier 2 Grove"},0)),ISNUMBER(MATCH($I392,{"On-site replacement","Off-site replacement"},0)),$J392="",$H392&lt;&gt;""),
Error!$B$19,
IF(AND(_xlpm.baseRow,$E392&lt;&gt;"",$D392&lt;&gt;"",$F392&lt;&gt;"",COUNTBLANK($B392:$C392)&gt;0,COUNTBLANK(_xlpm.HRange)&lt;&gt;4),
Error!$B$22,
IF(AND($H392="Zoning: Tree Points",$K392&lt;&gt;"",ISNA(MATCH($K392,Tables!$B$242:$B$253,0))),
Error!$B$58,
IF(AND($H392="Zoning: Tree Points",$K392="Small",$L392&lt;&gt;"",ISNA(MATCH($L392,Tables!$C$243:$C$244,0))),
Error!$B$59,
IF(AND($H392="Zoning: Tree Points",$K392="Small/Medium",$L392&lt;&gt;"",ISNA(MATCH($L392,Tables!$C$246:$C$247,0))),
Error!$B$59,
IF(AND($H392="Zoning: Tree Points",$K392="Medium/Large",$L392&lt;&gt;"",ISNA(MATCH($L392,Tables!$C$249:$C$250,0))),
Error!$B$59,
IF(AND($H392="Zoning: Tree Points",$K392="Large",$L392&lt;&gt;"",ISNA(MATCH($L392,Tables!$C$252:$C$253,0))),
Error!$B$59,
IF(AND($F392="Retain",$H392="Zoning: Tree Points",$C392&lt;&gt;"",$D392&lt;&gt;"",OR($K392="",$L392="",$M392="")),
Error!$B$20,
""
)))))))))))))))))))))))))))))))))))))))))))))))))))))))),
Error!$B$23))</f>
        <v/>
      </c>
      <c r="O392" s="343" t="str" cm="1">
        <f t="array" aca="1" ref="O392" ca="1">IFERROR(_xlfn.LET(
    _xlpm.txt, $C392,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93" spans="1:15" x14ac:dyDescent="0.3">
      <c r="A393" s="320"/>
      <c r="B393" s="616" t="str">
        <f t="shared" si="437"/>
        <v/>
      </c>
      <c r="C393" s="617" t="str">
        <f t="shared" si="438"/>
        <v/>
      </c>
      <c r="D393" s="618" t="str">
        <f t="shared" si="439"/>
        <v/>
      </c>
      <c r="E393" s="616" t="str">
        <f t="shared" si="440"/>
        <v/>
      </c>
      <c r="F393" s="616" t="str">
        <f t="shared" si="441"/>
        <v/>
      </c>
      <c r="G393" s="619" t="str">
        <f>IF(Tree_Table1[[#This Row],[Tree Status  &amp;]]="Retain", Tables!$B$237, IF(Tree_Table1[[#This Row],[Tree Status  &amp;]]="Remove", Tables!$B$238, ""))</f>
        <v/>
      </c>
      <c r="H393" s="321"/>
      <c r="I393" s="322"/>
      <c r="J393" s="453"/>
      <c r="K393" s="323" t="str">
        <f>IFERROR(
    IF(
        AND($H393="Zoning: Tree Points", NOT(ISNUMBER(SEARCH("sp.", $C393)))),
        VLOOKUP($C393, 'Tree List'!$C$3:$F$601, 4, FALSE),
        ""
    ),
"")</f>
        <v/>
      </c>
      <c r="L393" s="324" t="str" cm="1">
        <f t="array" ref="L393">IFERROR(
IF(
    AND($H393="Zoning: Tree Points", NOT(ISNUMBER(SEARCH("sp.", $C393)))),
    _xlfn.IFS(
        (COUNTIFS('Tree List'!$C$3:$C$601,$C393,'Tree List'!$D$3:$D$601,"Coniferous")
        + COUNTIFS('Tree List'!$C$3:$C$601,$C393,'Tree List'!$D$3:$D$601,"Deciduous Conifer")) &gt; 0,
            _xlfn.IFS($K393="Small",0.5,$K393="Small/Medium",1,$K393="Medium/Large",1.4,$K393="Large",1.8),
        (COUNTIFS('Tree List'!$C$3:$C$601,$C393,'Tree List'!$D$3:$D$601,"Deciduous")
        + COUNTIFS('Tree List'!$C$3:$C$601,$C393,'Tree List'!$D$3:$D$601,"Broadleaf Evergreen")) &gt; 0,
            _xlfn.IFS($K393="Small",0.4,$K393="Small/Medium",0.8,$K393="Medium/Large",1.2,$K393="Large",1.6)
    ),
    ""
),
"")</f>
        <v/>
      </c>
      <c r="M393" s="475" t="str">
        <f t="shared" si="411"/>
        <v/>
      </c>
      <c r="N393" s="346" t="str" cm="1">
        <f t="array" aca="1" ref="N39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IF(AND(_xlpm.baseRow,ISNA(MATCH($C393,'Tree List'!$C$3:$C$601,0)),SUMPRODUCT(--ISNUMBER(SEARCH(Tables2!$C$677:$C$772,$O393)))&gt;0),
Error!$B$57,
IF(AND(_xlpm.hasDM,$F393="Remove",$H393&lt;&gt;"",OR($I393="On-site replacement",$I393="Off-site replacement",$I393="Payment In Lieu")),
Error!$B$56,
IF(AND(_xlpm.hasDM,$F393="Remove",$H393&lt;&gt;"",$I393="Relocation"),
Error!$B$66,
IF(AND(OR(_xlpm.hasCN,_xlpm.hasPH,_xlpm.hasGR),$H393&lt;&gt;"",COUNTIF(Tables!$B$132:$B$134,$H393)&gt;0,$I393="N/A (No replacement required)"),
Error!$B$62,
IF(AND(_xlpm.baseRow,$E393&lt;&gt;"",ISNA(MATCH($E393,Tables!$B$225:$B$232,0))),
Error!$B$2,
IF(AND(_xlpm.baseRow,$F393&lt;&gt;"",ISNA(MATCH($F393,Tables!$B$234:$B$235,0))),
Error!$B$24,
IF(AND(_xlpm.baseRow,_xlpm.ECA_H&gt;0,_xlpm.Shore_H&gt;0),
Error!$B$16,
IF(AND(_xlpm.baseRow,$E393&lt;&gt;"",$D393=""),
Error!$B$3,
IF(AND(_xlpm.baseRow,OR($E393="Tier 3",$E393="Tier 4"),$C393&lt;&gt;"",$D393&gt;=24,COUNTIF(Tables2!$B$166:$B$674,$C393)&gt;0),
Error!$B$44,
IF(AND(_xlpm.baseRow,OR($E393="Tier 3",$E393="Tier 4"),$C393&lt;&gt;"",$D393&lt;&gt;"",COUNTIF(Tables2!$B$73:$B$152,$C393)&gt;0,
$D393&gt;=IFERROR(INDEX(Tables2!$C$73:$C$152,MATCH($C393,Tables2!$B$73:$B$152,0)),-1)),
Error!$B$44,
IF(AND(_xlpm.baseRow,OR($E393="Tier 2",$E393="Tier 2 Grove"),$C393&lt;&gt;"",$D393&gt;=12,COUNTIF(Tables2!$B$153:$B$162,$C393)&gt;0),
Error!$B$45,
IF(AND(_xlpm.baseRow,$E393="Tier 2 Grove",$D393&lt;12),
Error!$B$41,
IF(AND(_xlpm.baseRow,$E393="Tier 2",$D393&lt;5.88),
Error!$B$40,
IF(AND(_xlpm.baseRow,OR($E393="Tier 2",$E393="Tier 2 Grove"),$C393&lt;&gt;"",$D393&lt;12,$D393&gt;=6,COUNTIF(Tables2!$B$153:$B$162,$C393)&gt;0),
Error!$B$54,
IF(AND(_xlpm.baseRow,$E393="Tier 2",COUNTIF(Tables2!$B$166:$B$674,$C393)&gt;0,$D393&lt;24),
Error!$B$54,
IF(AND(_xlpm.baseRow,$E393="Tier 3",ISNA(MATCH($C393,Tables2!$B$153:$B$162,0)),OR($D393&lt;12,$D393&gt;=24)),
Error!$B$9,
IF(AND(_xlpm.baseRow,$E393="Tier 3",COUNTIF(Tables2!$B$153:$B$162,$C393)&gt;0,$D393&lt;12),
Error!$B$46,
IF(AND(_xlpm.baseRow,$E393="Tier 4",OR($D393&lt;6,$D393&gt;=12)),
Error!$B$10,
IF(AND(_xlpm.baseRow,$E393="&lt;6in DSH for Tree Points",OR($D393&gt;=6,$D393="")),
Error!$B$8,
IF(AND(_xlpm.baseRow,$E393="Street Tree for Green Factor",$F393&lt;&gt;"",$F393&lt;&gt;"Retain"),
Error!$B$14,
IF(AND($E393="&lt;6in DSH for Tree Points",$F393="Retain",$H393&lt;&gt;"",ISNA(MATCH($H393,Tables!$B$174:$B$174,0))),
Error!$B$15,
IF(AND($E393="Street Tree for Green Factor",$F393="Retain",$H393&lt;&gt;"",$H393&lt;&gt;"Zoning: Green Factor"),
Error!$B$15,
IF(AND($E393="ECA / Shoreline Tree",$F393="Remove",$H393&lt;&gt;"",ISNA(MATCH($H393,Tables!$B$189:$B$190,0))),
Error!$B$15,
IF(AND($E393="ECA / Shoreline Tree",$F393="Retain",$H393&lt;&gt;"",ISNA(MATCH($H393,Tables!$B$184:$B$186,0))),
Error!$B$15,
IF(AND($E393="Tier 4",$F393="Remove",$H393&lt;&gt;"",ISNA(MATCH($H393,Tables!$B$171,0))),
Error!$B$15,
IF(AND($E393="Tier 4",$F393="Retain",$H393&lt;&gt;"",ISNA(MATCH($H393,Tables!$B$166:$B$168,0))),
Error!$B$15,
IF(AND($E393="Tier 3",$F393="Retain",$H393&lt;&gt;"",ISNA(MATCH($H393,Tables!$B$158:$B$160,0))),
Error!$B$15,
IF(AND($E393="Tier 3",$F393="Remove",$H393&lt;&gt;"",ISNA(MATCH($H393,Tables!$B$163,0))),
Error!$B$15,
IF(AND(OR($E393="Tier 2",$E393="Tier 2 Grove"),$F393="Remove",$H393&lt;&gt;"",ISNA(MATCH($H393,Tables!$B$153:$B$155,0))),
Error!$B$15,
IF(AND(OR($E393="Tier 2",$E393="Tier 2 Grove"),$F393="Retain",$H393&lt;&gt;"",ISNA(MATCH($H393,Tables!$B$147:$B$150,0))),
Error!$B$15,
IF(AND($E393="Tier 1",$F393="Remove",$H393&lt;&gt;"",ISNA(MATCH($H393,Tables!$B$143:$B$144,0))),
Error!$B$15,
IF(AND($E393="Tier 1",$F393="Retain",$H393&lt;&gt;"",ISNA(MATCH($H393,Tables!$B$137:$B$140,0))),
Error!$B$15,
IF(AND($E393&lt;&gt;"Tier 2",$E393&lt;&gt;"Tier 2 Grove",$E393&lt;&gt;"Tier 3",$E393&lt;&gt;"Tier 4",$H393="Zoning: Green Factor",OR($D393="",$D393&lt;6)),
Error!$B$11,
IF(AND(_xlpm.baseRow,$D393&lt;6,$E393="&lt;6in DSH for Tree Points",_xlpm.TreePoints_H=0),
Error!$B$21,
IF(AND(_xlpm.baseRow,$E393&lt;&gt;"",$D393&lt;&gt;"",$F393=""),
Error!$B$4,
IF(AND(_xlpm.baseRow,$F393="Remove",OR($E393="Tier 1",$E393="Tier 2",$E393="Tier 2 Grove"),COUNTBLANK(_xlpm.HRange)&lt;3,_xlpm.uniqueH&gt;=2),
Error!$B$48,
IF(AND(_xlpm.baseRow,$F393="Retain",OR($E393="Tier 1",$E393="Tier 2",$E393="Tier 2 Grove"),COUNTIF(_xlpm.HRange,"Tree Code: Required to Retain Tier 1-2 Tree")=0),
Error!$B$47,
IF(AND(_xlpm.baseRow,$E393&lt;&gt;"",$D393&lt;&gt;"",$F393&lt;&gt;"",COUNTBLANK(_xlpm.HRange)=4),
Error!$B$5,
IF(AND($F393="Remove",$H393&lt;&gt;"",$I393=""),
Error!$B$18,
IF(AND($E393="Tier 4",$F393="Remove",$H393="Tree Protection Code: Tier 3 or Tier 4 Allowance",$H393&lt;&gt;"",ISNA(MATCH($I393,Tables!$B$200,0))),
Error!$B$17,
IF(AND($E393="Tier 3",$F393="Remove",$H393&lt;&gt;"",$H393="Tree Protection Code: Tier 3 or Tier 4 Allowance",OR($I393="",ISNA(MATCH($I393,Tables!$B$193:$B$197,0)))),
Error!$B$17,
IF(AND(OR($E393="Tier 2",$E393="Tier 2 Grove"),$F393="Remove",$H393="Tree Protection Code: Other removal allowance or exemption",$I393&lt;&gt;"",ISNA(MATCH($I393,Tables!$B$215:$B$218,0))),
Error!$B$17,
IF(AND(OR($E393="Tier 2",$E393="Tier 2 Grove"),$F393="Remove",$H393="Tree Protection Code: Development Capacity",$I393&lt;&gt;"",ISNA(MATCH($I393,Tables!$B$193:$B$197,0))),
Error!$B$17,
IF(AND(OR($E393="Tier 2",$E393="Tier 2 Grove"),$F393="Remove",$H393="Tree Protection Code: Necessary for Construction",$I393&lt;&gt;"",ISNA(MATCH($I393,Tables!$B$193:$B$197,0))),
Error!$B$17,
IF(AND($E393="Tier 1",$F393="Remove",$H393="Tree Protection Code: Special Exception",$I393&lt;&gt;"",ISNA(MATCH($I393,Tables!$B$215:$B$218,0))),
Error!$B$17,
IF(AND($E393="Tier 1",$F393="Remove",$H393="Tree Protection Code: Other removal allowance or exemption",$I393&lt;&gt;"",ISNA(MATCH($I393,Tables!$B$215:$B$218,0))),
Error!$B$17,
IF(AND($E393="ECA / Shoreline Tree",$F393="Remove",$H393&lt;&gt;"",OR($H393="Shoreline",$H393="Environmental Critical Area (ECA)"),ISNA(MATCH($I393,Tables!$B$209:$B$212,0))),
Error!$B$17,
IF(AND(_xlpm.baseRow,$F393="Retain",$E393="ECA / Shoreline Tree",_xlpm.ECA_Short=0),
Error!$B$61,
IF(AND($F393="Remove",ISNUMBER(MATCH($E393,{"Tier 1","Tier 2","Tier 3","Tier 4","Tier 2 Grove"},0)),ISNUMBER(MATCH($I393,{"On-site replacement","Off-site replacement"},0)),$J393="",$H393&lt;&gt;""),
Error!$B$19,
IF(AND(_xlpm.baseRow,$E393&lt;&gt;"",$D393&lt;&gt;"",$F393&lt;&gt;"",COUNTBLANK($B393:$C393)&gt;0,COUNTBLANK(_xlpm.HRange)&lt;&gt;4),
Error!$B$22,
IF(AND($H393="Zoning: Tree Points",$K393&lt;&gt;"",ISNA(MATCH($K393,Tables!$B$242:$B$253,0))),
Error!$B$58,
IF(AND($H393="Zoning: Tree Points",$K393="Small",$L393&lt;&gt;"",ISNA(MATCH($L393,Tables!$C$243:$C$244,0))),
Error!$B$59,
IF(AND($H393="Zoning: Tree Points",$K393="Small/Medium",$L393&lt;&gt;"",ISNA(MATCH($L393,Tables!$C$246:$C$247,0))),
Error!$B$59,
IF(AND($H393="Zoning: Tree Points",$K393="Medium/Large",$L393&lt;&gt;"",ISNA(MATCH($L393,Tables!$C$249:$C$250,0))),
Error!$B$59,
IF(AND($H393="Zoning: Tree Points",$K393="Large",$L393&lt;&gt;"",ISNA(MATCH($L393,Tables!$C$252:$C$253,0))),
Error!$B$59,
IF(AND($F393="Retain",$H393="Zoning: Tree Points",$C393&lt;&gt;"",$D393&lt;&gt;"",OR($K393="",$L393="",$M393="")),
Error!$B$20,
""
)))))))))))))))))))))))))))))))))))))))))))))))))))))))),
Error!$B$23))</f>
        <v/>
      </c>
      <c r="O393" s="343" t="str" cm="1">
        <f t="array" aca="1" ref="O393" ca="1">IFERROR(_xlfn.LET(
    _xlpm.txt, $C393,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94" spans="1:15" ht="15" thickBot="1" x14ac:dyDescent="0.35">
      <c r="A394" s="331"/>
      <c r="B394" s="616" t="str">
        <f t="shared" si="437"/>
        <v/>
      </c>
      <c r="C394" s="617" t="str">
        <f t="shared" si="438"/>
        <v/>
      </c>
      <c r="D394" s="618" t="str">
        <f t="shared" si="439"/>
        <v/>
      </c>
      <c r="E394" s="616" t="str">
        <f t="shared" si="440"/>
        <v/>
      </c>
      <c r="F394" s="616" t="str">
        <f t="shared" si="441"/>
        <v/>
      </c>
      <c r="G394" s="619" t="str">
        <f>IF(Tree_Table1[[#This Row],[Tree Status  &amp;]]="Retain", Tables!$B$237, IF(Tree_Table1[[#This Row],[Tree Status  &amp;]]="Remove", Tables!$B$238, ""))</f>
        <v/>
      </c>
      <c r="H394" s="329"/>
      <c r="I394" s="330"/>
      <c r="J394" s="455"/>
      <c r="K394" s="327" t="str">
        <f>IFERROR(
    IF(
        AND($H394="Zoning: Tree Points", NOT(ISNUMBER(SEARCH("sp.", $C394)))),
        VLOOKUP($C394, 'Tree List'!$C$3:$F$601, 4, FALSE),
        ""
    ),
"")</f>
        <v/>
      </c>
      <c r="L394" s="328" t="str" cm="1">
        <f t="array" ref="L394">IFERROR(
IF(
    AND($H394="Zoning: Tree Points", NOT(ISNUMBER(SEARCH("sp.", $C394)))),
    _xlfn.IFS(
        (COUNTIFS('Tree List'!$C$3:$C$601,$C394,'Tree List'!$D$3:$D$601,"Coniferous")
        + COUNTIFS('Tree List'!$C$3:$C$601,$C394,'Tree List'!$D$3:$D$601,"Deciduous Conifer")) &gt; 0,
            _xlfn.IFS($K394="Small",0.5,$K394="Small/Medium",1,$K394="Medium/Large",1.4,$K394="Large",1.8),
        (COUNTIFS('Tree List'!$C$3:$C$601,$C394,'Tree List'!$D$3:$D$601,"Deciduous")
        + COUNTIFS('Tree List'!$C$3:$C$601,$C394,'Tree List'!$D$3:$D$601,"Broadleaf Evergreen")) &gt; 0,
            _xlfn.IFS($K394="Small",0.4,$K394="Small/Medium",0.8,$K394="Medium/Large",1.2,$K394="Large",1.6)
    ),
    ""
),
"")</f>
        <v/>
      </c>
      <c r="M394" s="476" t="str">
        <f t="shared" si="411"/>
        <v/>
      </c>
      <c r="N394" s="347" t="str" cm="1">
        <f t="array" aca="1" ref="N39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IF(AND(_xlpm.baseRow,ISNA(MATCH($C394,'Tree List'!$C$3:$C$601,0)),SUMPRODUCT(--ISNUMBER(SEARCH(Tables2!$C$677:$C$772,$O394)))&gt;0),
Error!$B$57,
IF(AND(_xlpm.hasDM,$F394="Remove",$H394&lt;&gt;"",OR($I394="On-site replacement",$I394="Off-site replacement",$I394="Payment In Lieu")),
Error!$B$56,
IF(AND(_xlpm.hasDM,$F394="Remove",$H394&lt;&gt;"",$I394="Relocation"),
Error!$B$66,
IF(AND(OR(_xlpm.hasCN,_xlpm.hasPH,_xlpm.hasGR),$H394&lt;&gt;"",COUNTIF(Tables!$B$132:$B$134,$H394)&gt;0,$I394="N/A (No replacement required)"),
Error!$B$62,
IF(AND(_xlpm.baseRow,$E394&lt;&gt;"",ISNA(MATCH($E394,Tables!$B$225:$B$232,0))),
Error!$B$2,
IF(AND(_xlpm.baseRow,$F394&lt;&gt;"",ISNA(MATCH($F394,Tables!$B$234:$B$235,0))),
Error!$B$24,
IF(AND(_xlpm.baseRow,_xlpm.ECA_H&gt;0,_xlpm.Shore_H&gt;0),
Error!$B$16,
IF(AND(_xlpm.baseRow,$E394&lt;&gt;"",$D394=""),
Error!$B$3,
IF(AND(_xlpm.baseRow,OR($E394="Tier 3",$E394="Tier 4"),$C394&lt;&gt;"",$D394&gt;=24,COUNTIF(Tables2!$B$166:$B$674,$C394)&gt;0),
Error!$B$44,
IF(AND(_xlpm.baseRow,OR($E394="Tier 3",$E394="Tier 4"),$C394&lt;&gt;"",$D394&lt;&gt;"",COUNTIF(Tables2!$B$73:$B$152,$C394)&gt;0,
$D394&gt;=IFERROR(INDEX(Tables2!$C$73:$C$152,MATCH($C394,Tables2!$B$73:$B$152,0)),-1)),
Error!$B$44,
IF(AND(_xlpm.baseRow,OR($E394="Tier 2",$E394="Tier 2 Grove"),$C394&lt;&gt;"",$D394&gt;=12,COUNTIF(Tables2!$B$153:$B$162,$C394)&gt;0),
Error!$B$45,
IF(AND(_xlpm.baseRow,$E394="Tier 2 Grove",$D394&lt;12),
Error!$B$41,
IF(AND(_xlpm.baseRow,$E394="Tier 2",$D394&lt;5.88),
Error!$B$40,
IF(AND(_xlpm.baseRow,OR($E394="Tier 2",$E394="Tier 2 Grove"),$C394&lt;&gt;"",$D394&lt;12,$D394&gt;=6,COUNTIF(Tables2!$B$153:$B$162,$C394)&gt;0),
Error!$B$54,
IF(AND(_xlpm.baseRow,$E394="Tier 2",COUNTIF(Tables2!$B$166:$B$674,$C394)&gt;0,$D394&lt;24),
Error!$B$54,
IF(AND(_xlpm.baseRow,$E394="Tier 3",ISNA(MATCH($C394,Tables2!$B$153:$B$162,0)),OR($D394&lt;12,$D394&gt;=24)),
Error!$B$9,
IF(AND(_xlpm.baseRow,$E394="Tier 3",COUNTIF(Tables2!$B$153:$B$162,$C394)&gt;0,$D394&lt;12),
Error!$B$46,
IF(AND(_xlpm.baseRow,$E394="Tier 4",OR($D394&lt;6,$D394&gt;=12)),
Error!$B$10,
IF(AND(_xlpm.baseRow,$E394="&lt;6in DSH for Tree Points",OR($D394&gt;=6,$D394="")),
Error!$B$8,
IF(AND(_xlpm.baseRow,$E394="Street Tree for Green Factor",$F394&lt;&gt;"",$F394&lt;&gt;"Retain"),
Error!$B$14,
IF(AND($E394="&lt;6in DSH for Tree Points",$F394="Retain",$H394&lt;&gt;"",ISNA(MATCH($H394,Tables!$B$174:$B$174,0))),
Error!$B$15,
IF(AND($E394="Street Tree for Green Factor",$F394="Retain",$H394&lt;&gt;"",$H394&lt;&gt;"Zoning: Green Factor"),
Error!$B$15,
IF(AND($E394="ECA / Shoreline Tree",$F394="Remove",$H394&lt;&gt;"",ISNA(MATCH($H394,Tables!$B$189:$B$190,0))),
Error!$B$15,
IF(AND($E394="ECA / Shoreline Tree",$F394="Retain",$H394&lt;&gt;"",ISNA(MATCH($H394,Tables!$B$184:$B$186,0))),
Error!$B$15,
IF(AND($E394="Tier 4",$F394="Remove",$H394&lt;&gt;"",ISNA(MATCH($H394,Tables!$B$171,0))),
Error!$B$15,
IF(AND($E394="Tier 4",$F394="Retain",$H394&lt;&gt;"",ISNA(MATCH($H394,Tables!$B$166:$B$168,0))),
Error!$B$15,
IF(AND($E394="Tier 3",$F394="Retain",$H394&lt;&gt;"",ISNA(MATCH($H394,Tables!$B$158:$B$160,0))),
Error!$B$15,
IF(AND($E394="Tier 3",$F394="Remove",$H394&lt;&gt;"",ISNA(MATCH($H394,Tables!$B$163,0))),
Error!$B$15,
IF(AND(OR($E394="Tier 2",$E394="Tier 2 Grove"),$F394="Remove",$H394&lt;&gt;"",ISNA(MATCH($H394,Tables!$B$153:$B$155,0))),
Error!$B$15,
IF(AND(OR($E394="Tier 2",$E394="Tier 2 Grove"),$F394="Retain",$H394&lt;&gt;"",ISNA(MATCH($H394,Tables!$B$147:$B$150,0))),
Error!$B$15,
IF(AND($E394="Tier 1",$F394="Remove",$H394&lt;&gt;"",ISNA(MATCH($H394,Tables!$B$143:$B$144,0))),
Error!$B$15,
IF(AND($E394="Tier 1",$F394="Retain",$H394&lt;&gt;"",ISNA(MATCH($H394,Tables!$B$137:$B$140,0))),
Error!$B$15,
IF(AND($E394&lt;&gt;"Tier 2",$E394&lt;&gt;"Tier 2 Grove",$E394&lt;&gt;"Tier 3",$E394&lt;&gt;"Tier 4",$H394="Zoning: Green Factor",OR($D394="",$D394&lt;6)),
Error!$B$11,
IF(AND(_xlpm.baseRow,$D394&lt;6,$E394="&lt;6in DSH for Tree Points",_xlpm.TreePoints_H=0),
Error!$B$21,
IF(AND(_xlpm.baseRow,$E394&lt;&gt;"",$D394&lt;&gt;"",$F394=""),
Error!$B$4,
IF(AND(_xlpm.baseRow,$F394="Remove",OR($E394="Tier 1",$E394="Tier 2",$E394="Tier 2 Grove"),COUNTBLANK(_xlpm.HRange)&lt;3,_xlpm.uniqueH&gt;=2),
Error!$B$48,
IF(AND(_xlpm.baseRow,$F394="Retain",OR($E394="Tier 1",$E394="Tier 2",$E394="Tier 2 Grove"),COUNTIF(_xlpm.HRange,"Tree Code: Required to Retain Tier 1-2 Tree")=0),
Error!$B$47,
IF(AND(_xlpm.baseRow,$E394&lt;&gt;"",$D394&lt;&gt;"",$F394&lt;&gt;"",COUNTBLANK(_xlpm.HRange)=4),
Error!$B$5,
IF(AND($F394="Remove",$H394&lt;&gt;"",$I394=""),
Error!$B$18,
IF(AND($E394="Tier 4",$F394="Remove",$H394="Tree Protection Code: Tier 3 or Tier 4 Allowance",$H394&lt;&gt;"",ISNA(MATCH($I394,Tables!$B$200,0))),
Error!$B$17,
IF(AND($E394="Tier 3",$F394="Remove",$H394&lt;&gt;"",$H394="Tree Protection Code: Tier 3 or Tier 4 Allowance",OR($I394="",ISNA(MATCH($I394,Tables!$B$193:$B$197,0)))),
Error!$B$17,
IF(AND(OR($E394="Tier 2",$E394="Tier 2 Grove"),$F394="Remove",$H394="Tree Protection Code: Other removal allowance or exemption",$I394&lt;&gt;"",ISNA(MATCH($I394,Tables!$B$215:$B$218,0))),
Error!$B$17,
IF(AND(OR($E394="Tier 2",$E394="Tier 2 Grove"),$F394="Remove",$H394="Tree Protection Code: Development Capacity",$I394&lt;&gt;"",ISNA(MATCH($I394,Tables!$B$193:$B$197,0))),
Error!$B$17,
IF(AND(OR($E394="Tier 2",$E394="Tier 2 Grove"),$F394="Remove",$H394="Tree Protection Code: Necessary for Construction",$I394&lt;&gt;"",ISNA(MATCH($I394,Tables!$B$193:$B$197,0))),
Error!$B$17,
IF(AND($E394="Tier 1",$F394="Remove",$H394="Tree Protection Code: Special Exception",$I394&lt;&gt;"",ISNA(MATCH($I394,Tables!$B$215:$B$218,0))),
Error!$B$17,
IF(AND($E394="Tier 1",$F394="Remove",$H394="Tree Protection Code: Other removal allowance or exemption",$I394&lt;&gt;"",ISNA(MATCH($I394,Tables!$B$215:$B$218,0))),
Error!$B$17,
IF(AND($E394="ECA / Shoreline Tree",$F394="Remove",$H394&lt;&gt;"",OR($H394="Shoreline",$H394="Environmental Critical Area (ECA)"),ISNA(MATCH($I394,Tables!$B$209:$B$212,0))),
Error!$B$17,
IF(AND(_xlpm.baseRow,$F394="Retain",$E394="ECA / Shoreline Tree",_xlpm.ECA_Short=0),
Error!$B$61,
IF(AND($F394="Remove",ISNUMBER(MATCH($E394,{"Tier 1","Tier 2","Tier 3","Tier 4","Tier 2 Grove"},0)),ISNUMBER(MATCH($I394,{"On-site replacement","Off-site replacement"},0)),$J394="",$H394&lt;&gt;""),
Error!$B$19,
IF(AND(_xlpm.baseRow,$E394&lt;&gt;"",$D394&lt;&gt;"",$F394&lt;&gt;"",COUNTBLANK($B394:$C394)&gt;0,COUNTBLANK(_xlpm.HRange)&lt;&gt;4),
Error!$B$22,
IF(AND($H394="Zoning: Tree Points",$K394&lt;&gt;"",ISNA(MATCH($K394,Tables!$B$242:$B$253,0))),
Error!$B$58,
IF(AND($H394="Zoning: Tree Points",$K394="Small",$L394&lt;&gt;"",ISNA(MATCH($L394,Tables!$C$243:$C$244,0))),
Error!$B$59,
IF(AND($H394="Zoning: Tree Points",$K394="Small/Medium",$L394&lt;&gt;"",ISNA(MATCH($L394,Tables!$C$246:$C$247,0))),
Error!$B$59,
IF(AND($H394="Zoning: Tree Points",$K394="Medium/Large",$L394&lt;&gt;"",ISNA(MATCH($L394,Tables!$C$249:$C$250,0))),
Error!$B$59,
IF(AND($H394="Zoning: Tree Points",$K394="Large",$L394&lt;&gt;"",ISNA(MATCH($L394,Tables!$C$252:$C$253,0))),
Error!$B$59,
IF(AND($F394="Retain",$H394="Zoning: Tree Points",$C394&lt;&gt;"",$D394&lt;&gt;"",OR($K394="",$L394="",$M394="")),
Error!$B$20,
""
)))))))))))))))))))))))))))))))))))))))))))))))))))))))),
Error!$B$23))</f>
        <v/>
      </c>
      <c r="O394" s="343" t="str" cm="1">
        <f t="array" aca="1" ref="O394" ca="1">IFERROR(_xlfn.LET(
    _xlpm.txt, $C394,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95" spans="1:15" ht="15" thickBot="1" x14ac:dyDescent="0.35">
      <c r="A395" s="311">
        <v>97</v>
      </c>
      <c r="B395" s="312"/>
      <c r="C395" s="313"/>
      <c r="D395" s="478"/>
      <c r="E395" s="314"/>
      <c r="F395" s="314"/>
      <c r="G395" s="315" t="str">
        <f>IF(Tree_Table1[[#This Row],[Tree Status  &amp;]]="Retain", Tables!$B$237, IF(Tree_Table1[[#This Row],[Tree Status  &amp;]]="Remove", Tables!$B$238, ""))</f>
        <v/>
      </c>
      <c r="H395" s="316"/>
      <c r="I395" s="317"/>
      <c r="J395" s="452"/>
      <c r="K395" s="318" t="str">
        <f>IFERROR(
    IF(
        AND($H395="Zoning: Tree Points", NOT(ISNUMBER(SEARCH("sp.", $C395)))),
        VLOOKUP($C395, 'Tree List'!$C$3:$F$601, 4, FALSE),
        ""
    ),
"")</f>
        <v/>
      </c>
      <c r="L395" s="319" t="str" cm="1">
        <f t="array" ref="L395">IFERROR(
IF(
    AND($H395="Zoning: Tree Points", NOT(ISNUMBER(SEARCH("sp.", $C395)))),
    _xlfn.IFS(
        (COUNTIFS('Tree List'!$C$3:$C$601,$C395,'Tree List'!$D$3:$D$601,"Coniferous")
        + COUNTIFS('Tree List'!$C$3:$C$601,$C395,'Tree List'!$D$3:$D$601,"Deciduous Conifer")) &gt; 0,
            _xlfn.IFS($K395="Small",0.5,$K395="Small/Medium",1,$K395="Medium/Large",1.4,$K395="Large",1.8),
        (COUNTIFS('Tree List'!$C$3:$C$601,$C395,'Tree List'!$D$3:$D$601,"Deciduous")
        + COUNTIFS('Tree List'!$C$3:$C$601,$C395,'Tree List'!$D$3:$D$601,"Broadleaf Evergreen")) &gt; 0,
            _xlfn.IFS($K395="Small",0.4,$K395="Small/Medium",0.8,$K395="Medium/Large",1.2,$K395="Large",1.6)
    ),
    ""
),
"")</f>
        <v/>
      </c>
      <c r="M395" s="474" t="str">
        <f t="shared" si="411"/>
        <v/>
      </c>
      <c r="N395" s="620" t="str" cm="1">
        <f t="array" aca="1" ref="N39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IF(AND(_xlpm.baseRow,ISNA(MATCH($C395,'Tree List'!$C$3:$C$601,0)),SUMPRODUCT(--ISNUMBER(SEARCH(Tables2!$C$677:$C$772,$O395)))&gt;0),
Error!$B$57,
IF(AND(_xlpm.hasDM,$F395="Remove",$H395&lt;&gt;"",OR($I395="On-site replacement",$I395="Off-site replacement",$I395="Payment In Lieu")),
Error!$B$56,
IF(AND(_xlpm.hasDM,$F395="Remove",$H395&lt;&gt;"",$I395="Relocation"),
Error!$B$66,
IF(AND(OR(_xlpm.hasCN,_xlpm.hasPH,_xlpm.hasGR),$H395&lt;&gt;"",COUNTIF(Tables!$B$132:$B$134,$H395)&gt;0,$I395="N/A (No replacement required)"),
Error!$B$62,
IF(AND(_xlpm.baseRow,$E395&lt;&gt;"",ISNA(MATCH($E395,Tables!$B$225:$B$232,0))),
Error!$B$2,
IF(AND(_xlpm.baseRow,$F395&lt;&gt;"",ISNA(MATCH($F395,Tables!$B$234:$B$235,0))),
Error!$B$24,
IF(AND(_xlpm.baseRow,_xlpm.ECA_H&gt;0,_xlpm.Shore_H&gt;0),
Error!$B$16,
IF(AND(_xlpm.baseRow,$E395&lt;&gt;"",$D395=""),
Error!$B$3,
IF(AND(_xlpm.baseRow,OR($E395="Tier 3",$E395="Tier 4"),$C395&lt;&gt;"",$D395&gt;=24,COUNTIF(Tables2!$B$166:$B$674,$C395)&gt;0),
Error!$B$44,
IF(AND(_xlpm.baseRow,OR($E395="Tier 3",$E395="Tier 4"),$C395&lt;&gt;"",$D395&lt;&gt;"",COUNTIF(Tables2!$B$73:$B$152,$C395)&gt;0,
$D395&gt;=IFERROR(INDEX(Tables2!$C$73:$C$152,MATCH($C395,Tables2!$B$73:$B$152,0)),-1)),
Error!$B$44,
IF(AND(_xlpm.baseRow,OR($E395="Tier 2",$E395="Tier 2 Grove"),$C395&lt;&gt;"",$D395&gt;=12,COUNTIF(Tables2!$B$153:$B$162,$C395)&gt;0),
Error!$B$45,
IF(AND(_xlpm.baseRow,$E395="Tier 2 Grove",$D395&lt;12),
Error!$B$41,
IF(AND(_xlpm.baseRow,$E395="Tier 2",$D395&lt;5.88),
Error!$B$40,
IF(AND(_xlpm.baseRow,OR($E395="Tier 2",$E395="Tier 2 Grove"),$C395&lt;&gt;"",$D395&lt;12,$D395&gt;=6,COUNTIF(Tables2!$B$153:$B$162,$C395)&gt;0),
Error!$B$54,
IF(AND(_xlpm.baseRow,$E395="Tier 2",COUNTIF(Tables2!$B$166:$B$674,$C395)&gt;0,$D395&lt;24),
Error!$B$54,
IF(AND(_xlpm.baseRow,$E395="Tier 3",ISNA(MATCH($C395,Tables2!$B$153:$B$162,0)),OR($D395&lt;12,$D395&gt;=24)),
Error!$B$9,
IF(AND(_xlpm.baseRow,$E395="Tier 3",COUNTIF(Tables2!$B$153:$B$162,$C395)&gt;0,$D395&lt;12),
Error!$B$46,
IF(AND(_xlpm.baseRow,$E395="Tier 4",OR($D395&lt;6,$D395&gt;=12)),
Error!$B$10,
IF(AND(_xlpm.baseRow,$E395="&lt;6in DSH for Tree Points",OR($D395&gt;=6,$D395="")),
Error!$B$8,
IF(AND(_xlpm.baseRow,$E395="Street Tree for Green Factor",$F395&lt;&gt;"",$F395&lt;&gt;"Retain"),
Error!$B$14,
IF(AND($E395="&lt;6in DSH for Tree Points",$F395="Retain",$H395&lt;&gt;"",ISNA(MATCH($H395,Tables!$B$174:$B$174,0))),
Error!$B$15,
IF(AND($E395="Street Tree for Green Factor",$F395="Retain",$H395&lt;&gt;"",$H395&lt;&gt;"Zoning: Green Factor"),
Error!$B$15,
IF(AND($E395="ECA / Shoreline Tree",$F395="Remove",$H395&lt;&gt;"",ISNA(MATCH($H395,Tables!$B$189:$B$190,0))),
Error!$B$15,
IF(AND($E395="ECA / Shoreline Tree",$F395="Retain",$H395&lt;&gt;"",ISNA(MATCH($H395,Tables!$B$184:$B$186,0))),
Error!$B$15,
IF(AND($E395="Tier 4",$F395="Remove",$H395&lt;&gt;"",ISNA(MATCH($H395,Tables!$B$171,0))),
Error!$B$15,
IF(AND($E395="Tier 4",$F395="Retain",$H395&lt;&gt;"",ISNA(MATCH($H395,Tables!$B$166:$B$168,0))),
Error!$B$15,
IF(AND($E395="Tier 3",$F395="Retain",$H395&lt;&gt;"",ISNA(MATCH($H395,Tables!$B$158:$B$160,0))),
Error!$B$15,
IF(AND($E395="Tier 3",$F395="Remove",$H395&lt;&gt;"",ISNA(MATCH($H395,Tables!$B$163,0))),
Error!$B$15,
IF(AND(OR($E395="Tier 2",$E395="Tier 2 Grove"),$F395="Remove",$H395&lt;&gt;"",ISNA(MATCH($H395,Tables!$B$153:$B$155,0))),
Error!$B$15,
IF(AND(OR($E395="Tier 2",$E395="Tier 2 Grove"),$F395="Retain",$H395&lt;&gt;"",ISNA(MATCH($H395,Tables!$B$147:$B$150,0))),
Error!$B$15,
IF(AND($E395="Tier 1",$F395="Remove",$H395&lt;&gt;"",ISNA(MATCH($H395,Tables!$B$143:$B$144,0))),
Error!$B$15,
IF(AND($E395="Tier 1",$F395="Retain",$H395&lt;&gt;"",ISNA(MATCH($H395,Tables!$B$137:$B$140,0))),
Error!$B$15,
IF(AND($E395&lt;&gt;"Tier 2",$E395&lt;&gt;"Tier 2 Grove",$E395&lt;&gt;"Tier 3",$E395&lt;&gt;"Tier 4",$H395="Zoning: Green Factor",OR($D395="",$D395&lt;6)),
Error!$B$11,
IF(AND(_xlpm.baseRow,$D395&lt;6,$E395="&lt;6in DSH for Tree Points",_xlpm.TreePoints_H=0),
Error!$B$21,
IF(AND(_xlpm.baseRow,$E395&lt;&gt;"",$D395&lt;&gt;"",$F395=""),
Error!$B$4,
IF(AND(_xlpm.baseRow,$F395="Remove",OR($E395="Tier 1",$E395="Tier 2",$E395="Tier 2 Grove"),COUNTBLANK(_xlpm.HRange)&lt;3,_xlpm.uniqueH&gt;=2),
Error!$B$48,
IF(AND(_xlpm.baseRow,$F395="Retain",OR($E395="Tier 1",$E395="Tier 2",$E395="Tier 2 Grove"),COUNTIF(_xlpm.HRange,"Tree Code: Required to Retain Tier 1-2 Tree")=0),
Error!$B$47,
IF(AND(_xlpm.baseRow,$E395&lt;&gt;"",$D395&lt;&gt;"",$F395&lt;&gt;"",COUNTBLANK(_xlpm.HRange)=4),
Error!$B$5,
IF(AND($F395="Remove",$H395&lt;&gt;"",$I395=""),
Error!$B$18,
IF(AND($E395="Tier 4",$F395="Remove",$H395="Tree Protection Code: Tier 3 or Tier 4 Allowance",$H395&lt;&gt;"",ISNA(MATCH($I395,Tables!$B$200,0))),
Error!$B$17,
IF(AND($E395="Tier 3",$F395="Remove",$H395&lt;&gt;"",$H395="Tree Protection Code: Tier 3 or Tier 4 Allowance",OR($I395="",ISNA(MATCH($I395,Tables!$B$193:$B$197,0)))),
Error!$B$17,
IF(AND(OR($E395="Tier 2",$E395="Tier 2 Grove"),$F395="Remove",$H395="Tree Protection Code: Other removal allowance or exemption",$I395&lt;&gt;"",ISNA(MATCH($I395,Tables!$B$215:$B$218,0))),
Error!$B$17,
IF(AND(OR($E395="Tier 2",$E395="Tier 2 Grove"),$F395="Remove",$H395="Tree Protection Code: Development Capacity",$I395&lt;&gt;"",ISNA(MATCH($I395,Tables!$B$193:$B$197,0))),
Error!$B$17,
IF(AND(OR($E395="Tier 2",$E395="Tier 2 Grove"),$F395="Remove",$H395="Tree Protection Code: Necessary for Construction",$I395&lt;&gt;"",ISNA(MATCH($I395,Tables!$B$193:$B$197,0))),
Error!$B$17,
IF(AND($E395="Tier 1",$F395="Remove",$H395="Tree Protection Code: Special Exception",$I395&lt;&gt;"",ISNA(MATCH($I395,Tables!$B$215:$B$218,0))),
Error!$B$17,
IF(AND($E395="Tier 1",$F395="Remove",$H395="Tree Protection Code: Other removal allowance or exemption",$I395&lt;&gt;"",ISNA(MATCH($I395,Tables!$B$215:$B$218,0))),
Error!$B$17,
IF(AND($E395="ECA / Shoreline Tree",$F395="Remove",$H395&lt;&gt;"",OR($H395="Shoreline",$H395="Environmental Critical Area (ECA)"),ISNA(MATCH($I395,Tables!$B$209:$B$212,0))),
Error!$B$17,
IF(AND(_xlpm.baseRow,$F395="Retain",$E395="ECA / Shoreline Tree",_xlpm.ECA_Short=0),
Error!$B$61,
IF(AND($F395="Remove",ISNUMBER(MATCH($E395,{"Tier 1","Tier 2","Tier 3","Tier 4","Tier 2 Grove"},0)),ISNUMBER(MATCH($I395,{"On-site replacement","Off-site replacement"},0)),$J395="",$H395&lt;&gt;""),
Error!$B$19,
IF(AND(_xlpm.baseRow,$E395&lt;&gt;"",$D395&lt;&gt;"",$F395&lt;&gt;"",COUNTBLANK($B395:$C395)&gt;0,COUNTBLANK(_xlpm.HRange)&lt;&gt;4),
Error!$B$22,
IF(AND($H395="Zoning: Tree Points",$K395&lt;&gt;"",ISNA(MATCH($K395,Tables!$B$242:$B$253,0))),
Error!$B$58,
IF(AND($H395="Zoning: Tree Points",$K395="Small",$L395&lt;&gt;"",ISNA(MATCH($L395,Tables!$C$243:$C$244,0))),
Error!$B$59,
IF(AND($H395="Zoning: Tree Points",$K395="Small/Medium",$L395&lt;&gt;"",ISNA(MATCH($L395,Tables!$C$246:$C$247,0))),
Error!$B$59,
IF(AND($H395="Zoning: Tree Points",$K395="Medium/Large",$L395&lt;&gt;"",ISNA(MATCH($L395,Tables!$C$249:$C$250,0))),
Error!$B$59,
IF(AND($H395="Zoning: Tree Points",$K395="Large",$L395&lt;&gt;"",ISNA(MATCH($L395,Tables!$C$252:$C$253,0))),
Error!$B$59,
IF(AND($F395="Retain",$H395="Zoning: Tree Points",$C395&lt;&gt;"",$D395&lt;&gt;"",OR($K395="",$L395="",$M395="")),
Error!$B$20,
""
)))))))))))))))))))))))))))))))))))))))))))))))))))))))),
Error!$B$23))</f>
        <v/>
      </c>
      <c r="O395" s="343" t="str" cm="1">
        <f t="array" aca="1" ref="O395" ca="1">IFERROR(_xlfn.LET(
    _xlpm.txt, $C395,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96" spans="1:15" x14ac:dyDescent="0.3">
      <c r="A396" s="320"/>
      <c r="B396" s="616" t="str">
        <f t="shared" ref="B396:B398" si="442">IF($B395="", "", $B395)</f>
        <v/>
      </c>
      <c r="C396" s="617" t="str">
        <f t="shared" ref="C396:C398" si="443">IF($C395="", "", $C395)</f>
        <v/>
      </c>
      <c r="D396" s="618" t="str">
        <f t="shared" ref="D396:D398" si="444">IF($D395="", "", $D395)</f>
        <v/>
      </c>
      <c r="E396" s="616" t="str">
        <f t="shared" ref="E396:E398" si="445">IF($E395="", "", $E395)</f>
        <v/>
      </c>
      <c r="F396" s="616" t="str">
        <f t="shared" ref="F396:F398" si="446">IF($F395="", "", $F395)</f>
        <v/>
      </c>
      <c r="G396" s="619" t="str">
        <f>IF(Tree_Table1[[#This Row],[Tree Status  &amp;]]="Retain", Tables!$B$237, IF(Tree_Table1[[#This Row],[Tree Status  &amp;]]="Remove", Tables!$B$238, ""))</f>
        <v/>
      </c>
      <c r="H396" s="321"/>
      <c r="I396" s="322"/>
      <c r="J396" s="453"/>
      <c r="K396" s="323" t="str">
        <f>IFERROR(
    IF(
        AND($H396="Zoning: Tree Points", NOT(ISNUMBER(SEARCH("sp.", $C396)))),
        VLOOKUP($C396, 'Tree List'!$C$3:$F$601, 4, FALSE),
        ""
    ),
"")</f>
        <v/>
      </c>
      <c r="L396" s="324" t="str" cm="1">
        <f t="array" ref="L396">IFERROR(
IF(
    AND($H396="Zoning: Tree Points", NOT(ISNUMBER(SEARCH("sp.", $C396)))),
    _xlfn.IFS(
        (COUNTIFS('Tree List'!$C$3:$C$601,$C396,'Tree List'!$D$3:$D$601,"Coniferous")
        + COUNTIFS('Tree List'!$C$3:$C$601,$C396,'Tree List'!$D$3:$D$601,"Deciduous Conifer")) &gt; 0,
            _xlfn.IFS($K396="Small",0.5,$K396="Small/Medium",1,$K396="Medium/Large",1.4,$K396="Large",1.8),
        (COUNTIFS('Tree List'!$C$3:$C$601,$C396,'Tree List'!$D$3:$D$601,"Deciduous")
        + COUNTIFS('Tree List'!$C$3:$C$601,$C396,'Tree List'!$D$3:$D$601,"Broadleaf Evergreen")) &gt; 0,
            _xlfn.IFS($K396="Small",0.4,$K396="Small/Medium",0.8,$K396="Medium/Large",1.2,$K396="Large",1.6)
    ),
    ""
),
"")</f>
        <v/>
      </c>
      <c r="M396" s="475" t="str">
        <f t="shared" si="411"/>
        <v/>
      </c>
      <c r="N396" s="346" t="str" cm="1">
        <f t="array" aca="1" ref="N39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IF(AND(_xlpm.baseRow,ISNA(MATCH($C396,'Tree List'!$C$3:$C$601,0)),SUMPRODUCT(--ISNUMBER(SEARCH(Tables2!$C$677:$C$772,$O396)))&gt;0),
Error!$B$57,
IF(AND(_xlpm.hasDM,$F396="Remove",$H396&lt;&gt;"",OR($I396="On-site replacement",$I396="Off-site replacement",$I396="Payment In Lieu")),
Error!$B$56,
IF(AND(_xlpm.hasDM,$F396="Remove",$H396&lt;&gt;"",$I396="Relocation"),
Error!$B$66,
IF(AND(OR(_xlpm.hasCN,_xlpm.hasPH,_xlpm.hasGR),$H396&lt;&gt;"",COUNTIF(Tables!$B$132:$B$134,$H396)&gt;0,$I396="N/A (No replacement required)"),
Error!$B$62,
IF(AND(_xlpm.baseRow,$E396&lt;&gt;"",ISNA(MATCH($E396,Tables!$B$225:$B$232,0))),
Error!$B$2,
IF(AND(_xlpm.baseRow,$F396&lt;&gt;"",ISNA(MATCH($F396,Tables!$B$234:$B$235,0))),
Error!$B$24,
IF(AND(_xlpm.baseRow,_xlpm.ECA_H&gt;0,_xlpm.Shore_H&gt;0),
Error!$B$16,
IF(AND(_xlpm.baseRow,$E396&lt;&gt;"",$D396=""),
Error!$B$3,
IF(AND(_xlpm.baseRow,OR($E396="Tier 3",$E396="Tier 4"),$C396&lt;&gt;"",$D396&gt;=24,COUNTIF(Tables2!$B$166:$B$674,$C396)&gt;0),
Error!$B$44,
IF(AND(_xlpm.baseRow,OR($E396="Tier 3",$E396="Tier 4"),$C396&lt;&gt;"",$D396&lt;&gt;"",COUNTIF(Tables2!$B$73:$B$152,$C396)&gt;0,
$D396&gt;=IFERROR(INDEX(Tables2!$C$73:$C$152,MATCH($C396,Tables2!$B$73:$B$152,0)),-1)),
Error!$B$44,
IF(AND(_xlpm.baseRow,OR($E396="Tier 2",$E396="Tier 2 Grove"),$C396&lt;&gt;"",$D396&gt;=12,COUNTIF(Tables2!$B$153:$B$162,$C396)&gt;0),
Error!$B$45,
IF(AND(_xlpm.baseRow,$E396="Tier 2 Grove",$D396&lt;12),
Error!$B$41,
IF(AND(_xlpm.baseRow,$E396="Tier 2",$D396&lt;5.88),
Error!$B$40,
IF(AND(_xlpm.baseRow,OR($E396="Tier 2",$E396="Tier 2 Grove"),$C396&lt;&gt;"",$D396&lt;12,$D396&gt;=6,COUNTIF(Tables2!$B$153:$B$162,$C396)&gt;0),
Error!$B$54,
IF(AND(_xlpm.baseRow,$E396="Tier 2",COUNTIF(Tables2!$B$166:$B$674,$C396)&gt;0,$D396&lt;24),
Error!$B$54,
IF(AND(_xlpm.baseRow,$E396="Tier 3",ISNA(MATCH($C396,Tables2!$B$153:$B$162,0)),OR($D396&lt;12,$D396&gt;=24)),
Error!$B$9,
IF(AND(_xlpm.baseRow,$E396="Tier 3",COUNTIF(Tables2!$B$153:$B$162,$C396)&gt;0,$D396&lt;12),
Error!$B$46,
IF(AND(_xlpm.baseRow,$E396="Tier 4",OR($D396&lt;6,$D396&gt;=12)),
Error!$B$10,
IF(AND(_xlpm.baseRow,$E396="&lt;6in DSH for Tree Points",OR($D396&gt;=6,$D396="")),
Error!$B$8,
IF(AND(_xlpm.baseRow,$E396="Street Tree for Green Factor",$F396&lt;&gt;"",$F396&lt;&gt;"Retain"),
Error!$B$14,
IF(AND($E396="&lt;6in DSH for Tree Points",$F396="Retain",$H396&lt;&gt;"",ISNA(MATCH($H396,Tables!$B$174:$B$174,0))),
Error!$B$15,
IF(AND($E396="Street Tree for Green Factor",$F396="Retain",$H396&lt;&gt;"",$H396&lt;&gt;"Zoning: Green Factor"),
Error!$B$15,
IF(AND($E396="ECA / Shoreline Tree",$F396="Remove",$H396&lt;&gt;"",ISNA(MATCH($H396,Tables!$B$189:$B$190,0))),
Error!$B$15,
IF(AND($E396="ECA / Shoreline Tree",$F396="Retain",$H396&lt;&gt;"",ISNA(MATCH($H396,Tables!$B$184:$B$186,0))),
Error!$B$15,
IF(AND($E396="Tier 4",$F396="Remove",$H396&lt;&gt;"",ISNA(MATCH($H396,Tables!$B$171,0))),
Error!$B$15,
IF(AND($E396="Tier 4",$F396="Retain",$H396&lt;&gt;"",ISNA(MATCH($H396,Tables!$B$166:$B$168,0))),
Error!$B$15,
IF(AND($E396="Tier 3",$F396="Retain",$H396&lt;&gt;"",ISNA(MATCH($H396,Tables!$B$158:$B$160,0))),
Error!$B$15,
IF(AND($E396="Tier 3",$F396="Remove",$H396&lt;&gt;"",ISNA(MATCH($H396,Tables!$B$163,0))),
Error!$B$15,
IF(AND(OR($E396="Tier 2",$E396="Tier 2 Grove"),$F396="Remove",$H396&lt;&gt;"",ISNA(MATCH($H396,Tables!$B$153:$B$155,0))),
Error!$B$15,
IF(AND(OR($E396="Tier 2",$E396="Tier 2 Grove"),$F396="Retain",$H396&lt;&gt;"",ISNA(MATCH($H396,Tables!$B$147:$B$150,0))),
Error!$B$15,
IF(AND($E396="Tier 1",$F396="Remove",$H396&lt;&gt;"",ISNA(MATCH($H396,Tables!$B$143:$B$144,0))),
Error!$B$15,
IF(AND($E396="Tier 1",$F396="Retain",$H396&lt;&gt;"",ISNA(MATCH($H396,Tables!$B$137:$B$140,0))),
Error!$B$15,
IF(AND($E396&lt;&gt;"Tier 2",$E396&lt;&gt;"Tier 2 Grove",$E396&lt;&gt;"Tier 3",$E396&lt;&gt;"Tier 4",$H396="Zoning: Green Factor",OR($D396="",$D396&lt;6)),
Error!$B$11,
IF(AND(_xlpm.baseRow,$D396&lt;6,$E396="&lt;6in DSH for Tree Points",_xlpm.TreePoints_H=0),
Error!$B$21,
IF(AND(_xlpm.baseRow,$E396&lt;&gt;"",$D396&lt;&gt;"",$F396=""),
Error!$B$4,
IF(AND(_xlpm.baseRow,$F396="Remove",OR($E396="Tier 1",$E396="Tier 2",$E396="Tier 2 Grove"),COUNTBLANK(_xlpm.HRange)&lt;3,_xlpm.uniqueH&gt;=2),
Error!$B$48,
IF(AND(_xlpm.baseRow,$F396="Retain",OR($E396="Tier 1",$E396="Tier 2",$E396="Tier 2 Grove"),COUNTIF(_xlpm.HRange,"Tree Code: Required to Retain Tier 1-2 Tree")=0),
Error!$B$47,
IF(AND(_xlpm.baseRow,$E396&lt;&gt;"",$D396&lt;&gt;"",$F396&lt;&gt;"",COUNTBLANK(_xlpm.HRange)=4),
Error!$B$5,
IF(AND($F396="Remove",$H396&lt;&gt;"",$I396=""),
Error!$B$18,
IF(AND($E396="Tier 4",$F396="Remove",$H396="Tree Protection Code: Tier 3 or Tier 4 Allowance",$H396&lt;&gt;"",ISNA(MATCH($I396,Tables!$B$200,0))),
Error!$B$17,
IF(AND($E396="Tier 3",$F396="Remove",$H396&lt;&gt;"",$H396="Tree Protection Code: Tier 3 or Tier 4 Allowance",OR($I396="",ISNA(MATCH($I396,Tables!$B$193:$B$197,0)))),
Error!$B$17,
IF(AND(OR($E396="Tier 2",$E396="Tier 2 Grove"),$F396="Remove",$H396="Tree Protection Code: Other removal allowance or exemption",$I396&lt;&gt;"",ISNA(MATCH($I396,Tables!$B$215:$B$218,0))),
Error!$B$17,
IF(AND(OR($E396="Tier 2",$E396="Tier 2 Grove"),$F396="Remove",$H396="Tree Protection Code: Development Capacity",$I396&lt;&gt;"",ISNA(MATCH($I396,Tables!$B$193:$B$197,0))),
Error!$B$17,
IF(AND(OR($E396="Tier 2",$E396="Tier 2 Grove"),$F396="Remove",$H396="Tree Protection Code: Necessary for Construction",$I396&lt;&gt;"",ISNA(MATCH($I396,Tables!$B$193:$B$197,0))),
Error!$B$17,
IF(AND($E396="Tier 1",$F396="Remove",$H396="Tree Protection Code: Special Exception",$I396&lt;&gt;"",ISNA(MATCH($I396,Tables!$B$215:$B$218,0))),
Error!$B$17,
IF(AND($E396="Tier 1",$F396="Remove",$H396="Tree Protection Code: Other removal allowance or exemption",$I396&lt;&gt;"",ISNA(MATCH($I396,Tables!$B$215:$B$218,0))),
Error!$B$17,
IF(AND($E396="ECA / Shoreline Tree",$F396="Remove",$H396&lt;&gt;"",OR($H396="Shoreline",$H396="Environmental Critical Area (ECA)"),ISNA(MATCH($I396,Tables!$B$209:$B$212,0))),
Error!$B$17,
IF(AND(_xlpm.baseRow,$F396="Retain",$E396="ECA / Shoreline Tree",_xlpm.ECA_Short=0),
Error!$B$61,
IF(AND($F396="Remove",ISNUMBER(MATCH($E396,{"Tier 1","Tier 2","Tier 3","Tier 4","Tier 2 Grove"},0)),ISNUMBER(MATCH($I396,{"On-site replacement","Off-site replacement"},0)),$J396="",$H396&lt;&gt;""),
Error!$B$19,
IF(AND(_xlpm.baseRow,$E396&lt;&gt;"",$D396&lt;&gt;"",$F396&lt;&gt;"",COUNTBLANK($B396:$C396)&gt;0,COUNTBLANK(_xlpm.HRange)&lt;&gt;4),
Error!$B$22,
IF(AND($H396="Zoning: Tree Points",$K396&lt;&gt;"",ISNA(MATCH($K396,Tables!$B$242:$B$253,0))),
Error!$B$58,
IF(AND($H396="Zoning: Tree Points",$K396="Small",$L396&lt;&gt;"",ISNA(MATCH($L396,Tables!$C$243:$C$244,0))),
Error!$B$59,
IF(AND($H396="Zoning: Tree Points",$K396="Small/Medium",$L396&lt;&gt;"",ISNA(MATCH($L396,Tables!$C$246:$C$247,0))),
Error!$B$59,
IF(AND($H396="Zoning: Tree Points",$K396="Medium/Large",$L396&lt;&gt;"",ISNA(MATCH($L396,Tables!$C$249:$C$250,0))),
Error!$B$59,
IF(AND($H396="Zoning: Tree Points",$K396="Large",$L396&lt;&gt;"",ISNA(MATCH($L396,Tables!$C$252:$C$253,0))),
Error!$B$59,
IF(AND($F396="Retain",$H396="Zoning: Tree Points",$C396&lt;&gt;"",$D396&lt;&gt;"",OR($K396="",$L396="",$M396="")),
Error!$B$20,
""
)))))))))))))))))))))))))))))))))))))))))))))))))))))))),
Error!$B$23))</f>
        <v/>
      </c>
      <c r="O396" s="343" t="str" cm="1">
        <f t="array" aca="1" ref="O396" ca="1">IFERROR(_xlfn.LET(
    _xlpm.txt, $C396,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97" spans="1:15" x14ac:dyDescent="0.3">
      <c r="A397" s="320"/>
      <c r="B397" s="616" t="str">
        <f t="shared" si="442"/>
        <v/>
      </c>
      <c r="C397" s="617" t="str">
        <f t="shared" si="443"/>
        <v/>
      </c>
      <c r="D397" s="618" t="str">
        <f t="shared" si="444"/>
        <v/>
      </c>
      <c r="E397" s="616" t="str">
        <f t="shared" si="445"/>
        <v/>
      </c>
      <c r="F397" s="616" t="str">
        <f t="shared" si="446"/>
        <v/>
      </c>
      <c r="G397" s="619" t="str">
        <f>IF(Tree_Table1[[#This Row],[Tree Status  &amp;]]="Retain", Tables!$B$237, IF(Tree_Table1[[#This Row],[Tree Status  &amp;]]="Remove", Tables!$B$238, ""))</f>
        <v/>
      </c>
      <c r="H397" s="321"/>
      <c r="I397" s="322"/>
      <c r="J397" s="453"/>
      <c r="K397" s="323" t="str">
        <f>IFERROR(
    IF(
        AND($H397="Zoning: Tree Points", NOT(ISNUMBER(SEARCH("sp.", $C397)))),
        VLOOKUP($C397, 'Tree List'!$C$3:$F$601, 4, FALSE),
        ""
    ),
"")</f>
        <v/>
      </c>
      <c r="L397" s="324" t="str" cm="1">
        <f t="array" ref="L397">IFERROR(
IF(
    AND($H397="Zoning: Tree Points", NOT(ISNUMBER(SEARCH("sp.", $C397)))),
    _xlfn.IFS(
        (COUNTIFS('Tree List'!$C$3:$C$601,$C397,'Tree List'!$D$3:$D$601,"Coniferous")
        + COUNTIFS('Tree List'!$C$3:$C$601,$C397,'Tree List'!$D$3:$D$601,"Deciduous Conifer")) &gt; 0,
            _xlfn.IFS($K397="Small",0.5,$K397="Small/Medium",1,$K397="Medium/Large",1.4,$K397="Large",1.8),
        (COUNTIFS('Tree List'!$C$3:$C$601,$C397,'Tree List'!$D$3:$D$601,"Deciduous")
        + COUNTIFS('Tree List'!$C$3:$C$601,$C397,'Tree List'!$D$3:$D$601,"Broadleaf Evergreen")) &gt; 0,
            _xlfn.IFS($K397="Small",0.4,$K397="Small/Medium",0.8,$K397="Medium/Large",1.2,$K397="Large",1.6)
    ),
    ""
),
"")</f>
        <v/>
      </c>
      <c r="M397" s="475" t="str">
        <f t="shared" si="411"/>
        <v/>
      </c>
      <c r="N397" s="346" t="str" cm="1">
        <f t="array" aca="1" ref="N39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IF(AND(_xlpm.baseRow,ISNA(MATCH($C397,'Tree List'!$C$3:$C$601,0)),SUMPRODUCT(--ISNUMBER(SEARCH(Tables2!$C$677:$C$772,$O397)))&gt;0),
Error!$B$57,
IF(AND(_xlpm.hasDM,$F397="Remove",$H397&lt;&gt;"",OR($I397="On-site replacement",$I397="Off-site replacement",$I397="Payment In Lieu")),
Error!$B$56,
IF(AND(_xlpm.hasDM,$F397="Remove",$H397&lt;&gt;"",$I397="Relocation"),
Error!$B$66,
IF(AND(OR(_xlpm.hasCN,_xlpm.hasPH,_xlpm.hasGR),$H397&lt;&gt;"",COUNTIF(Tables!$B$132:$B$134,$H397)&gt;0,$I397="N/A (No replacement required)"),
Error!$B$62,
IF(AND(_xlpm.baseRow,$E397&lt;&gt;"",ISNA(MATCH($E397,Tables!$B$225:$B$232,0))),
Error!$B$2,
IF(AND(_xlpm.baseRow,$F397&lt;&gt;"",ISNA(MATCH($F397,Tables!$B$234:$B$235,0))),
Error!$B$24,
IF(AND(_xlpm.baseRow,_xlpm.ECA_H&gt;0,_xlpm.Shore_H&gt;0),
Error!$B$16,
IF(AND(_xlpm.baseRow,$E397&lt;&gt;"",$D397=""),
Error!$B$3,
IF(AND(_xlpm.baseRow,OR($E397="Tier 3",$E397="Tier 4"),$C397&lt;&gt;"",$D397&gt;=24,COUNTIF(Tables2!$B$166:$B$674,$C397)&gt;0),
Error!$B$44,
IF(AND(_xlpm.baseRow,OR($E397="Tier 3",$E397="Tier 4"),$C397&lt;&gt;"",$D397&lt;&gt;"",COUNTIF(Tables2!$B$73:$B$152,$C397)&gt;0,
$D397&gt;=IFERROR(INDEX(Tables2!$C$73:$C$152,MATCH($C397,Tables2!$B$73:$B$152,0)),-1)),
Error!$B$44,
IF(AND(_xlpm.baseRow,OR($E397="Tier 2",$E397="Tier 2 Grove"),$C397&lt;&gt;"",$D397&gt;=12,COUNTIF(Tables2!$B$153:$B$162,$C397)&gt;0),
Error!$B$45,
IF(AND(_xlpm.baseRow,$E397="Tier 2 Grove",$D397&lt;12),
Error!$B$41,
IF(AND(_xlpm.baseRow,$E397="Tier 2",$D397&lt;5.88),
Error!$B$40,
IF(AND(_xlpm.baseRow,OR($E397="Tier 2",$E397="Tier 2 Grove"),$C397&lt;&gt;"",$D397&lt;12,$D397&gt;=6,COUNTIF(Tables2!$B$153:$B$162,$C397)&gt;0),
Error!$B$54,
IF(AND(_xlpm.baseRow,$E397="Tier 2",COUNTIF(Tables2!$B$166:$B$674,$C397)&gt;0,$D397&lt;24),
Error!$B$54,
IF(AND(_xlpm.baseRow,$E397="Tier 3",ISNA(MATCH($C397,Tables2!$B$153:$B$162,0)),OR($D397&lt;12,$D397&gt;=24)),
Error!$B$9,
IF(AND(_xlpm.baseRow,$E397="Tier 3",COUNTIF(Tables2!$B$153:$B$162,$C397)&gt;0,$D397&lt;12),
Error!$B$46,
IF(AND(_xlpm.baseRow,$E397="Tier 4",OR($D397&lt;6,$D397&gt;=12)),
Error!$B$10,
IF(AND(_xlpm.baseRow,$E397="&lt;6in DSH for Tree Points",OR($D397&gt;=6,$D397="")),
Error!$B$8,
IF(AND(_xlpm.baseRow,$E397="Street Tree for Green Factor",$F397&lt;&gt;"",$F397&lt;&gt;"Retain"),
Error!$B$14,
IF(AND($E397="&lt;6in DSH for Tree Points",$F397="Retain",$H397&lt;&gt;"",ISNA(MATCH($H397,Tables!$B$174:$B$174,0))),
Error!$B$15,
IF(AND($E397="Street Tree for Green Factor",$F397="Retain",$H397&lt;&gt;"",$H397&lt;&gt;"Zoning: Green Factor"),
Error!$B$15,
IF(AND($E397="ECA / Shoreline Tree",$F397="Remove",$H397&lt;&gt;"",ISNA(MATCH($H397,Tables!$B$189:$B$190,0))),
Error!$B$15,
IF(AND($E397="ECA / Shoreline Tree",$F397="Retain",$H397&lt;&gt;"",ISNA(MATCH($H397,Tables!$B$184:$B$186,0))),
Error!$B$15,
IF(AND($E397="Tier 4",$F397="Remove",$H397&lt;&gt;"",ISNA(MATCH($H397,Tables!$B$171,0))),
Error!$B$15,
IF(AND($E397="Tier 4",$F397="Retain",$H397&lt;&gt;"",ISNA(MATCH($H397,Tables!$B$166:$B$168,0))),
Error!$B$15,
IF(AND($E397="Tier 3",$F397="Retain",$H397&lt;&gt;"",ISNA(MATCH($H397,Tables!$B$158:$B$160,0))),
Error!$B$15,
IF(AND($E397="Tier 3",$F397="Remove",$H397&lt;&gt;"",ISNA(MATCH($H397,Tables!$B$163,0))),
Error!$B$15,
IF(AND(OR($E397="Tier 2",$E397="Tier 2 Grove"),$F397="Remove",$H397&lt;&gt;"",ISNA(MATCH($H397,Tables!$B$153:$B$155,0))),
Error!$B$15,
IF(AND(OR($E397="Tier 2",$E397="Tier 2 Grove"),$F397="Retain",$H397&lt;&gt;"",ISNA(MATCH($H397,Tables!$B$147:$B$150,0))),
Error!$B$15,
IF(AND($E397="Tier 1",$F397="Remove",$H397&lt;&gt;"",ISNA(MATCH($H397,Tables!$B$143:$B$144,0))),
Error!$B$15,
IF(AND($E397="Tier 1",$F397="Retain",$H397&lt;&gt;"",ISNA(MATCH($H397,Tables!$B$137:$B$140,0))),
Error!$B$15,
IF(AND($E397&lt;&gt;"Tier 2",$E397&lt;&gt;"Tier 2 Grove",$E397&lt;&gt;"Tier 3",$E397&lt;&gt;"Tier 4",$H397="Zoning: Green Factor",OR($D397="",$D397&lt;6)),
Error!$B$11,
IF(AND(_xlpm.baseRow,$D397&lt;6,$E397="&lt;6in DSH for Tree Points",_xlpm.TreePoints_H=0),
Error!$B$21,
IF(AND(_xlpm.baseRow,$E397&lt;&gt;"",$D397&lt;&gt;"",$F397=""),
Error!$B$4,
IF(AND(_xlpm.baseRow,$F397="Remove",OR($E397="Tier 1",$E397="Tier 2",$E397="Tier 2 Grove"),COUNTBLANK(_xlpm.HRange)&lt;3,_xlpm.uniqueH&gt;=2),
Error!$B$48,
IF(AND(_xlpm.baseRow,$F397="Retain",OR($E397="Tier 1",$E397="Tier 2",$E397="Tier 2 Grove"),COUNTIF(_xlpm.HRange,"Tree Code: Required to Retain Tier 1-2 Tree")=0),
Error!$B$47,
IF(AND(_xlpm.baseRow,$E397&lt;&gt;"",$D397&lt;&gt;"",$F397&lt;&gt;"",COUNTBLANK(_xlpm.HRange)=4),
Error!$B$5,
IF(AND($F397="Remove",$H397&lt;&gt;"",$I397=""),
Error!$B$18,
IF(AND($E397="Tier 4",$F397="Remove",$H397="Tree Protection Code: Tier 3 or Tier 4 Allowance",$H397&lt;&gt;"",ISNA(MATCH($I397,Tables!$B$200,0))),
Error!$B$17,
IF(AND($E397="Tier 3",$F397="Remove",$H397&lt;&gt;"",$H397="Tree Protection Code: Tier 3 or Tier 4 Allowance",OR($I397="",ISNA(MATCH($I397,Tables!$B$193:$B$197,0)))),
Error!$B$17,
IF(AND(OR($E397="Tier 2",$E397="Tier 2 Grove"),$F397="Remove",$H397="Tree Protection Code: Other removal allowance or exemption",$I397&lt;&gt;"",ISNA(MATCH($I397,Tables!$B$215:$B$218,0))),
Error!$B$17,
IF(AND(OR($E397="Tier 2",$E397="Tier 2 Grove"),$F397="Remove",$H397="Tree Protection Code: Development Capacity",$I397&lt;&gt;"",ISNA(MATCH($I397,Tables!$B$193:$B$197,0))),
Error!$B$17,
IF(AND(OR($E397="Tier 2",$E397="Tier 2 Grove"),$F397="Remove",$H397="Tree Protection Code: Necessary for Construction",$I397&lt;&gt;"",ISNA(MATCH($I397,Tables!$B$193:$B$197,0))),
Error!$B$17,
IF(AND($E397="Tier 1",$F397="Remove",$H397="Tree Protection Code: Special Exception",$I397&lt;&gt;"",ISNA(MATCH($I397,Tables!$B$215:$B$218,0))),
Error!$B$17,
IF(AND($E397="Tier 1",$F397="Remove",$H397="Tree Protection Code: Other removal allowance or exemption",$I397&lt;&gt;"",ISNA(MATCH($I397,Tables!$B$215:$B$218,0))),
Error!$B$17,
IF(AND($E397="ECA / Shoreline Tree",$F397="Remove",$H397&lt;&gt;"",OR($H397="Shoreline",$H397="Environmental Critical Area (ECA)"),ISNA(MATCH($I397,Tables!$B$209:$B$212,0))),
Error!$B$17,
IF(AND(_xlpm.baseRow,$F397="Retain",$E397="ECA / Shoreline Tree",_xlpm.ECA_Short=0),
Error!$B$61,
IF(AND($F397="Remove",ISNUMBER(MATCH($E397,{"Tier 1","Tier 2","Tier 3","Tier 4","Tier 2 Grove"},0)),ISNUMBER(MATCH($I397,{"On-site replacement","Off-site replacement"},0)),$J397="",$H397&lt;&gt;""),
Error!$B$19,
IF(AND(_xlpm.baseRow,$E397&lt;&gt;"",$D397&lt;&gt;"",$F397&lt;&gt;"",COUNTBLANK($B397:$C397)&gt;0,COUNTBLANK(_xlpm.HRange)&lt;&gt;4),
Error!$B$22,
IF(AND($H397="Zoning: Tree Points",$K397&lt;&gt;"",ISNA(MATCH($K397,Tables!$B$242:$B$253,0))),
Error!$B$58,
IF(AND($H397="Zoning: Tree Points",$K397="Small",$L397&lt;&gt;"",ISNA(MATCH($L397,Tables!$C$243:$C$244,0))),
Error!$B$59,
IF(AND($H397="Zoning: Tree Points",$K397="Small/Medium",$L397&lt;&gt;"",ISNA(MATCH($L397,Tables!$C$246:$C$247,0))),
Error!$B$59,
IF(AND($H397="Zoning: Tree Points",$K397="Medium/Large",$L397&lt;&gt;"",ISNA(MATCH($L397,Tables!$C$249:$C$250,0))),
Error!$B$59,
IF(AND($H397="Zoning: Tree Points",$K397="Large",$L397&lt;&gt;"",ISNA(MATCH($L397,Tables!$C$252:$C$253,0))),
Error!$B$59,
IF(AND($F397="Retain",$H397="Zoning: Tree Points",$C397&lt;&gt;"",$D397&lt;&gt;"",OR($K397="",$L397="",$M397="")),
Error!$B$20,
""
)))))))))))))))))))))))))))))))))))))))))))))))))))))))),
Error!$B$23))</f>
        <v/>
      </c>
      <c r="O397" s="343" t="str" cm="1">
        <f t="array" aca="1" ref="O397" ca="1">IFERROR(_xlfn.LET(
    _xlpm.txt, $C397,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98" spans="1:15" ht="15" thickBot="1" x14ac:dyDescent="0.35">
      <c r="A398" s="331"/>
      <c r="B398" s="616" t="str">
        <f t="shared" si="442"/>
        <v/>
      </c>
      <c r="C398" s="617" t="str">
        <f t="shared" si="443"/>
        <v/>
      </c>
      <c r="D398" s="618" t="str">
        <f t="shared" si="444"/>
        <v/>
      </c>
      <c r="E398" s="616" t="str">
        <f t="shared" si="445"/>
        <v/>
      </c>
      <c r="F398" s="616" t="str">
        <f t="shared" si="446"/>
        <v/>
      </c>
      <c r="G398" s="619" t="str">
        <f>IF(Tree_Table1[[#This Row],[Tree Status  &amp;]]="Retain", Tables!$B$237, IF(Tree_Table1[[#This Row],[Tree Status  &amp;]]="Remove", Tables!$B$238, ""))</f>
        <v/>
      </c>
      <c r="H398" s="329"/>
      <c r="I398" s="330"/>
      <c r="J398" s="455"/>
      <c r="K398" s="327" t="str">
        <f>IFERROR(
    IF(
        AND($H398="Zoning: Tree Points", NOT(ISNUMBER(SEARCH("sp.", $C398)))),
        VLOOKUP($C398, 'Tree List'!$C$3:$F$601, 4, FALSE),
        ""
    ),
"")</f>
        <v/>
      </c>
      <c r="L398" s="328" t="str" cm="1">
        <f t="array" ref="L398">IFERROR(
IF(
    AND($H398="Zoning: Tree Points", NOT(ISNUMBER(SEARCH("sp.", $C398)))),
    _xlfn.IFS(
        (COUNTIFS('Tree List'!$C$3:$C$601,$C398,'Tree List'!$D$3:$D$601,"Coniferous")
        + COUNTIFS('Tree List'!$C$3:$C$601,$C398,'Tree List'!$D$3:$D$601,"Deciduous Conifer")) &gt; 0,
            _xlfn.IFS($K398="Small",0.5,$K398="Small/Medium",1,$K398="Medium/Large",1.4,$K398="Large",1.8),
        (COUNTIFS('Tree List'!$C$3:$C$601,$C398,'Tree List'!$D$3:$D$601,"Deciduous")
        + COUNTIFS('Tree List'!$C$3:$C$601,$C398,'Tree List'!$D$3:$D$601,"Broadleaf Evergreen")) &gt; 0,
            _xlfn.IFS($K398="Small",0.4,$K398="Small/Medium",0.8,$K398="Medium/Large",1.2,$K398="Large",1.6)
    ),
    ""
),
"")</f>
        <v/>
      </c>
      <c r="M398" s="476" t="str">
        <f t="shared" si="411"/>
        <v/>
      </c>
      <c r="N398" s="347" t="str" cm="1">
        <f t="array" aca="1" ref="N39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IF(AND(_xlpm.baseRow,ISNA(MATCH($C398,'Tree List'!$C$3:$C$601,0)),SUMPRODUCT(--ISNUMBER(SEARCH(Tables2!$C$677:$C$772,$O398)))&gt;0),
Error!$B$57,
IF(AND(_xlpm.hasDM,$F398="Remove",$H398&lt;&gt;"",OR($I398="On-site replacement",$I398="Off-site replacement",$I398="Payment In Lieu")),
Error!$B$56,
IF(AND(_xlpm.hasDM,$F398="Remove",$H398&lt;&gt;"",$I398="Relocation"),
Error!$B$66,
IF(AND(OR(_xlpm.hasCN,_xlpm.hasPH,_xlpm.hasGR),$H398&lt;&gt;"",COUNTIF(Tables!$B$132:$B$134,$H398)&gt;0,$I398="N/A (No replacement required)"),
Error!$B$62,
IF(AND(_xlpm.baseRow,$E398&lt;&gt;"",ISNA(MATCH($E398,Tables!$B$225:$B$232,0))),
Error!$B$2,
IF(AND(_xlpm.baseRow,$F398&lt;&gt;"",ISNA(MATCH($F398,Tables!$B$234:$B$235,0))),
Error!$B$24,
IF(AND(_xlpm.baseRow,_xlpm.ECA_H&gt;0,_xlpm.Shore_H&gt;0),
Error!$B$16,
IF(AND(_xlpm.baseRow,$E398&lt;&gt;"",$D398=""),
Error!$B$3,
IF(AND(_xlpm.baseRow,OR($E398="Tier 3",$E398="Tier 4"),$C398&lt;&gt;"",$D398&gt;=24,COUNTIF(Tables2!$B$166:$B$674,$C398)&gt;0),
Error!$B$44,
IF(AND(_xlpm.baseRow,OR($E398="Tier 3",$E398="Tier 4"),$C398&lt;&gt;"",$D398&lt;&gt;"",COUNTIF(Tables2!$B$73:$B$152,$C398)&gt;0,
$D398&gt;=IFERROR(INDEX(Tables2!$C$73:$C$152,MATCH($C398,Tables2!$B$73:$B$152,0)),-1)),
Error!$B$44,
IF(AND(_xlpm.baseRow,OR($E398="Tier 2",$E398="Tier 2 Grove"),$C398&lt;&gt;"",$D398&gt;=12,COUNTIF(Tables2!$B$153:$B$162,$C398)&gt;0),
Error!$B$45,
IF(AND(_xlpm.baseRow,$E398="Tier 2 Grove",$D398&lt;12),
Error!$B$41,
IF(AND(_xlpm.baseRow,$E398="Tier 2",$D398&lt;5.88),
Error!$B$40,
IF(AND(_xlpm.baseRow,OR($E398="Tier 2",$E398="Tier 2 Grove"),$C398&lt;&gt;"",$D398&lt;12,$D398&gt;=6,COUNTIF(Tables2!$B$153:$B$162,$C398)&gt;0),
Error!$B$54,
IF(AND(_xlpm.baseRow,$E398="Tier 2",COUNTIF(Tables2!$B$166:$B$674,$C398)&gt;0,$D398&lt;24),
Error!$B$54,
IF(AND(_xlpm.baseRow,$E398="Tier 3",ISNA(MATCH($C398,Tables2!$B$153:$B$162,0)),OR($D398&lt;12,$D398&gt;=24)),
Error!$B$9,
IF(AND(_xlpm.baseRow,$E398="Tier 3",COUNTIF(Tables2!$B$153:$B$162,$C398)&gt;0,$D398&lt;12),
Error!$B$46,
IF(AND(_xlpm.baseRow,$E398="Tier 4",OR($D398&lt;6,$D398&gt;=12)),
Error!$B$10,
IF(AND(_xlpm.baseRow,$E398="&lt;6in DSH for Tree Points",OR($D398&gt;=6,$D398="")),
Error!$B$8,
IF(AND(_xlpm.baseRow,$E398="Street Tree for Green Factor",$F398&lt;&gt;"",$F398&lt;&gt;"Retain"),
Error!$B$14,
IF(AND($E398="&lt;6in DSH for Tree Points",$F398="Retain",$H398&lt;&gt;"",ISNA(MATCH($H398,Tables!$B$174:$B$174,0))),
Error!$B$15,
IF(AND($E398="Street Tree for Green Factor",$F398="Retain",$H398&lt;&gt;"",$H398&lt;&gt;"Zoning: Green Factor"),
Error!$B$15,
IF(AND($E398="ECA / Shoreline Tree",$F398="Remove",$H398&lt;&gt;"",ISNA(MATCH($H398,Tables!$B$189:$B$190,0))),
Error!$B$15,
IF(AND($E398="ECA / Shoreline Tree",$F398="Retain",$H398&lt;&gt;"",ISNA(MATCH($H398,Tables!$B$184:$B$186,0))),
Error!$B$15,
IF(AND($E398="Tier 4",$F398="Remove",$H398&lt;&gt;"",ISNA(MATCH($H398,Tables!$B$171,0))),
Error!$B$15,
IF(AND($E398="Tier 4",$F398="Retain",$H398&lt;&gt;"",ISNA(MATCH($H398,Tables!$B$166:$B$168,0))),
Error!$B$15,
IF(AND($E398="Tier 3",$F398="Retain",$H398&lt;&gt;"",ISNA(MATCH($H398,Tables!$B$158:$B$160,0))),
Error!$B$15,
IF(AND($E398="Tier 3",$F398="Remove",$H398&lt;&gt;"",ISNA(MATCH($H398,Tables!$B$163,0))),
Error!$B$15,
IF(AND(OR($E398="Tier 2",$E398="Tier 2 Grove"),$F398="Remove",$H398&lt;&gt;"",ISNA(MATCH($H398,Tables!$B$153:$B$155,0))),
Error!$B$15,
IF(AND(OR($E398="Tier 2",$E398="Tier 2 Grove"),$F398="Retain",$H398&lt;&gt;"",ISNA(MATCH($H398,Tables!$B$147:$B$150,0))),
Error!$B$15,
IF(AND($E398="Tier 1",$F398="Remove",$H398&lt;&gt;"",ISNA(MATCH($H398,Tables!$B$143:$B$144,0))),
Error!$B$15,
IF(AND($E398="Tier 1",$F398="Retain",$H398&lt;&gt;"",ISNA(MATCH($H398,Tables!$B$137:$B$140,0))),
Error!$B$15,
IF(AND($E398&lt;&gt;"Tier 2",$E398&lt;&gt;"Tier 2 Grove",$E398&lt;&gt;"Tier 3",$E398&lt;&gt;"Tier 4",$H398="Zoning: Green Factor",OR($D398="",$D398&lt;6)),
Error!$B$11,
IF(AND(_xlpm.baseRow,$D398&lt;6,$E398="&lt;6in DSH for Tree Points",_xlpm.TreePoints_H=0),
Error!$B$21,
IF(AND(_xlpm.baseRow,$E398&lt;&gt;"",$D398&lt;&gt;"",$F398=""),
Error!$B$4,
IF(AND(_xlpm.baseRow,$F398="Remove",OR($E398="Tier 1",$E398="Tier 2",$E398="Tier 2 Grove"),COUNTBLANK(_xlpm.HRange)&lt;3,_xlpm.uniqueH&gt;=2),
Error!$B$48,
IF(AND(_xlpm.baseRow,$F398="Retain",OR($E398="Tier 1",$E398="Tier 2",$E398="Tier 2 Grove"),COUNTIF(_xlpm.HRange,"Tree Code: Required to Retain Tier 1-2 Tree")=0),
Error!$B$47,
IF(AND(_xlpm.baseRow,$E398&lt;&gt;"",$D398&lt;&gt;"",$F398&lt;&gt;"",COUNTBLANK(_xlpm.HRange)=4),
Error!$B$5,
IF(AND($F398="Remove",$H398&lt;&gt;"",$I398=""),
Error!$B$18,
IF(AND($E398="Tier 4",$F398="Remove",$H398="Tree Protection Code: Tier 3 or Tier 4 Allowance",$H398&lt;&gt;"",ISNA(MATCH($I398,Tables!$B$200,0))),
Error!$B$17,
IF(AND($E398="Tier 3",$F398="Remove",$H398&lt;&gt;"",$H398="Tree Protection Code: Tier 3 or Tier 4 Allowance",OR($I398="",ISNA(MATCH($I398,Tables!$B$193:$B$197,0)))),
Error!$B$17,
IF(AND(OR($E398="Tier 2",$E398="Tier 2 Grove"),$F398="Remove",$H398="Tree Protection Code: Other removal allowance or exemption",$I398&lt;&gt;"",ISNA(MATCH($I398,Tables!$B$215:$B$218,0))),
Error!$B$17,
IF(AND(OR($E398="Tier 2",$E398="Tier 2 Grove"),$F398="Remove",$H398="Tree Protection Code: Development Capacity",$I398&lt;&gt;"",ISNA(MATCH($I398,Tables!$B$193:$B$197,0))),
Error!$B$17,
IF(AND(OR($E398="Tier 2",$E398="Tier 2 Grove"),$F398="Remove",$H398="Tree Protection Code: Necessary for Construction",$I398&lt;&gt;"",ISNA(MATCH($I398,Tables!$B$193:$B$197,0))),
Error!$B$17,
IF(AND($E398="Tier 1",$F398="Remove",$H398="Tree Protection Code: Special Exception",$I398&lt;&gt;"",ISNA(MATCH($I398,Tables!$B$215:$B$218,0))),
Error!$B$17,
IF(AND($E398="Tier 1",$F398="Remove",$H398="Tree Protection Code: Other removal allowance or exemption",$I398&lt;&gt;"",ISNA(MATCH($I398,Tables!$B$215:$B$218,0))),
Error!$B$17,
IF(AND($E398="ECA / Shoreline Tree",$F398="Remove",$H398&lt;&gt;"",OR($H398="Shoreline",$H398="Environmental Critical Area (ECA)"),ISNA(MATCH($I398,Tables!$B$209:$B$212,0))),
Error!$B$17,
IF(AND(_xlpm.baseRow,$F398="Retain",$E398="ECA / Shoreline Tree",_xlpm.ECA_Short=0),
Error!$B$61,
IF(AND($F398="Remove",ISNUMBER(MATCH($E398,{"Tier 1","Tier 2","Tier 3","Tier 4","Tier 2 Grove"},0)),ISNUMBER(MATCH($I398,{"On-site replacement","Off-site replacement"},0)),$J398="",$H398&lt;&gt;""),
Error!$B$19,
IF(AND(_xlpm.baseRow,$E398&lt;&gt;"",$D398&lt;&gt;"",$F398&lt;&gt;"",COUNTBLANK($B398:$C398)&gt;0,COUNTBLANK(_xlpm.HRange)&lt;&gt;4),
Error!$B$22,
IF(AND($H398="Zoning: Tree Points",$K398&lt;&gt;"",ISNA(MATCH($K398,Tables!$B$242:$B$253,0))),
Error!$B$58,
IF(AND($H398="Zoning: Tree Points",$K398="Small",$L398&lt;&gt;"",ISNA(MATCH($L398,Tables!$C$243:$C$244,0))),
Error!$B$59,
IF(AND($H398="Zoning: Tree Points",$K398="Small/Medium",$L398&lt;&gt;"",ISNA(MATCH($L398,Tables!$C$246:$C$247,0))),
Error!$B$59,
IF(AND($H398="Zoning: Tree Points",$K398="Medium/Large",$L398&lt;&gt;"",ISNA(MATCH($L398,Tables!$C$249:$C$250,0))),
Error!$B$59,
IF(AND($H398="Zoning: Tree Points",$K398="Large",$L398&lt;&gt;"",ISNA(MATCH($L398,Tables!$C$252:$C$253,0))),
Error!$B$59,
IF(AND($F398="Retain",$H398="Zoning: Tree Points",$C398&lt;&gt;"",$D398&lt;&gt;"",OR($K398="",$L398="",$M398="")),
Error!$B$20,
""
)))))))))))))))))))))))))))))))))))))))))))))))))))))))),
Error!$B$23))</f>
        <v/>
      </c>
      <c r="O398" s="343" t="str" cm="1">
        <f t="array" aca="1" ref="O398" ca="1">IFERROR(_xlfn.LET(
    _xlpm.txt, $C398,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99" spans="1:15" ht="15" thickBot="1" x14ac:dyDescent="0.35">
      <c r="A399" s="311">
        <v>98</v>
      </c>
      <c r="B399" s="312"/>
      <c r="C399" s="313"/>
      <c r="D399" s="478"/>
      <c r="E399" s="314"/>
      <c r="F399" s="314"/>
      <c r="G399" s="315" t="str">
        <f>IF(Tree_Table1[[#This Row],[Tree Status  &amp;]]="Retain", Tables!$B$237, IF(Tree_Table1[[#This Row],[Tree Status  &amp;]]="Remove", Tables!$B$238, ""))</f>
        <v/>
      </c>
      <c r="H399" s="316"/>
      <c r="I399" s="317"/>
      <c r="J399" s="452"/>
      <c r="K399" s="318" t="str">
        <f>IFERROR(
    IF(
        AND($H399="Zoning: Tree Points", NOT(ISNUMBER(SEARCH("sp.", $C399)))),
        VLOOKUP($C399, 'Tree List'!$C$3:$F$601, 4, FALSE),
        ""
    ),
"")</f>
        <v/>
      </c>
      <c r="L399" s="319" t="str" cm="1">
        <f t="array" ref="L399">IFERROR(
IF(
    AND($H399="Zoning: Tree Points", NOT(ISNUMBER(SEARCH("sp.", $C399)))),
    _xlfn.IFS(
        (COUNTIFS('Tree List'!$C$3:$C$601,$C399,'Tree List'!$D$3:$D$601,"Coniferous")
        + COUNTIFS('Tree List'!$C$3:$C$601,$C399,'Tree List'!$D$3:$D$601,"Deciduous Conifer")) &gt; 0,
            _xlfn.IFS($K399="Small",0.5,$K399="Small/Medium",1,$K399="Medium/Large",1.4,$K399="Large",1.8),
        (COUNTIFS('Tree List'!$C$3:$C$601,$C399,'Tree List'!$D$3:$D$601,"Deciduous")
        + COUNTIFS('Tree List'!$C$3:$C$601,$C399,'Tree List'!$D$3:$D$601,"Broadleaf Evergreen")) &gt; 0,
            _xlfn.IFS($K399="Small",0.4,$K399="Small/Medium",0.8,$K399="Medium/Large",1.2,$K399="Large",1.6)
    ),
    ""
),
"")</f>
        <v/>
      </c>
      <c r="M399" s="474" t="str">
        <f t="shared" si="411"/>
        <v/>
      </c>
      <c r="N399" s="620" t="str" cm="1">
        <f t="array" aca="1" ref="N39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IF(AND(_xlpm.baseRow,ISNA(MATCH($C399,'Tree List'!$C$3:$C$601,0)),SUMPRODUCT(--ISNUMBER(SEARCH(Tables2!$C$677:$C$772,$O399)))&gt;0),
Error!$B$57,
IF(AND(_xlpm.hasDM,$F399="Remove",$H399&lt;&gt;"",OR($I399="On-site replacement",$I399="Off-site replacement",$I399="Payment In Lieu")),
Error!$B$56,
IF(AND(_xlpm.hasDM,$F399="Remove",$H399&lt;&gt;"",$I399="Relocation"),
Error!$B$66,
IF(AND(OR(_xlpm.hasCN,_xlpm.hasPH,_xlpm.hasGR),$H399&lt;&gt;"",COUNTIF(Tables!$B$132:$B$134,$H399)&gt;0,$I399="N/A (No replacement required)"),
Error!$B$62,
IF(AND(_xlpm.baseRow,$E399&lt;&gt;"",ISNA(MATCH($E399,Tables!$B$225:$B$232,0))),
Error!$B$2,
IF(AND(_xlpm.baseRow,$F399&lt;&gt;"",ISNA(MATCH($F399,Tables!$B$234:$B$235,0))),
Error!$B$24,
IF(AND(_xlpm.baseRow,_xlpm.ECA_H&gt;0,_xlpm.Shore_H&gt;0),
Error!$B$16,
IF(AND(_xlpm.baseRow,$E399&lt;&gt;"",$D399=""),
Error!$B$3,
IF(AND(_xlpm.baseRow,OR($E399="Tier 3",$E399="Tier 4"),$C399&lt;&gt;"",$D399&gt;=24,COUNTIF(Tables2!$B$166:$B$674,$C399)&gt;0),
Error!$B$44,
IF(AND(_xlpm.baseRow,OR($E399="Tier 3",$E399="Tier 4"),$C399&lt;&gt;"",$D399&lt;&gt;"",COUNTIF(Tables2!$B$73:$B$152,$C399)&gt;0,
$D399&gt;=IFERROR(INDEX(Tables2!$C$73:$C$152,MATCH($C399,Tables2!$B$73:$B$152,0)),-1)),
Error!$B$44,
IF(AND(_xlpm.baseRow,OR($E399="Tier 2",$E399="Tier 2 Grove"),$C399&lt;&gt;"",$D399&gt;=12,COUNTIF(Tables2!$B$153:$B$162,$C399)&gt;0),
Error!$B$45,
IF(AND(_xlpm.baseRow,$E399="Tier 2 Grove",$D399&lt;12),
Error!$B$41,
IF(AND(_xlpm.baseRow,$E399="Tier 2",$D399&lt;5.88),
Error!$B$40,
IF(AND(_xlpm.baseRow,OR($E399="Tier 2",$E399="Tier 2 Grove"),$C399&lt;&gt;"",$D399&lt;12,$D399&gt;=6,COUNTIF(Tables2!$B$153:$B$162,$C399)&gt;0),
Error!$B$54,
IF(AND(_xlpm.baseRow,$E399="Tier 2",COUNTIF(Tables2!$B$166:$B$674,$C399)&gt;0,$D399&lt;24),
Error!$B$54,
IF(AND(_xlpm.baseRow,$E399="Tier 3",ISNA(MATCH($C399,Tables2!$B$153:$B$162,0)),OR($D399&lt;12,$D399&gt;=24)),
Error!$B$9,
IF(AND(_xlpm.baseRow,$E399="Tier 3",COUNTIF(Tables2!$B$153:$B$162,$C399)&gt;0,$D399&lt;12),
Error!$B$46,
IF(AND(_xlpm.baseRow,$E399="Tier 4",OR($D399&lt;6,$D399&gt;=12)),
Error!$B$10,
IF(AND(_xlpm.baseRow,$E399="&lt;6in DSH for Tree Points",OR($D399&gt;=6,$D399="")),
Error!$B$8,
IF(AND(_xlpm.baseRow,$E399="Street Tree for Green Factor",$F399&lt;&gt;"",$F399&lt;&gt;"Retain"),
Error!$B$14,
IF(AND($E399="&lt;6in DSH for Tree Points",$F399="Retain",$H399&lt;&gt;"",ISNA(MATCH($H399,Tables!$B$174:$B$174,0))),
Error!$B$15,
IF(AND($E399="Street Tree for Green Factor",$F399="Retain",$H399&lt;&gt;"",$H399&lt;&gt;"Zoning: Green Factor"),
Error!$B$15,
IF(AND($E399="ECA / Shoreline Tree",$F399="Remove",$H399&lt;&gt;"",ISNA(MATCH($H399,Tables!$B$189:$B$190,0))),
Error!$B$15,
IF(AND($E399="ECA / Shoreline Tree",$F399="Retain",$H399&lt;&gt;"",ISNA(MATCH($H399,Tables!$B$184:$B$186,0))),
Error!$B$15,
IF(AND($E399="Tier 4",$F399="Remove",$H399&lt;&gt;"",ISNA(MATCH($H399,Tables!$B$171,0))),
Error!$B$15,
IF(AND($E399="Tier 4",$F399="Retain",$H399&lt;&gt;"",ISNA(MATCH($H399,Tables!$B$166:$B$168,0))),
Error!$B$15,
IF(AND($E399="Tier 3",$F399="Retain",$H399&lt;&gt;"",ISNA(MATCH($H399,Tables!$B$158:$B$160,0))),
Error!$B$15,
IF(AND($E399="Tier 3",$F399="Remove",$H399&lt;&gt;"",ISNA(MATCH($H399,Tables!$B$163,0))),
Error!$B$15,
IF(AND(OR($E399="Tier 2",$E399="Tier 2 Grove"),$F399="Remove",$H399&lt;&gt;"",ISNA(MATCH($H399,Tables!$B$153:$B$155,0))),
Error!$B$15,
IF(AND(OR($E399="Tier 2",$E399="Tier 2 Grove"),$F399="Retain",$H399&lt;&gt;"",ISNA(MATCH($H399,Tables!$B$147:$B$150,0))),
Error!$B$15,
IF(AND($E399="Tier 1",$F399="Remove",$H399&lt;&gt;"",ISNA(MATCH($H399,Tables!$B$143:$B$144,0))),
Error!$B$15,
IF(AND($E399="Tier 1",$F399="Retain",$H399&lt;&gt;"",ISNA(MATCH($H399,Tables!$B$137:$B$140,0))),
Error!$B$15,
IF(AND($E399&lt;&gt;"Tier 2",$E399&lt;&gt;"Tier 2 Grove",$E399&lt;&gt;"Tier 3",$E399&lt;&gt;"Tier 4",$H399="Zoning: Green Factor",OR($D399="",$D399&lt;6)),
Error!$B$11,
IF(AND(_xlpm.baseRow,$D399&lt;6,$E399="&lt;6in DSH for Tree Points",_xlpm.TreePoints_H=0),
Error!$B$21,
IF(AND(_xlpm.baseRow,$E399&lt;&gt;"",$D399&lt;&gt;"",$F399=""),
Error!$B$4,
IF(AND(_xlpm.baseRow,$F399="Remove",OR($E399="Tier 1",$E399="Tier 2",$E399="Tier 2 Grove"),COUNTBLANK(_xlpm.HRange)&lt;3,_xlpm.uniqueH&gt;=2),
Error!$B$48,
IF(AND(_xlpm.baseRow,$F399="Retain",OR($E399="Tier 1",$E399="Tier 2",$E399="Tier 2 Grove"),COUNTIF(_xlpm.HRange,"Tree Code: Required to Retain Tier 1-2 Tree")=0),
Error!$B$47,
IF(AND(_xlpm.baseRow,$E399&lt;&gt;"",$D399&lt;&gt;"",$F399&lt;&gt;"",COUNTBLANK(_xlpm.HRange)=4),
Error!$B$5,
IF(AND($F399="Remove",$H399&lt;&gt;"",$I399=""),
Error!$B$18,
IF(AND($E399="Tier 4",$F399="Remove",$H399="Tree Protection Code: Tier 3 or Tier 4 Allowance",$H399&lt;&gt;"",ISNA(MATCH($I399,Tables!$B$200,0))),
Error!$B$17,
IF(AND($E399="Tier 3",$F399="Remove",$H399&lt;&gt;"",$H399="Tree Protection Code: Tier 3 or Tier 4 Allowance",OR($I399="",ISNA(MATCH($I399,Tables!$B$193:$B$197,0)))),
Error!$B$17,
IF(AND(OR($E399="Tier 2",$E399="Tier 2 Grove"),$F399="Remove",$H399="Tree Protection Code: Other removal allowance or exemption",$I399&lt;&gt;"",ISNA(MATCH($I399,Tables!$B$215:$B$218,0))),
Error!$B$17,
IF(AND(OR($E399="Tier 2",$E399="Tier 2 Grove"),$F399="Remove",$H399="Tree Protection Code: Development Capacity",$I399&lt;&gt;"",ISNA(MATCH($I399,Tables!$B$193:$B$197,0))),
Error!$B$17,
IF(AND(OR($E399="Tier 2",$E399="Tier 2 Grove"),$F399="Remove",$H399="Tree Protection Code: Necessary for Construction",$I399&lt;&gt;"",ISNA(MATCH($I399,Tables!$B$193:$B$197,0))),
Error!$B$17,
IF(AND($E399="Tier 1",$F399="Remove",$H399="Tree Protection Code: Special Exception",$I399&lt;&gt;"",ISNA(MATCH($I399,Tables!$B$215:$B$218,0))),
Error!$B$17,
IF(AND($E399="Tier 1",$F399="Remove",$H399="Tree Protection Code: Other removal allowance or exemption",$I399&lt;&gt;"",ISNA(MATCH($I399,Tables!$B$215:$B$218,0))),
Error!$B$17,
IF(AND($E399="ECA / Shoreline Tree",$F399="Remove",$H399&lt;&gt;"",OR($H399="Shoreline",$H399="Environmental Critical Area (ECA)"),ISNA(MATCH($I399,Tables!$B$209:$B$212,0))),
Error!$B$17,
IF(AND(_xlpm.baseRow,$F399="Retain",$E399="ECA / Shoreline Tree",_xlpm.ECA_Short=0),
Error!$B$61,
IF(AND($F399="Remove",ISNUMBER(MATCH($E399,{"Tier 1","Tier 2","Tier 3","Tier 4","Tier 2 Grove"},0)),ISNUMBER(MATCH($I399,{"On-site replacement","Off-site replacement"},0)),$J399="",$H399&lt;&gt;""),
Error!$B$19,
IF(AND(_xlpm.baseRow,$E399&lt;&gt;"",$D399&lt;&gt;"",$F399&lt;&gt;"",COUNTBLANK($B399:$C399)&gt;0,COUNTBLANK(_xlpm.HRange)&lt;&gt;4),
Error!$B$22,
IF(AND($H399="Zoning: Tree Points",$K399&lt;&gt;"",ISNA(MATCH($K399,Tables!$B$242:$B$253,0))),
Error!$B$58,
IF(AND($H399="Zoning: Tree Points",$K399="Small",$L399&lt;&gt;"",ISNA(MATCH($L399,Tables!$C$243:$C$244,0))),
Error!$B$59,
IF(AND($H399="Zoning: Tree Points",$K399="Small/Medium",$L399&lt;&gt;"",ISNA(MATCH($L399,Tables!$C$246:$C$247,0))),
Error!$B$59,
IF(AND($H399="Zoning: Tree Points",$K399="Medium/Large",$L399&lt;&gt;"",ISNA(MATCH($L399,Tables!$C$249:$C$250,0))),
Error!$B$59,
IF(AND($H399="Zoning: Tree Points",$K399="Large",$L399&lt;&gt;"",ISNA(MATCH($L399,Tables!$C$252:$C$253,0))),
Error!$B$59,
IF(AND($F399="Retain",$H399="Zoning: Tree Points",$C399&lt;&gt;"",$D399&lt;&gt;"",OR($K399="",$L399="",$M399="")),
Error!$B$20,
""
)))))))))))))))))))))))))))))))))))))))))))))))))))))))),
Error!$B$23))</f>
        <v/>
      </c>
      <c r="O399" s="343" t="str" cm="1">
        <f t="array" aca="1" ref="O399" ca="1">IFERROR(_xlfn.LET(
    _xlpm.txt, $C399,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00" spans="1:15" x14ac:dyDescent="0.3">
      <c r="A400" s="320"/>
      <c r="B400" s="616" t="str">
        <f t="shared" ref="B400:B402" si="447">IF($B399="", "", $B399)</f>
        <v/>
      </c>
      <c r="C400" s="617" t="str">
        <f t="shared" ref="C400:C402" si="448">IF($C399="", "", $C399)</f>
        <v/>
      </c>
      <c r="D400" s="618" t="str">
        <f t="shared" ref="D400:D402" si="449">IF($D399="", "", $D399)</f>
        <v/>
      </c>
      <c r="E400" s="616" t="str">
        <f t="shared" ref="E400:E402" si="450">IF($E399="", "", $E399)</f>
        <v/>
      </c>
      <c r="F400" s="616" t="str">
        <f t="shared" ref="F400:F402" si="451">IF($F399="", "", $F399)</f>
        <v/>
      </c>
      <c r="G400" s="619" t="str">
        <f>IF(Tree_Table1[[#This Row],[Tree Status  &amp;]]="Retain", Tables!$B$237, IF(Tree_Table1[[#This Row],[Tree Status  &amp;]]="Remove", Tables!$B$238, ""))</f>
        <v/>
      </c>
      <c r="H400" s="321"/>
      <c r="I400" s="322"/>
      <c r="J400" s="453"/>
      <c r="K400" s="323" t="str">
        <f>IFERROR(
    IF(
        AND($H400="Zoning: Tree Points", NOT(ISNUMBER(SEARCH("sp.", $C400)))),
        VLOOKUP($C400, 'Tree List'!$C$3:$F$601, 4, FALSE),
        ""
    ),
"")</f>
        <v/>
      </c>
      <c r="L400" s="324" t="str" cm="1">
        <f t="array" ref="L400">IFERROR(
IF(
    AND($H400="Zoning: Tree Points", NOT(ISNUMBER(SEARCH("sp.", $C400)))),
    _xlfn.IFS(
        (COUNTIFS('Tree List'!$C$3:$C$601,$C400,'Tree List'!$D$3:$D$601,"Coniferous")
        + COUNTIFS('Tree List'!$C$3:$C$601,$C400,'Tree List'!$D$3:$D$601,"Deciduous Conifer")) &gt; 0,
            _xlfn.IFS($K400="Small",0.5,$K400="Small/Medium",1,$K400="Medium/Large",1.4,$K400="Large",1.8),
        (COUNTIFS('Tree List'!$C$3:$C$601,$C400,'Tree List'!$D$3:$D$601,"Deciduous")
        + COUNTIFS('Tree List'!$C$3:$C$601,$C400,'Tree List'!$D$3:$D$601,"Broadleaf Evergreen")) &gt; 0,
            _xlfn.IFS($K400="Small",0.4,$K400="Small/Medium",0.8,$K400="Medium/Large",1.2,$K400="Large",1.6)
    ),
    ""
),
"")</f>
        <v/>
      </c>
      <c r="M400" s="475" t="str">
        <f t="shared" si="411"/>
        <v/>
      </c>
      <c r="N400" s="346" t="str" cm="1">
        <f t="array" aca="1" ref="N40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IF(AND(_xlpm.baseRow,ISNA(MATCH($C400,'Tree List'!$C$3:$C$601,0)),SUMPRODUCT(--ISNUMBER(SEARCH(Tables2!$C$677:$C$772,$O400)))&gt;0),
Error!$B$57,
IF(AND(_xlpm.hasDM,$F400="Remove",$H400&lt;&gt;"",OR($I400="On-site replacement",$I400="Off-site replacement",$I400="Payment In Lieu")),
Error!$B$56,
IF(AND(_xlpm.hasDM,$F400="Remove",$H400&lt;&gt;"",$I400="Relocation"),
Error!$B$66,
IF(AND(OR(_xlpm.hasCN,_xlpm.hasPH,_xlpm.hasGR),$H400&lt;&gt;"",COUNTIF(Tables!$B$132:$B$134,$H400)&gt;0,$I400="N/A (No replacement required)"),
Error!$B$62,
IF(AND(_xlpm.baseRow,$E400&lt;&gt;"",ISNA(MATCH($E400,Tables!$B$225:$B$232,0))),
Error!$B$2,
IF(AND(_xlpm.baseRow,$F400&lt;&gt;"",ISNA(MATCH($F400,Tables!$B$234:$B$235,0))),
Error!$B$24,
IF(AND(_xlpm.baseRow,_xlpm.ECA_H&gt;0,_xlpm.Shore_H&gt;0),
Error!$B$16,
IF(AND(_xlpm.baseRow,$E400&lt;&gt;"",$D400=""),
Error!$B$3,
IF(AND(_xlpm.baseRow,OR($E400="Tier 3",$E400="Tier 4"),$C400&lt;&gt;"",$D400&gt;=24,COUNTIF(Tables2!$B$166:$B$674,$C400)&gt;0),
Error!$B$44,
IF(AND(_xlpm.baseRow,OR($E400="Tier 3",$E400="Tier 4"),$C400&lt;&gt;"",$D400&lt;&gt;"",COUNTIF(Tables2!$B$73:$B$152,$C400)&gt;0,
$D400&gt;=IFERROR(INDEX(Tables2!$C$73:$C$152,MATCH($C400,Tables2!$B$73:$B$152,0)),-1)),
Error!$B$44,
IF(AND(_xlpm.baseRow,OR($E400="Tier 2",$E400="Tier 2 Grove"),$C400&lt;&gt;"",$D400&gt;=12,COUNTIF(Tables2!$B$153:$B$162,$C400)&gt;0),
Error!$B$45,
IF(AND(_xlpm.baseRow,$E400="Tier 2 Grove",$D400&lt;12),
Error!$B$41,
IF(AND(_xlpm.baseRow,$E400="Tier 2",$D400&lt;5.88),
Error!$B$40,
IF(AND(_xlpm.baseRow,OR($E400="Tier 2",$E400="Tier 2 Grove"),$C400&lt;&gt;"",$D400&lt;12,$D400&gt;=6,COUNTIF(Tables2!$B$153:$B$162,$C400)&gt;0),
Error!$B$54,
IF(AND(_xlpm.baseRow,$E400="Tier 2",COUNTIF(Tables2!$B$166:$B$674,$C400)&gt;0,$D400&lt;24),
Error!$B$54,
IF(AND(_xlpm.baseRow,$E400="Tier 3",ISNA(MATCH($C400,Tables2!$B$153:$B$162,0)),OR($D400&lt;12,$D400&gt;=24)),
Error!$B$9,
IF(AND(_xlpm.baseRow,$E400="Tier 3",COUNTIF(Tables2!$B$153:$B$162,$C400)&gt;0,$D400&lt;12),
Error!$B$46,
IF(AND(_xlpm.baseRow,$E400="Tier 4",OR($D400&lt;6,$D400&gt;=12)),
Error!$B$10,
IF(AND(_xlpm.baseRow,$E400="&lt;6in DSH for Tree Points",OR($D400&gt;=6,$D400="")),
Error!$B$8,
IF(AND(_xlpm.baseRow,$E400="Street Tree for Green Factor",$F400&lt;&gt;"",$F400&lt;&gt;"Retain"),
Error!$B$14,
IF(AND($E400="&lt;6in DSH for Tree Points",$F400="Retain",$H400&lt;&gt;"",ISNA(MATCH($H400,Tables!$B$174:$B$174,0))),
Error!$B$15,
IF(AND($E400="Street Tree for Green Factor",$F400="Retain",$H400&lt;&gt;"",$H400&lt;&gt;"Zoning: Green Factor"),
Error!$B$15,
IF(AND($E400="ECA / Shoreline Tree",$F400="Remove",$H400&lt;&gt;"",ISNA(MATCH($H400,Tables!$B$189:$B$190,0))),
Error!$B$15,
IF(AND($E400="ECA / Shoreline Tree",$F400="Retain",$H400&lt;&gt;"",ISNA(MATCH($H400,Tables!$B$184:$B$186,0))),
Error!$B$15,
IF(AND($E400="Tier 4",$F400="Remove",$H400&lt;&gt;"",ISNA(MATCH($H400,Tables!$B$171,0))),
Error!$B$15,
IF(AND($E400="Tier 4",$F400="Retain",$H400&lt;&gt;"",ISNA(MATCH($H400,Tables!$B$166:$B$168,0))),
Error!$B$15,
IF(AND($E400="Tier 3",$F400="Retain",$H400&lt;&gt;"",ISNA(MATCH($H400,Tables!$B$158:$B$160,0))),
Error!$B$15,
IF(AND($E400="Tier 3",$F400="Remove",$H400&lt;&gt;"",ISNA(MATCH($H400,Tables!$B$163,0))),
Error!$B$15,
IF(AND(OR($E400="Tier 2",$E400="Tier 2 Grove"),$F400="Remove",$H400&lt;&gt;"",ISNA(MATCH($H400,Tables!$B$153:$B$155,0))),
Error!$B$15,
IF(AND(OR($E400="Tier 2",$E400="Tier 2 Grove"),$F400="Retain",$H400&lt;&gt;"",ISNA(MATCH($H400,Tables!$B$147:$B$150,0))),
Error!$B$15,
IF(AND($E400="Tier 1",$F400="Remove",$H400&lt;&gt;"",ISNA(MATCH($H400,Tables!$B$143:$B$144,0))),
Error!$B$15,
IF(AND($E400="Tier 1",$F400="Retain",$H400&lt;&gt;"",ISNA(MATCH($H400,Tables!$B$137:$B$140,0))),
Error!$B$15,
IF(AND($E400&lt;&gt;"Tier 2",$E400&lt;&gt;"Tier 2 Grove",$E400&lt;&gt;"Tier 3",$E400&lt;&gt;"Tier 4",$H400="Zoning: Green Factor",OR($D400="",$D400&lt;6)),
Error!$B$11,
IF(AND(_xlpm.baseRow,$D400&lt;6,$E400="&lt;6in DSH for Tree Points",_xlpm.TreePoints_H=0),
Error!$B$21,
IF(AND(_xlpm.baseRow,$E400&lt;&gt;"",$D400&lt;&gt;"",$F400=""),
Error!$B$4,
IF(AND(_xlpm.baseRow,$F400="Remove",OR($E400="Tier 1",$E400="Tier 2",$E400="Tier 2 Grove"),COUNTBLANK(_xlpm.HRange)&lt;3,_xlpm.uniqueH&gt;=2),
Error!$B$48,
IF(AND(_xlpm.baseRow,$F400="Retain",OR($E400="Tier 1",$E400="Tier 2",$E400="Tier 2 Grove"),COUNTIF(_xlpm.HRange,"Tree Code: Required to Retain Tier 1-2 Tree")=0),
Error!$B$47,
IF(AND(_xlpm.baseRow,$E400&lt;&gt;"",$D400&lt;&gt;"",$F400&lt;&gt;"",COUNTBLANK(_xlpm.HRange)=4),
Error!$B$5,
IF(AND($F400="Remove",$H400&lt;&gt;"",$I400=""),
Error!$B$18,
IF(AND($E400="Tier 4",$F400="Remove",$H400="Tree Protection Code: Tier 3 or Tier 4 Allowance",$H400&lt;&gt;"",ISNA(MATCH($I400,Tables!$B$200,0))),
Error!$B$17,
IF(AND($E400="Tier 3",$F400="Remove",$H400&lt;&gt;"",$H400="Tree Protection Code: Tier 3 or Tier 4 Allowance",OR($I400="",ISNA(MATCH($I400,Tables!$B$193:$B$197,0)))),
Error!$B$17,
IF(AND(OR($E400="Tier 2",$E400="Tier 2 Grove"),$F400="Remove",$H400="Tree Protection Code: Other removal allowance or exemption",$I400&lt;&gt;"",ISNA(MATCH($I400,Tables!$B$215:$B$218,0))),
Error!$B$17,
IF(AND(OR($E400="Tier 2",$E400="Tier 2 Grove"),$F400="Remove",$H400="Tree Protection Code: Development Capacity",$I400&lt;&gt;"",ISNA(MATCH($I400,Tables!$B$193:$B$197,0))),
Error!$B$17,
IF(AND(OR($E400="Tier 2",$E400="Tier 2 Grove"),$F400="Remove",$H400="Tree Protection Code: Necessary for Construction",$I400&lt;&gt;"",ISNA(MATCH($I400,Tables!$B$193:$B$197,0))),
Error!$B$17,
IF(AND($E400="Tier 1",$F400="Remove",$H400="Tree Protection Code: Special Exception",$I400&lt;&gt;"",ISNA(MATCH($I400,Tables!$B$215:$B$218,0))),
Error!$B$17,
IF(AND($E400="Tier 1",$F400="Remove",$H400="Tree Protection Code: Other removal allowance or exemption",$I400&lt;&gt;"",ISNA(MATCH($I400,Tables!$B$215:$B$218,0))),
Error!$B$17,
IF(AND($E400="ECA / Shoreline Tree",$F400="Remove",$H400&lt;&gt;"",OR($H400="Shoreline",$H400="Environmental Critical Area (ECA)"),ISNA(MATCH($I400,Tables!$B$209:$B$212,0))),
Error!$B$17,
IF(AND(_xlpm.baseRow,$F400="Retain",$E400="ECA / Shoreline Tree",_xlpm.ECA_Short=0),
Error!$B$61,
IF(AND($F400="Remove",ISNUMBER(MATCH($E400,{"Tier 1","Tier 2","Tier 3","Tier 4","Tier 2 Grove"},0)),ISNUMBER(MATCH($I400,{"On-site replacement","Off-site replacement"},0)),$J400="",$H400&lt;&gt;""),
Error!$B$19,
IF(AND(_xlpm.baseRow,$E400&lt;&gt;"",$D400&lt;&gt;"",$F400&lt;&gt;"",COUNTBLANK($B400:$C400)&gt;0,COUNTBLANK(_xlpm.HRange)&lt;&gt;4),
Error!$B$22,
IF(AND($H400="Zoning: Tree Points",$K400&lt;&gt;"",ISNA(MATCH($K400,Tables!$B$242:$B$253,0))),
Error!$B$58,
IF(AND($H400="Zoning: Tree Points",$K400="Small",$L400&lt;&gt;"",ISNA(MATCH($L400,Tables!$C$243:$C$244,0))),
Error!$B$59,
IF(AND($H400="Zoning: Tree Points",$K400="Small/Medium",$L400&lt;&gt;"",ISNA(MATCH($L400,Tables!$C$246:$C$247,0))),
Error!$B$59,
IF(AND($H400="Zoning: Tree Points",$K400="Medium/Large",$L400&lt;&gt;"",ISNA(MATCH($L400,Tables!$C$249:$C$250,0))),
Error!$B$59,
IF(AND($H400="Zoning: Tree Points",$K400="Large",$L400&lt;&gt;"",ISNA(MATCH($L400,Tables!$C$252:$C$253,0))),
Error!$B$59,
IF(AND($F400="Retain",$H400="Zoning: Tree Points",$C400&lt;&gt;"",$D400&lt;&gt;"",OR($K400="",$L400="",$M400="")),
Error!$B$20,
""
)))))))))))))))))))))))))))))))))))))))))))))))))))))))),
Error!$B$23))</f>
        <v/>
      </c>
      <c r="O400" s="343" t="str" cm="1">
        <f t="array" aca="1" ref="O400" ca="1">IFERROR(_xlfn.LET(
    _xlpm.txt, $C400,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01" spans="1:15" x14ac:dyDescent="0.3">
      <c r="A401" s="320"/>
      <c r="B401" s="616" t="str">
        <f t="shared" si="447"/>
        <v/>
      </c>
      <c r="C401" s="617" t="str">
        <f t="shared" si="448"/>
        <v/>
      </c>
      <c r="D401" s="618" t="str">
        <f t="shared" si="449"/>
        <v/>
      </c>
      <c r="E401" s="616" t="str">
        <f t="shared" si="450"/>
        <v/>
      </c>
      <c r="F401" s="616" t="str">
        <f t="shared" si="451"/>
        <v/>
      </c>
      <c r="G401" s="619" t="str">
        <f>IF(Tree_Table1[[#This Row],[Tree Status  &amp;]]="Retain", Tables!$B$237, IF(Tree_Table1[[#This Row],[Tree Status  &amp;]]="Remove", Tables!$B$238, ""))</f>
        <v/>
      </c>
      <c r="H401" s="321"/>
      <c r="I401" s="322"/>
      <c r="J401" s="453"/>
      <c r="K401" s="323" t="str">
        <f>IFERROR(
    IF(
        AND($H401="Zoning: Tree Points", NOT(ISNUMBER(SEARCH("sp.", $C401)))),
        VLOOKUP($C401, 'Tree List'!$C$3:$F$601, 4, FALSE),
        ""
    ),
"")</f>
        <v/>
      </c>
      <c r="L401" s="324" t="str" cm="1">
        <f t="array" ref="L401">IFERROR(
IF(
    AND($H401="Zoning: Tree Points", NOT(ISNUMBER(SEARCH("sp.", $C401)))),
    _xlfn.IFS(
        (COUNTIFS('Tree List'!$C$3:$C$601,$C401,'Tree List'!$D$3:$D$601,"Coniferous")
        + COUNTIFS('Tree List'!$C$3:$C$601,$C401,'Tree List'!$D$3:$D$601,"Deciduous Conifer")) &gt; 0,
            _xlfn.IFS($K401="Small",0.5,$K401="Small/Medium",1,$K401="Medium/Large",1.4,$K401="Large",1.8),
        (COUNTIFS('Tree List'!$C$3:$C$601,$C401,'Tree List'!$D$3:$D$601,"Deciduous")
        + COUNTIFS('Tree List'!$C$3:$C$601,$C401,'Tree List'!$D$3:$D$601,"Broadleaf Evergreen")) &gt; 0,
            _xlfn.IFS($K401="Small",0.4,$K401="Small/Medium",0.8,$K401="Medium/Large",1.2,$K401="Large",1.6)
    ),
    ""
),
"")</f>
        <v/>
      </c>
      <c r="M401" s="475" t="str">
        <f t="shared" si="411"/>
        <v/>
      </c>
      <c r="N401" s="346" t="str" cm="1">
        <f t="array" aca="1" ref="N40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IF(AND(_xlpm.baseRow,ISNA(MATCH($C401,'Tree List'!$C$3:$C$601,0)),SUMPRODUCT(--ISNUMBER(SEARCH(Tables2!$C$677:$C$772,$O401)))&gt;0),
Error!$B$57,
IF(AND(_xlpm.hasDM,$F401="Remove",$H401&lt;&gt;"",OR($I401="On-site replacement",$I401="Off-site replacement",$I401="Payment In Lieu")),
Error!$B$56,
IF(AND(_xlpm.hasDM,$F401="Remove",$H401&lt;&gt;"",$I401="Relocation"),
Error!$B$66,
IF(AND(OR(_xlpm.hasCN,_xlpm.hasPH,_xlpm.hasGR),$H401&lt;&gt;"",COUNTIF(Tables!$B$132:$B$134,$H401)&gt;0,$I401="N/A (No replacement required)"),
Error!$B$62,
IF(AND(_xlpm.baseRow,$E401&lt;&gt;"",ISNA(MATCH($E401,Tables!$B$225:$B$232,0))),
Error!$B$2,
IF(AND(_xlpm.baseRow,$F401&lt;&gt;"",ISNA(MATCH($F401,Tables!$B$234:$B$235,0))),
Error!$B$24,
IF(AND(_xlpm.baseRow,_xlpm.ECA_H&gt;0,_xlpm.Shore_H&gt;0),
Error!$B$16,
IF(AND(_xlpm.baseRow,$E401&lt;&gt;"",$D401=""),
Error!$B$3,
IF(AND(_xlpm.baseRow,OR($E401="Tier 3",$E401="Tier 4"),$C401&lt;&gt;"",$D401&gt;=24,COUNTIF(Tables2!$B$166:$B$674,$C401)&gt;0),
Error!$B$44,
IF(AND(_xlpm.baseRow,OR($E401="Tier 3",$E401="Tier 4"),$C401&lt;&gt;"",$D401&lt;&gt;"",COUNTIF(Tables2!$B$73:$B$152,$C401)&gt;0,
$D401&gt;=IFERROR(INDEX(Tables2!$C$73:$C$152,MATCH($C401,Tables2!$B$73:$B$152,0)),-1)),
Error!$B$44,
IF(AND(_xlpm.baseRow,OR($E401="Tier 2",$E401="Tier 2 Grove"),$C401&lt;&gt;"",$D401&gt;=12,COUNTIF(Tables2!$B$153:$B$162,$C401)&gt;0),
Error!$B$45,
IF(AND(_xlpm.baseRow,$E401="Tier 2 Grove",$D401&lt;12),
Error!$B$41,
IF(AND(_xlpm.baseRow,$E401="Tier 2",$D401&lt;5.88),
Error!$B$40,
IF(AND(_xlpm.baseRow,OR($E401="Tier 2",$E401="Tier 2 Grove"),$C401&lt;&gt;"",$D401&lt;12,$D401&gt;=6,COUNTIF(Tables2!$B$153:$B$162,$C401)&gt;0),
Error!$B$54,
IF(AND(_xlpm.baseRow,$E401="Tier 2",COUNTIF(Tables2!$B$166:$B$674,$C401)&gt;0,$D401&lt;24),
Error!$B$54,
IF(AND(_xlpm.baseRow,$E401="Tier 3",ISNA(MATCH($C401,Tables2!$B$153:$B$162,0)),OR($D401&lt;12,$D401&gt;=24)),
Error!$B$9,
IF(AND(_xlpm.baseRow,$E401="Tier 3",COUNTIF(Tables2!$B$153:$B$162,$C401)&gt;0,$D401&lt;12),
Error!$B$46,
IF(AND(_xlpm.baseRow,$E401="Tier 4",OR($D401&lt;6,$D401&gt;=12)),
Error!$B$10,
IF(AND(_xlpm.baseRow,$E401="&lt;6in DSH for Tree Points",OR($D401&gt;=6,$D401="")),
Error!$B$8,
IF(AND(_xlpm.baseRow,$E401="Street Tree for Green Factor",$F401&lt;&gt;"",$F401&lt;&gt;"Retain"),
Error!$B$14,
IF(AND($E401="&lt;6in DSH for Tree Points",$F401="Retain",$H401&lt;&gt;"",ISNA(MATCH($H401,Tables!$B$174:$B$174,0))),
Error!$B$15,
IF(AND($E401="Street Tree for Green Factor",$F401="Retain",$H401&lt;&gt;"",$H401&lt;&gt;"Zoning: Green Factor"),
Error!$B$15,
IF(AND($E401="ECA / Shoreline Tree",$F401="Remove",$H401&lt;&gt;"",ISNA(MATCH($H401,Tables!$B$189:$B$190,0))),
Error!$B$15,
IF(AND($E401="ECA / Shoreline Tree",$F401="Retain",$H401&lt;&gt;"",ISNA(MATCH($H401,Tables!$B$184:$B$186,0))),
Error!$B$15,
IF(AND($E401="Tier 4",$F401="Remove",$H401&lt;&gt;"",ISNA(MATCH($H401,Tables!$B$171,0))),
Error!$B$15,
IF(AND($E401="Tier 4",$F401="Retain",$H401&lt;&gt;"",ISNA(MATCH($H401,Tables!$B$166:$B$168,0))),
Error!$B$15,
IF(AND($E401="Tier 3",$F401="Retain",$H401&lt;&gt;"",ISNA(MATCH($H401,Tables!$B$158:$B$160,0))),
Error!$B$15,
IF(AND($E401="Tier 3",$F401="Remove",$H401&lt;&gt;"",ISNA(MATCH($H401,Tables!$B$163,0))),
Error!$B$15,
IF(AND(OR($E401="Tier 2",$E401="Tier 2 Grove"),$F401="Remove",$H401&lt;&gt;"",ISNA(MATCH($H401,Tables!$B$153:$B$155,0))),
Error!$B$15,
IF(AND(OR($E401="Tier 2",$E401="Tier 2 Grove"),$F401="Retain",$H401&lt;&gt;"",ISNA(MATCH($H401,Tables!$B$147:$B$150,0))),
Error!$B$15,
IF(AND($E401="Tier 1",$F401="Remove",$H401&lt;&gt;"",ISNA(MATCH($H401,Tables!$B$143:$B$144,0))),
Error!$B$15,
IF(AND($E401="Tier 1",$F401="Retain",$H401&lt;&gt;"",ISNA(MATCH($H401,Tables!$B$137:$B$140,0))),
Error!$B$15,
IF(AND($E401&lt;&gt;"Tier 2",$E401&lt;&gt;"Tier 2 Grove",$E401&lt;&gt;"Tier 3",$E401&lt;&gt;"Tier 4",$H401="Zoning: Green Factor",OR($D401="",$D401&lt;6)),
Error!$B$11,
IF(AND(_xlpm.baseRow,$D401&lt;6,$E401="&lt;6in DSH for Tree Points",_xlpm.TreePoints_H=0),
Error!$B$21,
IF(AND(_xlpm.baseRow,$E401&lt;&gt;"",$D401&lt;&gt;"",$F401=""),
Error!$B$4,
IF(AND(_xlpm.baseRow,$F401="Remove",OR($E401="Tier 1",$E401="Tier 2",$E401="Tier 2 Grove"),COUNTBLANK(_xlpm.HRange)&lt;3,_xlpm.uniqueH&gt;=2),
Error!$B$48,
IF(AND(_xlpm.baseRow,$F401="Retain",OR($E401="Tier 1",$E401="Tier 2",$E401="Tier 2 Grove"),COUNTIF(_xlpm.HRange,"Tree Code: Required to Retain Tier 1-2 Tree")=0),
Error!$B$47,
IF(AND(_xlpm.baseRow,$E401&lt;&gt;"",$D401&lt;&gt;"",$F401&lt;&gt;"",COUNTBLANK(_xlpm.HRange)=4),
Error!$B$5,
IF(AND($F401="Remove",$H401&lt;&gt;"",$I401=""),
Error!$B$18,
IF(AND($E401="Tier 4",$F401="Remove",$H401="Tree Protection Code: Tier 3 or Tier 4 Allowance",$H401&lt;&gt;"",ISNA(MATCH($I401,Tables!$B$200,0))),
Error!$B$17,
IF(AND($E401="Tier 3",$F401="Remove",$H401&lt;&gt;"",$H401="Tree Protection Code: Tier 3 or Tier 4 Allowance",OR($I401="",ISNA(MATCH($I401,Tables!$B$193:$B$197,0)))),
Error!$B$17,
IF(AND(OR($E401="Tier 2",$E401="Tier 2 Grove"),$F401="Remove",$H401="Tree Protection Code: Other removal allowance or exemption",$I401&lt;&gt;"",ISNA(MATCH($I401,Tables!$B$215:$B$218,0))),
Error!$B$17,
IF(AND(OR($E401="Tier 2",$E401="Tier 2 Grove"),$F401="Remove",$H401="Tree Protection Code: Development Capacity",$I401&lt;&gt;"",ISNA(MATCH($I401,Tables!$B$193:$B$197,0))),
Error!$B$17,
IF(AND(OR($E401="Tier 2",$E401="Tier 2 Grove"),$F401="Remove",$H401="Tree Protection Code: Necessary for Construction",$I401&lt;&gt;"",ISNA(MATCH($I401,Tables!$B$193:$B$197,0))),
Error!$B$17,
IF(AND($E401="Tier 1",$F401="Remove",$H401="Tree Protection Code: Special Exception",$I401&lt;&gt;"",ISNA(MATCH($I401,Tables!$B$215:$B$218,0))),
Error!$B$17,
IF(AND($E401="Tier 1",$F401="Remove",$H401="Tree Protection Code: Other removal allowance or exemption",$I401&lt;&gt;"",ISNA(MATCH($I401,Tables!$B$215:$B$218,0))),
Error!$B$17,
IF(AND($E401="ECA / Shoreline Tree",$F401="Remove",$H401&lt;&gt;"",OR($H401="Shoreline",$H401="Environmental Critical Area (ECA)"),ISNA(MATCH($I401,Tables!$B$209:$B$212,0))),
Error!$B$17,
IF(AND(_xlpm.baseRow,$F401="Retain",$E401="ECA / Shoreline Tree",_xlpm.ECA_Short=0),
Error!$B$61,
IF(AND($F401="Remove",ISNUMBER(MATCH($E401,{"Tier 1","Tier 2","Tier 3","Tier 4","Tier 2 Grove"},0)),ISNUMBER(MATCH($I401,{"On-site replacement","Off-site replacement"},0)),$J401="",$H401&lt;&gt;""),
Error!$B$19,
IF(AND(_xlpm.baseRow,$E401&lt;&gt;"",$D401&lt;&gt;"",$F401&lt;&gt;"",COUNTBLANK($B401:$C401)&gt;0,COUNTBLANK(_xlpm.HRange)&lt;&gt;4),
Error!$B$22,
IF(AND($H401="Zoning: Tree Points",$K401&lt;&gt;"",ISNA(MATCH($K401,Tables!$B$242:$B$253,0))),
Error!$B$58,
IF(AND($H401="Zoning: Tree Points",$K401="Small",$L401&lt;&gt;"",ISNA(MATCH($L401,Tables!$C$243:$C$244,0))),
Error!$B$59,
IF(AND($H401="Zoning: Tree Points",$K401="Small/Medium",$L401&lt;&gt;"",ISNA(MATCH($L401,Tables!$C$246:$C$247,0))),
Error!$B$59,
IF(AND($H401="Zoning: Tree Points",$K401="Medium/Large",$L401&lt;&gt;"",ISNA(MATCH($L401,Tables!$C$249:$C$250,0))),
Error!$B$59,
IF(AND($H401="Zoning: Tree Points",$K401="Large",$L401&lt;&gt;"",ISNA(MATCH($L401,Tables!$C$252:$C$253,0))),
Error!$B$59,
IF(AND($F401="Retain",$H401="Zoning: Tree Points",$C401&lt;&gt;"",$D401&lt;&gt;"",OR($K401="",$L401="",$M401="")),
Error!$B$20,
""
)))))))))))))))))))))))))))))))))))))))))))))))))))))))),
Error!$B$23))</f>
        <v/>
      </c>
      <c r="O401" s="343" t="str" cm="1">
        <f t="array" aca="1" ref="O401" ca="1">IFERROR(_xlfn.LET(
    _xlpm.txt, $C401,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02" spans="1:15" ht="15" thickBot="1" x14ac:dyDescent="0.35">
      <c r="A402" s="331"/>
      <c r="B402" s="616" t="str">
        <f t="shared" si="447"/>
        <v/>
      </c>
      <c r="C402" s="617" t="str">
        <f t="shared" si="448"/>
        <v/>
      </c>
      <c r="D402" s="618" t="str">
        <f t="shared" si="449"/>
        <v/>
      </c>
      <c r="E402" s="616" t="str">
        <f t="shared" si="450"/>
        <v/>
      </c>
      <c r="F402" s="616" t="str">
        <f t="shared" si="451"/>
        <v/>
      </c>
      <c r="G402" s="619" t="str">
        <f>IF(Tree_Table1[[#This Row],[Tree Status  &amp;]]="Retain", Tables!$B$237, IF(Tree_Table1[[#This Row],[Tree Status  &amp;]]="Remove", Tables!$B$238, ""))</f>
        <v/>
      </c>
      <c r="H402" s="329"/>
      <c r="I402" s="330"/>
      <c r="J402" s="455"/>
      <c r="K402" s="327" t="str">
        <f>IFERROR(
    IF(
        AND($H402="Zoning: Tree Points", NOT(ISNUMBER(SEARCH("sp.", $C402)))),
        VLOOKUP($C402, 'Tree List'!$C$3:$F$601, 4, FALSE),
        ""
    ),
"")</f>
        <v/>
      </c>
      <c r="L402" s="328" t="str" cm="1">
        <f t="array" ref="L402">IFERROR(
IF(
    AND($H402="Zoning: Tree Points", NOT(ISNUMBER(SEARCH("sp.", $C402)))),
    _xlfn.IFS(
        (COUNTIFS('Tree List'!$C$3:$C$601,$C402,'Tree List'!$D$3:$D$601,"Coniferous")
        + COUNTIFS('Tree List'!$C$3:$C$601,$C402,'Tree List'!$D$3:$D$601,"Deciduous Conifer")) &gt; 0,
            _xlfn.IFS($K402="Small",0.5,$K402="Small/Medium",1,$K402="Medium/Large",1.4,$K402="Large",1.8),
        (COUNTIFS('Tree List'!$C$3:$C$601,$C402,'Tree List'!$D$3:$D$601,"Deciduous")
        + COUNTIFS('Tree List'!$C$3:$C$601,$C402,'Tree List'!$D$3:$D$601,"Broadleaf Evergreen")) &gt; 0,
            _xlfn.IFS($K402="Small",0.4,$K402="Small/Medium",0.8,$K402="Medium/Large",1.2,$K402="Large",1.6)
    ),
    ""
),
"")</f>
        <v/>
      </c>
      <c r="M402" s="476" t="str">
        <f t="shared" si="411"/>
        <v/>
      </c>
      <c r="N402" s="347" t="str" cm="1">
        <f t="array" aca="1" ref="N40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IF(AND(_xlpm.baseRow,ISNA(MATCH($C402,'Tree List'!$C$3:$C$601,0)),SUMPRODUCT(--ISNUMBER(SEARCH(Tables2!$C$677:$C$772,$O402)))&gt;0),
Error!$B$57,
IF(AND(_xlpm.hasDM,$F402="Remove",$H402&lt;&gt;"",OR($I402="On-site replacement",$I402="Off-site replacement",$I402="Payment In Lieu")),
Error!$B$56,
IF(AND(_xlpm.hasDM,$F402="Remove",$H402&lt;&gt;"",$I402="Relocation"),
Error!$B$66,
IF(AND(OR(_xlpm.hasCN,_xlpm.hasPH,_xlpm.hasGR),$H402&lt;&gt;"",COUNTIF(Tables!$B$132:$B$134,$H402)&gt;0,$I402="N/A (No replacement required)"),
Error!$B$62,
IF(AND(_xlpm.baseRow,$E402&lt;&gt;"",ISNA(MATCH($E402,Tables!$B$225:$B$232,0))),
Error!$B$2,
IF(AND(_xlpm.baseRow,$F402&lt;&gt;"",ISNA(MATCH($F402,Tables!$B$234:$B$235,0))),
Error!$B$24,
IF(AND(_xlpm.baseRow,_xlpm.ECA_H&gt;0,_xlpm.Shore_H&gt;0),
Error!$B$16,
IF(AND(_xlpm.baseRow,$E402&lt;&gt;"",$D402=""),
Error!$B$3,
IF(AND(_xlpm.baseRow,OR($E402="Tier 3",$E402="Tier 4"),$C402&lt;&gt;"",$D402&gt;=24,COUNTIF(Tables2!$B$166:$B$674,$C402)&gt;0),
Error!$B$44,
IF(AND(_xlpm.baseRow,OR($E402="Tier 3",$E402="Tier 4"),$C402&lt;&gt;"",$D402&lt;&gt;"",COUNTIF(Tables2!$B$73:$B$152,$C402)&gt;0,
$D402&gt;=IFERROR(INDEX(Tables2!$C$73:$C$152,MATCH($C402,Tables2!$B$73:$B$152,0)),-1)),
Error!$B$44,
IF(AND(_xlpm.baseRow,OR($E402="Tier 2",$E402="Tier 2 Grove"),$C402&lt;&gt;"",$D402&gt;=12,COUNTIF(Tables2!$B$153:$B$162,$C402)&gt;0),
Error!$B$45,
IF(AND(_xlpm.baseRow,$E402="Tier 2 Grove",$D402&lt;12),
Error!$B$41,
IF(AND(_xlpm.baseRow,$E402="Tier 2",$D402&lt;5.88),
Error!$B$40,
IF(AND(_xlpm.baseRow,OR($E402="Tier 2",$E402="Tier 2 Grove"),$C402&lt;&gt;"",$D402&lt;12,$D402&gt;=6,COUNTIF(Tables2!$B$153:$B$162,$C402)&gt;0),
Error!$B$54,
IF(AND(_xlpm.baseRow,$E402="Tier 2",COUNTIF(Tables2!$B$166:$B$674,$C402)&gt;0,$D402&lt;24),
Error!$B$54,
IF(AND(_xlpm.baseRow,$E402="Tier 3",ISNA(MATCH($C402,Tables2!$B$153:$B$162,0)),OR($D402&lt;12,$D402&gt;=24)),
Error!$B$9,
IF(AND(_xlpm.baseRow,$E402="Tier 3",COUNTIF(Tables2!$B$153:$B$162,$C402)&gt;0,$D402&lt;12),
Error!$B$46,
IF(AND(_xlpm.baseRow,$E402="Tier 4",OR($D402&lt;6,$D402&gt;=12)),
Error!$B$10,
IF(AND(_xlpm.baseRow,$E402="&lt;6in DSH for Tree Points",OR($D402&gt;=6,$D402="")),
Error!$B$8,
IF(AND(_xlpm.baseRow,$E402="Street Tree for Green Factor",$F402&lt;&gt;"",$F402&lt;&gt;"Retain"),
Error!$B$14,
IF(AND($E402="&lt;6in DSH for Tree Points",$F402="Retain",$H402&lt;&gt;"",ISNA(MATCH($H402,Tables!$B$174:$B$174,0))),
Error!$B$15,
IF(AND($E402="Street Tree for Green Factor",$F402="Retain",$H402&lt;&gt;"",$H402&lt;&gt;"Zoning: Green Factor"),
Error!$B$15,
IF(AND($E402="ECA / Shoreline Tree",$F402="Remove",$H402&lt;&gt;"",ISNA(MATCH($H402,Tables!$B$189:$B$190,0))),
Error!$B$15,
IF(AND($E402="ECA / Shoreline Tree",$F402="Retain",$H402&lt;&gt;"",ISNA(MATCH($H402,Tables!$B$184:$B$186,0))),
Error!$B$15,
IF(AND($E402="Tier 4",$F402="Remove",$H402&lt;&gt;"",ISNA(MATCH($H402,Tables!$B$171,0))),
Error!$B$15,
IF(AND($E402="Tier 4",$F402="Retain",$H402&lt;&gt;"",ISNA(MATCH($H402,Tables!$B$166:$B$168,0))),
Error!$B$15,
IF(AND($E402="Tier 3",$F402="Retain",$H402&lt;&gt;"",ISNA(MATCH($H402,Tables!$B$158:$B$160,0))),
Error!$B$15,
IF(AND($E402="Tier 3",$F402="Remove",$H402&lt;&gt;"",ISNA(MATCH($H402,Tables!$B$163,0))),
Error!$B$15,
IF(AND(OR($E402="Tier 2",$E402="Tier 2 Grove"),$F402="Remove",$H402&lt;&gt;"",ISNA(MATCH($H402,Tables!$B$153:$B$155,0))),
Error!$B$15,
IF(AND(OR($E402="Tier 2",$E402="Tier 2 Grove"),$F402="Retain",$H402&lt;&gt;"",ISNA(MATCH($H402,Tables!$B$147:$B$150,0))),
Error!$B$15,
IF(AND($E402="Tier 1",$F402="Remove",$H402&lt;&gt;"",ISNA(MATCH($H402,Tables!$B$143:$B$144,0))),
Error!$B$15,
IF(AND($E402="Tier 1",$F402="Retain",$H402&lt;&gt;"",ISNA(MATCH($H402,Tables!$B$137:$B$140,0))),
Error!$B$15,
IF(AND($E402&lt;&gt;"Tier 2",$E402&lt;&gt;"Tier 2 Grove",$E402&lt;&gt;"Tier 3",$E402&lt;&gt;"Tier 4",$H402="Zoning: Green Factor",OR($D402="",$D402&lt;6)),
Error!$B$11,
IF(AND(_xlpm.baseRow,$D402&lt;6,$E402="&lt;6in DSH for Tree Points",_xlpm.TreePoints_H=0),
Error!$B$21,
IF(AND(_xlpm.baseRow,$E402&lt;&gt;"",$D402&lt;&gt;"",$F402=""),
Error!$B$4,
IF(AND(_xlpm.baseRow,$F402="Remove",OR($E402="Tier 1",$E402="Tier 2",$E402="Tier 2 Grove"),COUNTBLANK(_xlpm.HRange)&lt;3,_xlpm.uniqueH&gt;=2),
Error!$B$48,
IF(AND(_xlpm.baseRow,$F402="Retain",OR($E402="Tier 1",$E402="Tier 2",$E402="Tier 2 Grove"),COUNTIF(_xlpm.HRange,"Tree Code: Required to Retain Tier 1-2 Tree")=0),
Error!$B$47,
IF(AND(_xlpm.baseRow,$E402&lt;&gt;"",$D402&lt;&gt;"",$F402&lt;&gt;"",COUNTBLANK(_xlpm.HRange)=4),
Error!$B$5,
IF(AND($F402="Remove",$H402&lt;&gt;"",$I402=""),
Error!$B$18,
IF(AND($E402="Tier 4",$F402="Remove",$H402="Tree Protection Code: Tier 3 or Tier 4 Allowance",$H402&lt;&gt;"",ISNA(MATCH($I402,Tables!$B$200,0))),
Error!$B$17,
IF(AND($E402="Tier 3",$F402="Remove",$H402&lt;&gt;"",$H402="Tree Protection Code: Tier 3 or Tier 4 Allowance",OR($I402="",ISNA(MATCH($I402,Tables!$B$193:$B$197,0)))),
Error!$B$17,
IF(AND(OR($E402="Tier 2",$E402="Tier 2 Grove"),$F402="Remove",$H402="Tree Protection Code: Other removal allowance or exemption",$I402&lt;&gt;"",ISNA(MATCH($I402,Tables!$B$215:$B$218,0))),
Error!$B$17,
IF(AND(OR($E402="Tier 2",$E402="Tier 2 Grove"),$F402="Remove",$H402="Tree Protection Code: Development Capacity",$I402&lt;&gt;"",ISNA(MATCH($I402,Tables!$B$193:$B$197,0))),
Error!$B$17,
IF(AND(OR($E402="Tier 2",$E402="Tier 2 Grove"),$F402="Remove",$H402="Tree Protection Code: Necessary for Construction",$I402&lt;&gt;"",ISNA(MATCH($I402,Tables!$B$193:$B$197,0))),
Error!$B$17,
IF(AND($E402="Tier 1",$F402="Remove",$H402="Tree Protection Code: Special Exception",$I402&lt;&gt;"",ISNA(MATCH($I402,Tables!$B$215:$B$218,0))),
Error!$B$17,
IF(AND($E402="Tier 1",$F402="Remove",$H402="Tree Protection Code: Other removal allowance or exemption",$I402&lt;&gt;"",ISNA(MATCH($I402,Tables!$B$215:$B$218,0))),
Error!$B$17,
IF(AND($E402="ECA / Shoreline Tree",$F402="Remove",$H402&lt;&gt;"",OR($H402="Shoreline",$H402="Environmental Critical Area (ECA)"),ISNA(MATCH($I402,Tables!$B$209:$B$212,0))),
Error!$B$17,
IF(AND(_xlpm.baseRow,$F402="Retain",$E402="ECA / Shoreline Tree",_xlpm.ECA_Short=0),
Error!$B$61,
IF(AND($F402="Remove",ISNUMBER(MATCH($E402,{"Tier 1","Tier 2","Tier 3","Tier 4","Tier 2 Grove"},0)),ISNUMBER(MATCH($I402,{"On-site replacement","Off-site replacement"},0)),$J402="",$H402&lt;&gt;""),
Error!$B$19,
IF(AND(_xlpm.baseRow,$E402&lt;&gt;"",$D402&lt;&gt;"",$F402&lt;&gt;"",COUNTBLANK($B402:$C402)&gt;0,COUNTBLANK(_xlpm.HRange)&lt;&gt;4),
Error!$B$22,
IF(AND($H402="Zoning: Tree Points",$K402&lt;&gt;"",ISNA(MATCH($K402,Tables!$B$242:$B$253,0))),
Error!$B$58,
IF(AND($H402="Zoning: Tree Points",$K402="Small",$L402&lt;&gt;"",ISNA(MATCH($L402,Tables!$C$243:$C$244,0))),
Error!$B$59,
IF(AND($H402="Zoning: Tree Points",$K402="Small/Medium",$L402&lt;&gt;"",ISNA(MATCH($L402,Tables!$C$246:$C$247,0))),
Error!$B$59,
IF(AND($H402="Zoning: Tree Points",$K402="Medium/Large",$L402&lt;&gt;"",ISNA(MATCH($L402,Tables!$C$249:$C$250,0))),
Error!$B$59,
IF(AND($H402="Zoning: Tree Points",$K402="Large",$L402&lt;&gt;"",ISNA(MATCH($L402,Tables!$C$252:$C$253,0))),
Error!$B$59,
IF(AND($F402="Retain",$H402="Zoning: Tree Points",$C402&lt;&gt;"",$D402&lt;&gt;"",OR($K402="",$L402="",$M402="")),
Error!$B$20,
""
)))))))))))))))))))))))))))))))))))))))))))))))))))))))),
Error!$B$23))</f>
        <v/>
      </c>
      <c r="O402" s="343" t="str" cm="1">
        <f t="array" aca="1" ref="O402" ca="1">IFERROR(_xlfn.LET(
    _xlpm.txt, $C402,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03" spans="1:15" ht="15" thickBot="1" x14ac:dyDescent="0.35">
      <c r="A403" s="311">
        <v>99</v>
      </c>
      <c r="B403" s="312"/>
      <c r="C403" s="313"/>
      <c r="D403" s="478"/>
      <c r="E403" s="314"/>
      <c r="F403" s="314"/>
      <c r="G403" s="315" t="str">
        <f>IF(Tree_Table1[[#This Row],[Tree Status  &amp;]]="Retain", Tables!$B$237, IF(Tree_Table1[[#This Row],[Tree Status  &amp;]]="Remove", Tables!$B$238, ""))</f>
        <v/>
      </c>
      <c r="H403" s="316"/>
      <c r="I403" s="317"/>
      <c r="J403" s="452"/>
      <c r="K403" s="318" t="str">
        <f>IFERROR(
    IF(
        AND($H403="Zoning: Tree Points", NOT(ISNUMBER(SEARCH("sp.", $C403)))),
        VLOOKUP($C403, 'Tree List'!$C$3:$F$601, 4, FALSE),
        ""
    ),
"")</f>
        <v/>
      </c>
      <c r="L403" s="319" t="str" cm="1">
        <f t="array" ref="L403">IFERROR(
IF(
    AND($H403="Zoning: Tree Points", NOT(ISNUMBER(SEARCH("sp.", $C403)))),
    _xlfn.IFS(
        (COUNTIFS('Tree List'!$C$3:$C$601,$C403,'Tree List'!$D$3:$D$601,"Coniferous")
        + COUNTIFS('Tree List'!$C$3:$C$601,$C403,'Tree List'!$D$3:$D$601,"Deciduous Conifer")) &gt; 0,
            _xlfn.IFS($K403="Small",0.5,$K403="Small/Medium",1,$K403="Medium/Large",1.4,$K403="Large",1.8),
        (COUNTIFS('Tree List'!$C$3:$C$601,$C403,'Tree List'!$D$3:$D$601,"Deciduous")
        + COUNTIFS('Tree List'!$C$3:$C$601,$C403,'Tree List'!$D$3:$D$601,"Broadleaf Evergreen")) &gt; 0,
            _xlfn.IFS($K403="Small",0.4,$K403="Small/Medium",0.8,$K403="Medium/Large",1.2,$K403="Large",1.6)
    ),
    ""
),
"")</f>
        <v/>
      </c>
      <c r="M403" s="474" t="str">
        <f t="shared" si="411"/>
        <v/>
      </c>
      <c r="N403" s="620" t="str" cm="1">
        <f t="array" aca="1" ref="N40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IF(AND(_xlpm.baseRow,ISNA(MATCH($C403,'Tree List'!$C$3:$C$601,0)),SUMPRODUCT(--ISNUMBER(SEARCH(Tables2!$C$677:$C$772,$O403)))&gt;0),
Error!$B$57,
IF(AND(_xlpm.hasDM,$F403="Remove",$H403&lt;&gt;"",OR($I403="On-site replacement",$I403="Off-site replacement",$I403="Payment In Lieu")),
Error!$B$56,
IF(AND(_xlpm.hasDM,$F403="Remove",$H403&lt;&gt;"",$I403="Relocation"),
Error!$B$66,
IF(AND(OR(_xlpm.hasCN,_xlpm.hasPH,_xlpm.hasGR),$H403&lt;&gt;"",COUNTIF(Tables!$B$132:$B$134,$H403)&gt;0,$I403="N/A (No replacement required)"),
Error!$B$62,
IF(AND(_xlpm.baseRow,$E403&lt;&gt;"",ISNA(MATCH($E403,Tables!$B$225:$B$232,0))),
Error!$B$2,
IF(AND(_xlpm.baseRow,$F403&lt;&gt;"",ISNA(MATCH($F403,Tables!$B$234:$B$235,0))),
Error!$B$24,
IF(AND(_xlpm.baseRow,_xlpm.ECA_H&gt;0,_xlpm.Shore_H&gt;0),
Error!$B$16,
IF(AND(_xlpm.baseRow,$E403&lt;&gt;"",$D403=""),
Error!$B$3,
IF(AND(_xlpm.baseRow,OR($E403="Tier 3",$E403="Tier 4"),$C403&lt;&gt;"",$D403&gt;=24,COUNTIF(Tables2!$B$166:$B$674,$C403)&gt;0),
Error!$B$44,
IF(AND(_xlpm.baseRow,OR($E403="Tier 3",$E403="Tier 4"),$C403&lt;&gt;"",$D403&lt;&gt;"",COUNTIF(Tables2!$B$73:$B$152,$C403)&gt;0,
$D403&gt;=IFERROR(INDEX(Tables2!$C$73:$C$152,MATCH($C403,Tables2!$B$73:$B$152,0)),-1)),
Error!$B$44,
IF(AND(_xlpm.baseRow,OR($E403="Tier 2",$E403="Tier 2 Grove"),$C403&lt;&gt;"",$D403&gt;=12,COUNTIF(Tables2!$B$153:$B$162,$C403)&gt;0),
Error!$B$45,
IF(AND(_xlpm.baseRow,$E403="Tier 2 Grove",$D403&lt;12),
Error!$B$41,
IF(AND(_xlpm.baseRow,$E403="Tier 2",$D403&lt;5.88),
Error!$B$40,
IF(AND(_xlpm.baseRow,OR($E403="Tier 2",$E403="Tier 2 Grove"),$C403&lt;&gt;"",$D403&lt;12,$D403&gt;=6,COUNTIF(Tables2!$B$153:$B$162,$C403)&gt;0),
Error!$B$54,
IF(AND(_xlpm.baseRow,$E403="Tier 2",COUNTIF(Tables2!$B$166:$B$674,$C403)&gt;0,$D403&lt;24),
Error!$B$54,
IF(AND(_xlpm.baseRow,$E403="Tier 3",ISNA(MATCH($C403,Tables2!$B$153:$B$162,0)),OR($D403&lt;12,$D403&gt;=24)),
Error!$B$9,
IF(AND(_xlpm.baseRow,$E403="Tier 3",COUNTIF(Tables2!$B$153:$B$162,$C403)&gt;0,$D403&lt;12),
Error!$B$46,
IF(AND(_xlpm.baseRow,$E403="Tier 4",OR($D403&lt;6,$D403&gt;=12)),
Error!$B$10,
IF(AND(_xlpm.baseRow,$E403="&lt;6in DSH for Tree Points",OR($D403&gt;=6,$D403="")),
Error!$B$8,
IF(AND(_xlpm.baseRow,$E403="Street Tree for Green Factor",$F403&lt;&gt;"",$F403&lt;&gt;"Retain"),
Error!$B$14,
IF(AND($E403="&lt;6in DSH for Tree Points",$F403="Retain",$H403&lt;&gt;"",ISNA(MATCH($H403,Tables!$B$174:$B$174,0))),
Error!$B$15,
IF(AND($E403="Street Tree for Green Factor",$F403="Retain",$H403&lt;&gt;"",$H403&lt;&gt;"Zoning: Green Factor"),
Error!$B$15,
IF(AND($E403="ECA / Shoreline Tree",$F403="Remove",$H403&lt;&gt;"",ISNA(MATCH($H403,Tables!$B$189:$B$190,0))),
Error!$B$15,
IF(AND($E403="ECA / Shoreline Tree",$F403="Retain",$H403&lt;&gt;"",ISNA(MATCH($H403,Tables!$B$184:$B$186,0))),
Error!$B$15,
IF(AND($E403="Tier 4",$F403="Remove",$H403&lt;&gt;"",ISNA(MATCH($H403,Tables!$B$171,0))),
Error!$B$15,
IF(AND($E403="Tier 4",$F403="Retain",$H403&lt;&gt;"",ISNA(MATCH($H403,Tables!$B$166:$B$168,0))),
Error!$B$15,
IF(AND($E403="Tier 3",$F403="Retain",$H403&lt;&gt;"",ISNA(MATCH($H403,Tables!$B$158:$B$160,0))),
Error!$B$15,
IF(AND($E403="Tier 3",$F403="Remove",$H403&lt;&gt;"",ISNA(MATCH($H403,Tables!$B$163,0))),
Error!$B$15,
IF(AND(OR($E403="Tier 2",$E403="Tier 2 Grove"),$F403="Remove",$H403&lt;&gt;"",ISNA(MATCH($H403,Tables!$B$153:$B$155,0))),
Error!$B$15,
IF(AND(OR($E403="Tier 2",$E403="Tier 2 Grove"),$F403="Retain",$H403&lt;&gt;"",ISNA(MATCH($H403,Tables!$B$147:$B$150,0))),
Error!$B$15,
IF(AND($E403="Tier 1",$F403="Remove",$H403&lt;&gt;"",ISNA(MATCH($H403,Tables!$B$143:$B$144,0))),
Error!$B$15,
IF(AND($E403="Tier 1",$F403="Retain",$H403&lt;&gt;"",ISNA(MATCH($H403,Tables!$B$137:$B$140,0))),
Error!$B$15,
IF(AND($E403&lt;&gt;"Tier 2",$E403&lt;&gt;"Tier 2 Grove",$E403&lt;&gt;"Tier 3",$E403&lt;&gt;"Tier 4",$H403="Zoning: Green Factor",OR($D403="",$D403&lt;6)),
Error!$B$11,
IF(AND(_xlpm.baseRow,$D403&lt;6,$E403="&lt;6in DSH for Tree Points",_xlpm.TreePoints_H=0),
Error!$B$21,
IF(AND(_xlpm.baseRow,$E403&lt;&gt;"",$D403&lt;&gt;"",$F403=""),
Error!$B$4,
IF(AND(_xlpm.baseRow,$F403="Remove",OR($E403="Tier 1",$E403="Tier 2",$E403="Tier 2 Grove"),COUNTBLANK(_xlpm.HRange)&lt;3,_xlpm.uniqueH&gt;=2),
Error!$B$48,
IF(AND(_xlpm.baseRow,$F403="Retain",OR($E403="Tier 1",$E403="Tier 2",$E403="Tier 2 Grove"),COUNTIF(_xlpm.HRange,"Tree Code: Required to Retain Tier 1-2 Tree")=0),
Error!$B$47,
IF(AND(_xlpm.baseRow,$E403&lt;&gt;"",$D403&lt;&gt;"",$F403&lt;&gt;"",COUNTBLANK(_xlpm.HRange)=4),
Error!$B$5,
IF(AND($F403="Remove",$H403&lt;&gt;"",$I403=""),
Error!$B$18,
IF(AND($E403="Tier 4",$F403="Remove",$H403="Tree Protection Code: Tier 3 or Tier 4 Allowance",$H403&lt;&gt;"",ISNA(MATCH($I403,Tables!$B$200,0))),
Error!$B$17,
IF(AND($E403="Tier 3",$F403="Remove",$H403&lt;&gt;"",$H403="Tree Protection Code: Tier 3 or Tier 4 Allowance",OR($I403="",ISNA(MATCH($I403,Tables!$B$193:$B$197,0)))),
Error!$B$17,
IF(AND(OR($E403="Tier 2",$E403="Tier 2 Grove"),$F403="Remove",$H403="Tree Protection Code: Other removal allowance or exemption",$I403&lt;&gt;"",ISNA(MATCH($I403,Tables!$B$215:$B$218,0))),
Error!$B$17,
IF(AND(OR($E403="Tier 2",$E403="Tier 2 Grove"),$F403="Remove",$H403="Tree Protection Code: Development Capacity",$I403&lt;&gt;"",ISNA(MATCH($I403,Tables!$B$193:$B$197,0))),
Error!$B$17,
IF(AND(OR($E403="Tier 2",$E403="Tier 2 Grove"),$F403="Remove",$H403="Tree Protection Code: Necessary for Construction",$I403&lt;&gt;"",ISNA(MATCH($I403,Tables!$B$193:$B$197,0))),
Error!$B$17,
IF(AND($E403="Tier 1",$F403="Remove",$H403="Tree Protection Code: Special Exception",$I403&lt;&gt;"",ISNA(MATCH($I403,Tables!$B$215:$B$218,0))),
Error!$B$17,
IF(AND($E403="Tier 1",$F403="Remove",$H403="Tree Protection Code: Other removal allowance or exemption",$I403&lt;&gt;"",ISNA(MATCH($I403,Tables!$B$215:$B$218,0))),
Error!$B$17,
IF(AND($E403="ECA / Shoreline Tree",$F403="Remove",$H403&lt;&gt;"",OR($H403="Shoreline",$H403="Environmental Critical Area (ECA)"),ISNA(MATCH($I403,Tables!$B$209:$B$212,0))),
Error!$B$17,
IF(AND(_xlpm.baseRow,$F403="Retain",$E403="ECA / Shoreline Tree",_xlpm.ECA_Short=0),
Error!$B$61,
IF(AND($F403="Remove",ISNUMBER(MATCH($E403,{"Tier 1","Tier 2","Tier 3","Tier 4","Tier 2 Grove"},0)),ISNUMBER(MATCH($I403,{"On-site replacement","Off-site replacement"},0)),$J403="",$H403&lt;&gt;""),
Error!$B$19,
IF(AND(_xlpm.baseRow,$E403&lt;&gt;"",$D403&lt;&gt;"",$F403&lt;&gt;"",COUNTBLANK($B403:$C403)&gt;0,COUNTBLANK(_xlpm.HRange)&lt;&gt;4),
Error!$B$22,
IF(AND($H403="Zoning: Tree Points",$K403&lt;&gt;"",ISNA(MATCH($K403,Tables!$B$242:$B$253,0))),
Error!$B$58,
IF(AND($H403="Zoning: Tree Points",$K403="Small",$L403&lt;&gt;"",ISNA(MATCH($L403,Tables!$C$243:$C$244,0))),
Error!$B$59,
IF(AND($H403="Zoning: Tree Points",$K403="Small/Medium",$L403&lt;&gt;"",ISNA(MATCH($L403,Tables!$C$246:$C$247,0))),
Error!$B$59,
IF(AND($H403="Zoning: Tree Points",$K403="Medium/Large",$L403&lt;&gt;"",ISNA(MATCH($L403,Tables!$C$249:$C$250,0))),
Error!$B$59,
IF(AND($H403="Zoning: Tree Points",$K403="Large",$L403&lt;&gt;"",ISNA(MATCH($L403,Tables!$C$252:$C$253,0))),
Error!$B$59,
IF(AND($F403="Retain",$H403="Zoning: Tree Points",$C403&lt;&gt;"",$D403&lt;&gt;"",OR($K403="",$L403="",$M403="")),
Error!$B$20,
""
)))))))))))))))))))))))))))))))))))))))))))))))))))))))),
Error!$B$23))</f>
        <v/>
      </c>
      <c r="O403" s="343" t="str" cm="1">
        <f t="array" aca="1" ref="O403" ca="1">IFERROR(_xlfn.LET(
    _xlpm.txt, $C403,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04" spans="1:15" x14ac:dyDescent="0.3">
      <c r="A404" s="320"/>
      <c r="B404" s="616" t="str">
        <f t="shared" ref="B404:B406" si="452">IF($B403="", "", $B403)</f>
        <v/>
      </c>
      <c r="C404" s="617" t="str">
        <f t="shared" ref="C404:C406" si="453">IF($C403="", "", $C403)</f>
        <v/>
      </c>
      <c r="D404" s="618" t="str">
        <f t="shared" ref="D404:D406" si="454">IF($D403="", "", $D403)</f>
        <v/>
      </c>
      <c r="E404" s="616" t="str">
        <f t="shared" ref="E404:E406" si="455">IF($E403="", "", $E403)</f>
        <v/>
      </c>
      <c r="F404" s="616" t="str">
        <f t="shared" ref="F404:F406" si="456">IF($F403="", "", $F403)</f>
        <v/>
      </c>
      <c r="G404" s="619" t="str">
        <f>IF(Tree_Table1[[#This Row],[Tree Status  &amp;]]="Retain", Tables!$B$237, IF(Tree_Table1[[#This Row],[Tree Status  &amp;]]="Remove", Tables!$B$238, ""))</f>
        <v/>
      </c>
      <c r="H404" s="321"/>
      <c r="I404" s="322"/>
      <c r="J404" s="453"/>
      <c r="K404" s="323" t="str">
        <f>IFERROR(
    IF(
        AND($H404="Zoning: Tree Points", NOT(ISNUMBER(SEARCH("sp.", $C404)))),
        VLOOKUP($C404, 'Tree List'!$C$3:$F$601, 4, FALSE),
        ""
    ),
"")</f>
        <v/>
      </c>
      <c r="L404" s="324" t="str" cm="1">
        <f t="array" ref="L404">IFERROR(
IF(
    AND($H404="Zoning: Tree Points", NOT(ISNUMBER(SEARCH("sp.", $C404)))),
    _xlfn.IFS(
        (COUNTIFS('Tree List'!$C$3:$C$601,$C404,'Tree List'!$D$3:$D$601,"Coniferous")
        + COUNTIFS('Tree List'!$C$3:$C$601,$C404,'Tree List'!$D$3:$D$601,"Deciduous Conifer")) &gt; 0,
            _xlfn.IFS($K404="Small",0.5,$K404="Small/Medium",1,$K404="Medium/Large",1.4,$K404="Large",1.8),
        (COUNTIFS('Tree List'!$C$3:$C$601,$C404,'Tree List'!$D$3:$D$601,"Deciduous")
        + COUNTIFS('Tree List'!$C$3:$C$601,$C404,'Tree List'!$D$3:$D$601,"Broadleaf Evergreen")) &gt; 0,
            _xlfn.IFS($K404="Small",0.4,$K404="Small/Medium",0.8,$K404="Medium/Large",1.2,$K404="Large",1.6)
    ),
    ""
),
"")</f>
        <v/>
      </c>
      <c r="M404" s="475" t="str">
        <f t="shared" si="411"/>
        <v/>
      </c>
      <c r="N404" s="346" t="str" cm="1">
        <f t="array" aca="1" ref="N40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IF(AND(_xlpm.baseRow,ISNA(MATCH($C404,'Tree List'!$C$3:$C$601,0)),SUMPRODUCT(--ISNUMBER(SEARCH(Tables2!$C$677:$C$772,$O404)))&gt;0),
Error!$B$57,
IF(AND(_xlpm.hasDM,$F404="Remove",$H404&lt;&gt;"",OR($I404="On-site replacement",$I404="Off-site replacement",$I404="Payment In Lieu")),
Error!$B$56,
IF(AND(_xlpm.hasDM,$F404="Remove",$H404&lt;&gt;"",$I404="Relocation"),
Error!$B$66,
IF(AND(OR(_xlpm.hasCN,_xlpm.hasPH,_xlpm.hasGR),$H404&lt;&gt;"",COUNTIF(Tables!$B$132:$B$134,$H404)&gt;0,$I404="N/A (No replacement required)"),
Error!$B$62,
IF(AND(_xlpm.baseRow,$E404&lt;&gt;"",ISNA(MATCH($E404,Tables!$B$225:$B$232,0))),
Error!$B$2,
IF(AND(_xlpm.baseRow,$F404&lt;&gt;"",ISNA(MATCH($F404,Tables!$B$234:$B$235,0))),
Error!$B$24,
IF(AND(_xlpm.baseRow,_xlpm.ECA_H&gt;0,_xlpm.Shore_H&gt;0),
Error!$B$16,
IF(AND(_xlpm.baseRow,$E404&lt;&gt;"",$D404=""),
Error!$B$3,
IF(AND(_xlpm.baseRow,OR($E404="Tier 3",$E404="Tier 4"),$C404&lt;&gt;"",$D404&gt;=24,COUNTIF(Tables2!$B$166:$B$674,$C404)&gt;0),
Error!$B$44,
IF(AND(_xlpm.baseRow,OR($E404="Tier 3",$E404="Tier 4"),$C404&lt;&gt;"",$D404&lt;&gt;"",COUNTIF(Tables2!$B$73:$B$152,$C404)&gt;0,
$D404&gt;=IFERROR(INDEX(Tables2!$C$73:$C$152,MATCH($C404,Tables2!$B$73:$B$152,0)),-1)),
Error!$B$44,
IF(AND(_xlpm.baseRow,OR($E404="Tier 2",$E404="Tier 2 Grove"),$C404&lt;&gt;"",$D404&gt;=12,COUNTIF(Tables2!$B$153:$B$162,$C404)&gt;0),
Error!$B$45,
IF(AND(_xlpm.baseRow,$E404="Tier 2 Grove",$D404&lt;12),
Error!$B$41,
IF(AND(_xlpm.baseRow,$E404="Tier 2",$D404&lt;5.88),
Error!$B$40,
IF(AND(_xlpm.baseRow,OR($E404="Tier 2",$E404="Tier 2 Grove"),$C404&lt;&gt;"",$D404&lt;12,$D404&gt;=6,COUNTIF(Tables2!$B$153:$B$162,$C404)&gt;0),
Error!$B$54,
IF(AND(_xlpm.baseRow,$E404="Tier 2",COUNTIF(Tables2!$B$166:$B$674,$C404)&gt;0,$D404&lt;24),
Error!$B$54,
IF(AND(_xlpm.baseRow,$E404="Tier 3",ISNA(MATCH($C404,Tables2!$B$153:$B$162,0)),OR($D404&lt;12,$D404&gt;=24)),
Error!$B$9,
IF(AND(_xlpm.baseRow,$E404="Tier 3",COUNTIF(Tables2!$B$153:$B$162,$C404)&gt;0,$D404&lt;12),
Error!$B$46,
IF(AND(_xlpm.baseRow,$E404="Tier 4",OR($D404&lt;6,$D404&gt;=12)),
Error!$B$10,
IF(AND(_xlpm.baseRow,$E404="&lt;6in DSH for Tree Points",OR($D404&gt;=6,$D404="")),
Error!$B$8,
IF(AND(_xlpm.baseRow,$E404="Street Tree for Green Factor",$F404&lt;&gt;"",$F404&lt;&gt;"Retain"),
Error!$B$14,
IF(AND($E404="&lt;6in DSH for Tree Points",$F404="Retain",$H404&lt;&gt;"",ISNA(MATCH($H404,Tables!$B$174:$B$174,0))),
Error!$B$15,
IF(AND($E404="Street Tree for Green Factor",$F404="Retain",$H404&lt;&gt;"",$H404&lt;&gt;"Zoning: Green Factor"),
Error!$B$15,
IF(AND($E404="ECA / Shoreline Tree",$F404="Remove",$H404&lt;&gt;"",ISNA(MATCH($H404,Tables!$B$189:$B$190,0))),
Error!$B$15,
IF(AND($E404="ECA / Shoreline Tree",$F404="Retain",$H404&lt;&gt;"",ISNA(MATCH($H404,Tables!$B$184:$B$186,0))),
Error!$B$15,
IF(AND($E404="Tier 4",$F404="Remove",$H404&lt;&gt;"",ISNA(MATCH($H404,Tables!$B$171,0))),
Error!$B$15,
IF(AND($E404="Tier 4",$F404="Retain",$H404&lt;&gt;"",ISNA(MATCH($H404,Tables!$B$166:$B$168,0))),
Error!$B$15,
IF(AND($E404="Tier 3",$F404="Retain",$H404&lt;&gt;"",ISNA(MATCH($H404,Tables!$B$158:$B$160,0))),
Error!$B$15,
IF(AND($E404="Tier 3",$F404="Remove",$H404&lt;&gt;"",ISNA(MATCH($H404,Tables!$B$163,0))),
Error!$B$15,
IF(AND(OR($E404="Tier 2",$E404="Tier 2 Grove"),$F404="Remove",$H404&lt;&gt;"",ISNA(MATCH($H404,Tables!$B$153:$B$155,0))),
Error!$B$15,
IF(AND(OR($E404="Tier 2",$E404="Tier 2 Grove"),$F404="Retain",$H404&lt;&gt;"",ISNA(MATCH($H404,Tables!$B$147:$B$150,0))),
Error!$B$15,
IF(AND($E404="Tier 1",$F404="Remove",$H404&lt;&gt;"",ISNA(MATCH($H404,Tables!$B$143:$B$144,0))),
Error!$B$15,
IF(AND($E404="Tier 1",$F404="Retain",$H404&lt;&gt;"",ISNA(MATCH($H404,Tables!$B$137:$B$140,0))),
Error!$B$15,
IF(AND($E404&lt;&gt;"Tier 2",$E404&lt;&gt;"Tier 2 Grove",$E404&lt;&gt;"Tier 3",$E404&lt;&gt;"Tier 4",$H404="Zoning: Green Factor",OR($D404="",$D404&lt;6)),
Error!$B$11,
IF(AND(_xlpm.baseRow,$D404&lt;6,$E404="&lt;6in DSH for Tree Points",_xlpm.TreePoints_H=0),
Error!$B$21,
IF(AND(_xlpm.baseRow,$E404&lt;&gt;"",$D404&lt;&gt;"",$F404=""),
Error!$B$4,
IF(AND(_xlpm.baseRow,$F404="Remove",OR($E404="Tier 1",$E404="Tier 2",$E404="Tier 2 Grove"),COUNTBLANK(_xlpm.HRange)&lt;3,_xlpm.uniqueH&gt;=2),
Error!$B$48,
IF(AND(_xlpm.baseRow,$F404="Retain",OR($E404="Tier 1",$E404="Tier 2",$E404="Tier 2 Grove"),COUNTIF(_xlpm.HRange,"Tree Code: Required to Retain Tier 1-2 Tree")=0),
Error!$B$47,
IF(AND(_xlpm.baseRow,$E404&lt;&gt;"",$D404&lt;&gt;"",$F404&lt;&gt;"",COUNTBLANK(_xlpm.HRange)=4),
Error!$B$5,
IF(AND($F404="Remove",$H404&lt;&gt;"",$I404=""),
Error!$B$18,
IF(AND($E404="Tier 4",$F404="Remove",$H404="Tree Protection Code: Tier 3 or Tier 4 Allowance",$H404&lt;&gt;"",ISNA(MATCH($I404,Tables!$B$200,0))),
Error!$B$17,
IF(AND($E404="Tier 3",$F404="Remove",$H404&lt;&gt;"",$H404="Tree Protection Code: Tier 3 or Tier 4 Allowance",OR($I404="",ISNA(MATCH($I404,Tables!$B$193:$B$197,0)))),
Error!$B$17,
IF(AND(OR($E404="Tier 2",$E404="Tier 2 Grove"),$F404="Remove",$H404="Tree Protection Code: Other removal allowance or exemption",$I404&lt;&gt;"",ISNA(MATCH($I404,Tables!$B$215:$B$218,0))),
Error!$B$17,
IF(AND(OR($E404="Tier 2",$E404="Tier 2 Grove"),$F404="Remove",$H404="Tree Protection Code: Development Capacity",$I404&lt;&gt;"",ISNA(MATCH($I404,Tables!$B$193:$B$197,0))),
Error!$B$17,
IF(AND(OR($E404="Tier 2",$E404="Tier 2 Grove"),$F404="Remove",$H404="Tree Protection Code: Necessary for Construction",$I404&lt;&gt;"",ISNA(MATCH($I404,Tables!$B$193:$B$197,0))),
Error!$B$17,
IF(AND($E404="Tier 1",$F404="Remove",$H404="Tree Protection Code: Special Exception",$I404&lt;&gt;"",ISNA(MATCH($I404,Tables!$B$215:$B$218,0))),
Error!$B$17,
IF(AND($E404="Tier 1",$F404="Remove",$H404="Tree Protection Code: Other removal allowance or exemption",$I404&lt;&gt;"",ISNA(MATCH($I404,Tables!$B$215:$B$218,0))),
Error!$B$17,
IF(AND($E404="ECA / Shoreline Tree",$F404="Remove",$H404&lt;&gt;"",OR($H404="Shoreline",$H404="Environmental Critical Area (ECA)"),ISNA(MATCH($I404,Tables!$B$209:$B$212,0))),
Error!$B$17,
IF(AND(_xlpm.baseRow,$F404="Retain",$E404="ECA / Shoreline Tree",_xlpm.ECA_Short=0),
Error!$B$61,
IF(AND($F404="Remove",ISNUMBER(MATCH($E404,{"Tier 1","Tier 2","Tier 3","Tier 4","Tier 2 Grove"},0)),ISNUMBER(MATCH($I404,{"On-site replacement","Off-site replacement"},0)),$J404="",$H404&lt;&gt;""),
Error!$B$19,
IF(AND(_xlpm.baseRow,$E404&lt;&gt;"",$D404&lt;&gt;"",$F404&lt;&gt;"",COUNTBLANK($B404:$C404)&gt;0,COUNTBLANK(_xlpm.HRange)&lt;&gt;4),
Error!$B$22,
IF(AND($H404="Zoning: Tree Points",$K404&lt;&gt;"",ISNA(MATCH($K404,Tables!$B$242:$B$253,0))),
Error!$B$58,
IF(AND($H404="Zoning: Tree Points",$K404="Small",$L404&lt;&gt;"",ISNA(MATCH($L404,Tables!$C$243:$C$244,0))),
Error!$B$59,
IF(AND($H404="Zoning: Tree Points",$K404="Small/Medium",$L404&lt;&gt;"",ISNA(MATCH($L404,Tables!$C$246:$C$247,0))),
Error!$B$59,
IF(AND($H404="Zoning: Tree Points",$K404="Medium/Large",$L404&lt;&gt;"",ISNA(MATCH($L404,Tables!$C$249:$C$250,0))),
Error!$B$59,
IF(AND($H404="Zoning: Tree Points",$K404="Large",$L404&lt;&gt;"",ISNA(MATCH($L404,Tables!$C$252:$C$253,0))),
Error!$B$59,
IF(AND($F404="Retain",$H404="Zoning: Tree Points",$C404&lt;&gt;"",$D404&lt;&gt;"",OR($K404="",$L404="",$M404="")),
Error!$B$20,
""
)))))))))))))))))))))))))))))))))))))))))))))))))))))))),
Error!$B$23))</f>
        <v/>
      </c>
      <c r="O404" s="343" t="str" cm="1">
        <f t="array" aca="1" ref="O404" ca="1">IFERROR(_xlfn.LET(
    _xlpm.txt, $C404,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05" spans="1:15" x14ac:dyDescent="0.3">
      <c r="A405" s="320"/>
      <c r="B405" s="616" t="str">
        <f t="shared" si="452"/>
        <v/>
      </c>
      <c r="C405" s="617" t="str">
        <f t="shared" si="453"/>
        <v/>
      </c>
      <c r="D405" s="618" t="str">
        <f t="shared" si="454"/>
        <v/>
      </c>
      <c r="E405" s="616" t="str">
        <f t="shared" si="455"/>
        <v/>
      </c>
      <c r="F405" s="616" t="str">
        <f t="shared" si="456"/>
        <v/>
      </c>
      <c r="G405" s="619" t="str">
        <f>IF(Tree_Table1[[#This Row],[Tree Status  &amp;]]="Retain", Tables!$B$237, IF(Tree_Table1[[#This Row],[Tree Status  &amp;]]="Remove", Tables!$B$238, ""))</f>
        <v/>
      </c>
      <c r="H405" s="321"/>
      <c r="I405" s="322"/>
      <c r="J405" s="453"/>
      <c r="K405" s="323" t="str">
        <f>IFERROR(
    IF(
        AND($H405="Zoning: Tree Points", NOT(ISNUMBER(SEARCH("sp.", $C405)))),
        VLOOKUP($C405, 'Tree List'!$C$3:$F$601, 4, FALSE),
        ""
    ),
"")</f>
        <v/>
      </c>
      <c r="L405" s="324" t="str" cm="1">
        <f t="array" ref="L405">IFERROR(
IF(
    AND($H405="Zoning: Tree Points", NOT(ISNUMBER(SEARCH("sp.", $C405)))),
    _xlfn.IFS(
        (COUNTIFS('Tree List'!$C$3:$C$601,$C405,'Tree List'!$D$3:$D$601,"Coniferous")
        + COUNTIFS('Tree List'!$C$3:$C$601,$C405,'Tree List'!$D$3:$D$601,"Deciduous Conifer")) &gt; 0,
            _xlfn.IFS($K405="Small",0.5,$K405="Small/Medium",1,$K405="Medium/Large",1.4,$K405="Large",1.8),
        (COUNTIFS('Tree List'!$C$3:$C$601,$C405,'Tree List'!$D$3:$D$601,"Deciduous")
        + COUNTIFS('Tree List'!$C$3:$C$601,$C405,'Tree List'!$D$3:$D$601,"Broadleaf Evergreen")) &gt; 0,
            _xlfn.IFS($K405="Small",0.4,$K405="Small/Medium",0.8,$K405="Medium/Large",1.2,$K405="Large",1.6)
    ),
    ""
),
"")</f>
        <v/>
      </c>
      <c r="M405" s="475" t="str">
        <f t="shared" si="411"/>
        <v/>
      </c>
      <c r="N405" s="346" t="str" cm="1">
        <f t="array" aca="1" ref="N40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IF(AND(_xlpm.baseRow,ISNA(MATCH($C405,'Tree List'!$C$3:$C$601,0)),SUMPRODUCT(--ISNUMBER(SEARCH(Tables2!$C$677:$C$772,$O405)))&gt;0),
Error!$B$57,
IF(AND(_xlpm.hasDM,$F405="Remove",$H405&lt;&gt;"",OR($I405="On-site replacement",$I405="Off-site replacement",$I405="Payment In Lieu")),
Error!$B$56,
IF(AND(_xlpm.hasDM,$F405="Remove",$H405&lt;&gt;"",$I405="Relocation"),
Error!$B$66,
IF(AND(OR(_xlpm.hasCN,_xlpm.hasPH,_xlpm.hasGR),$H405&lt;&gt;"",COUNTIF(Tables!$B$132:$B$134,$H405)&gt;0,$I405="N/A (No replacement required)"),
Error!$B$62,
IF(AND(_xlpm.baseRow,$E405&lt;&gt;"",ISNA(MATCH($E405,Tables!$B$225:$B$232,0))),
Error!$B$2,
IF(AND(_xlpm.baseRow,$F405&lt;&gt;"",ISNA(MATCH($F405,Tables!$B$234:$B$235,0))),
Error!$B$24,
IF(AND(_xlpm.baseRow,_xlpm.ECA_H&gt;0,_xlpm.Shore_H&gt;0),
Error!$B$16,
IF(AND(_xlpm.baseRow,$E405&lt;&gt;"",$D405=""),
Error!$B$3,
IF(AND(_xlpm.baseRow,OR($E405="Tier 3",$E405="Tier 4"),$C405&lt;&gt;"",$D405&gt;=24,COUNTIF(Tables2!$B$166:$B$674,$C405)&gt;0),
Error!$B$44,
IF(AND(_xlpm.baseRow,OR($E405="Tier 3",$E405="Tier 4"),$C405&lt;&gt;"",$D405&lt;&gt;"",COUNTIF(Tables2!$B$73:$B$152,$C405)&gt;0,
$D405&gt;=IFERROR(INDEX(Tables2!$C$73:$C$152,MATCH($C405,Tables2!$B$73:$B$152,0)),-1)),
Error!$B$44,
IF(AND(_xlpm.baseRow,OR($E405="Tier 2",$E405="Tier 2 Grove"),$C405&lt;&gt;"",$D405&gt;=12,COUNTIF(Tables2!$B$153:$B$162,$C405)&gt;0),
Error!$B$45,
IF(AND(_xlpm.baseRow,$E405="Tier 2 Grove",$D405&lt;12),
Error!$B$41,
IF(AND(_xlpm.baseRow,$E405="Tier 2",$D405&lt;5.88),
Error!$B$40,
IF(AND(_xlpm.baseRow,OR($E405="Tier 2",$E405="Tier 2 Grove"),$C405&lt;&gt;"",$D405&lt;12,$D405&gt;=6,COUNTIF(Tables2!$B$153:$B$162,$C405)&gt;0),
Error!$B$54,
IF(AND(_xlpm.baseRow,$E405="Tier 2",COUNTIF(Tables2!$B$166:$B$674,$C405)&gt;0,$D405&lt;24),
Error!$B$54,
IF(AND(_xlpm.baseRow,$E405="Tier 3",ISNA(MATCH($C405,Tables2!$B$153:$B$162,0)),OR($D405&lt;12,$D405&gt;=24)),
Error!$B$9,
IF(AND(_xlpm.baseRow,$E405="Tier 3",COUNTIF(Tables2!$B$153:$B$162,$C405)&gt;0,$D405&lt;12),
Error!$B$46,
IF(AND(_xlpm.baseRow,$E405="Tier 4",OR($D405&lt;6,$D405&gt;=12)),
Error!$B$10,
IF(AND(_xlpm.baseRow,$E405="&lt;6in DSH for Tree Points",OR($D405&gt;=6,$D405="")),
Error!$B$8,
IF(AND(_xlpm.baseRow,$E405="Street Tree for Green Factor",$F405&lt;&gt;"",$F405&lt;&gt;"Retain"),
Error!$B$14,
IF(AND($E405="&lt;6in DSH for Tree Points",$F405="Retain",$H405&lt;&gt;"",ISNA(MATCH($H405,Tables!$B$174:$B$174,0))),
Error!$B$15,
IF(AND($E405="Street Tree for Green Factor",$F405="Retain",$H405&lt;&gt;"",$H405&lt;&gt;"Zoning: Green Factor"),
Error!$B$15,
IF(AND($E405="ECA / Shoreline Tree",$F405="Remove",$H405&lt;&gt;"",ISNA(MATCH($H405,Tables!$B$189:$B$190,0))),
Error!$B$15,
IF(AND($E405="ECA / Shoreline Tree",$F405="Retain",$H405&lt;&gt;"",ISNA(MATCH($H405,Tables!$B$184:$B$186,0))),
Error!$B$15,
IF(AND($E405="Tier 4",$F405="Remove",$H405&lt;&gt;"",ISNA(MATCH($H405,Tables!$B$171,0))),
Error!$B$15,
IF(AND($E405="Tier 4",$F405="Retain",$H405&lt;&gt;"",ISNA(MATCH($H405,Tables!$B$166:$B$168,0))),
Error!$B$15,
IF(AND($E405="Tier 3",$F405="Retain",$H405&lt;&gt;"",ISNA(MATCH($H405,Tables!$B$158:$B$160,0))),
Error!$B$15,
IF(AND($E405="Tier 3",$F405="Remove",$H405&lt;&gt;"",ISNA(MATCH($H405,Tables!$B$163,0))),
Error!$B$15,
IF(AND(OR($E405="Tier 2",$E405="Tier 2 Grove"),$F405="Remove",$H405&lt;&gt;"",ISNA(MATCH($H405,Tables!$B$153:$B$155,0))),
Error!$B$15,
IF(AND(OR($E405="Tier 2",$E405="Tier 2 Grove"),$F405="Retain",$H405&lt;&gt;"",ISNA(MATCH($H405,Tables!$B$147:$B$150,0))),
Error!$B$15,
IF(AND($E405="Tier 1",$F405="Remove",$H405&lt;&gt;"",ISNA(MATCH($H405,Tables!$B$143:$B$144,0))),
Error!$B$15,
IF(AND($E405="Tier 1",$F405="Retain",$H405&lt;&gt;"",ISNA(MATCH($H405,Tables!$B$137:$B$140,0))),
Error!$B$15,
IF(AND($E405&lt;&gt;"Tier 2",$E405&lt;&gt;"Tier 2 Grove",$E405&lt;&gt;"Tier 3",$E405&lt;&gt;"Tier 4",$H405="Zoning: Green Factor",OR($D405="",$D405&lt;6)),
Error!$B$11,
IF(AND(_xlpm.baseRow,$D405&lt;6,$E405="&lt;6in DSH for Tree Points",_xlpm.TreePoints_H=0),
Error!$B$21,
IF(AND(_xlpm.baseRow,$E405&lt;&gt;"",$D405&lt;&gt;"",$F405=""),
Error!$B$4,
IF(AND(_xlpm.baseRow,$F405="Remove",OR($E405="Tier 1",$E405="Tier 2",$E405="Tier 2 Grove"),COUNTBLANK(_xlpm.HRange)&lt;3,_xlpm.uniqueH&gt;=2),
Error!$B$48,
IF(AND(_xlpm.baseRow,$F405="Retain",OR($E405="Tier 1",$E405="Tier 2",$E405="Tier 2 Grove"),COUNTIF(_xlpm.HRange,"Tree Code: Required to Retain Tier 1-2 Tree")=0),
Error!$B$47,
IF(AND(_xlpm.baseRow,$E405&lt;&gt;"",$D405&lt;&gt;"",$F405&lt;&gt;"",COUNTBLANK(_xlpm.HRange)=4),
Error!$B$5,
IF(AND($F405="Remove",$H405&lt;&gt;"",$I405=""),
Error!$B$18,
IF(AND($E405="Tier 4",$F405="Remove",$H405="Tree Protection Code: Tier 3 or Tier 4 Allowance",$H405&lt;&gt;"",ISNA(MATCH($I405,Tables!$B$200,0))),
Error!$B$17,
IF(AND($E405="Tier 3",$F405="Remove",$H405&lt;&gt;"",$H405="Tree Protection Code: Tier 3 or Tier 4 Allowance",OR($I405="",ISNA(MATCH($I405,Tables!$B$193:$B$197,0)))),
Error!$B$17,
IF(AND(OR($E405="Tier 2",$E405="Tier 2 Grove"),$F405="Remove",$H405="Tree Protection Code: Other removal allowance or exemption",$I405&lt;&gt;"",ISNA(MATCH($I405,Tables!$B$215:$B$218,0))),
Error!$B$17,
IF(AND(OR($E405="Tier 2",$E405="Tier 2 Grove"),$F405="Remove",$H405="Tree Protection Code: Development Capacity",$I405&lt;&gt;"",ISNA(MATCH($I405,Tables!$B$193:$B$197,0))),
Error!$B$17,
IF(AND(OR($E405="Tier 2",$E405="Tier 2 Grove"),$F405="Remove",$H405="Tree Protection Code: Necessary for Construction",$I405&lt;&gt;"",ISNA(MATCH($I405,Tables!$B$193:$B$197,0))),
Error!$B$17,
IF(AND($E405="Tier 1",$F405="Remove",$H405="Tree Protection Code: Special Exception",$I405&lt;&gt;"",ISNA(MATCH($I405,Tables!$B$215:$B$218,0))),
Error!$B$17,
IF(AND($E405="Tier 1",$F405="Remove",$H405="Tree Protection Code: Other removal allowance or exemption",$I405&lt;&gt;"",ISNA(MATCH($I405,Tables!$B$215:$B$218,0))),
Error!$B$17,
IF(AND($E405="ECA / Shoreline Tree",$F405="Remove",$H405&lt;&gt;"",OR($H405="Shoreline",$H405="Environmental Critical Area (ECA)"),ISNA(MATCH($I405,Tables!$B$209:$B$212,0))),
Error!$B$17,
IF(AND(_xlpm.baseRow,$F405="Retain",$E405="ECA / Shoreline Tree",_xlpm.ECA_Short=0),
Error!$B$61,
IF(AND($F405="Remove",ISNUMBER(MATCH($E405,{"Tier 1","Tier 2","Tier 3","Tier 4","Tier 2 Grove"},0)),ISNUMBER(MATCH($I405,{"On-site replacement","Off-site replacement"},0)),$J405="",$H405&lt;&gt;""),
Error!$B$19,
IF(AND(_xlpm.baseRow,$E405&lt;&gt;"",$D405&lt;&gt;"",$F405&lt;&gt;"",COUNTBLANK($B405:$C405)&gt;0,COUNTBLANK(_xlpm.HRange)&lt;&gt;4),
Error!$B$22,
IF(AND($H405="Zoning: Tree Points",$K405&lt;&gt;"",ISNA(MATCH($K405,Tables!$B$242:$B$253,0))),
Error!$B$58,
IF(AND($H405="Zoning: Tree Points",$K405="Small",$L405&lt;&gt;"",ISNA(MATCH($L405,Tables!$C$243:$C$244,0))),
Error!$B$59,
IF(AND($H405="Zoning: Tree Points",$K405="Small/Medium",$L405&lt;&gt;"",ISNA(MATCH($L405,Tables!$C$246:$C$247,0))),
Error!$B$59,
IF(AND($H405="Zoning: Tree Points",$K405="Medium/Large",$L405&lt;&gt;"",ISNA(MATCH($L405,Tables!$C$249:$C$250,0))),
Error!$B$59,
IF(AND($H405="Zoning: Tree Points",$K405="Large",$L405&lt;&gt;"",ISNA(MATCH($L405,Tables!$C$252:$C$253,0))),
Error!$B$59,
IF(AND($F405="Retain",$H405="Zoning: Tree Points",$C405&lt;&gt;"",$D405&lt;&gt;"",OR($K405="",$L405="",$M405="")),
Error!$B$20,
""
)))))))))))))))))))))))))))))))))))))))))))))))))))))))),
Error!$B$23))</f>
        <v/>
      </c>
      <c r="O405" s="343" t="str" cm="1">
        <f t="array" aca="1" ref="O405" ca="1">IFERROR(_xlfn.LET(
    _xlpm.txt, $C405,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06" spans="1:15" ht="15" thickBot="1" x14ac:dyDescent="0.35">
      <c r="A406" s="331"/>
      <c r="B406" s="616" t="str">
        <f t="shared" si="452"/>
        <v/>
      </c>
      <c r="C406" s="617" t="str">
        <f t="shared" si="453"/>
        <v/>
      </c>
      <c r="D406" s="618" t="str">
        <f t="shared" si="454"/>
        <v/>
      </c>
      <c r="E406" s="616" t="str">
        <f t="shared" si="455"/>
        <v/>
      </c>
      <c r="F406" s="616" t="str">
        <f t="shared" si="456"/>
        <v/>
      </c>
      <c r="G406" s="619" t="str">
        <f>IF(Tree_Table1[[#This Row],[Tree Status  &amp;]]="Retain", Tables!$B$237, IF(Tree_Table1[[#This Row],[Tree Status  &amp;]]="Remove", Tables!$B$238, ""))</f>
        <v/>
      </c>
      <c r="H406" s="329"/>
      <c r="I406" s="330"/>
      <c r="J406" s="455"/>
      <c r="K406" s="327" t="str">
        <f>IFERROR(
    IF(
        AND($H406="Zoning: Tree Points", NOT(ISNUMBER(SEARCH("sp.", $C406)))),
        VLOOKUP($C406, 'Tree List'!$C$3:$F$601, 4, FALSE),
        ""
    ),
"")</f>
        <v/>
      </c>
      <c r="L406" s="328" t="str" cm="1">
        <f t="array" ref="L406">IFERROR(
IF(
    AND($H406="Zoning: Tree Points", NOT(ISNUMBER(SEARCH("sp.", $C406)))),
    _xlfn.IFS(
        (COUNTIFS('Tree List'!$C$3:$C$601,$C406,'Tree List'!$D$3:$D$601,"Coniferous")
        + COUNTIFS('Tree List'!$C$3:$C$601,$C406,'Tree List'!$D$3:$D$601,"Deciduous Conifer")) &gt; 0,
            _xlfn.IFS($K406="Small",0.5,$K406="Small/Medium",1,$K406="Medium/Large",1.4,$K406="Large",1.8),
        (COUNTIFS('Tree List'!$C$3:$C$601,$C406,'Tree List'!$D$3:$D$601,"Deciduous")
        + COUNTIFS('Tree List'!$C$3:$C$601,$C406,'Tree List'!$D$3:$D$601,"Broadleaf Evergreen")) &gt; 0,
            _xlfn.IFS($K406="Small",0.4,$K406="Small/Medium",0.8,$K406="Medium/Large",1.2,$K406="Large",1.6)
    ),
    ""
),
"")</f>
        <v/>
      </c>
      <c r="M406" s="476" t="str">
        <f t="shared" si="411"/>
        <v/>
      </c>
      <c r="N406" s="347" t="str" cm="1">
        <f t="array" aca="1" ref="N40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IF(AND(_xlpm.baseRow,ISNA(MATCH($C406,'Tree List'!$C$3:$C$601,0)),SUMPRODUCT(--ISNUMBER(SEARCH(Tables2!$C$677:$C$772,$O406)))&gt;0),
Error!$B$57,
IF(AND(_xlpm.hasDM,$F406="Remove",$H406&lt;&gt;"",OR($I406="On-site replacement",$I406="Off-site replacement",$I406="Payment In Lieu")),
Error!$B$56,
IF(AND(_xlpm.hasDM,$F406="Remove",$H406&lt;&gt;"",$I406="Relocation"),
Error!$B$66,
IF(AND(OR(_xlpm.hasCN,_xlpm.hasPH,_xlpm.hasGR),$H406&lt;&gt;"",COUNTIF(Tables!$B$132:$B$134,$H406)&gt;0,$I406="N/A (No replacement required)"),
Error!$B$62,
IF(AND(_xlpm.baseRow,$E406&lt;&gt;"",ISNA(MATCH($E406,Tables!$B$225:$B$232,0))),
Error!$B$2,
IF(AND(_xlpm.baseRow,$F406&lt;&gt;"",ISNA(MATCH($F406,Tables!$B$234:$B$235,0))),
Error!$B$24,
IF(AND(_xlpm.baseRow,_xlpm.ECA_H&gt;0,_xlpm.Shore_H&gt;0),
Error!$B$16,
IF(AND(_xlpm.baseRow,$E406&lt;&gt;"",$D406=""),
Error!$B$3,
IF(AND(_xlpm.baseRow,OR($E406="Tier 3",$E406="Tier 4"),$C406&lt;&gt;"",$D406&gt;=24,COUNTIF(Tables2!$B$166:$B$674,$C406)&gt;0),
Error!$B$44,
IF(AND(_xlpm.baseRow,OR($E406="Tier 3",$E406="Tier 4"),$C406&lt;&gt;"",$D406&lt;&gt;"",COUNTIF(Tables2!$B$73:$B$152,$C406)&gt;0,
$D406&gt;=IFERROR(INDEX(Tables2!$C$73:$C$152,MATCH($C406,Tables2!$B$73:$B$152,0)),-1)),
Error!$B$44,
IF(AND(_xlpm.baseRow,OR($E406="Tier 2",$E406="Tier 2 Grove"),$C406&lt;&gt;"",$D406&gt;=12,COUNTIF(Tables2!$B$153:$B$162,$C406)&gt;0),
Error!$B$45,
IF(AND(_xlpm.baseRow,$E406="Tier 2 Grove",$D406&lt;12),
Error!$B$41,
IF(AND(_xlpm.baseRow,$E406="Tier 2",$D406&lt;5.88),
Error!$B$40,
IF(AND(_xlpm.baseRow,OR($E406="Tier 2",$E406="Tier 2 Grove"),$C406&lt;&gt;"",$D406&lt;12,$D406&gt;=6,COUNTIF(Tables2!$B$153:$B$162,$C406)&gt;0),
Error!$B$54,
IF(AND(_xlpm.baseRow,$E406="Tier 2",COUNTIF(Tables2!$B$166:$B$674,$C406)&gt;0,$D406&lt;24),
Error!$B$54,
IF(AND(_xlpm.baseRow,$E406="Tier 3",ISNA(MATCH($C406,Tables2!$B$153:$B$162,0)),OR($D406&lt;12,$D406&gt;=24)),
Error!$B$9,
IF(AND(_xlpm.baseRow,$E406="Tier 3",COUNTIF(Tables2!$B$153:$B$162,$C406)&gt;0,$D406&lt;12),
Error!$B$46,
IF(AND(_xlpm.baseRow,$E406="Tier 4",OR($D406&lt;6,$D406&gt;=12)),
Error!$B$10,
IF(AND(_xlpm.baseRow,$E406="&lt;6in DSH for Tree Points",OR($D406&gt;=6,$D406="")),
Error!$B$8,
IF(AND(_xlpm.baseRow,$E406="Street Tree for Green Factor",$F406&lt;&gt;"",$F406&lt;&gt;"Retain"),
Error!$B$14,
IF(AND($E406="&lt;6in DSH for Tree Points",$F406="Retain",$H406&lt;&gt;"",ISNA(MATCH($H406,Tables!$B$174:$B$174,0))),
Error!$B$15,
IF(AND($E406="Street Tree for Green Factor",$F406="Retain",$H406&lt;&gt;"",$H406&lt;&gt;"Zoning: Green Factor"),
Error!$B$15,
IF(AND($E406="ECA / Shoreline Tree",$F406="Remove",$H406&lt;&gt;"",ISNA(MATCH($H406,Tables!$B$189:$B$190,0))),
Error!$B$15,
IF(AND($E406="ECA / Shoreline Tree",$F406="Retain",$H406&lt;&gt;"",ISNA(MATCH($H406,Tables!$B$184:$B$186,0))),
Error!$B$15,
IF(AND($E406="Tier 4",$F406="Remove",$H406&lt;&gt;"",ISNA(MATCH($H406,Tables!$B$171,0))),
Error!$B$15,
IF(AND($E406="Tier 4",$F406="Retain",$H406&lt;&gt;"",ISNA(MATCH($H406,Tables!$B$166:$B$168,0))),
Error!$B$15,
IF(AND($E406="Tier 3",$F406="Retain",$H406&lt;&gt;"",ISNA(MATCH($H406,Tables!$B$158:$B$160,0))),
Error!$B$15,
IF(AND($E406="Tier 3",$F406="Remove",$H406&lt;&gt;"",ISNA(MATCH($H406,Tables!$B$163,0))),
Error!$B$15,
IF(AND(OR($E406="Tier 2",$E406="Tier 2 Grove"),$F406="Remove",$H406&lt;&gt;"",ISNA(MATCH($H406,Tables!$B$153:$B$155,0))),
Error!$B$15,
IF(AND(OR($E406="Tier 2",$E406="Tier 2 Grove"),$F406="Retain",$H406&lt;&gt;"",ISNA(MATCH($H406,Tables!$B$147:$B$150,0))),
Error!$B$15,
IF(AND($E406="Tier 1",$F406="Remove",$H406&lt;&gt;"",ISNA(MATCH($H406,Tables!$B$143:$B$144,0))),
Error!$B$15,
IF(AND($E406="Tier 1",$F406="Retain",$H406&lt;&gt;"",ISNA(MATCH($H406,Tables!$B$137:$B$140,0))),
Error!$B$15,
IF(AND($E406&lt;&gt;"Tier 2",$E406&lt;&gt;"Tier 2 Grove",$E406&lt;&gt;"Tier 3",$E406&lt;&gt;"Tier 4",$H406="Zoning: Green Factor",OR($D406="",$D406&lt;6)),
Error!$B$11,
IF(AND(_xlpm.baseRow,$D406&lt;6,$E406="&lt;6in DSH for Tree Points",_xlpm.TreePoints_H=0),
Error!$B$21,
IF(AND(_xlpm.baseRow,$E406&lt;&gt;"",$D406&lt;&gt;"",$F406=""),
Error!$B$4,
IF(AND(_xlpm.baseRow,$F406="Remove",OR($E406="Tier 1",$E406="Tier 2",$E406="Tier 2 Grove"),COUNTBLANK(_xlpm.HRange)&lt;3,_xlpm.uniqueH&gt;=2),
Error!$B$48,
IF(AND(_xlpm.baseRow,$F406="Retain",OR($E406="Tier 1",$E406="Tier 2",$E406="Tier 2 Grove"),COUNTIF(_xlpm.HRange,"Tree Code: Required to Retain Tier 1-2 Tree")=0),
Error!$B$47,
IF(AND(_xlpm.baseRow,$E406&lt;&gt;"",$D406&lt;&gt;"",$F406&lt;&gt;"",COUNTBLANK(_xlpm.HRange)=4),
Error!$B$5,
IF(AND($F406="Remove",$H406&lt;&gt;"",$I406=""),
Error!$B$18,
IF(AND($E406="Tier 4",$F406="Remove",$H406="Tree Protection Code: Tier 3 or Tier 4 Allowance",$H406&lt;&gt;"",ISNA(MATCH($I406,Tables!$B$200,0))),
Error!$B$17,
IF(AND($E406="Tier 3",$F406="Remove",$H406&lt;&gt;"",$H406="Tree Protection Code: Tier 3 or Tier 4 Allowance",OR($I406="",ISNA(MATCH($I406,Tables!$B$193:$B$197,0)))),
Error!$B$17,
IF(AND(OR($E406="Tier 2",$E406="Tier 2 Grove"),$F406="Remove",$H406="Tree Protection Code: Other removal allowance or exemption",$I406&lt;&gt;"",ISNA(MATCH($I406,Tables!$B$215:$B$218,0))),
Error!$B$17,
IF(AND(OR($E406="Tier 2",$E406="Tier 2 Grove"),$F406="Remove",$H406="Tree Protection Code: Development Capacity",$I406&lt;&gt;"",ISNA(MATCH($I406,Tables!$B$193:$B$197,0))),
Error!$B$17,
IF(AND(OR($E406="Tier 2",$E406="Tier 2 Grove"),$F406="Remove",$H406="Tree Protection Code: Necessary for Construction",$I406&lt;&gt;"",ISNA(MATCH($I406,Tables!$B$193:$B$197,0))),
Error!$B$17,
IF(AND($E406="Tier 1",$F406="Remove",$H406="Tree Protection Code: Special Exception",$I406&lt;&gt;"",ISNA(MATCH($I406,Tables!$B$215:$B$218,0))),
Error!$B$17,
IF(AND($E406="Tier 1",$F406="Remove",$H406="Tree Protection Code: Other removal allowance or exemption",$I406&lt;&gt;"",ISNA(MATCH($I406,Tables!$B$215:$B$218,0))),
Error!$B$17,
IF(AND($E406="ECA / Shoreline Tree",$F406="Remove",$H406&lt;&gt;"",OR($H406="Shoreline",$H406="Environmental Critical Area (ECA)"),ISNA(MATCH($I406,Tables!$B$209:$B$212,0))),
Error!$B$17,
IF(AND(_xlpm.baseRow,$F406="Retain",$E406="ECA / Shoreline Tree",_xlpm.ECA_Short=0),
Error!$B$61,
IF(AND($F406="Remove",ISNUMBER(MATCH($E406,{"Tier 1","Tier 2","Tier 3","Tier 4","Tier 2 Grove"},0)),ISNUMBER(MATCH($I406,{"On-site replacement","Off-site replacement"},0)),$J406="",$H406&lt;&gt;""),
Error!$B$19,
IF(AND(_xlpm.baseRow,$E406&lt;&gt;"",$D406&lt;&gt;"",$F406&lt;&gt;"",COUNTBLANK($B406:$C406)&gt;0,COUNTBLANK(_xlpm.HRange)&lt;&gt;4),
Error!$B$22,
IF(AND($H406="Zoning: Tree Points",$K406&lt;&gt;"",ISNA(MATCH($K406,Tables!$B$242:$B$253,0))),
Error!$B$58,
IF(AND($H406="Zoning: Tree Points",$K406="Small",$L406&lt;&gt;"",ISNA(MATCH($L406,Tables!$C$243:$C$244,0))),
Error!$B$59,
IF(AND($H406="Zoning: Tree Points",$K406="Small/Medium",$L406&lt;&gt;"",ISNA(MATCH($L406,Tables!$C$246:$C$247,0))),
Error!$B$59,
IF(AND($H406="Zoning: Tree Points",$K406="Medium/Large",$L406&lt;&gt;"",ISNA(MATCH($L406,Tables!$C$249:$C$250,0))),
Error!$B$59,
IF(AND($H406="Zoning: Tree Points",$K406="Large",$L406&lt;&gt;"",ISNA(MATCH($L406,Tables!$C$252:$C$253,0))),
Error!$B$59,
IF(AND($F406="Retain",$H406="Zoning: Tree Points",$C406&lt;&gt;"",$D406&lt;&gt;"",OR($K406="",$L406="",$M406="")),
Error!$B$20,
""
)))))))))))))))))))))))))))))))))))))))))))))))))))))))),
Error!$B$23))</f>
        <v/>
      </c>
      <c r="O406" s="343" t="str" cm="1">
        <f t="array" aca="1" ref="O406" ca="1">IFERROR(_xlfn.LET(
    _xlpm.txt, $C406,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07" spans="1:15" ht="15" thickBot="1" x14ac:dyDescent="0.35">
      <c r="A407" s="311">
        <v>100</v>
      </c>
      <c r="B407" s="312"/>
      <c r="C407" s="313"/>
      <c r="D407" s="478"/>
      <c r="E407" s="314"/>
      <c r="F407" s="314"/>
      <c r="G407" s="315" t="str">
        <f>IF(Tree_Table1[[#This Row],[Tree Status  &amp;]]="Retain", Tables!$B$237, IF(Tree_Table1[[#This Row],[Tree Status  &amp;]]="Remove", Tables!$B$238, ""))</f>
        <v/>
      </c>
      <c r="H407" s="316"/>
      <c r="I407" s="317"/>
      <c r="J407" s="452"/>
      <c r="K407" s="318" t="str">
        <f>IFERROR(
    IF(
        AND($H407="Zoning: Tree Points", NOT(ISNUMBER(SEARCH("sp.", $C407)))),
        VLOOKUP($C407, 'Tree List'!$C$3:$F$601, 4, FALSE),
        ""
    ),
"")</f>
        <v/>
      </c>
      <c r="L407" s="319" t="str" cm="1">
        <f t="array" ref="L407">IFERROR(
IF(
    AND($H407="Zoning: Tree Points", NOT(ISNUMBER(SEARCH("sp.", $C407)))),
    _xlfn.IFS(
        (COUNTIFS('Tree List'!$C$3:$C$601,$C407,'Tree List'!$D$3:$D$601,"Coniferous")
        + COUNTIFS('Tree List'!$C$3:$C$601,$C407,'Tree List'!$D$3:$D$601,"Deciduous Conifer")) &gt; 0,
            _xlfn.IFS($K407="Small",0.5,$K407="Small/Medium",1,$K407="Medium/Large",1.4,$K407="Large",1.8),
        (COUNTIFS('Tree List'!$C$3:$C$601,$C407,'Tree List'!$D$3:$D$601,"Deciduous")
        + COUNTIFS('Tree List'!$C$3:$C$601,$C407,'Tree List'!$D$3:$D$601,"Broadleaf Evergreen")) &gt; 0,
            _xlfn.IFS($K407="Small",0.4,$K407="Small/Medium",0.8,$K407="Medium/Large",1.2,$K407="Large",1.6)
    ),
    ""
),
"")</f>
        <v/>
      </c>
      <c r="M407" s="474" t="str">
        <f t="shared" si="411"/>
        <v/>
      </c>
      <c r="N407" s="620" t="str" cm="1">
        <f t="array" aca="1" ref="N40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IF(AND(_xlpm.baseRow,ISNA(MATCH($C407,'Tree List'!$C$3:$C$601,0)),SUMPRODUCT(--ISNUMBER(SEARCH(Tables2!$C$677:$C$772,$O407)))&gt;0),
Error!$B$57,
IF(AND(_xlpm.hasDM,$F407="Remove",$H407&lt;&gt;"",OR($I407="On-site replacement",$I407="Off-site replacement",$I407="Payment In Lieu")),
Error!$B$56,
IF(AND(_xlpm.hasDM,$F407="Remove",$H407&lt;&gt;"",$I407="Relocation"),
Error!$B$66,
IF(AND(OR(_xlpm.hasCN,_xlpm.hasPH,_xlpm.hasGR),$H407&lt;&gt;"",COUNTIF(Tables!$B$132:$B$134,$H407)&gt;0,$I407="N/A (No replacement required)"),
Error!$B$62,
IF(AND(_xlpm.baseRow,$E407&lt;&gt;"",ISNA(MATCH($E407,Tables!$B$225:$B$232,0))),
Error!$B$2,
IF(AND(_xlpm.baseRow,$F407&lt;&gt;"",ISNA(MATCH($F407,Tables!$B$234:$B$235,0))),
Error!$B$24,
IF(AND(_xlpm.baseRow,_xlpm.ECA_H&gt;0,_xlpm.Shore_H&gt;0),
Error!$B$16,
IF(AND(_xlpm.baseRow,$E407&lt;&gt;"",$D407=""),
Error!$B$3,
IF(AND(_xlpm.baseRow,OR($E407="Tier 3",$E407="Tier 4"),$C407&lt;&gt;"",$D407&gt;=24,COUNTIF(Tables2!$B$166:$B$674,$C407)&gt;0),
Error!$B$44,
IF(AND(_xlpm.baseRow,OR($E407="Tier 3",$E407="Tier 4"),$C407&lt;&gt;"",$D407&lt;&gt;"",COUNTIF(Tables2!$B$73:$B$152,$C407)&gt;0,
$D407&gt;=IFERROR(INDEX(Tables2!$C$73:$C$152,MATCH($C407,Tables2!$B$73:$B$152,0)),-1)),
Error!$B$44,
IF(AND(_xlpm.baseRow,OR($E407="Tier 2",$E407="Tier 2 Grove"),$C407&lt;&gt;"",$D407&gt;=12,COUNTIF(Tables2!$B$153:$B$162,$C407)&gt;0),
Error!$B$45,
IF(AND(_xlpm.baseRow,$E407="Tier 2 Grove",$D407&lt;12),
Error!$B$41,
IF(AND(_xlpm.baseRow,$E407="Tier 2",$D407&lt;5.88),
Error!$B$40,
IF(AND(_xlpm.baseRow,OR($E407="Tier 2",$E407="Tier 2 Grove"),$C407&lt;&gt;"",$D407&lt;12,$D407&gt;=6,COUNTIF(Tables2!$B$153:$B$162,$C407)&gt;0),
Error!$B$54,
IF(AND(_xlpm.baseRow,$E407="Tier 2",COUNTIF(Tables2!$B$166:$B$674,$C407)&gt;0,$D407&lt;24),
Error!$B$54,
IF(AND(_xlpm.baseRow,$E407="Tier 3",ISNA(MATCH($C407,Tables2!$B$153:$B$162,0)),OR($D407&lt;12,$D407&gt;=24)),
Error!$B$9,
IF(AND(_xlpm.baseRow,$E407="Tier 3",COUNTIF(Tables2!$B$153:$B$162,$C407)&gt;0,$D407&lt;12),
Error!$B$46,
IF(AND(_xlpm.baseRow,$E407="Tier 4",OR($D407&lt;6,$D407&gt;=12)),
Error!$B$10,
IF(AND(_xlpm.baseRow,$E407="&lt;6in DSH for Tree Points",OR($D407&gt;=6,$D407="")),
Error!$B$8,
IF(AND(_xlpm.baseRow,$E407="Street Tree for Green Factor",$F407&lt;&gt;"",$F407&lt;&gt;"Retain"),
Error!$B$14,
IF(AND($E407="&lt;6in DSH for Tree Points",$F407="Retain",$H407&lt;&gt;"",ISNA(MATCH($H407,Tables!$B$174:$B$174,0))),
Error!$B$15,
IF(AND($E407="Street Tree for Green Factor",$F407="Retain",$H407&lt;&gt;"",$H407&lt;&gt;"Zoning: Green Factor"),
Error!$B$15,
IF(AND($E407="ECA / Shoreline Tree",$F407="Remove",$H407&lt;&gt;"",ISNA(MATCH($H407,Tables!$B$189:$B$190,0))),
Error!$B$15,
IF(AND($E407="ECA / Shoreline Tree",$F407="Retain",$H407&lt;&gt;"",ISNA(MATCH($H407,Tables!$B$184:$B$186,0))),
Error!$B$15,
IF(AND($E407="Tier 4",$F407="Remove",$H407&lt;&gt;"",ISNA(MATCH($H407,Tables!$B$171,0))),
Error!$B$15,
IF(AND($E407="Tier 4",$F407="Retain",$H407&lt;&gt;"",ISNA(MATCH($H407,Tables!$B$166:$B$168,0))),
Error!$B$15,
IF(AND($E407="Tier 3",$F407="Retain",$H407&lt;&gt;"",ISNA(MATCH($H407,Tables!$B$158:$B$160,0))),
Error!$B$15,
IF(AND($E407="Tier 3",$F407="Remove",$H407&lt;&gt;"",ISNA(MATCH($H407,Tables!$B$163,0))),
Error!$B$15,
IF(AND(OR($E407="Tier 2",$E407="Tier 2 Grove"),$F407="Remove",$H407&lt;&gt;"",ISNA(MATCH($H407,Tables!$B$153:$B$155,0))),
Error!$B$15,
IF(AND(OR($E407="Tier 2",$E407="Tier 2 Grove"),$F407="Retain",$H407&lt;&gt;"",ISNA(MATCH($H407,Tables!$B$147:$B$150,0))),
Error!$B$15,
IF(AND($E407="Tier 1",$F407="Remove",$H407&lt;&gt;"",ISNA(MATCH($H407,Tables!$B$143:$B$144,0))),
Error!$B$15,
IF(AND($E407="Tier 1",$F407="Retain",$H407&lt;&gt;"",ISNA(MATCH($H407,Tables!$B$137:$B$140,0))),
Error!$B$15,
IF(AND($E407&lt;&gt;"Tier 2",$E407&lt;&gt;"Tier 2 Grove",$E407&lt;&gt;"Tier 3",$E407&lt;&gt;"Tier 4",$H407="Zoning: Green Factor",OR($D407="",$D407&lt;6)),
Error!$B$11,
IF(AND(_xlpm.baseRow,$D407&lt;6,$E407="&lt;6in DSH for Tree Points",_xlpm.TreePoints_H=0),
Error!$B$21,
IF(AND(_xlpm.baseRow,$E407&lt;&gt;"",$D407&lt;&gt;"",$F407=""),
Error!$B$4,
IF(AND(_xlpm.baseRow,$F407="Remove",OR($E407="Tier 1",$E407="Tier 2",$E407="Tier 2 Grove"),COUNTBLANK(_xlpm.HRange)&lt;3,_xlpm.uniqueH&gt;=2),
Error!$B$48,
IF(AND(_xlpm.baseRow,$F407="Retain",OR($E407="Tier 1",$E407="Tier 2",$E407="Tier 2 Grove"),COUNTIF(_xlpm.HRange,"Tree Code: Required to Retain Tier 1-2 Tree")=0),
Error!$B$47,
IF(AND(_xlpm.baseRow,$E407&lt;&gt;"",$D407&lt;&gt;"",$F407&lt;&gt;"",COUNTBLANK(_xlpm.HRange)=4),
Error!$B$5,
IF(AND($F407="Remove",$H407&lt;&gt;"",$I407=""),
Error!$B$18,
IF(AND($E407="Tier 4",$F407="Remove",$H407="Tree Protection Code: Tier 3 or Tier 4 Allowance",$H407&lt;&gt;"",ISNA(MATCH($I407,Tables!$B$200,0))),
Error!$B$17,
IF(AND($E407="Tier 3",$F407="Remove",$H407&lt;&gt;"",$H407="Tree Protection Code: Tier 3 or Tier 4 Allowance",OR($I407="",ISNA(MATCH($I407,Tables!$B$193:$B$197,0)))),
Error!$B$17,
IF(AND(OR($E407="Tier 2",$E407="Tier 2 Grove"),$F407="Remove",$H407="Tree Protection Code: Other removal allowance or exemption",$I407&lt;&gt;"",ISNA(MATCH($I407,Tables!$B$215:$B$218,0))),
Error!$B$17,
IF(AND(OR($E407="Tier 2",$E407="Tier 2 Grove"),$F407="Remove",$H407="Tree Protection Code: Development Capacity",$I407&lt;&gt;"",ISNA(MATCH($I407,Tables!$B$193:$B$197,0))),
Error!$B$17,
IF(AND(OR($E407="Tier 2",$E407="Tier 2 Grove"),$F407="Remove",$H407="Tree Protection Code: Necessary for Construction",$I407&lt;&gt;"",ISNA(MATCH($I407,Tables!$B$193:$B$197,0))),
Error!$B$17,
IF(AND($E407="Tier 1",$F407="Remove",$H407="Tree Protection Code: Special Exception",$I407&lt;&gt;"",ISNA(MATCH($I407,Tables!$B$215:$B$218,0))),
Error!$B$17,
IF(AND($E407="Tier 1",$F407="Remove",$H407="Tree Protection Code: Other removal allowance or exemption",$I407&lt;&gt;"",ISNA(MATCH($I407,Tables!$B$215:$B$218,0))),
Error!$B$17,
IF(AND($E407="ECA / Shoreline Tree",$F407="Remove",$H407&lt;&gt;"",OR($H407="Shoreline",$H407="Environmental Critical Area (ECA)"),ISNA(MATCH($I407,Tables!$B$209:$B$212,0))),
Error!$B$17,
IF(AND(_xlpm.baseRow,$F407="Retain",$E407="ECA / Shoreline Tree",_xlpm.ECA_Short=0),
Error!$B$61,
IF(AND($F407="Remove",ISNUMBER(MATCH($E407,{"Tier 1","Tier 2","Tier 3","Tier 4","Tier 2 Grove"},0)),ISNUMBER(MATCH($I407,{"On-site replacement","Off-site replacement"},0)),$J407="",$H407&lt;&gt;""),
Error!$B$19,
IF(AND(_xlpm.baseRow,$E407&lt;&gt;"",$D407&lt;&gt;"",$F407&lt;&gt;"",COUNTBLANK($B407:$C407)&gt;0,COUNTBLANK(_xlpm.HRange)&lt;&gt;4),
Error!$B$22,
IF(AND($H407="Zoning: Tree Points",$K407&lt;&gt;"",ISNA(MATCH($K407,Tables!$B$242:$B$253,0))),
Error!$B$58,
IF(AND($H407="Zoning: Tree Points",$K407="Small",$L407&lt;&gt;"",ISNA(MATCH($L407,Tables!$C$243:$C$244,0))),
Error!$B$59,
IF(AND($H407="Zoning: Tree Points",$K407="Small/Medium",$L407&lt;&gt;"",ISNA(MATCH($L407,Tables!$C$246:$C$247,0))),
Error!$B$59,
IF(AND($H407="Zoning: Tree Points",$K407="Medium/Large",$L407&lt;&gt;"",ISNA(MATCH($L407,Tables!$C$249:$C$250,0))),
Error!$B$59,
IF(AND($H407="Zoning: Tree Points",$K407="Large",$L407&lt;&gt;"",ISNA(MATCH($L407,Tables!$C$252:$C$253,0))),
Error!$B$59,
IF(AND($F407="Retain",$H407="Zoning: Tree Points",$C407&lt;&gt;"",$D407&lt;&gt;"",OR($K407="",$L407="",$M407="")),
Error!$B$20,
""
)))))))))))))))))))))))))))))))))))))))))))))))))))))))),
Error!$B$23))</f>
        <v/>
      </c>
      <c r="O407" s="343" t="str" cm="1">
        <f t="array" aca="1" ref="O407" ca="1">IFERROR(_xlfn.LET(
    _xlpm.txt, $C407,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08" spans="1:15" x14ac:dyDescent="0.3">
      <c r="A408" s="320"/>
      <c r="B408" s="616" t="str">
        <f t="shared" ref="B408:B410" si="457">IF($B407="", "", $B407)</f>
        <v/>
      </c>
      <c r="C408" s="617" t="str">
        <f t="shared" ref="C408:C410" si="458">IF($C407="", "", $C407)</f>
        <v/>
      </c>
      <c r="D408" s="618" t="str">
        <f t="shared" ref="D408:D410" si="459">IF($D407="", "", $D407)</f>
        <v/>
      </c>
      <c r="E408" s="616" t="str">
        <f t="shared" ref="E408:E410" si="460">IF($E407="", "", $E407)</f>
        <v/>
      </c>
      <c r="F408" s="616" t="str">
        <f t="shared" ref="F408:F410" si="461">IF($F407="", "", $F407)</f>
        <v/>
      </c>
      <c r="G408" s="619" t="str">
        <f>IF(Tree_Table1[[#This Row],[Tree Status  &amp;]]="Retain", Tables!$B$237, IF(Tree_Table1[[#This Row],[Tree Status  &amp;]]="Remove", Tables!$B$238, ""))</f>
        <v/>
      </c>
      <c r="H408" s="321"/>
      <c r="I408" s="322"/>
      <c r="J408" s="453"/>
      <c r="K408" s="323" t="str">
        <f>IFERROR(
    IF(
        AND($H408="Zoning: Tree Points", NOT(ISNUMBER(SEARCH("sp.", $C408)))),
        VLOOKUP($C408, 'Tree List'!$C$3:$F$601, 4, FALSE),
        ""
    ),
"")</f>
        <v/>
      </c>
      <c r="L408" s="324" t="str" cm="1">
        <f t="array" ref="L408">IFERROR(
IF(
    AND($H408="Zoning: Tree Points", NOT(ISNUMBER(SEARCH("sp.", $C408)))),
    _xlfn.IFS(
        (COUNTIFS('Tree List'!$C$3:$C$601,$C408,'Tree List'!$D$3:$D$601,"Coniferous")
        + COUNTIFS('Tree List'!$C$3:$C$601,$C408,'Tree List'!$D$3:$D$601,"Deciduous Conifer")) &gt; 0,
            _xlfn.IFS($K408="Small",0.5,$K408="Small/Medium",1,$K408="Medium/Large",1.4,$K408="Large",1.8),
        (COUNTIFS('Tree List'!$C$3:$C$601,$C408,'Tree List'!$D$3:$D$601,"Deciduous")
        + COUNTIFS('Tree List'!$C$3:$C$601,$C408,'Tree List'!$D$3:$D$601,"Broadleaf Evergreen")) &gt; 0,
            _xlfn.IFS($K408="Small",0.4,$K408="Small/Medium",0.8,$K408="Medium/Large",1.2,$K408="Large",1.6)
    ),
    ""
),
"")</f>
        <v/>
      </c>
      <c r="M408" s="475" t="str">
        <f t="shared" si="411"/>
        <v/>
      </c>
      <c r="N408" s="346" t="str" cm="1">
        <f t="array" aca="1" ref="N40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IF(AND(_xlpm.baseRow,ISNA(MATCH($C408,'Tree List'!$C$3:$C$601,0)),SUMPRODUCT(--ISNUMBER(SEARCH(Tables2!$C$677:$C$772,$O408)))&gt;0),
Error!$B$57,
IF(AND(_xlpm.hasDM,$F408="Remove",$H408&lt;&gt;"",OR($I408="On-site replacement",$I408="Off-site replacement",$I408="Payment In Lieu")),
Error!$B$56,
IF(AND(_xlpm.hasDM,$F408="Remove",$H408&lt;&gt;"",$I408="Relocation"),
Error!$B$66,
IF(AND(OR(_xlpm.hasCN,_xlpm.hasPH,_xlpm.hasGR),$H408&lt;&gt;"",COUNTIF(Tables!$B$132:$B$134,$H408)&gt;0,$I408="N/A (No replacement required)"),
Error!$B$62,
IF(AND(_xlpm.baseRow,$E408&lt;&gt;"",ISNA(MATCH($E408,Tables!$B$225:$B$232,0))),
Error!$B$2,
IF(AND(_xlpm.baseRow,$F408&lt;&gt;"",ISNA(MATCH($F408,Tables!$B$234:$B$235,0))),
Error!$B$24,
IF(AND(_xlpm.baseRow,_xlpm.ECA_H&gt;0,_xlpm.Shore_H&gt;0),
Error!$B$16,
IF(AND(_xlpm.baseRow,$E408&lt;&gt;"",$D408=""),
Error!$B$3,
IF(AND(_xlpm.baseRow,OR($E408="Tier 3",$E408="Tier 4"),$C408&lt;&gt;"",$D408&gt;=24,COUNTIF(Tables2!$B$166:$B$674,$C408)&gt;0),
Error!$B$44,
IF(AND(_xlpm.baseRow,OR($E408="Tier 3",$E408="Tier 4"),$C408&lt;&gt;"",$D408&lt;&gt;"",COUNTIF(Tables2!$B$73:$B$152,$C408)&gt;0,
$D408&gt;=IFERROR(INDEX(Tables2!$C$73:$C$152,MATCH($C408,Tables2!$B$73:$B$152,0)),-1)),
Error!$B$44,
IF(AND(_xlpm.baseRow,OR($E408="Tier 2",$E408="Tier 2 Grove"),$C408&lt;&gt;"",$D408&gt;=12,COUNTIF(Tables2!$B$153:$B$162,$C408)&gt;0),
Error!$B$45,
IF(AND(_xlpm.baseRow,$E408="Tier 2 Grove",$D408&lt;12),
Error!$B$41,
IF(AND(_xlpm.baseRow,$E408="Tier 2",$D408&lt;5.88),
Error!$B$40,
IF(AND(_xlpm.baseRow,OR($E408="Tier 2",$E408="Tier 2 Grove"),$C408&lt;&gt;"",$D408&lt;12,$D408&gt;=6,COUNTIF(Tables2!$B$153:$B$162,$C408)&gt;0),
Error!$B$54,
IF(AND(_xlpm.baseRow,$E408="Tier 2",COUNTIF(Tables2!$B$166:$B$674,$C408)&gt;0,$D408&lt;24),
Error!$B$54,
IF(AND(_xlpm.baseRow,$E408="Tier 3",ISNA(MATCH($C408,Tables2!$B$153:$B$162,0)),OR($D408&lt;12,$D408&gt;=24)),
Error!$B$9,
IF(AND(_xlpm.baseRow,$E408="Tier 3",COUNTIF(Tables2!$B$153:$B$162,$C408)&gt;0,$D408&lt;12),
Error!$B$46,
IF(AND(_xlpm.baseRow,$E408="Tier 4",OR($D408&lt;6,$D408&gt;=12)),
Error!$B$10,
IF(AND(_xlpm.baseRow,$E408="&lt;6in DSH for Tree Points",OR($D408&gt;=6,$D408="")),
Error!$B$8,
IF(AND(_xlpm.baseRow,$E408="Street Tree for Green Factor",$F408&lt;&gt;"",$F408&lt;&gt;"Retain"),
Error!$B$14,
IF(AND($E408="&lt;6in DSH for Tree Points",$F408="Retain",$H408&lt;&gt;"",ISNA(MATCH($H408,Tables!$B$174:$B$174,0))),
Error!$B$15,
IF(AND($E408="Street Tree for Green Factor",$F408="Retain",$H408&lt;&gt;"",$H408&lt;&gt;"Zoning: Green Factor"),
Error!$B$15,
IF(AND($E408="ECA / Shoreline Tree",$F408="Remove",$H408&lt;&gt;"",ISNA(MATCH($H408,Tables!$B$189:$B$190,0))),
Error!$B$15,
IF(AND($E408="ECA / Shoreline Tree",$F408="Retain",$H408&lt;&gt;"",ISNA(MATCH($H408,Tables!$B$184:$B$186,0))),
Error!$B$15,
IF(AND($E408="Tier 4",$F408="Remove",$H408&lt;&gt;"",ISNA(MATCH($H408,Tables!$B$171,0))),
Error!$B$15,
IF(AND($E408="Tier 4",$F408="Retain",$H408&lt;&gt;"",ISNA(MATCH($H408,Tables!$B$166:$B$168,0))),
Error!$B$15,
IF(AND($E408="Tier 3",$F408="Retain",$H408&lt;&gt;"",ISNA(MATCH($H408,Tables!$B$158:$B$160,0))),
Error!$B$15,
IF(AND($E408="Tier 3",$F408="Remove",$H408&lt;&gt;"",ISNA(MATCH($H408,Tables!$B$163,0))),
Error!$B$15,
IF(AND(OR($E408="Tier 2",$E408="Tier 2 Grove"),$F408="Remove",$H408&lt;&gt;"",ISNA(MATCH($H408,Tables!$B$153:$B$155,0))),
Error!$B$15,
IF(AND(OR($E408="Tier 2",$E408="Tier 2 Grove"),$F408="Retain",$H408&lt;&gt;"",ISNA(MATCH($H408,Tables!$B$147:$B$150,0))),
Error!$B$15,
IF(AND($E408="Tier 1",$F408="Remove",$H408&lt;&gt;"",ISNA(MATCH($H408,Tables!$B$143:$B$144,0))),
Error!$B$15,
IF(AND($E408="Tier 1",$F408="Retain",$H408&lt;&gt;"",ISNA(MATCH($H408,Tables!$B$137:$B$140,0))),
Error!$B$15,
IF(AND($E408&lt;&gt;"Tier 2",$E408&lt;&gt;"Tier 2 Grove",$E408&lt;&gt;"Tier 3",$E408&lt;&gt;"Tier 4",$H408="Zoning: Green Factor",OR($D408="",$D408&lt;6)),
Error!$B$11,
IF(AND(_xlpm.baseRow,$D408&lt;6,$E408="&lt;6in DSH for Tree Points",_xlpm.TreePoints_H=0),
Error!$B$21,
IF(AND(_xlpm.baseRow,$E408&lt;&gt;"",$D408&lt;&gt;"",$F408=""),
Error!$B$4,
IF(AND(_xlpm.baseRow,$F408="Remove",OR($E408="Tier 1",$E408="Tier 2",$E408="Tier 2 Grove"),COUNTBLANK(_xlpm.HRange)&lt;3,_xlpm.uniqueH&gt;=2),
Error!$B$48,
IF(AND(_xlpm.baseRow,$F408="Retain",OR($E408="Tier 1",$E408="Tier 2",$E408="Tier 2 Grove"),COUNTIF(_xlpm.HRange,"Tree Code: Required to Retain Tier 1-2 Tree")=0),
Error!$B$47,
IF(AND(_xlpm.baseRow,$E408&lt;&gt;"",$D408&lt;&gt;"",$F408&lt;&gt;"",COUNTBLANK(_xlpm.HRange)=4),
Error!$B$5,
IF(AND($F408="Remove",$H408&lt;&gt;"",$I408=""),
Error!$B$18,
IF(AND($E408="Tier 4",$F408="Remove",$H408="Tree Protection Code: Tier 3 or Tier 4 Allowance",$H408&lt;&gt;"",ISNA(MATCH($I408,Tables!$B$200,0))),
Error!$B$17,
IF(AND($E408="Tier 3",$F408="Remove",$H408&lt;&gt;"",$H408="Tree Protection Code: Tier 3 or Tier 4 Allowance",OR($I408="",ISNA(MATCH($I408,Tables!$B$193:$B$197,0)))),
Error!$B$17,
IF(AND(OR($E408="Tier 2",$E408="Tier 2 Grove"),$F408="Remove",$H408="Tree Protection Code: Other removal allowance or exemption",$I408&lt;&gt;"",ISNA(MATCH($I408,Tables!$B$215:$B$218,0))),
Error!$B$17,
IF(AND(OR($E408="Tier 2",$E408="Tier 2 Grove"),$F408="Remove",$H408="Tree Protection Code: Development Capacity",$I408&lt;&gt;"",ISNA(MATCH($I408,Tables!$B$193:$B$197,0))),
Error!$B$17,
IF(AND(OR($E408="Tier 2",$E408="Tier 2 Grove"),$F408="Remove",$H408="Tree Protection Code: Necessary for Construction",$I408&lt;&gt;"",ISNA(MATCH($I408,Tables!$B$193:$B$197,0))),
Error!$B$17,
IF(AND($E408="Tier 1",$F408="Remove",$H408="Tree Protection Code: Special Exception",$I408&lt;&gt;"",ISNA(MATCH($I408,Tables!$B$215:$B$218,0))),
Error!$B$17,
IF(AND($E408="Tier 1",$F408="Remove",$H408="Tree Protection Code: Other removal allowance or exemption",$I408&lt;&gt;"",ISNA(MATCH($I408,Tables!$B$215:$B$218,0))),
Error!$B$17,
IF(AND($E408="ECA / Shoreline Tree",$F408="Remove",$H408&lt;&gt;"",OR($H408="Shoreline",$H408="Environmental Critical Area (ECA)"),ISNA(MATCH($I408,Tables!$B$209:$B$212,0))),
Error!$B$17,
IF(AND(_xlpm.baseRow,$F408="Retain",$E408="ECA / Shoreline Tree",_xlpm.ECA_Short=0),
Error!$B$61,
IF(AND($F408="Remove",ISNUMBER(MATCH($E408,{"Tier 1","Tier 2","Tier 3","Tier 4","Tier 2 Grove"},0)),ISNUMBER(MATCH($I408,{"On-site replacement","Off-site replacement"},0)),$J408="",$H408&lt;&gt;""),
Error!$B$19,
IF(AND(_xlpm.baseRow,$E408&lt;&gt;"",$D408&lt;&gt;"",$F408&lt;&gt;"",COUNTBLANK($B408:$C408)&gt;0,COUNTBLANK(_xlpm.HRange)&lt;&gt;4),
Error!$B$22,
IF(AND($H408="Zoning: Tree Points",$K408&lt;&gt;"",ISNA(MATCH($K408,Tables!$B$242:$B$253,0))),
Error!$B$58,
IF(AND($H408="Zoning: Tree Points",$K408="Small",$L408&lt;&gt;"",ISNA(MATCH($L408,Tables!$C$243:$C$244,0))),
Error!$B$59,
IF(AND($H408="Zoning: Tree Points",$K408="Small/Medium",$L408&lt;&gt;"",ISNA(MATCH($L408,Tables!$C$246:$C$247,0))),
Error!$B$59,
IF(AND($H408="Zoning: Tree Points",$K408="Medium/Large",$L408&lt;&gt;"",ISNA(MATCH($L408,Tables!$C$249:$C$250,0))),
Error!$B$59,
IF(AND($H408="Zoning: Tree Points",$K408="Large",$L408&lt;&gt;"",ISNA(MATCH($L408,Tables!$C$252:$C$253,0))),
Error!$B$59,
IF(AND($F408="Retain",$H408="Zoning: Tree Points",$C408&lt;&gt;"",$D408&lt;&gt;"",OR($K408="",$L408="",$M408="")),
Error!$B$20,
""
)))))))))))))))))))))))))))))))))))))))))))))))))))))))),
Error!$B$23))</f>
        <v/>
      </c>
      <c r="O408" s="343" t="str" cm="1">
        <f t="array" aca="1" ref="O408" ca="1">IFERROR(_xlfn.LET(
    _xlpm.txt, $C408,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09" spans="1:15" x14ac:dyDescent="0.3">
      <c r="A409" s="320"/>
      <c r="B409" s="616" t="str">
        <f t="shared" si="457"/>
        <v/>
      </c>
      <c r="C409" s="617" t="str">
        <f t="shared" si="458"/>
        <v/>
      </c>
      <c r="D409" s="618" t="str">
        <f t="shared" si="459"/>
        <v/>
      </c>
      <c r="E409" s="616" t="str">
        <f t="shared" si="460"/>
        <v/>
      </c>
      <c r="F409" s="616" t="str">
        <f t="shared" si="461"/>
        <v/>
      </c>
      <c r="G409" s="619" t="str">
        <f>IF(Tree_Table1[[#This Row],[Tree Status  &amp;]]="Retain", Tables!$B$237, IF(Tree_Table1[[#This Row],[Tree Status  &amp;]]="Remove", Tables!$B$238, ""))</f>
        <v/>
      </c>
      <c r="H409" s="321"/>
      <c r="I409" s="322"/>
      <c r="J409" s="453"/>
      <c r="K409" s="323" t="str">
        <f>IFERROR(
    IF(
        AND($H409="Zoning: Tree Points", NOT(ISNUMBER(SEARCH("sp.", $C409)))),
        VLOOKUP($C409, 'Tree List'!$C$3:$F$601, 4, FALSE),
        ""
    ),
"")</f>
        <v/>
      </c>
      <c r="L409" s="324" t="str" cm="1">
        <f t="array" ref="L409">IFERROR(
IF(
    AND($H409="Zoning: Tree Points", NOT(ISNUMBER(SEARCH("sp.", $C409)))),
    _xlfn.IFS(
        (COUNTIFS('Tree List'!$C$3:$C$601,$C409,'Tree List'!$D$3:$D$601,"Coniferous")
        + COUNTIFS('Tree List'!$C$3:$C$601,$C409,'Tree List'!$D$3:$D$601,"Deciduous Conifer")) &gt; 0,
            _xlfn.IFS($K409="Small",0.5,$K409="Small/Medium",1,$K409="Medium/Large",1.4,$K409="Large",1.8),
        (COUNTIFS('Tree List'!$C$3:$C$601,$C409,'Tree List'!$D$3:$D$601,"Deciduous")
        + COUNTIFS('Tree List'!$C$3:$C$601,$C409,'Tree List'!$D$3:$D$601,"Broadleaf Evergreen")) &gt; 0,
            _xlfn.IFS($K409="Small",0.4,$K409="Small/Medium",0.8,$K409="Medium/Large",1.2,$K409="Large",1.6)
    ),
    ""
),
"")</f>
        <v/>
      </c>
      <c r="M409" s="475" t="str">
        <f t="shared" si="411"/>
        <v/>
      </c>
      <c r="N409" s="346" t="str" cm="1">
        <f t="array" aca="1" ref="N40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IF(AND(_xlpm.baseRow,ISNA(MATCH($C409,'Tree List'!$C$3:$C$601,0)),SUMPRODUCT(--ISNUMBER(SEARCH(Tables2!$C$677:$C$772,$O409)))&gt;0),
Error!$B$57,
IF(AND(_xlpm.hasDM,$F409="Remove",$H409&lt;&gt;"",OR($I409="On-site replacement",$I409="Off-site replacement",$I409="Payment In Lieu")),
Error!$B$56,
IF(AND(_xlpm.hasDM,$F409="Remove",$H409&lt;&gt;"",$I409="Relocation"),
Error!$B$66,
IF(AND(OR(_xlpm.hasCN,_xlpm.hasPH,_xlpm.hasGR),$H409&lt;&gt;"",COUNTIF(Tables!$B$132:$B$134,$H409)&gt;0,$I409="N/A (No replacement required)"),
Error!$B$62,
IF(AND(_xlpm.baseRow,$E409&lt;&gt;"",ISNA(MATCH($E409,Tables!$B$225:$B$232,0))),
Error!$B$2,
IF(AND(_xlpm.baseRow,$F409&lt;&gt;"",ISNA(MATCH($F409,Tables!$B$234:$B$235,0))),
Error!$B$24,
IF(AND(_xlpm.baseRow,_xlpm.ECA_H&gt;0,_xlpm.Shore_H&gt;0),
Error!$B$16,
IF(AND(_xlpm.baseRow,$E409&lt;&gt;"",$D409=""),
Error!$B$3,
IF(AND(_xlpm.baseRow,OR($E409="Tier 3",$E409="Tier 4"),$C409&lt;&gt;"",$D409&gt;=24,COUNTIF(Tables2!$B$166:$B$674,$C409)&gt;0),
Error!$B$44,
IF(AND(_xlpm.baseRow,OR($E409="Tier 3",$E409="Tier 4"),$C409&lt;&gt;"",$D409&lt;&gt;"",COUNTIF(Tables2!$B$73:$B$152,$C409)&gt;0,
$D409&gt;=IFERROR(INDEX(Tables2!$C$73:$C$152,MATCH($C409,Tables2!$B$73:$B$152,0)),-1)),
Error!$B$44,
IF(AND(_xlpm.baseRow,OR($E409="Tier 2",$E409="Tier 2 Grove"),$C409&lt;&gt;"",$D409&gt;=12,COUNTIF(Tables2!$B$153:$B$162,$C409)&gt;0),
Error!$B$45,
IF(AND(_xlpm.baseRow,$E409="Tier 2 Grove",$D409&lt;12),
Error!$B$41,
IF(AND(_xlpm.baseRow,$E409="Tier 2",$D409&lt;5.88),
Error!$B$40,
IF(AND(_xlpm.baseRow,OR($E409="Tier 2",$E409="Tier 2 Grove"),$C409&lt;&gt;"",$D409&lt;12,$D409&gt;=6,COUNTIF(Tables2!$B$153:$B$162,$C409)&gt;0),
Error!$B$54,
IF(AND(_xlpm.baseRow,$E409="Tier 2",COUNTIF(Tables2!$B$166:$B$674,$C409)&gt;0,$D409&lt;24),
Error!$B$54,
IF(AND(_xlpm.baseRow,$E409="Tier 3",ISNA(MATCH($C409,Tables2!$B$153:$B$162,0)),OR($D409&lt;12,$D409&gt;=24)),
Error!$B$9,
IF(AND(_xlpm.baseRow,$E409="Tier 3",COUNTIF(Tables2!$B$153:$B$162,$C409)&gt;0,$D409&lt;12),
Error!$B$46,
IF(AND(_xlpm.baseRow,$E409="Tier 4",OR($D409&lt;6,$D409&gt;=12)),
Error!$B$10,
IF(AND(_xlpm.baseRow,$E409="&lt;6in DSH for Tree Points",OR($D409&gt;=6,$D409="")),
Error!$B$8,
IF(AND(_xlpm.baseRow,$E409="Street Tree for Green Factor",$F409&lt;&gt;"",$F409&lt;&gt;"Retain"),
Error!$B$14,
IF(AND($E409="&lt;6in DSH for Tree Points",$F409="Retain",$H409&lt;&gt;"",ISNA(MATCH($H409,Tables!$B$174:$B$174,0))),
Error!$B$15,
IF(AND($E409="Street Tree for Green Factor",$F409="Retain",$H409&lt;&gt;"",$H409&lt;&gt;"Zoning: Green Factor"),
Error!$B$15,
IF(AND($E409="ECA / Shoreline Tree",$F409="Remove",$H409&lt;&gt;"",ISNA(MATCH($H409,Tables!$B$189:$B$190,0))),
Error!$B$15,
IF(AND($E409="ECA / Shoreline Tree",$F409="Retain",$H409&lt;&gt;"",ISNA(MATCH($H409,Tables!$B$184:$B$186,0))),
Error!$B$15,
IF(AND($E409="Tier 4",$F409="Remove",$H409&lt;&gt;"",ISNA(MATCH($H409,Tables!$B$171,0))),
Error!$B$15,
IF(AND($E409="Tier 4",$F409="Retain",$H409&lt;&gt;"",ISNA(MATCH($H409,Tables!$B$166:$B$168,0))),
Error!$B$15,
IF(AND($E409="Tier 3",$F409="Retain",$H409&lt;&gt;"",ISNA(MATCH($H409,Tables!$B$158:$B$160,0))),
Error!$B$15,
IF(AND($E409="Tier 3",$F409="Remove",$H409&lt;&gt;"",ISNA(MATCH($H409,Tables!$B$163,0))),
Error!$B$15,
IF(AND(OR($E409="Tier 2",$E409="Tier 2 Grove"),$F409="Remove",$H409&lt;&gt;"",ISNA(MATCH($H409,Tables!$B$153:$B$155,0))),
Error!$B$15,
IF(AND(OR($E409="Tier 2",$E409="Tier 2 Grove"),$F409="Retain",$H409&lt;&gt;"",ISNA(MATCH($H409,Tables!$B$147:$B$150,0))),
Error!$B$15,
IF(AND($E409="Tier 1",$F409="Remove",$H409&lt;&gt;"",ISNA(MATCH($H409,Tables!$B$143:$B$144,0))),
Error!$B$15,
IF(AND($E409="Tier 1",$F409="Retain",$H409&lt;&gt;"",ISNA(MATCH($H409,Tables!$B$137:$B$140,0))),
Error!$B$15,
IF(AND($E409&lt;&gt;"Tier 2",$E409&lt;&gt;"Tier 2 Grove",$E409&lt;&gt;"Tier 3",$E409&lt;&gt;"Tier 4",$H409="Zoning: Green Factor",OR($D409="",$D409&lt;6)),
Error!$B$11,
IF(AND(_xlpm.baseRow,$D409&lt;6,$E409="&lt;6in DSH for Tree Points",_xlpm.TreePoints_H=0),
Error!$B$21,
IF(AND(_xlpm.baseRow,$E409&lt;&gt;"",$D409&lt;&gt;"",$F409=""),
Error!$B$4,
IF(AND(_xlpm.baseRow,$F409="Remove",OR($E409="Tier 1",$E409="Tier 2",$E409="Tier 2 Grove"),COUNTBLANK(_xlpm.HRange)&lt;3,_xlpm.uniqueH&gt;=2),
Error!$B$48,
IF(AND(_xlpm.baseRow,$F409="Retain",OR($E409="Tier 1",$E409="Tier 2",$E409="Tier 2 Grove"),COUNTIF(_xlpm.HRange,"Tree Code: Required to Retain Tier 1-2 Tree")=0),
Error!$B$47,
IF(AND(_xlpm.baseRow,$E409&lt;&gt;"",$D409&lt;&gt;"",$F409&lt;&gt;"",COUNTBLANK(_xlpm.HRange)=4),
Error!$B$5,
IF(AND($F409="Remove",$H409&lt;&gt;"",$I409=""),
Error!$B$18,
IF(AND($E409="Tier 4",$F409="Remove",$H409="Tree Protection Code: Tier 3 or Tier 4 Allowance",$H409&lt;&gt;"",ISNA(MATCH($I409,Tables!$B$200,0))),
Error!$B$17,
IF(AND($E409="Tier 3",$F409="Remove",$H409&lt;&gt;"",$H409="Tree Protection Code: Tier 3 or Tier 4 Allowance",OR($I409="",ISNA(MATCH($I409,Tables!$B$193:$B$197,0)))),
Error!$B$17,
IF(AND(OR($E409="Tier 2",$E409="Tier 2 Grove"),$F409="Remove",$H409="Tree Protection Code: Other removal allowance or exemption",$I409&lt;&gt;"",ISNA(MATCH($I409,Tables!$B$215:$B$218,0))),
Error!$B$17,
IF(AND(OR($E409="Tier 2",$E409="Tier 2 Grove"),$F409="Remove",$H409="Tree Protection Code: Development Capacity",$I409&lt;&gt;"",ISNA(MATCH($I409,Tables!$B$193:$B$197,0))),
Error!$B$17,
IF(AND(OR($E409="Tier 2",$E409="Tier 2 Grove"),$F409="Remove",$H409="Tree Protection Code: Necessary for Construction",$I409&lt;&gt;"",ISNA(MATCH($I409,Tables!$B$193:$B$197,0))),
Error!$B$17,
IF(AND($E409="Tier 1",$F409="Remove",$H409="Tree Protection Code: Special Exception",$I409&lt;&gt;"",ISNA(MATCH($I409,Tables!$B$215:$B$218,0))),
Error!$B$17,
IF(AND($E409="Tier 1",$F409="Remove",$H409="Tree Protection Code: Other removal allowance or exemption",$I409&lt;&gt;"",ISNA(MATCH($I409,Tables!$B$215:$B$218,0))),
Error!$B$17,
IF(AND($E409="ECA / Shoreline Tree",$F409="Remove",$H409&lt;&gt;"",OR($H409="Shoreline",$H409="Environmental Critical Area (ECA)"),ISNA(MATCH($I409,Tables!$B$209:$B$212,0))),
Error!$B$17,
IF(AND(_xlpm.baseRow,$F409="Retain",$E409="ECA / Shoreline Tree",_xlpm.ECA_Short=0),
Error!$B$61,
IF(AND($F409="Remove",ISNUMBER(MATCH($E409,{"Tier 1","Tier 2","Tier 3","Tier 4","Tier 2 Grove"},0)),ISNUMBER(MATCH($I409,{"On-site replacement","Off-site replacement"},0)),$J409="",$H409&lt;&gt;""),
Error!$B$19,
IF(AND(_xlpm.baseRow,$E409&lt;&gt;"",$D409&lt;&gt;"",$F409&lt;&gt;"",COUNTBLANK($B409:$C409)&gt;0,COUNTBLANK(_xlpm.HRange)&lt;&gt;4),
Error!$B$22,
IF(AND($H409="Zoning: Tree Points",$K409&lt;&gt;"",ISNA(MATCH($K409,Tables!$B$242:$B$253,0))),
Error!$B$58,
IF(AND($H409="Zoning: Tree Points",$K409="Small",$L409&lt;&gt;"",ISNA(MATCH($L409,Tables!$C$243:$C$244,0))),
Error!$B$59,
IF(AND($H409="Zoning: Tree Points",$K409="Small/Medium",$L409&lt;&gt;"",ISNA(MATCH($L409,Tables!$C$246:$C$247,0))),
Error!$B$59,
IF(AND($H409="Zoning: Tree Points",$K409="Medium/Large",$L409&lt;&gt;"",ISNA(MATCH($L409,Tables!$C$249:$C$250,0))),
Error!$B$59,
IF(AND($H409="Zoning: Tree Points",$K409="Large",$L409&lt;&gt;"",ISNA(MATCH($L409,Tables!$C$252:$C$253,0))),
Error!$B$59,
IF(AND($F409="Retain",$H409="Zoning: Tree Points",$C409&lt;&gt;"",$D409&lt;&gt;"",OR($K409="",$L409="",$M409="")),
Error!$B$20,
""
)))))))))))))))))))))))))))))))))))))))))))))))))))))))),
Error!$B$23))</f>
        <v/>
      </c>
      <c r="O409" s="343" t="str" cm="1">
        <f t="array" aca="1" ref="O409" ca="1">IFERROR(_xlfn.LET(
    _xlpm.txt, $C409,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10" spans="1:15" ht="15" thickBot="1" x14ac:dyDescent="0.35">
      <c r="A410" s="331"/>
      <c r="B410" s="616" t="str">
        <f t="shared" si="457"/>
        <v/>
      </c>
      <c r="C410" s="617" t="str">
        <f t="shared" si="458"/>
        <v/>
      </c>
      <c r="D410" s="618" t="str">
        <f t="shared" si="459"/>
        <v/>
      </c>
      <c r="E410" s="616" t="str">
        <f t="shared" si="460"/>
        <v/>
      </c>
      <c r="F410" s="616" t="str">
        <f t="shared" si="461"/>
        <v/>
      </c>
      <c r="G410" s="619" t="str">
        <f>IF(Tree_Table1[[#This Row],[Tree Status  &amp;]]="Retain", Tables!$B$237, IF(Tree_Table1[[#This Row],[Tree Status  &amp;]]="Remove", Tables!$B$238, ""))</f>
        <v/>
      </c>
      <c r="H410" s="329"/>
      <c r="I410" s="330"/>
      <c r="J410" s="455"/>
      <c r="K410" s="327" t="str">
        <f>IFERROR(
    IF(
        AND($H410="Zoning: Tree Points", NOT(ISNUMBER(SEARCH("sp.", $C410)))),
        VLOOKUP($C410, 'Tree List'!$C$3:$F$601, 4, FALSE),
        ""
    ),
"")</f>
        <v/>
      </c>
      <c r="L410" s="328" t="str" cm="1">
        <f t="array" ref="L410">IFERROR(
IF(
    AND($H410="Zoning: Tree Points", NOT(ISNUMBER(SEARCH("sp.", $C410)))),
    _xlfn.IFS(
        (COUNTIFS('Tree List'!$C$3:$C$601,$C410,'Tree List'!$D$3:$D$601,"Coniferous")
        + COUNTIFS('Tree List'!$C$3:$C$601,$C410,'Tree List'!$D$3:$D$601,"Deciduous Conifer")) &gt; 0,
            _xlfn.IFS($K410="Small",0.5,$K410="Small/Medium",1,$K410="Medium/Large",1.4,$K410="Large",1.8),
        (COUNTIFS('Tree List'!$C$3:$C$601,$C410,'Tree List'!$D$3:$D$601,"Deciduous")
        + COUNTIFS('Tree List'!$C$3:$C$601,$C410,'Tree List'!$D$3:$D$601,"Broadleaf Evergreen")) &gt; 0,
            _xlfn.IFS($K410="Small",0.4,$K410="Small/Medium",0.8,$K410="Medium/Large",1.2,$K410="Large",1.6)
    ),
    ""
),
"")</f>
        <v/>
      </c>
      <c r="M410" s="476" t="str">
        <f t="shared" si="411"/>
        <v/>
      </c>
      <c r="N410" s="347" t="str" cm="1">
        <f t="array" aca="1" ref="N41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IF(AND(_xlpm.baseRow,ISNA(MATCH($C410,'Tree List'!$C$3:$C$601,0)),SUMPRODUCT(--ISNUMBER(SEARCH(Tables2!$C$677:$C$772,$O410)))&gt;0),
Error!$B$57,
IF(AND(_xlpm.hasDM,$F410="Remove",$H410&lt;&gt;"",OR($I410="On-site replacement",$I410="Off-site replacement",$I410="Payment In Lieu")),
Error!$B$56,
IF(AND(_xlpm.hasDM,$F410="Remove",$H410&lt;&gt;"",$I410="Relocation"),
Error!$B$66,
IF(AND(OR(_xlpm.hasCN,_xlpm.hasPH,_xlpm.hasGR),$H410&lt;&gt;"",COUNTIF(Tables!$B$132:$B$134,$H410)&gt;0,$I410="N/A (No replacement required)"),
Error!$B$62,
IF(AND(_xlpm.baseRow,$E410&lt;&gt;"",ISNA(MATCH($E410,Tables!$B$225:$B$232,0))),
Error!$B$2,
IF(AND(_xlpm.baseRow,$F410&lt;&gt;"",ISNA(MATCH($F410,Tables!$B$234:$B$235,0))),
Error!$B$24,
IF(AND(_xlpm.baseRow,_xlpm.ECA_H&gt;0,_xlpm.Shore_H&gt;0),
Error!$B$16,
IF(AND(_xlpm.baseRow,$E410&lt;&gt;"",$D410=""),
Error!$B$3,
IF(AND(_xlpm.baseRow,OR($E410="Tier 3",$E410="Tier 4"),$C410&lt;&gt;"",$D410&gt;=24,COUNTIF(Tables2!$B$166:$B$674,$C410)&gt;0),
Error!$B$44,
IF(AND(_xlpm.baseRow,OR($E410="Tier 3",$E410="Tier 4"),$C410&lt;&gt;"",$D410&lt;&gt;"",COUNTIF(Tables2!$B$73:$B$152,$C410)&gt;0,
$D410&gt;=IFERROR(INDEX(Tables2!$C$73:$C$152,MATCH($C410,Tables2!$B$73:$B$152,0)),-1)),
Error!$B$44,
IF(AND(_xlpm.baseRow,OR($E410="Tier 2",$E410="Tier 2 Grove"),$C410&lt;&gt;"",$D410&gt;=12,COUNTIF(Tables2!$B$153:$B$162,$C410)&gt;0),
Error!$B$45,
IF(AND(_xlpm.baseRow,$E410="Tier 2 Grove",$D410&lt;12),
Error!$B$41,
IF(AND(_xlpm.baseRow,$E410="Tier 2",$D410&lt;5.88),
Error!$B$40,
IF(AND(_xlpm.baseRow,OR($E410="Tier 2",$E410="Tier 2 Grove"),$C410&lt;&gt;"",$D410&lt;12,$D410&gt;=6,COUNTIF(Tables2!$B$153:$B$162,$C410)&gt;0),
Error!$B$54,
IF(AND(_xlpm.baseRow,$E410="Tier 2",COUNTIF(Tables2!$B$166:$B$674,$C410)&gt;0,$D410&lt;24),
Error!$B$54,
IF(AND(_xlpm.baseRow,$E410="Tier 3",ISNA(MATCH($C410,Tables2!$B$153:$B$162,0)),OR($D410&lt;12,$D410&gt;=24)),
Error!$B$9,
IF(AND(_xlpm.baseRow,$E410="Tier 3",COUNTIF(Tables2!$B$153:$B$162,$C410)&gt;0,$D410&lt;12),
Error!$B$46,
IF(AND(_xlpm.baseRow,$E410="Tier 4",OR($D410&lt;6,$D410&gt;=12)),
Error!$B$10,
IF(AND(_xlpm.baseRow,$E410="&lt;6in DSH for Tree Points",OR($D410&gt;=6,$D410="")),
Error!$B$8,
IF(AND(_xlpm.baseRow,$E410="Street Tree for Green Factor",$F410&lt;&gt;"",$F410&lt;&gt;"Retain"),
Error!$B$14,
IF(AND($E410="&lt;6in DSH for Tree Points",$F410="Retain",$H410&lt;&gt;"",ISNA(MATCH($H410,Tables!$B$174:$B$174,0))),
Error!$B$15,
IF(AND($E410="Street Tree for Green Factor",$F410="Retain",$H410&lt;&gt;"",$H410&lt;&gt;"Zoning: Green Factor"),
Error!$B$15,
IF(AND($E410="ECA / Shoreline Tree",$F410="Remove",$H410&lt;&gt;"",ISNA(MATCH($H410,Tables!$B$189:$B$190,0))),
Error!$B$15,
IF(AND($E410="ECA / Shoreline Tree",$F410="Retain",$H410&lt;&gt;"",ISNA(MATCH($H410,Tables!$B$184:$B$186,0))),
Error!$B$15,
IF(AND($E410="Tier 4",$F410="Remove",$H410&lt;&gt;"",ISNA(MATCH($H410,Tables!$B$171,0))),
Error!$B$15,
IF(AND($E410="Tier 4",$F410="Retain",$H410&lt;&gt;"",ISNA(MATCH($H410,Tables!$B$166:$B$168,0))),
Error!$B$15,
IF(AND($E410="Tier 3",$F410="Retain",$H410&lt;&gt;"",ISNA(MATCH($H410,Tables!$B$158:$B$160,0))),
Error!$B$15,
IF(AND($E410="Tier 3",$F410="Remove",$H410&lt;&gt;"",ISNA(MATCH($H410,Tables!$B$163,0))),
Error!$B$15,
IF(AND(OR($E410="Tier 2",$E410="Tier 2 Grove"),$F410="Remove",$H410&lt;&gt;"",ISNA(MATCH($H410,Tables!$B$153:$B$155,0))),
Error!$B$15,
IF(AND(OR($E410="Tier 2",$E410="Tier 2 Grove"),$F410="Retain",$H410&lt;&gt;"",ISNA(MATCH($H410,Tables!$B$147:$B$150,0))),
Error!$B$15,
IF(AND($E410="Tier 1",$F410="Remove",$H410&lt;&gt;"",ISNA(MATCH($H410,Tables!$B$143:$B$144,0))),
Error!$B$15,
IF(AND($E410="Tier 1",$F410="Retain",$H410&lt;&gt;"",ISNA(MATCH($H410,Tables!$B$137:$B$140,0))),
Error!$B$15,
IF(AND($E410&lt;&gt;"Tier 2",$E410&lt;&gt;"Tier 2 Grove",$E410&lt;&gt;"Tier 3",$E410&lt;&gt;"Tier 4",$H410="Zoning: Green Factor",OR($D410="",$D410&lt;6)),
Error!$B$11,
IF(AND(_xlpm.baseRow,$D410&lt;6,$E410="&lt;6in DSH for Tree Points",_xlpm.TreePoints_H=0),
Error!$B$21,
IF(AND(_xlpm.baseRow,$E410&lt;&gt;"",$D410&lt;&gt;"",$F410=""),
Error!$B$4,
IF(AND(_xlpm.baseRow,$F410="Remove",OR($E410="Tier 1",$E410="Tier 2",$E410="Tier 2 Grove"),COUNTBLANK(_xlpm.HRange)&lt;3,_xlpm.uniqueH&gt;=2),
Error!$B$48,
IF(AND(_xlpm.baseRow,$F410="Retain",OR($E410="Tier 1",$E410="Tier 2",$E410="Tier 2 Grove"),COUNTIF(_xlpm.HRange,"Tree Code: Required to Retain Tier 1-2 Tree")=0),
Error!$B$47,
IF(AND(_xlpm.baseRow,$E410&lt;&gt;"",$D410&lt;&gt;"",$F410&lt;&gt;"",COUNTBLANK(_xlpm.HRange)=4),
Error!$B$5,
IF(AND($F410="Remove",$H410&lt;&gt;"",$I410=""),
Error!$B$18,
IF(AND($E410="Tier 4",$F410="Remove",$H410="Tree Protection Code: Tier 3 or Tier 4 Allowance",$H410&lt;&gt;"",ISNA(MATCH($I410,Tables!$B$200,0))),
Error!$B$17,
IF(AND($E410="Tier 3",$F410="Remove",$H410&lt;&gt;"",$H410="Tree Protection Code: Tier 3 or Tier 4 Allowance",OR($I410="",ISNA(MATCH($I410,Tables!$B$193:$B$197,0)))),
Error!$B$17,
IF(AND(OR($E410="Tier 2",$E410="Tier 2 Grove"),$F410="Remove",$H410="Tree Protection Code: Other removal allowance or exemption",$I410&lt;&gt;"",ISNA(MATCH($I410,Tables!$B$215:$B$218,0))),
Error!$B$17,
IF(AND(OR($E410="Tier 2",$E410="Tier 2 Grove"),$F410="Remove",$H410="Tree Protection Code: Development Capacity",$I410&lt;&gt;"",ISNA(MATCH($I410,Tables!$B$193:$B$197,0))),
Error!$B$17,
IF(AND(OR($E410="Tier 2",$E410="Tier 2 Grove"),$F410="Remove",$H410="Tree Protection Code: Necessary for Construction",$I410&lt;&gt;"",ISNA(MATCH($I410,Tables!$B$193:$B$197,0))),
Error!$B$17,
IF(AND($E410="Tier 1",$F410="Remove",$H410="Tree Protection Code: Special Exception",$I410&lt;&gt;"",ISNA(MATCH($I410,Tables!$B$215:$B$218,0))),
Error!$B$17,
IF(AND($E410="Tier 1",$F410="Remove",$H410="Tree Protection Code: Other removal allowance or exemption",$I410&lt;&gt;"",ISNA(MATCH($I410,Tables!$B$215:$B$218,0))),
Error!$B$17,
IF(AND($E410="ECA / Shoreline Tree",$F410="Remove",$H410&lt;&gt;"",OR($H410="Shoreline",$H410="Environmental Critical Area (ECA)"),ISNA(MATCH($I410,Tables!$B$209:$B$212,0))),
Error!$B$17,
IF(AND(_xlpm.baseRow,$F410="Retain",$E410="ECA / Shoreline Tree",_xlpm.ECA_Short=0),
Error!$B$61,
IF(AND($F410="Remove",ISNUMBER(MATCH($E410,{"Tier 1","Tier 2","Tier 3","Tier 4","Tier 2 Grove"},0)),ISNUMBER(MATCH($I410,{"On-site replacement","Off-site replacement"},0)),$J410="",$H410&lt;&gt;""),
Error!$B$19,
IF(AND(_xlpm.baseRow,$E410&lt;&gt;"",$D410&lt;&gt;"",$F410&lt;&gt;"",COUNTBLANK($B410:$C410)&gt;0,COUNTBLANK(_xlpm.HRange)&lt;&gt;4),
Error!$B$22,
IF(AND($H410="Zoning: Tree Points",$K410&lt;&gt;"",ISNA(MATCH($K410,Tables!$B$242:$B$253,0))),
Error!$B$58,
IF(AND($H410="Zoning: Tree Points",$K410="Small",$L410&lt;&gt;"",ISNA(MATCH($L410,Tables!$C$243:$C$244,0))),
Error!$B$59,
IF(AND($H410="Zoning: Tree Points",$K410="Small/Medium",$L410&lt;&gt;"",ISNA(MATCH($L410,Tables!$C$246:$C$247,0))),
Error!$B$59,
IF(AND($H410="Zoning: Tree Points",$K410="Medium/Large",$L410&lt;&gt;"",ISNA(MATCH($L410,Tables!$C$249:$C$250,0))),
Error!$B$59,
IF(AND($H410="Zoning: Tree Points",$K410="Large",$L410&lt;&gt;"",ISNA(MATCH($L410,Tables!$C$252:$C$253,0))),
Error!$B$59,
IF(AND($F410="Retain",$H410="Zoning: Tree Points",$C410&lt;&gt;"",$D410&lt;&gt;"",OR($K410="",$L410="",$M410="")),
Error!$B$20,
""
)))))))))))))))))))))))))))))))))))))))))))))))))))))))),
Error!$B$23))</f>
        <v/>
      </c>
      <c r="O410" s="343" t="str" cm="1">
        <f t="array" aca="1" ref="O410" ca="1">IFERROR(_xlfn.LET(
    _xlpm.txt, $C410,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11" spans="1:15" ht="15" thickBot="1" x14ac:dyDescent="0.35">
      <c r="A411" s="311">
        <v>101</v>
      </c>
      <c r="B411" s="312"/>
      <c r="C411" s="313"/>
      <c r="D411" s="478"/>
      <c r="E411" s="314"/>
      <c r="F411" s="314"/>
      <c r="G411" s="315" t="str">
        <f>IF(Tree_Table1[[#This Row],[Tree Status  &amp;]]="Retain", Tables!$B$237, IF(Tree_Table1[[#This Row],[Tree Status  &amp;]]="Remove", Tables!$B$238, ""))</f>
        <v/>
      </c>
      <c r="H411" s="316"/>
      <c r="I411" s="317"/>
      <c r="J411" s="452"/>
      <c r="K411" s="318" t="str">
        <f>IFERROR(
    IF(
        AND($H411="Zoning: Tree Points", NOT(ISNUMBER(SEARCH("sp.", $C411)))),
        VLOOKUP($C411, 'Tree List'!$C$3:$F$601, 4, FALSE),
        ""
    ),
"")</f>
        <v/>
      </c>
      <c r="L411" s="319" t="str" cm="1">
        <f t="array" ref="L411">IFERROR(
IF(
    AND($H411="Zoning: Tree Points", NOT(ISNUMBER(SEARCH("sp.", $C411)))),
    _xlfn.IFS(
        (COUNTIFS('Tree List'!$C$3:$C$601,$C411,'Tree List'!$D$3:$D$601,"Coniferous")
        + COUNTIFS('Tree List'!$C$3:$C$601,$C411,'Tree List'!$D$3:$D$601,"Deciduous Conifer")) &gt; 0,
            _xlfn.IFS($K411="Small",0.5,$K411="Small/Medium",1,$K411="Medium/Large",1.4,$K411="Large",1.8),
        (COUNTIFS('Tree List'!$C$3:$C$601,$C411,'Tree List'!$D$3:$D$601,"Deciduous")
        + COUNTIFS('Tree List'!$C$3:$C$601,$C411,'Tree List'!$D$3:$D$601,"Broadleaf Evergreen")) &gt; 0,
            _xlfn.IFS($K411="Small",0.4,$K411="Small/Medium",0.8,$K411="Medium/Large",1.2,$K411="Large",1.6)
    ),
    ""
),
"")</f>
        <v/>
      </c>
      <c r="M411" s="474" t="str">
        <f t="shared" si="411"/>
        <v/>
      </c>
      <c r="N411" s="620" t="str" cm="1">
        <f t="array" aca="1" ref="N41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IF(AND(_xlpm.baseRow,ISNA(MATCH($C411,'Tree List'!$C$3:$C$601,0)),SUMPRODUCT(--ISNUMBER(SEARCH(Tables2!$C$677:$C$772,$O411)))&gt;0),
Error!$B$57,
IF(AND(_xlpm.hasDM,$F411="Remove",$H411&lt;&gt;"",OR($I411="On-site replacement",$I411="Off-site replacement",$I411="Payment In Lieu")),
Error!$B$56,
IF(AND(_xlpm.hasDM,$F411="Remove",$H411&lt;&gt;"",$I411="Relocation"),
Error!$B$66,
IF(AND(OR(_xlpm.hasCN,_xlpm.hasPH,_xlpm.hasGR),$H411&lt;&gt;"",COUNTIF(Tables!$B$132:$B$134,$H411)&gt;0,$I411="N/A (No replacement required)"),
Error!$B$62,
IF(AND(_xlpm.baseRow,$E411&lt;&gt;"",ISNA(MATCH($E411,Tables!$B$225:$B$232,0))),
Error!$B$2,
IF(AND(_xlpm.baseRow,$F411&lt;&gt;"",ISNA(MATCH($F411,Tables!$B$234:$B$235,0))),
Error!$B$24,
IF(AND(_xlpm.baseRow,_xlpm.ECA_H&gt;0,_xlpm.Shore_H&gt;0),
Error!$B$16,
IF(AND(_xlpm.baseRow,$E411&lt;&gt;"",$D411=""),
Error!$B$3,
IF(AND(_xlpm.baseRow,OR($E411="Tier 3",$E411="Tier 4"),$C411&lt;&gt;"",$D411&gt;=24,COUNTIF(Tables2!$B$166:$B$674,$C411)&gt;0),
Error!$B$44,
IF(AND(_xlpm.baseRow,OR($E411="Tier 3",$E411="Tier 4"),$C411&lt;&gt;"",$D411&lt;&gt;"",COUNTIF(Tables2!$B$73:$B$152,$C411)&gt;0,
$D411&gt;=IFERROR(INDEX(Tables2!$C$73:$C$152,MATCH($C411,Tables2!$B$73:$B$152,0)),-1)),
Error!$B$44,
IF(AND(_xlpm.baseRow,OR($E411="Tier 2",$E411="Tier 2 Grove"),$C411&lt;&gt;"",$D411&gt;=12,COUNTIF(Tables2!$B$153:$B$162,$C411)&gt;0),
Error!$B$45,
IF(AND(_xlpm.baseRow,$E411="Tier 2 Grove",$D411&lt;12),
Error!$B$41,
IF(AND(_xlpm.baseRow,$E411="Tier 2",$D411&lt;5.88),
Error!$B$40,
IF(AND(_xlpm.baseRow,OR($E411="Tier 2",$E411="Tier 2 Grove"),$C411&lt;&gt;"",$D411&lt;12,$D411&gt;=6,COUNTIF(Tables2!$B$153:$B$162,$C411)&gt;0),
Error!$B$54,
IF(AND(_xlpm.baseRow,$E411="Tier 2",COUNTIF(Tables2!$B$166:$B$674,$C411)&gt;0,$D411&lt;24),
Error!$B$54,
IF(AND(_xlpm.baseRow,$E411="Tier 3",ISNA(MATCH($C411,Tables2!$B$153:$B$162,0)),OR($D411&lt;12,$D411&gt;=24)),
Error!$B$9,
IF(AND(_xlpm.baseRow,$E411="Tier 3",COUNTIF(Tables2!$B$153:$B$162,$C411)&gt;0,$D411&lt;12),
Error!$B$46,
IF(AND(_xlpm.baseRow,$E411="Tier 4",OR($D411&lt;6,$D411&gt;=12)),
Error!$B$10,
IF(AND(_xlpm.baseRow,$E411="&lt;6in DSH for Tree Points",OR($D411&gt;=6,$D411="")),
Error!$B$8,
IF(AND(_xlpm.baseRow,$E411="Street Tree for Green Factor",$F411&lt;&gt;"",$F411&lt;&gt;"Retain"),
Error!$B$14,
IF(AND($E411="&lt;6in DSH for Tree Points",$F411="Retain",$H411&lt;&gt;"",ISNA(MATCH($H411,Tables!$B$174:$B$174,0))),
Error!$B$15,
IF(AND($E411="Street Tree for Green Factor",$F411="Retain",$H411&lt;&gt;"",$H411&lt;&gt;"Zoning: Green Factor"),
Error!$B$15,
IF(AND($E411="ECA / Shoreline Tree",$F411="Remove",$H411&lt;&gt;"",ISNA(MATCH($H411,Tables!$B$189:$B$190,0))),
Error!$B$15,
IF(AND($E411="ECA / Shoreline Tree",$F411="Retain",$H411&lt;&gt;"",ISNA(MATCH($H411,Tables!$B$184:$B$186,0))),
Error!$B$15,
IF(AND($E411="Tier 4",$F411="Remove",$H411&lt;&gt;"",ISNA(MATCH($H411,Tables!$B$171,0))),
Error!$B$15,
IF(AND($E411="Tier 4",$F411="Retain",$H411&lt;&gt;"",ISNA(MATCH($H411,Tables!$B$166:$B$168,0))),
Error!$B$15,
IF(AND($E411="Tier 3",$F411="Retain",$H411&lt;&gt;"",ISNA(MATCH($H411,Tables!$B$158:$B$160,0))),
Error!$B$15,
IF(AND($E411="Tier 3",$F411="Remove",$H411&lt;&gt;"",ISNA(MATCH($H411,Tables!$B$163,0))),
Error!$B$15,
IF(AND(OR($E411="Tier 2",$E411="Tier 2 Grove"),$F411="Remove",$H411&lt;&gt;"",ISNA(MATCH($H411,Tables!$B$153:$B$155,0))),
Error!$B$15,
IF(AND(OR($E411="Tier 2",$E411="Tier 2 Grove"),$F411="Retain",$H411&lt;&gt;"",ISNA(MATCH($H411,Tables!$B$147:$B$150,0))),
Error!$B$15,
IF(AND($E411="Tier 1",$F411="Remove",$H411&lt;&gt;"",ISNA(MATCH($H411,Tables!$B$143:$B$144,0))),
Error!$B$15,
IF(AND($E411="Tier 1",$F411="Retain",$H411&lt;&gt;"",ISNA(MATCH($H411,Tables!$B$137:$B$140,0))),
Error!$B$15,
IF(AND($E411&lt;&gt;"Tier 2",$E411&lt;&gt;"Tier 2 Grove",$E411&lt;&gt;"Tier 3",$E411&lt;&gt;"Tier 4",$H411="Zoning: Green Factor",OR($D411="",$D411&lt;6)),
Error!$B$11,
IF(AND(_xlpm.baseRow,$D411&lt;6,$E411="&lt;6in DSH for Tree Points",_xlpm.TreePoints_H=0),
Error!$B$21,
IF(AND(_xlpm.baseRow,$E411&lt;&gt;"",$D411&lt;&gt;"",$F411=""),
Error!$B$4,
IF(AND(_xlpm.baseRow,$F411="Remove",OR($E411="Tier 1",$E411="Tier 2",$E411="Tier 2 Grove"),COUNTBLANK(_xlpm.HRange)&lt;3,_xlpm.uniqueH&gt;=2),
Error!$B$48,
IF(AND(_xlpm.baseRow,$F411="Retain",OR($E411="Tier 1",$E411="Tier 2",$E411="Tier 2 Grove"),COUNTIF(_xlpm.HRange,"Tree Code: Required to Retain Tier 1-2 Tree")=0),
Error!$B$47,
IF(AND(_xlpm.baseRow,$E411&lt;&gt;"",$D411&lt;&gt;"",$F411&lt;&gt;"",COUNTBLANK(_xlpm.HRange)=4),
Error!$B$5,
IF(AND($F411="Remove",$H411&lt;&gt;"",$I411=""),
Error!$B$18,
IF(AND($E411="Tier 4",$F411="Remove",$H411="Tree Protection Code: Tier 3 or Tier 4 Allowance",$H411&lt;&gt;"",ISNA(MATCH($I411,Tables!$B$200,0))),
Error!$B$17,
IF(AND($E411="Tier 3",$F411="Remove",$H411&lt;&gt;"",$H411="Tree Protection Code: Tier 3 or Tier 4 Allowance",OR($I411="",ISNA(MATCH($I411,Tables!$B$193:$B$197,0)))),
Error!$B$17,
IF(AND(OR($E411="Tier 2",$E411="Tier 2 Grove"),$F411="Remove",$H411="Tree Protection Code: Other removal allowance or exemption",$I411&lt;&gt;"",ISNA(MATCH($I411,Tables!$B$215:$B$218,0))),
Error!$B$17,
IF(AND(OR($E411="Tier 2",$E411="Tier 2 Grove"),$F411="Remove",$H411="Tree Protection Code: Development Capacity",$I411&lt;&gt;"",ISNA(MATCH($I411,Tables!$B$193:$B$197,0))),
Error!$B$17,
IF(AND(OR($E411="Tier 2",$E411="Tier 2 Grove"),$F411="Remove",$H411="Tree Protection Code: Necessary for Construction",$I411&lt;&gt;"",ISNA(MATCH($I411,Tables!$B$193:$B$197,0))),
Error!$B$17,
IF(AND($E411="Tier 1",$F411="Remove",$H411="Tree Protection Code: Special Exception",$I411&lt;&gt;"",ISNA(MATCH($I411,Tables!$B$215:$B$218,0))),
Error!$B$17,
IF(AND($E411="Tier 1",$F411="Remove",$H411="Tree Protection Code: Other removal allowance or exemption",$I411&lt;&gt;"",ISNA(MATCH($I411,Tables!$B$215:$B$218,0))),
Error!$B$17,
IF(AND($E411="ECA / Shoreline Tree",$F411="Remove",$H411&lt;&gt;"",OR($H411="Shoreline",$H411="Environmental Critical Area (ECA)"),ISNA(MATCH($I411,Tables!$B$209:$B$212,0))),
Error!$B$17,
IF(AND(_xlpm.baseRow,$F411="Retain",$E411="ECA / Shoreline Tree",_xlpm.ECA_Short=0),
Error!$B$61,
IF(AND($F411="Remove",ISNUMBER(MATCH($E411,{"Tier 1","Tier 2","Tier 3","Tier 4","Tier 2 Grove"},0)),ISNUMBER(MATCH($I411,{"On-site replacement","Off-site replacement"},0)),$J411="",$H411&lt;&gt;""),
Error!$B$19,
IF(AND(_xlpm.baseRow,$E411&lt;&gt;"",$D411&lt;&gt;"",$F411&lt;&gt;"",COUNTBLANK($B411:$C411)&gt;0,COUNTBLANK(_xlpm.HRange)&lt;&gt;4),
Error!$B$22,
IF(AND($H411="Zoning: Tree Points",$K411&lt;&gt;"",ISNA(MATCH($K411,Tables!$B$242:$B$253,0))),
Error!$B$58,
IF(AND($H411="Zoning: Tree Points",$K411="Small",$L411&lt;&gt;"",ISNA(MATCH($L411,Tables!$C$243:$C$244,0))),
Error!$B$59,
IF(AND($H411="Zoning: Tree Points",$K411="Small/Medium",$L411&lt;&gt;"",ISNA(MATCH($L411,Tables!$C$246:$C$247,0))),
Error!$B$59,
IF(AND($H411="Zoning: Tree Points",$K411="Medium/Large",$L411&lt;&gt;"",ISNA(MATCH($L411,Tables!$C$249:$C$250,0))),
Error!$B$59,
IF(AND($H411="Zoning: Tree Points",$K411="Large",$L411&lt;&gt;"",ISNA(MATCH($L411,Tables!$C$252:$C$253,0))),
Error!$B$59,
IF(AND($F411="Retain",$H411="Zoning: Tree Points",$C411&lt;&gt;"",$D411&lt;&gt;"",OR($K411="",$L411="",$M411="")),
Error!$B$20,
""
)))))))))))))))))))))))))))))))))))))))))))))))))))))))),
Error!$B$23))</f>
        <v/>
      </c>
      <c r="O411" s="343" t="str" cm="1">
        <f t="array" aca="1" ref="O411" ca="1">IFERROR(_xlfn.LET(
    _xlpm.txt, $C411,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12" spans="1:15" x14ac:dyDescent="0.3">
      <c r="A412" s="320"/>
      <c r="B412" s="616" t="str">
        <f t="shared" ref="B412:B414" si="462">IF($B411="", "", $B411)</f>
        <v/>
      </c>
      <c r="C412" s="617" t="str">
        <f t="shared" ref="C412:C414" si="463">IF($C411="", "", $C411)</f>
        <v/>
      </c>
      <c r="D412" s="618" t="str">
        <f t="shared" ref="D412:D414" si="464">IF($D411="", "", $D411)</f>
        <v/>
      </c>
      <c r="E412" s="616" t="str">
        <f t="shared" ref="E412:E414" si="465">IF($E411="", "", $E411)</f>
        <v/>
      </c>
      <c r="F412" s="616" t="str">
        <f t="shared" ref="F412:F414" si="466">IF($F411="", "", $F411)</f>
        <v/>
      </c>
      <c r="G412" s="619" t="str">
        <f>IF(Tree_Table1[[#This Row],[Tree Status  &amp;]]="Retain", Tables!$B$237, IF(Tree_Table1[[#This Row],[Tree Status  &amp;]]="Remove", Tables!$B$238, ""))</f>
        <v/>
      </c>
      <c r="H412" s="321"/>
      <c r="I412" s="322"/>
      <c r="J412" s="453"/>
      <c r="K412" s="323" t="str">
        <f>IFERROR(
    IF(
        AND($H412="Zoning: Tree Points", NOT(ISNUMBER(SEARCH("sp.", $C412)))),
        VLOOKUP($C412, 'Tree List'!$C$3:$F$601, 4, FALSE),
        ""
    ),
"")</f>
        <v/>
      </c>
      <c r="L412" s="324" t="str" cm="1">
        <f t="array" ref="L412">IFERROR(
IF(
    AND($H412="Zoning: Tree Points", NOT(ISNUMBER(SEARCH("sp.", $C412)))),
    _xlfn.IFS(
        (COUNTIFS('Tree List'!$C$3:$C$601,$C412,'Tree List'!$D$3:$D$601,"Coniferous")
        + COUNTIFS('Tree List'!$C$3:$C$601,$C412,'Tree List'!$D$3:$D$601,"Deciduous Conifer")) &gt; 0,
            _xlfn.IFS($K412="Small",0.5,$K412="Small/Medium",1,$K412="Medium/Large",1.4,$K412="Large",1.8),
        (COUNTIFS('Tree List'!$C$3:$C$601,$C412,'Tree List'!$D$3:$D$601,"Deciduous")
        + COUNTIFS('Tree List'!$C$3:$C$601,$C412,'Tree List'!$D$3:$D$601,"Broadleaf Evergreen")) &gt; 0,
            _xlfn.IFS($K412="Small",0.4,$K412="Small/Medium",0.8,$K412="Medium/Large",1.2,$K412="Large",1.6)
    ),
    ""
),
"")</f>
        <v/>
      </c>
      <c r="M412" s="475" t="str">
        <f t="shared" si="411"/>
        <v/>
      </c>
      <c r="N412" s="346" t="str" cm="1">
        <f t="array" aca="1" ref="N41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IF(AND(_xlpm.baseRow,ISNA(MATCH($C412,'Tree List'!$C$3:$C$601,0)),SUMPRODUCT(--ISNUMBER(SEARCH(Tables2!$C$677:$C$772,$O412)))&gt;0),
Error!$B$57,
IF(AND(_xlpm.hasDM,$F412="Remove",$H412&lt;&gt;"",OR($I412="On-site replacement",$I412="Off-site replacement",$I412="Payment In Lieu")),
Error!$B$56,
IF(AND(_xlpm.hasDM,$F412="Remove",$H412&lt;&gt;"",$I412="Relocation"),
Error!$B$66,
IF(AND(OR(_xlpm.hasCN,_xlpm.hasPH,_xlpm.hasGR),$H412&lt;&gt;"",COUNTIF(Tables!$B$132:$B$134,$H412)&gt;0,$I412="N/A (No replacement required)"),
Error!$B$62,
IF(AND(_xlpm.baseRow,$E412&lt;&gt;"",ISNA(MATCH($E412,Tables!$B$225:$B$232,0))),
Error!$B$2,
IF(AND(_xlpm.baseRow,$F412&lt;&gt;"",ISNA(MATCH($F412,Tables!$B$234:$B$235,0))),
Error!$B$24,
IF(AND(_xlpm.baseRow,_xlpm.ECA_H&gt;0,_xlpm.Shore_H&gt;0),
Error!$B$16,
IF(AND(_xlpm.baseRow,$E412&lt;&gt;"",$D412=""),
Error!$B$3,
IF(AND(_xlpm.baseRow,OR($E412="Tier 3",$E412="Tier 4"),$C412&lt;&gt;"",$D412&gt;=24,COUNTIF(Tables2!$B$166:$B$674,$C412)&gt;0),
Error!$B$44,
IF(AND(_xlpm.baseRow,OR($E412="Tier 3",$E412="Tier 4"),$C412&lt;&gt;"",$D412&lt;&gt;"",COUNTIF(Tables2!$B$73:$B$152,$C412)&gt;0,
$D412&gt;=IFERROR(INDEX(Tables2!$C$73:$C$152,MATCH($C412,Tables2!$B$73:$B$152,0)),-1)),
Error!$B$44,
IF(AND(_xlpm.baseRow,OR($E412="Tier 2",$E412="Tier 2 Grove"),$C412&lt;&gt;"",$D412&gt;=12,COUNTIF(Tables2!$B$153:$B$162,$C412)&gt;0),
Error!$B$45,
IF(AND(_xlpm.baseRow,$E412="Tier 2 Grove",$D412&lt;12),
Error!$B$41,
IF(AND(_xlpm.baseRow,$E412="Tier 2",$D412&lt;5.88),
Error!$B$40,
IF(AND(_xlpm.baseRow,OR($E412="Tier 2",$E412="Tier 2 Grove"),$C412&lt;&gt;"",$D412&lt;12,$D412&gt;=6,COUNTIF(Tables2!$B$153:$B$162,$C412)&gt;0),
Error!$B$54,
IF(AND(_xlpm.baseRow,$E412="Tier 2",COUNTIF(Tables2!$B$166:$B$674,$C412)&gt;0,$D412&lt;24),
Error!$B$54,
IF(AND(_xlpm.baseRow,$E412="Tier 3",ISNA(MATCH($C412,Tables2!$B$153:$B$162,0)),OR($D412&lt;12,$D412&gt;=24)),
Error!$B$9,
IF(AND(_xlpm.baseRow,$E412="Tier 3",COUNTIF(Tables2!$B$153:$B$162,$C412)&gt;0,$D412&lt;12),
Error!$B$46,
IF(AND(_xlpm.baseRow,$E412="Tier 4",OR($D412&lt;6,$D412&gt;=12)),
Error!$B$10,
IF(AND(_xlpm.baseRow,$E412="&lt;6in DSH for Tree Points",OR($D412&gt;=6,$D412="")),
Error!$B$8,
IF(AND(_xlpm.baseRow,$E412="Street Tree for Green Factor",$F412&lt;&gt;"",$F412&lt;&gt;"Retain"),
Error!$B$14,
IF(AND($E412="&lt;6in DSH for Tree Points",$F412="Retain",$H412&lt;&gt;"",ISNA(MATCH($H412,Tables!$B$174:$B$174,0))),
Error!$B$15,
IF(AND($E412="Street Tree for Green Factor",$F412="Retain",$H412&lt;&gt;"",$H412&lt;&gt;"Zoning: Green Factor"),
Error!$B$15,
IF(AND($E412="ECA / Shoreline Tree",$F412="Remove",$H412&lt;&gt;"",ISNA(MATCH($H412,Tables!$B$189:$B$190,0))),
Error!$B$15,
IF(AND($E412="ECA / Shoreline Tree",$F412="Retain",$H412&lt;&gt;"",ISNA(MATCH($H412,Tables!$B$184:$B$186,0))),
Error!$B$15,
IF(AND($E412="Tier 4",$F412="Remove",$H412&lt;&gt;"",ISNA(MATCH($H412,Tables!$B$171,0))),
Error!$B$15,
IF(AND($E412="Tier 4",$F412="Retain",$H412&lt;&gt;"",ISNA(MATCH($H412,Tables!$B$166:$B$168,0))),
Error!$B$15,
IF(AND($E412="Tier 3",$F412="Retain",$H412&lt;&gt;"",ISNA(MATCH($H412,Tables!$B$158:$B$160,0))),
Error!$B$15,
IF(AND($E412="Tier 3",$F412="Remove",$H412&lt;&gt;"",ISNA(MATCH($H412,Tables!$B$163,0))),
Error!$B$15,
IF(AND(OR($E412="Tier 2",$E412="Tier 2 Grove"),$F412="Remove",$H412&lt;&gt;"",ISNA(MATCH($H412,Tables!$B$153:$B$155,0))),
Error!$B$15,
IF(AND(OR($E412="Tier 2",$E412="Tier 2 Grove"),$F412="Retain",$H412&lt;&gt;"",ISNA(MATCH($H412,Tables!$B$147:$B$150,0))),
Error!$B$15,
IF(AND($E412="Tier 1",$F412="Remove",$H412&lt;&gt;"",ISNA(MATCH($H412,Tables!$B$143:$B$144,0))),
Error!$B$15,
IF(AND($E412="Tier 1",$F412="Retain",$H412&lt;&gt;"",ISNA(MATCH($H412,Tables!$B$137:$B$140,0))),
Error!$B$15,
IF(AND($E412&lt;&gt;"Tier 2",$E412&lt;&gt;"Tier 2 Grove",$E412&lt;&gt;"Tier 3",$E412&lt;&gt;"Tier 4",$H412="Zoning: Green Factor",OR($D412="",$D412&lt;6)),
Error!$B$11,
IF(AND(_xlpm.baseRow,$D412&lt;6,$E412="&lt;6in DSH for Tree Points",_xlpm.TreePoints_H=0),
Error!$B$21,
IF(AND(_xlpm.baseRow,$E412&lt;&gt;"",$D412&lt;&gt;"",$F412=""),
Error!$B$4,
IF(AND(_xlpm.baseRow,$F412="Remove",OR($E412="Tier 1",$E412="Tier 2",$E412="Tier 2 Grove"),COUNTBLANK(_xlpm.HRange)&lt;3,_xlpm.uniqueH&gt;=2),
Error!$B$48,
IF(AND(_xlpm.baseRow,$F412="Retain",OR($E412="Tier 1",$E412="Tier 2",$E412="Tier 2 Grove"),COUNTIF(_xlpm.HRange,"Tree Code: Required to Retain Tier 1-2 Tree")=0),
Error!$B$47,
IF(AND(_xlpm.baseRow,$E412&lt;&gt;"",$D412&lt;&gt;"",$F412&lt;&gt;"",COUNTBLANK(_xlpm.HRange)=4),
Error!$B$5,
IF(AND($F412="Remove",$H412&lt;&gt;"",$I412=""),
Error!$B$18,
IF(AND($E412="Tier 4",$F412="Remove",$H412="Tree Protection Code: Tier 3 or Tier 4 Allowance",$H412&lt;&gt;"",ISNA(MATCH($I412,Tables!$B$200,0))),
Error!$B$17,
IF(AND($E412="Tier 3",$F412="Remove",$H412&lt;&gt;"",$H412="Tree Protection Code: Tier 3 or Tier 4 Allowance",OR($I412="",ISNA(MATCH($I412,Tables!$B$193:$B$197,0)))),
Error!$B$17,
IF(AND(OR($E412="Tier 2",$E412="Tier 2 Grove"),$F412="Remove",$H412="Tree Protection Code: Other removal allowance or exemption",$I412&lt;&gt;"",ISNA(MATCH($I412,Tables!$B$215:$B$218,0))),
Error!$B$17,
IF(AND(OR($E412="Tier 2",$E412="Tier 2 Grove"),$F412="Remove",$H412="Tree Protection Code: Development Capacity",$I412&lt;&gt;"",ISNA(MATCH($I412,Tables!$B$193:$B$197,0))),
Error!$B$17,
IF(AND(OR($E412="Tier 2",$E412="Tier 2 Grove"),$F412="Remove",$H412="Tree Protection Code: Necessary for Construction",$I412&lt;&gt;"",ISNA(MATCH($I412,Tables!$B$193:$B$197,0))),
Error!$B$17,
IF(AND($E412="Tier 1",$F412="Remove",$H412="Tree Protection Code: Special Exception",$I412&lt;&gt;"",ISNA(MATCH($I412,Tables!$B$215:$B$218,0))),
Error!$B$17,
IF(AND($E412="Tier 1",$F412="Remove",$H412="Tree Protection Code: Other removal allowance or exemption",$I412&lt;&gt;"",ISNA(MATCH($I412,Tables!$B$215:$B$218,0))),
Error!$B$17,
IF(AND($E412="ECA / Shoreline Tree",$F412="Remove",$H412&lt;&gt;"",OR($H412="Shoreline",$H412="Environmental Critical Area (ECA)"),ISNA(MATCH($I412,Tables!$B$209:$B$212,0))),
Error!$B$17,
IF(AND(_xlpm.baseRow,$F412="Retain",$E412="ECA / Shoreline Tree",_xlpm.ECA_Short=0),
Error!$B$61,
IF(AND($F412="Remove",ISNUMBER(MATCH($E412,{"Tier 1","Tier 2","Tier 3","Tier 4","Tier 2 Grove"},0)),ISNUMBER(MATCH($I412,{"On-site replacement","Off-site replacement"},0)),$J412="",$H412&lt;&gt;""),
Error!$B$19,
IF(AND(_xlpm.baseRow,$E412&lt;&gt;"",$D412&lt;&gt;"",$F412&lt;&gt;"",COUNTBLANK($B412:$C412)&gt;0,COUNTBLANK(_xlpm.HRange)&lt;&gt;4),
Error!$B$22,
IF(AND($H412="Zoning: Tree Points",$K412&lt;&gt;"",ISNA(MATCH($K412,Tables!$B$242:$B$253,0))),
Error!$B$58,
IF(AND($H412="Zoning: Tree Points",$K412="Small",$L412&lt;&gt;"",ISNA(MATCH($L412,Tables!$C$243:$C$244,0))),
Error!$B$59,
IF(AND($H412="Zoning: Tree Points",$K412="Small/Medium",$L412&lt;&gt;"",ISNA(MATCH($L412,Tables!$C$246:$C$247,0))),
Error!$B$59,
IF(AND($H412="Zoning: Tree Points",$K412="Medium/Large",$L412&lt;&gt;"",ISNA(MATCH($L412,Tables!$C$249:$C$250,0))),
Error!$B$59,
IF(AND($H412="Zoning: Tree Points",$K412="Large",$L412&lt;&gt;"",ISNA(MATCH($L412,Tables!$C$252:$C$253,0))),
Error!$B$59,
IF(AND($F412="Retain",$H412="Zoning: Tree Points",$C412&lt;&gt;"",$D412&lt;&gt;"",OR($K412="",$L412="",$M412="")),
Error!$B$20,
""
)))))))))))))))))))))))))))))))))))))))))))))))))))))))),
Error!$B$23))</f>
        <v/>
      </c>
      <c r="O412" s="343" t="str" cm="1">
        <f t="array" aca="1" ref="O412" ca="1">IFERROR(_xlfn.LET(
    _xlpm.txt, $C412,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13" spans="1:15" x14ac:dyDescent="0.3">
      <c r="A413" s="320"/>
      <c r="B413" s="616" t="str">
        <f t="shared" si="462"/>
        <v/>
      </c>
      <c r="C413" s="617" t="str">
        <f t="shared" si="463"/>
        <v/>
      </c>
      <c r="D413" s="618" t="str">
        <f t="shared" si="464"/>
        <v/>
      </c>
      <c r="E413" s="616" t="str">
        <f t="shared" si="465"/>
        <v/>
      </c>
      <c r="F413" s="616" t="str">
        <f t="shared" si="466"/>
        <v/>
      </c>
      <c r="G413" s="619" t="str">
        <f>IF(Tree_Table1[[#This Row],[Tree Status  &amp;]]="Retain", Tables!$B$237, IF(Tree_Table1[[#This Row],[Tree Status  &amp;]]="Remove", Tables!$B$238, ""))</f>
        <v/>
      </c>
      <c r="H413" s="321"/>
      <c r="I413" s="322"/>
      <c r="J413" s="453"/>
      <c r="K413" s="323" t="str">
        <f>IFERROR(
    IF(
        AND($H413="Zoning: Tree Points", NOT(ISNUMBER(SEARCH("sp.", $C413)))),
        VLOOKUP($C413, 'Tree List'!$C$3:$F$601, 4, FALSE),
        ""
    ),
"")</f>
        <v/>
      </c>
      <c r="L413" s="324" t="str" cm="1">
        <f t="array" ref="L413">IFERROR(
IF(
    AND($H413="Zoning: Tree Points", NOT(ISNUMBER(SEARCH("sp.", $C413)))),
    _xlfn.IFS(
        (COUNTIFS('Tree List'!$C$3:$C$601,$C413,'Tree List'!$D$3:$D$601,"Coniferous")
        + COUNTIFS('Tree List'!$C$3:$C$601,$C413,'Tree List'!$D$3:$D$601,"Deciduous Conifer")) &gt; 0,
            _xlfn.IFS($K413="Small",0.5,$K413="Small/Medium",1,$K413="Medium/Large",1.4,$K413="Large",1.8),
        (COUNTIFS('Tree List'!$C$3:$C$601,$C413,'Tree List'!$D$3:$D$601,"Deciduous")
        + COUNTIFS('Tree List'!$C$3:$C$601,$C413,'Tree List'!$D$3:$D$601,"Broadleaf Evergreen")) &gt; 0,
            _xlfn.IFS($K413="Small",0.4,$K413="Small/Medium",0.8,$K413="Medium/Large",1.2,$K413="Large",1.6)
    ),
    ""
),
"")</f>
        <v/>
      </c>
      <c r="M413" s="475" t="str">
        <f t="shared" si="411"/>
        <v/>
      </c>
      <c r="N413" s="346" t="str" cm="1">
        <f t="array" aca="1" ref="N41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IF(AND(_xlpm.baseRow,ISNA(MATCH($C413,'Tree List'!$C$3:$C$601,0)),SUMPRODUCT(--ISNUMBER(SEARCH(Tables2!$C$677:$C$772,$O413)))&gt;0),
Error!$B$57,
IF(AND(_xlpm.hasDM,$F413="Remove",$H413&lt;&gt;"",OR($I413="On-site replacement",$I413="Off-site replacement",$I413="Payment In Lieu")),
Error!$B$56,
IF(AND(_xlpm.hasDM,$F413="Remove",$H413&lt;&gt;"",$I413="Relocation"),
Error!$B$66,
IF(AND(OR(_xlpm.hasCN,_xlpm.hasPH,_xlpm.hasGR),$H413&lt;&gt;"",COUNTIF(Tables!$B$132:$B$134,$H413)&gt;0,$I413="N/A (No replacement required)"),
Error!$B$62,
IF(AND(_xlpm.baseRow,$E413&lt;&gt;"",ISNA(MATCH($E413,Tables!$B$225:$B$232,0))),
Error!$B$2,
IF(AND(_xlpm.baseRow,$F413&lt;&gt;"",ISNA(MATCH($F413,Tables!$B$234:$B$235,0))),
Error!$B$24,
IF(AND(_xlpm.baseRow,_xlpm.ECA_H&gt;0,_xlpm.Shore_H&gt;0),
Error!$B$16,
IF(AND(_xlpm.baseRow,$E413&lt;&gt;"",$D413=""),
Error!$B$3,
IF(AND(_xlpm.baseRow,OR($E413="Tier 3",$E413="Tier 4"),$C413&lt;&gt;"",$D413&gt;=24,COUNTIF(Tables2!$B$166:$B$674,$C413)&gt;0),
Error!$B$44,
IF(AND(_xlpm.baseRow,OR($E413="Tier 3",$E413="Tier 4"),$C413&lt;&gt;"",$D413&lt;&gt;"",COUNTIF(Tables2!$B$73:$B$152,$C413)&gt;0,
$D413&gt;=IFERROR(INDEX(Tables2!$C$73:$C$152,MATCH($C413,Tables2!$B$73:$B$152,0)),-1)),
Error!$B$44,
IF(AND(_xlpm.baseRow,OR($E413="Tier 2",$E413="Tier 2 Grove"),$C413&lt;&gt;"",$D413&gt;=12,COUNTIF(Tables2!$B$153:$B$162,$C413)&gt;0),
Error!$B$45,
IF(AND(_xlpm.baseRow,$E413="Tier 2 Grove",$D413&lt;12),
Error!$B$41,
IF(AND(_xlpm.baseRow,$E413="Tier 2",$D413&lt;5.88),
Error!$B$40,
IF(AND(_xlpm.baseRow,OR($E413="Tier 2",$E413="Tier 2 Grove"),$C413&lt;&gt;"",$D413&lt;12,$D413&gt;=6,COUNTIF(Tables2!$B$153:$B$162,$C413)&gt;0),
Error!$B$54,
IF(AND(_xlpm.baseRow,$E413="Tier 2",COUNTIF(Tables2!$B$166:$B$674,$C413)&gt;0,$D413&lt;24),
Error!$B$54,
IF(AND(_xlpm.baseRow,$E413="Tier 3",ISNA(MATCH($C413,Tables2!$B$153:$B$162,0)),OR($D413&lt;12,$D413&gt;=24)),
Error!$B$9,
IF(AND(_xlpm.baseRow,$E413="Tier 3",COUNTIF(Tables2!$B$153:$B$162,$C413)&gt;0,$D413&lt;12),
Error!$B$46,
IF(AND(_xlpm.baseRow,$E413="Tier 4",OR($D413&lt;6,$D413&gt;=12)),
Error!$B$10,
IF(AND(_xlpm.baseRow,$E413="&lt;6in DSH for Tree Points",OR($D413&gt;=6,$D413="")),
Error!$B$8,
IF(AND(_xlpm.baseRow,$E413="Street Tree for Green Factor",$F413&lt;&gt;"",$F413&lt;&gt;"Retain"),
Error!$B$14,
IF(AND($E413="&lt;6in DSH for Tree Points",$F413="Retain",$H413&lt;&gt;"",ISNA(MATCH($H413,Tables!$B$174:$B$174,0))),
Error!$B$15,
IF(AND($E413="Street Tree for Green Factor",$F413="Retain",$H413&lt;&gt;"",$H413&lt;&gt;"Zoning: Green Factor"),
Error!$B$15,
IF(AND($E413="ECA / Shoreline Tree",$F413="Remove",$H413&lt;&gt;"",ISNA(MATCH($H413,Tables!$B$189:$B$190,0))),
Error!$B$15,
IF(AND($E413="ECA / Shoreline Tree",$F413="Retain",$H413&lt;&gt;"",ISNA(MATCH($H413,Tables!$B$184:$B$186,0))),
Error!$B$15,
IF(AND($E413="Tier 4",$F413="Remove",$H413&lt;&gt;"",ISNA(MATCH($H413,Tables!$B$171,0))),
Error!$B$15,
IF(AND($E413="Tier 4",$F413="Retain",$H413&lt;&gt;"",ISNA(MATCH($H413,Tables!$B$166:$B$168,0))),
Error!$B$15,
IF(AND($E413="Tier 3",$F413="Retain",$H413&lt;&gt;"",ISNA(MATCH($H413,Tables!$B$158:$B$160,0))),
Error!$B$15,
IF(AND($E413="Tier 3",$F413="Remove",$H413&lt;&gt;"",ISNA(MATCH($H413,Tables!$B$163,0))),
Error!$B$15,
IF(AND(OR($E413="Tier 2",$E413="Tier 2 Grove"),$F413="Remove",$H413&lt;&gt;"",ISNA(MATCH($H413,Tables!$B$153:$B$155,0))),
Error!$B$15,
IF(AND(OR($E413="Tier 2",$E413="Tier 2 Grove"),$F413="Retain",$H413&lt;&gt;"",ISNA(MATCH($H413,Tables!$B$147:$B$150,0))),
Error!$B$15,
IF(AND($E413="Tier 1",$F413="Remove",$H413&lt;&gt;"",ISNA(MATCH($H413,Tables!$B$143:$B$144,0))),
Error!$B$15,
IF(AND($E413="Tier 1",$F413="Retain",$H413&lt;&gt;"",ISNA(MATCH($H413,Tables!$B$137:$B$140,0))),
Error!$B$15,
IF(AND($E413&lt;&gt;"Tier 2",$E413&lt;&gt;"Tier 2 Grove",$E413&lt;&gt;"Tier 3",$E413&lt;&gt;"Tier 4",$H413="Zoning: Green Factor",OR($D413="",$D413&lt;6)),
Error!$B$11,
IF(AND(_xlpm.baseRow,$D413&lt;6,$E413="&lt;6in DSH for Tree Points",_xlpm.TreePoints_H=0),
Error!$B$21,
IF(AND(_xlpm.baseRow,$E413&lt;&gt;"",$D413&lt;&gt;"",$F413=""),
Error!$B$4,
IF(AND(_xlpm.baseRow,$F413="Remove",OR($E413="Tier 1",$E413="Tier 2",$E413="Tier 2 Grove"),COUNTBLANK(_xlpm.HRange)&lt;3,_xlpm.uniqueH&gt;=2),
Error!$B$48,
IF(AND(_xlpm.baseRow,$F413="Retain",OR($E413="Tier 1",$E413="Tier 2",$E413="Tier 2 Grove"),COUNTIF(_xlpm.HRange,"Tree Code: Required to Retain Tier 1-2 Tree")=0),
Error!$B$47,
IF(AND(_xlpm.baseRow,$E413&lt;&gt;"",$D413&lt;&gt;"",$F413&lt;&gt;"",COUNTBLANK(_xlpm.HRange)=4),
Error!$B$5,
IF(AND($F413="Remove",$H413&lt;&gt;"",$I413=""),
Error!$B$18,
IF(AND($E413="Tier 4",$F413="Remove",$H413="Tree Protection Code: Tier 3 or Tier 4 Allowance",$H413&lt;&gt;"",ISNA(MATCH($I413,Tables!$B$200,0))),
Error!$B$17,
IF(AND($E413="Tier 3",$F413="Remove",$H413&lt;&gt;"",$H413="Tree Protection Code: Tier 3 or Tier 4 Allowance",OR($I413="",ISNA(MATCH($I413,Tables!$B$193:$B$197,0)))),
Error!$B$17,
IF(AND(OR($E413="Tier 2",$E413="Tier 2 Grove"),$F413="Remove",$H413="Tree Protection Code: Other removal allowance or exemption",$I413&lt;&gt;"",ISNA(MATCH($I413,Tables!$B$215:$B$218,0))),
Error!$B$17,
IF(AND(OR($E413="Tier 2",$E413="Tier 2 Grove"),$F413="Remove",$H413="Tree Protection Code: Development Capacity",$I413&lt;&gt;"",ISNA(MATCH($I413,Tables!$B$193:$B$197,0))),
Error!$B$17,
IF(AND(OR($E413="Tier 2",$E413="Tier 2 Grove"),$F413="Remove",$H413="Tree Protection Code: Necessary for Construction",$I413&lt;&gt;"",ISNA(MATCH($I413,Tables!$B$193:$B$197,0))),
Error!$B$17,
IF(AND($E413="Tier 1",$F413="Remove",$H413="Tree Protection Code: Special Exception",$I413&lt;&gt;"",ISNA(MATCH($I413,Tables!$B$215:$B$218,0))),
Error!$B$17,
IF(AND($E413="Tier 1",$F413="Remove",$H413="Tree Protection Code: Other removal allowance or exemption",$I413&lt;&gt;"",ISNA(MATCH($I413,Tables!$B$215:$B$218,0))),
Error!$B$17,
IF(AND($E413="ECA / Shoreline Tree",$F413="Remove",$H413&lt;&gt;"",OR($H413="Shoreline",$H413="Environmental Critical Area (ECA)"),ISNA(MATCH($I413,Tables!$B$209:$B$212,0))),
Error!$B$17,
IF(AND(_xlpm.baseRow,$F413="Retain",$E413="ECA / Shoreline Tree",_xlpm.ECA_Short=0),
Error!$B$61,
IF(AND($F413="Remove",ISNUMBER(MATCH($E413,{"Tier 1","Tier 2","Tier 3","Tier 4","Tier 2 Grove"},0)),ISNUMBER(MATCH($I413,{"On-site replacement","Off-site replacement"},0)),$J413="",$H413&lt;&gt;""),
Error!$B$19,
IF(AND(_xlpm.baseRow,$E413&lt;&gt;"",$D413&lt;&gt;"",$F413&lt;&gt;"",COUNTBLANK($B413:$C413)&gt;0,COUNTBLANK(_xlpm.HRange)&lt;&gt;4),
Error!$B$22,
IF(AND($H413="Zoning: Tree Points",$K413&lt;&gt;"",ISNA(MATCH($K413,Tables!$B$242:$B$253,0))),
Error!$B$58,
IF(AND($H413="Zoning: Tree Points",$K413="Small",$L413&lt;&gt;"",ISNA(MATCH($L413,Tables!$C$243:$C$244,0))),
Error!$B$59,
IF(AND($H413="Zoning: Tree Points",$K413="Small/Medium",$L413&lt;&gt;"",ISNA(MATCH($L413,Tables!$C$246:$C$247,0))),
Error!$B$59,
IF(AND($H413="Zoning: Tree Points",$K413="Medium/Large",$L413&lt;&gt;"",ISNA(MATCH($L413,Tables!$C$249:$C$250,0))),
Error!$B$59,
IF(AND($H413="Zoning: Tree Points",$K413="Large",$L413&lt;&gt;"",ISNA(MATCH($L413,Tables!$C$252:$C$253,0))),
Error!$B$59,
IF(AND($F413="Retain",$H413="Zoning: Tree Points",$C413&lt;&gt;"",$D413&lt;&gt;"",OR($K413="",$L413="",$M413="")),
Error!$B$20,
""
)))))))))))))))))))))))))))))))))))))))))))))))))))))))),
Error!$B$23))</f>
        <v/>
      </c>
      <c r="O413" s="343" t="str" cm="1">
        <f t="array" aca="1" ref="O413" ca="1">IFERROR(_xlfn.LET(
    _xlpm.txt, $C413,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14" spans="1:15" ht="15" thickBot="1" x14ac:dyDescent="0.35">
      <c r="A414" s="331"/>
      <c r="B414" s="616" t="str">
        <f t="shared" si="462"/>
        <v/>
      </c>
      <c r="C414" s="617" t="str">
        <f t="shared" si="463"/>
        <v/>
      </c>
      <c r="D414" s="618" t="str">
        <f t="shared" si="464"/>
        <v/>
      </c>
      <c r="E414" s="616" t="str">
        <f t="shared" si="465"/>
        <v/>
      </c>
      <c r="F414" s="616" t="str">
        <f t="shared" si="466"/>
        <v/>
      </c>
      <c r="G414" s="619" t="str">
        <f>IF(Tree_Table1[[#This Row],[Tree Status  &amp;]]="Retain", Tables!$B$237, IF(Tree_Table1[[#This Row],[Tree Status  &amp;]]="Remove", Tables!$B$238, ""))</f>
        <v/>
      </c>
      <c r="H414" s="329"/>
      <c r="I414" s="330"/>
      <c r="J414" s="455"/>
      <c r="K414" s="327" t="str">
        <f>IFERROR(
    IF(
        AND($H414="Zoning: Tree Points", NOT(ISNUMBER(SEARCH("sp.", $C414)))),
        VLOOKUP($C414, 'Tree List'!$C$3:$F$601, 4, FALSE),
        ""
    ),
"")</f>
        <v/>
      </c>
      <c r="L414" s="328" t="str" cm="1">
        <f t="array" ref="L414">IFERROR(
IF(
    AND($H414="Zoning: Tree Points", NOT(ISNUMBER(SEARCH("sp.", $C414)))),
    _xlfn.IFS(
        (COUNTIFS('Tree List'!$C$3:$C$601,$C414,'Tree List'!$D$3:$D$601,"Coniferous")
        + COUNTIFS('Tree List'!$C$3:$C$601,$C414,'Tree List'!$D$3:$D$601,"Deciduous Conifer")) &gt; 0,
            _xlfn.IFS($K414="Small",0.5,$K414="Small/Medium",1,$K414="Medium/Large",1.4,$K414="Large",1.8),
        (COUNTIFS('Tree List'!$C$3:$C$601,$C414,'Tree List'!$D$3:$D$601,"Deciduous")
        + COUNTIFS('Tree List'!$C$3:$C$601,$C414,'Tree List'!$D$3:$D$601,"Broadleaf Evergreen")) &gt; 0,
            _xlfn.IFS($K414="Small",0.4,$K414="Small/Medium",0.8,$K414="Medium/Large",1.2,$K414="Large",1.6)
    ),
    ""
),
"")</f>
        <v/>
      </c>
      <c r="M414" s="476" t="str">
        <f t="shared" si="411"/>
        <v/>
      </c>
      <c r="N414" s="347" t="str" cm="1">
        <f t="array" aca="1" ref="N41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IF(AND(_xlpm.baseRow,ISNA(MATCH($C414,'Tree List'!$C$3:$C$601,0)),SUMPRODUCT(--ISNUMBER(SEARCH(Tables2!$C$677:$C$772,$O414)))&gt;0),
Error!$B$57,
IF(AND(_xlpm.hasDM,$F414="Remove",$H414&lt;&gt;"",OR($I414="On-site replacement",$I414="Off-site replacement",$I414="Payment In Lieu")),
Error!$B$56,
IF(AND(_xlpm.hasDM,$F414="Remove",$H414&lt;&gt;"",$I414="Relocation"),
Error!$B$66,
IF(AND(OR(_xlpm.hasCN,_xlpm.hasPH,_xlpm.hasGR),$H414&lt;&gt;"",COUNTIF(Tables!$B$132:$B$134,$H414)&gt;0,$I414="N/A (No replacement required)"),
Error!$B$62,
IF(AND(_xlpm.baseRow,$E414&lt;&gt;"",ISNA(MATCH($E414,Tables!$B$225:$B$232,0))),
Error!$B$2,
IF(AND(_xlpm.baseRow,$F414&lt;&gt;"",ISNA(MATCH($F414,Tables!$B$234:$B$235,0))),
Error!$B$24,
IF(AND(_xlpm.baseRow,_xlpm.ECA_H&gt;0,_xlpm.Shore_H&gt;0),
Error!$B$16,
IF(AND(_xlpm.baseRow,$E414&lt;&gt;"",$D414=""),
Error!$B$3,
IF(AND(_xlpm.baseRow,OR($E414="Tier 3",$E414="Tier 4"),$C414&lt;&gt;"",$D414&gt;=24,COUNTIF(Tables2!$B$166:$B$674,$C414)&gt;0),
Error!$B$44,
IF(AND(_xlpm.baseRow,OR($E414="Tier 3",$E414="Tier 4"),$C414&lt;&gt;"",$D414&lt;&gt;"",COUNTIF(Tables2!$B$73:$B$152,$C414)&gt;0,
$D414&gt;=IFERROR(INDEX(Tables2!$C$73:$C$152,MATCH($C414,Tables2!$B$73:$B$152,0)),-1)),
Error!$B$44,
IF(AND(_xlpm.baseRow,OR($E414="Tier 2",$E414="Tier 2 Grove"),$C414&lt;&gt;"",$D414&gt;=12,COUNTIF(Tables2!$B$153:$B$162,$C414)&gt;0),
Error!$B$45,
IF(AND(_xlpm.baseRow,$E414="Tier 2 Grove",$D414&lt;12),
Error!$B$41,
IF(AND(_xlpm.baseRow,$E414="Tier 2",$D414&lt;5.88),
Error!$B$40,
IF(AND(_xlpm.baseRow,OR($E414="Tier 2",$E414="Tier 2 Grove"),$C414&lt;&gt;"",$D414&lt;12,$D414&gt;=6,COUNTIF(Tables2!$B$153:$B$162,$C414)&gt;0),
Error!$B$54,
IF(AND(_xlpm.baseRow,$E414="Tier 2",COUNTIF(Tables2!$B$166:$B$674,$C414)&gt;0,$D414&lt;24),
Error!$B$54,
IF(AND(_xlpm.baseRow,$E414="Tier 3",ISNA(MATCH($C414,Tables2!$B$153:$B$162,0)),OR($D414&lt;12,$D414&gt;=24)),
Error!$B$9,
IF(AND(_xlpm.baseRow,$E414="Tier 3",COUNTIF(Tables2!$B$153:$B$162,$C414)&gt;0,$D414&lt;12),
Error!$B$46,
IF(AND(_xlpm.baseRow,$E414="Tier 4",OR($D414&lt;6,$D414&gt;=12)),
Error!$B$10,
IF(AND(_xlpm.baseRow,$E414="&lt;6in DSH for Tree Points",OR($D414&gt;=6,$D414="")),
Error!$B$8,
IF(AND(_xlpm.baseRow,$E414="Street Tree for Green Factor",$F414&lt;&gt;"",$F414&lt;&gt;"Retain"),
Error!$B$14,
IF(AND($E414="&lt;6in DSH for Tree Points",$F414="Retain",$H414&lt;&gt;"",ISNA(MATCH($H414,Tables!$B$174:$B$174,0))),
Error!$B$15,
IF(AND($E414="Street Tree for Green Factor",$F414="Retain",$H414&lt;&gt;"",$H414&lt;&gt;"Zoning: Green Factor"),
Error!$B$15,
IF(AND($E414="ECA / Shoreline Tree",$F414="Remove",$H414&lt;&gt;"",ISNA(MATCH($H414,Tables!$B$189:$B$190,0))),
Error!$B$15,
IF(AND($E414="ECA / Shoreline Tree",$F414="Retain",$H414&lt;&gt;"",ISNA(MATCH($H414,Tables!$B$184:$B$186,0))),
Error!$B$15,
IF(AND($E414="Tier 4",$F414="Remove",$H414&lt;&gt;"",ISNA(MATCH($H414,Tables!$B$171,0))),
Error!$B$15,
IF(AND($E414="Tier 4",$F414="Retain",$H414&lt;&gt;"",ISNA(MATCH($H414,Tables!$B$166:$B$168,0))),
Error!$B$15,
IF(AND($E414="Tier 3",$F414="Retain",$H414&lt;&gt;"",ISNA(MATCH($H414,Tables!$B$158:$B$160,0))),
Error!$B$15,
IF(AND($E414="Tier 3",$F414="Remove",$H414&lt;&gt;"",ISNA(MATCH($H414,Tables!$B$163,0))),
Error!$B$15,
IF(AND(OR($E414="Tier 2",$E414="Tier 2 Grove"),$F414="Remove",$H414&lt;&gt;"",ISNA(MATCH($H414,Tables!$B$153:$B$155,0))),
Error!$B$15,
IF(AND(OR($E414="Tier 2",$E414="Tier 2 Grove"),$F414="Retain",$H414&lt;&gt;"",ISNA(MATCH($H414,Tables!$B$147:$B$150,0))),
Error!$B$15,
IF(AND($E414="Tier 1",$F414="Remove",$H414&lt;&gt;"",ISNA(MATCH($H414,Tables!$B$143:$B$144,0))),
Error!$B$15,
IF(AND($E414="Tier 1",$F414="Retain",$H414&lt;&gt;"",ISNA(MATCH($H414,Tables!$B$137:$B$140,0))),
Error!$B$15,
IF(AND($E414&lt;&gt;"Tier 2",$E414&lt;&gt;"Tier 2 Grove",$E414&lt;&gt;"Tier 3",$E414&lt;&gt;"Tier 4",$H414="Zoning: Green Factor",OR($D414="",$D414&lt;6)),
Error!$B$11,
IF(AND(_xlpm.baseRow,$D414&lt;6,$E414="&lt;6in DSH for Tree Points",_xlpm.TreePoints_H=0),
Error!$B$21,
IF(AND(_xlpm.baseRow,$E414&lt;&gt;"",$D414&lt;&gt;"",$F414=""),
Error!$B$4,
IF(AND(_xlpm.baseRow,$F414="Remove",OR($E414="Tier 1",$E414="Tier 2",$E414="Tier 2 Grove"),COUNTBLANK(_xlpm.HRange)&lt;3,_xlpm.uniqueH&gt;=2),
Error!$B$48,
IF(AND(_xlpm.baseRow,$F414="Retain",OR($E414="Tier 1",$E414="Tier 2",$E414="Tier 2 Grove"),COUNTIF(_xlpm.HRange,"Tree Code: Required to Retain Tier 1-2 Tree")=0),
Error!$B$47,
IF(AND(_xlpm.baseRow,$E414&lt;&gt;"",$D414&lt;&gt;"",$F414&lt;&gt;"",COUNTBLANK(_xlpm.HRange)=4),
Error!$B$5,
IF(AND($F414="Remove",$H414&lt;&gt;"",$I414=""),
Error!$B$18,
IF(AND($E414="Tier 4",$F414="Remove",$H414="Tree Protection Code: Tier 3 or Tier 4 Allowance",$H414&lt;&gt;"",ISNA(MATCH($I414,Tables!$B$200,0))),
Error!$B$17,
IF(AND($E414="Tier 3",$F414="Remove",$H414&lt;&gt;"",$H414="Tree Protection Code: Tier 3 or Tier 4 Allowance",OR($I414="",ISNA(MATCH($I414,Tables!$B$193:$B$197,0)))),
Error!$B$17,
IF(AND(OR($E414="Tier 2",$E414="Tier 2 Grove"),$F414="Remove",$H414="Tree Protection Code: Other removal allowance or exemption",$I414&lt;&gt;"",ISNA(MATCH($I414,Tables!$B$215:$B$218,0))),
Error!$B$17,
IF(AND(OR($E414="Tier 2",$E414="Tier 2 Grove"),$F414="Remove",$H414="Tree Protection Code: Development Capacity",$I414&lt;&gt;"",ISNA(MATCH($I414,Tables!$B$193:$B$197,0))),
Error!$B$17,
IF(AND(OR($E414="Tier 2",$E414="Tier 2 Grove"),$F414="Remove",$H414="Tree Protection Code: Necessary for Construction",$I414&lt;&gt;"",ISNA(MATCH($I414,Tables!$B$193:$B$197,0))),
Error!$B$17,
IF(AND($E414="Tier 1",$F414="Remove",$H414="Tree Protection Code: Special Exception",$I414&lt;&gt;"",ISNA(MATCH($I414,Tables!$B$215:$B$218,0))),
Error!$B$17,
IF(AND($E414="Tier 1",$F414="Remove",$H414="Tree Protection Code: Other removal allowance or exemption",$I414&lt;&gt;"",ISNA(MATCH($I414,Tables!$B$215:$B$218,0))),
Error!$B$17,
IF(AND($E414="ECA / Shoreline Tree",$F414="Remove",$H414&lt;&gt;"",OR($H414="Shoreline",$H414="Environmental Critical Area (ECA)"),ISNA(MATCH($I414,Tables!$B$209:$B$212,0))),
Error!$B$17,
IF(AND(_xlpm.baseRow,$F414="Retain",$E414="ECA / Shoreline Tree",_xlpm.ECA_Short=0),
Error!$B$61,
IF(AND($F414="Remove",ISNUMBER(MATCH($E414,{"Tier 1","Tier 2","Tier 3","Tier 4","Tier 2 Grove"},0)),ISNUMBER(MATCH($I414,{"On-site replacement","Off-site replacement"},0)),$J414="",$H414&lt;&gt;""),
Error!$B$19,
IF(AND(_xlpm.baseRow,$E414&lt;&gt;"",$D414&lt;&gt;"",$F414&lt;&gt;"",COUNTBLANK($B414:$C414)&gt;0,COUNTBLANK(_xlpm.HRange)&lt;&gt;4),
Error!$B$22,
IF(AND($H414="Zoning: Tree Points",$K414&lt;&gt;"",ISNA(MATCH($K414,Tables!$B$242:$B$253,0))),
Error!$B$58,
IF(AND($H414="Zoning: Tree Points",$K414="Small",$L414&lt;&gt;"",ISNA(MATCH($L414,Tables!$C$243:$C$244,0))),
Error!$B$59,
IF(AND($H414="Zoning: Tree Points",$K414="Small/Medium",$L414&lt;&gt;"",ISNA(MATCH($L414,Tables!$C$246:$C$247,0))),
Error!$B$59,
IF(AND($H414="Zoning: Tree Points",$K414="Medium/Large",$L414&lt;&gt;"",ISNA(MATCH($L414,Tables!$C$249:$C$250,0))),
Error!$B$59,
IF(AND($H414="Zoning: Tree Points",$K414="Large",$L414&lt;&gt;"",ISNA(MATCH($L414,Tables!$C$252:$C$253,0))),
Error!$B$59,
IF(AND($F414="Retain",$H414="Zoning: Tree Points",$C414&lt;&gt;"",$D414&lt;&gt;"",OR($K414="",$L414="",$M414="")),
Error!$B$20,
""
)))))))))))))))))))))))))))))))))))))))))))))))))))))))),
Error!$B$23))</f>
        <v/>
      </c>
      <c r="O414" s="343" t="str" cm="1">
        <f t="array" aca="1" ref="O414" ca="1">IFERROR(_xlfn.LET(
    _xlpm.txt, $C414,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15" spans="1:15" ht="15" thickBot="1" x14ac:dyDescent="0.35">
      <c r="A415" s="311">
        <v>102</v>
      </c>
      <c r="B415" s="312"/>
      <c r="C415" s="313"/>
      <c r="D415" s="478"/>
      <c r="E415" s="314"/>
      <c r="F415" s="314"/>
      <c r="G415" s="315" t="str">
        <f>IF(Tree_Table1[[#This Row],[Tree Status  &amp;]]="Retain", Tables!$B$237, IF(Tree_Table1[[#This Row],[Tree Status  &amp;]]="Remove", Tables!$B$238, ""))</f>
        <v/>
      </c>
      <c r="H415" s="316"/>
      <c r="I415" s="317"/>
      <c r="J415" s="452"/>
      <c r="K415" s="318" t="str">
        <f>IFERROR(
    IF(
        AND($H415="Zoning: Tree Points", NOT(ISNUMBER(SEARCH("sp.", $C415)))),
        VLOOKUP($C415, 'Tree List'!$C$3:$F$601, 4, FALSE),
        ""
    ),
"")</f>
        <v/>
      </c>
      <c r="L415" s="319" t="str" cm="1">
        <f t="array" ref="L415">IFERROR(
IF(
    AND($H415="Zoning: Tree Points", NOT(ISNUMBER(SEARCH("sp.", $C415)))),
    _xlfn.IFS(
        (COUNTIFS('Tree List'!$C$3:$C$601,$C415,'Tree List'!$D$3:$D$601,"Coniferous")
        + COUNTIFS('Tree List'!$C$3:$C$601,$C415,'Tree List'!$D$3:$D$601,"Deciduous Conifer")) &gt; 0,
            _xlfn.IFS($K415="Small",0.5,$K415="Small/Medium",1,$K415="Medium/Large",1.4,$K415="Large",1.8),
        (COUNTIFS('Tree List'!$C$3:$C$601,$C415,'Tree List'!$D$3:$D$601,"Deciduous")
        + COUNTIFS('Tree List'!$C$3:$C$601,$C415,'Tree List'!$D$3:$D$601,"Broadleaf Evergreen")) &gt; 0,
            _xlfn.IFS($K415="Small",0.4,$K415="Small/Medium",0.8,$K415="Medium/Large",1.2,$K415="Large",1.6)
    ),
    ""
),
"")</f>
        <v/>
      </c>
      <c r="M415" s="474" t="str">
        <f t="shared" si="411"/>
        <v/>
      </c>
      <c r="N415" s="620" t="str" cm="1">
        <f t="array" aca="1" ref="N41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IF(AND(_xlpm.baseRow,ISNA(MATCH($C415,'Tree List'!$C$3:$C$601,0)),SUMPRODUCT(--ISNUMBER(SEARCH(Tables2!$C$677:$C$772,$O415)))&gt;0),
Error!$B$57,
IF(AND(_xlpm.hasDM,$F415="Remove",$H415&lt;&gt;"",OR($I415="On-site replacement",$I415="Off-site replacement",$I415="Payment In Lieu")),
Error!$B$56,
IF(AND(_xlpm.hasDM,$F415="Remove",$H415&lt;&gt;"",$I415="Relocation"),
Error!$B$66,
IF(AND(OR(_xlpm.hasCN,_xlpm.hasPH,_xlpm.hasGR),$H415&lt;&gt;"",COUNTIF(Tables!$B$132:$B$134,$H415)&gt;0,$I415="N/A (No replacement required)"),
Error!$B$62,
IF(AND(_xlpm.baseRow,$E415&lt;&gt;"",ISNA(MATCH($E415,Tables!$B$225:$B$232,0))),
Error!$B$2,
IF(AND(_xlpm.baseRow,$F415&lt;&gt;"",ISNA(MATCH($F415,Tables!$B$234:$B$235,0))),
Error!$B$24,
IF(AND(_xlpm.baseRow,_xlpm.ECA_H&gt;0,_xlpm.Shore_H&gt;0),
Error!$B$16,
IF(AND(_xlpm.baseRow,$E415&lt;&gt;"",$D415=""),
Error!$B$3,
IF(AND(_xlpm.baseRow,OR($E415="Tier 3",$E415="Tier 4"),$C415&lt;&gt;"",$D415&gt;=24,COUNTIF(Tables2!$B$166:$B$674,$C415)&gt;0),
Error!$B$44,
IF(AND(_xlpm.baseRow,OR($E415="Tier 3",$E415="Tier 4"),$C415&lt;&gt;"",$D415&lt;&gt;"",COUNTIF(Tables2!$B$73:$B$152,$C415)&gt;0,
$D415&gt;=IFERROR(INDEX(Tables2!$C$73:$C$152,MATCH($C415,Tables2!$B$73:$B$152,0)),-1)),
Error!$B$44,
IF(AND(_xlpm.baseRow,OR($E415="Tier 2",$E415="Tier 2 Grove"),$C415&lt;&gt;"",$D415&gt;=12,COUNTIF(Tables2!$B$153:$B$162,$C415)&gt;0),
Error!$B$45,
IF(AND(_xlpm.baseRow,$E415="Tier 2 Grove",$D415&lt;12),
Error!$B$41,
IF(AND(_xlpm.baseRow,$E415="Tier 2",$D415&lt;5.88),
Error!$B$40,
IF(AND(_xlpm.baseRow,OR($E415="Tier 2",$E415="Tier 2 Grove"),$C415&lt;&gt;"",$D415&lt;12,$D415&gt;=6,COUNTIF(Tables2!$B$153:$B$162,$C415)&gt;0),
Error!$B$54,
IF(AND(_xlpm.baseRow,$E415="Tier 2",COUNTIF(Tables2!$B$166:$B$674,$C415)&gt;0,$D415&lt;24),
Error!$B$54,
IF(AND(_xlpm.baseRow,$E415="Tier 3",ISNA(MATCH($C415,Tables2!$B$153:$B$162,0)),OR($D415&lt;12,$D415&gt;=24)),
Error!$B$9,
IF(AND(_xlpm.baseRow,$E415="Tier 3",COUNTIF(Tables2!$B$153:$B$162,$C415)&gt;0,$D415&lt;12),
Error!$B$46,
IF(AND(_xlpm.baseRow,$E415="Tier 4",OR($D415&lt;6,$D415&gt;=12)),
Error!$B$10,
IF(AND(_xlpm.baseRow,$E415="&lt;6in DSH for Tree Points",OR($D415&gt;=6,$D415="")),
Error!$B$8,
IF(AND(_xlpm.baseRow,$E415="Street Tree for Green Factor",$F415&lt;&gt;"",$F415&lt;&gt;"Retain"),
Error!$B$14,
IF(AND($E415="&lt;6in DSH for Tree Points",$F415="Retain",$H415&lt;&gt;"",ISNA(MATCH($H415,Tables!$B$174:$B$174,0))),
Error!$B$15,
IF(AND($E415="Street Tree for Green Factor",$F415="Retain",$H415&lt;&gt;"",$H415&lt;&gt;"Zoning: Green Factor"),
Error!$B$15,
IF(AND($E415="ECA / Shoreline Tree",$F415="Remove",$H415&lt;&gt;"",ISNA(MATCH($H415,Tables!$B$189:$B$190,0))),
Error!$B$15,
IF(AND($E415="ECA / Shoreline Tree",$F415="Retain",$H415&lt;&gt;"",ISNA(MATCH($H415,Tables!$B$184:$B$186,0))),
Error!$B$15,
IF(AND($E415="Tier 4",$F415="Remove",$H415&lt;&gt;"",ISNA(MATCH($H415,Tables!$B$171,0))),
Error!$B$15,
IF(AND($E415="Tier 4",$F415="Retain",$H415&lt;&gt;"",ISNA(MATCH($H415,Tables!$B$166:$B$168,0))),
Error!$B$15,
IF(AND($E415="Tier 3",$F415="Retain",$H415&lt;&gt;"",ISNA(MATCH($H415,Tables!$B$158:$B$160,0))),
Error!$B$15,
IF(AND($E415="Tier 3",$F415="Remove",$H415&lt;&gt;"",ISNA(MATCH($H415,Tables!$B$163,0))),
Error!$B$15,
IF(AND(OR($E415="Tier 2",$E415="Tier 2 Grove"),$F415="Remove",$H415&lt;&gt;"",ISNA(MATCH($H415,Tables!$B$153:$B$155,0))),
Error!$B$15,
IF(AND(OR($E415="Tier 2",$E415="Tier 2 Grove"),$F415="Retain",$H415&lt;&gt;"",ISNA(MATCH($H415,Tables!$B$147:$B$150,0))),
Error!$B$15,
IF(AND($E415="Tier 1",$F415="Remove",$H415&lt;&gt;"",ISNA(MATCH($H415,Tables!$B$143:$B$144,0))),
Error!$B$15,
IF(AND($E415="Tier 1",$F415="Retain",$H415&lt;&gt;"",ISNA(MATCH($H415,Tables!$B$137:$B$140,0))),
Error!$B$15,
IF(AND($E415&lt;&gt;"Tier 2",$E415&lt;&gt;"Tier 2 Grove",$E415&lt;&gt;"Tier 3",$E415&lt;&gt;"Tier 4",$H415="Zoning: Green Factor",OR($D415="",$D415&lt;6)),
Error!$B$11,
IF(AND(_xlpm.baseRow,$D415&lt;6,$E415="&lt;6in DSH for Tree Points",_xlpm.TreePoints_H=0),
Error!$B$21,
IF(AND(_xlpm.baseRow,$E415&lt;&gt;"",$D415&lt;&gt;"",$F415=""),
Error!$B$4,
IF(AND(_xlpm.baseRow,$F415="Remove",OR($E415="Tier 1",$E415="Tier 2",$E415="Tier 2 Grove"),COUNTBLANK(_xlpm.HRange)&lt;3,_xlpm.uniqueH&gt;=2),
Error!$B$48,
IF(AND(_xlpm.baseRow,$F415="Retain",OR($E415="Tier 1",$E415="Tier 2",$E415="Tier 2 Grove"),COUNTIF(_xlpm.HRange,"Tree Code: Required to Retain Tier 1-2 Tree")=0),
Error!$B$47,
IF(AND(_xlpm.baseRow,$E415&lt;&gt;"",$D415&lt;&gt;"",$F415&lt;&gt;"",COUNTBLANK(_xlpm.HRange)=4),
Error!$B$5,
IF(AND($F415="Remove",$H415&lt;&gt;"",$I415=""),
Error!$B$18,
IF(AND($E415="Tier 4",$F415="Remove",$H415="Tree Protection Code: Tier 3 or Tier 4 Allowance",$H415&lt;&gt;"",ISNA(MATCH($I415,Tables!$B$200,0))),
Error!$B$17,
IF(AND($E415="Tier 3",$F415="Remove",$H415&lt;&gt;"",$H415="Tree Protection Code: Tier 3 or Tier 4 Allowance",OR($I415="",ISNA(MATCH($I415,Tables!$B$193:$B$197,0)))),
Error!$B$17,
IF(AND(OR($E415="Tier 2",$E415="Tier 2 Grove"),$F415="Remove",$H415="Tree Protection Code: Other removal allowance or exemption",$I415&lt;&gt;"",ISNA(MATCH($I415,Tables!$B$215:$B$218,0))),
Error!$B$17,
IF(AND(OR($E415="Tier 2",$E415="Tier 2 Grove"),$F415="Remove",$H415="Tree Protection Code: Development Capacity",$I415&lt;&gt;"",ISNA(MATCH($I415,Tables!$B$193:$B$197,0))),
Error!$B$17,
IF(AND(OR($E415="Tier 2",$E415="Tier 2 Grove"),$F415="Remove",$H415="Tree Protection Code: Necessary for Construction",$I415&lt;&gt;"",ISNA(MATCH($I415,Tables!$B$193:$B$197,0))),
Error!$B$17,
IF(AND($E415="Tier 1",$F415="Remove",$H415="Tree Protection Code: Special Exception",$I415&lt;&gt;"",ISNA(MATCH($I415,Tables!$B$215:$B$218,0))),
Error!$B$17,
IF(AND($E415="Tier 1",$F415="Remove",$H415="Tree Protection Code: Other removal allowance or exemption",$I415&lt;&gt;"",ISNA(MATCH($I415,Tables!$B$215:$B$218,0))),
Error!$B$17,
IF(AND($E415="ECA / Shoreline Tree",$F415="Remove",$H415&lt;&gt;"",OR($H415="Shoreline",$H415="Environmental Critical Area (ECA)"),ISNA(MATCH($I415,Tables!$B$209:$B$212,0))),
Error!$B$17,
IF(AND(_xlpm.baseRow,$F415="Retain",$E415="ECA / Shoreline Tree",_xlpm.ECA_Short=0),
Error!$B$61,
IF(AND($F415="Remove",ISNUMBER(MATCH($E415,{"Tier 1","Tier 2","Tier 3","Tier 4","Tier 2 Grove"},0)),ISNUMBER(MATCH($I415,{"On-site replacement","Off-site replacement"},0)),$J415="",$H415&lt;&gt;""),
Error!$B$19,
IF(AND(_xlpm.baseRow,$E415&lt;&gt;"",$D415&lt;&gt;"",$F415&lt;&gt;"",COUNTBLANK($B415:$C415)&gt;0,COUNTBLANK(_xlpm.HRange)&lt;&gt;4),
Error!$B$22,
IF(AND($H415="Zoning: Tree Points",$K415&lt;&gt;"",ISNA(MATCH($K415,Tables!$B$242:$B$253,0))),
Error!$B$58,
IF(AND($H415="Zoning: Tree Points",$K415="Small",$L415&lt;&gt;"",ISNA(MATCH($L415,Tables!$C$243:$C$244,0))),
Error!$B$59,
IF(AND($H415="Zoning: Tree Points",$K415="Small/Medium",$L415&lt;&gt;"",ISNA(MATCH($L415,Tables!$C$246:$C$247,0))),
Error!$B$59,
IF(AND($H415="Zoning: Tree Points",$K415="Medium/Large",$L415&lt;&gt;"",ISNA(MATCH($L415,Tables!$C$249:$C$250,0))),
Error!$B$59,
IF(AND($H415="Zoning: Tree Points",$K415="Large",$L415&lt;&gt;"",ISNA(MATCH($L415,Tables!$C$252:$C$253,0))),
Error!$B$59,
IF(AND($F415="Retain",$H415="Zoning: Tree Points",$C415&lt;&gt;"",$D415&lt;&gt;"",OR($K415="",$L415="",$M415="")),
Error!$B$20,
""
)))))))))))))))))))))))))))))))))))))))))))))))))))))))),
Error!$B$23))</f>
        <v/>
      </c>
      <c r="O415" s="343" t="str" cm="1">
        <f t="array" aca="1" ref="O415" ca="1">IFERROR(_xlfn.LET(
    _xlpm.txt, $C415,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16" spans="1:15" x14ac:dyDescent="0.3">
      <c r="A416" s="320"/>
      <c r="B416" s="616" t="str">
        <f t="shared" ref="B416:B418" si="467">IF($B415="", "", $B415)</f>
        <v/>
      </c>
      <c r="C416" s="617" t="str">
        <f t="shared" ref="C416:C418" si="468">IF($C415="", "", $C415)</f>
        <v/>
      </c>
      <c r="D416" s="618" t="str">
        <f t="shared" ref="D416:D418" si="469">IF($D415="", "", $D415)</f>
        <v/>
      </c>
      <c r="E416" s="616" t="str">
        <f t="shared" ref="E416:E418" si="470">IF($E415="", "", $E415)</f>
        <v/>
      </c>
      <c r="F416" s="616" t="str">
        <f t="shared" ref="F416:F418" si="471">IF($F415="", "", $F415)</f>
        <v/>
      </c>
      <c r="G416" s="619" t="str">
        <f>IF(Tree_Table1[[#This Row],[Tree Status  &amp;]]="Retain", Tables!$B$237, IF(Tree_Table1[[#This Row],[Tree Status  &amp;]]="Remove", Tables!$B$238, ""))</f>
        <v/>
      </c>
      <c r="H416" s="321"/>
      <c r="I416" s="322"/>
      <c r="J416" s="453"/>
      <c r="K416" s="323" t="str">
        <f>IFERROR(
    IF(
        AND($H416="Zoning: Tree Points", NOT(ISNUMBER(SEARCH("sp.", $C416)))),
        VLOOKUP($C416, 'Tree List'!$C$3:$F$601, 4, FALSE),
        ""
    ),
"")</f>
        <v/>
      </c>
      <c r="L416" s="324" t="str" cm="1">
        <f t="array" ref="L416">IFERROR(
IF(
    AND($H416="Zoning: Tree Points", NOT(ISNUMBER(SEARCH("sp.", $C416)))),
    _xlfn.IFS(
        (COUNTIFS('Tree List'!$C$3:$C$601,$C416,'Tree List'!$D$3:$D$601,"Coniferous")
        + COUNTIFS('Tree List'!$C$3:$C$601,$C416,'Tree List'!$D$3:$D$601,"Deciduous Conifer")) &gt; 0,
            _xlfn.IFS($K416="Small",0.5,$K416="Small/Medium",1,$K416="Medium/Large",1.4,$K416="Large",1.8),
        (COUNTIFS('Tree List'!$C$3:$C$601,$C416,'Tree List'!$D$3:$D$601,"Deciduous")
        + COUNTIFS('Tree List'!$C$3:$C$601,$C416,'Tree List'!$D$3:$D$601,"Broadleaf Evergreen")) &gt; 0,
            _xlfn.IFS($K416="Small",0.4,$K416="Small/Medium",0.8,$K416="Medium/Large",1.2,$K416="Large",1.6)
    ),
    ""
),
"")</f>
        <v/>
      </c>
      <c r="M416" s="475" t="str">
        <f t="shared" si="411"/>
        <v/>
      </c>
      <c r="N416" s="346" t="str" cm="1">
        <f t="array" aca="1" ref="N41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IF(AND(_xlpm.baseRow,ISNA(MATCH($C416,'Tree List'!$C$3:$C$601,0)),SUMPRODUCT(--ISNUMBER(SEARCH(Tables2!$C$677:$C$772,$O416)))&gt;0),
Error!$B$57,
IF(AND(_xlpm.hasDM,$F416="Remove",$H416&lt;&gt;"",OR($I416="On-site replacement",$I416="Off-site replacement",$I416="Payment In Lieu")),
Error!$B$56,
IF(AND(_xlpm.hasDM,$F416="Remove",$H416&lt;&gt;"",$I416="Relocation"),
Error!$B$66,
IF(AND(OR(_xlpm.hasCN,_xlpm.hasPH,_xlpm.hasGR),$H416&lt;&gt;"",COUNTIF(Tables!$B$132:$B$134,$H416)&gt;0,$I416="N/A (No replacement required)"),
Error!$B$62,
IF(AND(_xlpm.baseRow,$E416&lt;&gt;"",ISNA(MATCH($E416,Tables!$B$225:$B$232,0))),
Error!$B$2,
IF(AND(_xlpm.baseRow,$F416&lt;&gt;"",ISNA(MATCH($F416,Tables!$B$234:$B$235,0))),
Error!$B$24,
IF(AND(_xlpm.baseRow,_xlpm.ECA_H&gt;0,_xlpm.Shore_H&gt;0),
Error!$B$16,
IF(AND(_xlpm.baseRow,$E416&lt;&gt;"",$D416=""),
Error!$B$3,
IF(AND(_xlpm.baseRow,OR($E416="Tier 3",$E416="Tier 4"),$C416&lt;&gt;"",$D416&gt;=24,COUNTIF(Tables2!$B$166:$B$674,$C416)&gt;0),
Error!$B$44,
IF(AND(_xlpm.baseRow,OR($E416="Tier 3",$E416="Tier 4"),$C416&lt;&gt;"",$D416&lt;&gt;"",COUNTIF(Tables2!$B$73:$B$152,$C416)&gt;0,
$D416&gt;=IFERROR(INDEX(Tables2!$C$73:$C$152,MATCH($C416,Tables2!$B$73:$B$152,0)),-1)),
Error!$B$44,
IF(AND(_xlpm.baseRow,OR($E416="Tier 2",$E416="Tier 2 Grove"),$C416&lt;&gt;"",$D416&gt;=12,COUNTIF(Tables2!$B$153:$B$162,$C416)&gt;0),
Error!$B$45,
IF(AND(_xlpm.baseRow,$E416="Tier 2 Grove",$D416&lt;12),
Error!$B$41,
IF(AND(_xlpm.baseRow,$E416="Tier 2",$D416&lt;5.88),
Error!$B$40,
IF(AND(_xlpm.baseRow,OR($E416="Tier 2",$E416="Tier 2 Grove"),$C416&lt;&gt;"",$D416&lt;12,$D416&gt;=6,COUNTIF(Tables2!$B$153:$B$162,$C416)&gt;0),
Error!$B$54,
IF(AND(_xlpm.baseRow,$E416="Tier 2",COUNTIF(Tables2!$B$166:$B$674,$C416)&gt;0,$D416&lt;24),
Error!$B$54,
IF(AND(_xlpm.baseRow,$E416="Tier 3",ISNA(MATCH($C416,Tables2!$B$153:$B$162,0)),OR($D416&lt;12,$D416&gt;=24)),
Error!$B$9,
IF(AND(_xlpm.baseRow,$E416="Tier 3",COUNTIF(Tables2!$B$153:$B$162,$C416)&gt;0,$D416&lt;12),
Error!$B$46,
IF(AND(_xlpm.baseRow,$E416="Tier 4",OR($D416&lt;6,$D416&gt;=12)),
Error!$B$10,
IF(AND(_xlpm.baseRow,$E416="&lt;6in DSH for Tree Points",OR($D416&gt;=6,$D416="")),
Error!$B$8,
IF(AND(_xlpm.baseRow,$E416="Street Tree for Green Factor",$F416&lt;&gt;"",$F416&lt;&gt;"Retain"),
Error!$B$14,
IF(AND($E416="&lt;6in DSH for Tree Points",$F416="Retain",$H416&lt;&gt;"",ISNA(MATCH($H416,Tables!$B$174:$B$174,0))),
Error!$B$15,
IF(AND($E416="Street Tree for Green Factor",$F416="Retain",$H416&lt;&gt;"",$H416&lt;&gt;"Zoning: Green Factor"),
Error!$B$15,
IF(AND($E416="ECA / Shoreline Tree",$F416="Remove",$H416&lt;&gt;"",ISNA(MATCH($H416,Tables!$B$189:$B$190,0))),
Error!$B$15,
IF(AND($E416="ECA / Shoreline Tree",$F416="Retain",$H416&lt;&gt;"",ISNA(MATCH($H416,Tables!$B$184:$B$186,0))),
Error!$B$15,
IF(AND($E416="Tier 4",$F416="Remove",$H416&lt;&gt;"",ISNA(MATCH($H416,Tables!$B$171,0))),
Error!$B$15,
IF(AND($E416="Tier 4",$F416="Retain",$H416&lt;&gt;"",ISNA(MATCH($H416,Tables!$B$166:$B$168,0))),
Error!$B$15,
IF(AND($E416="Tier 3",$F416="Retain",$H416&lt;&gt;"",ISNA(MATCH($H416,Tables!$B$158:$B$160,0))),
Error!$B$15,
IF(AND($E416="Tier 3",$F416="Remove",$H416&lt;&gt;"",ISNA(MATCH($H416,Tables!$B$163,0))),
Error!$B$15,
IF(AND(OR($E416="Tier 2",$E416="Tier 2 Grove"),$F416="Remove",$H416&lt;&gt;"",ISNA(MATCH($H416,Tables!$B$153:$B$155,0))),
Error!$B$15,
IF(AND(OR($E416="Tier 2",$E416="Tier 2 Grove"),$F416="Retain",$H416&lt;&gt;"",ISNA(MATCH($H416,Tables!$B$147:$B$150,0))),
Error!$B$15,
IF(AND($E416="Tier 1",$F416="Remove",$H416&lt;&gt;"",ISNA(MATCH($H416,Tables!$B$143:$B$144,0))),
Error!$B$15,
IF(AND($E416="Tier 1",$F416="Retain",$H416&lt;&gt;"",ISNA(MATCH($H416,Tables!$B$137:$B$140,0))),
Error!$B$15,
IF(AND($E416&lt;&gt;"Tier 2",$E416&lt;&gt;"Tier 2 Grove",$E416&lt;&gt;"Tier 3",$E416&lt;&gt;"Tier 4",$H416="Zoning: Green Factor",OR($D416="",$D416&lt;6)),
Error!$B$11,
IF(AND(_xlpm.baseRow,$D416&lt;6,$E416="&lt;6in DSH for Tree Points",_xlpm.TreePoints_H=0),
Error!$B$21,
IF(AND(_xlpm.baseRow,$E416&lt;&gt;"",$D416&lt;&gt;"",$F416=""),
Error!$B$4,
IF(AND(_xlpm.baseRow,$F416="Remove",OR($E416="Tier 1",$E416="Tier 2",$E416="Tier 2 Grove"),COUNTBLANK(_xlpm.HRange)&lt;3,_xlpm.uniqueH&gt;=2),
Error!$B$48,
IF(AND(_xlpm.baseRow,$F416="Retain",OR($E416="Tier 1",$E416="Tier 2",$E416="Tier 2 Grove"),COUNTIF(_xlpm.HRange,"Tree Code: Required to Retain Tier 1-2 Tree")=0),
Error!$B$47,
IF(AND(_xlpm.baseRow,$E416&lt;&gt;"",$D416&lt;&gt;"",$F416&lt;&gt;"",COUNTBLANK(_xlpm.HRange)=4),
Error!$B$5,
IF(AND($F416="Remove",$H416&lt;&gt;"",$I416=""),
Error!$B$18,
IF(AND($E416="Tier 4",$F416="Remove",$H416="Tree Protection Code: Tier 3 or Tier 4 Allowance",$H416&lt;&gt;"",ISNA(MATCH($I416,Tables!$B$200,0))),
Error!$B$17,
IF(AND($E416="Tier 3",$F416="Remove",$H416&lt;&gt;"",$H416="Tree Protection Code: Tier 3 or Tier 4 Allowance",OR($I416="",ISNA(MATCH($I416,Tables!$B$193:$B$197,0)))),
Error!$B$17,
IF(AND(OR($E416="Tier 2",$E416="Tier 2 Grove"),$F416="Remove",$H416="Tree Protection Code: Other removal allowance or exemption",$I416&lt;&gt;"",ISNA(MATCH($I416,Tables!$B$215:$B$218,0))),
Error!$B$17,
IF(AND(OR($E416="Tier 2",$E416="Tier 2 Grove"),$F416="Remove",$H416="Tree Protection Code: Development Capacity",$I416&lt;&gt;"",ISNA(MATCH($I416,Tables!$B$193:$B$197,0))),
Error!$B$17,
IF(AND(OR($E416="Tier 2",$E416="Tier 2 Grove"),$F416="Remove",$H416="Tree Protection Code: Necessary for Construction",$I416&lt;&gt;"",ISNA(MATCH($I416,Tables!$B$193:$B$197,0))),
Error!$B$17,
IF(AND($E416="Tier 1",$F416="Remove",$H416="Tree Protection Code: Special Exception",$I416&lt;&gt;"",ISNA(MATCH($I416,Tables!$B$215:$B$218,0))),
Error!$B$17,
IF(AND($E416="Tier 1",$F416="Remove",$H416="Tree Protection Code: Other removal allowance or exemption",$I416&lt;&gt;"",ISNA(MATCH($I416,Tables!$B$215:$B$218,0))),
Error!$B$17,
IF(AND($E416="ECA / Shoreline Tree",$F416="Remove",$H416&lt;&gt;"",OR($H416="Shoreline",$H416="Environmental Critical Area (ECA)"),ISNA(MATCH($I416,Tables!$B$209:$B$212,0))),
Error!$B$17,
IF(AND(_xlpm.baseRow,$F416="Retain",$E416="ECA / Shoreline Tree",_xlpm.ECA_Short=0),
Error!$B$61,
IF(AND($F416="Remove",ISNUMBER(MATCH($E416,{"Tier 1","Tier 2","Tier 3","Tier 4","Tier 2 Grove"},0)),ISNUMBER(MATCH($I416,{"On-site replacement","Off-site replacement"},0)),$J416="",$H416&lt;&gt;""),
Error!$B$19,
IF(AND(_xlpm.baseRow,$E416&lt;&gt;"",$D416&lt;&gt;"",$F416&lt;&gt;"",COUNTBLANK($B416:$C416)&gt;0,COUNTBLANK(_xlpm.HRange)&lt;&gt;4),
Error!$B$22,
IF(AND($H416="Zoning: Tree Points",$K416&lt;&gt;"",ISNA(MATCH($K416,Tables!$B$242:$B$253,0))),
Error!$B$58,
IF(AND($H416="Zoning: Tree Points",$K416="Small",$L416&lt;&gt;"",ISNA(MATCH($L416,Tables!$C$243:$C$244,0))),
Error!$B$59,
IF(AND($H416="Zoning: Tree Points",$K416="Small/Medium",$L416&lt;&gt;"",ISNA(MATCH($L416,Tables!$C$246:$C$247,0))),
Error!$B$59,
IF(AND($H416="Zoning: Tree Points",$K416="Medium/Large",$L416&lt;&gt;"",ISNA(MATCH($L416,Tables!$C$249:$C$250,0))),
Error!$B$59,
IF(AND($H416="Zoning: Tree Points",$K416="Large",$L416&lt;&gt;"",ISNA(MATCH($L416,Tables!$C$252:$C$253,0))),
Error!$B$59,
IF(AND($F416="Retain",$H416="Zoning: Tree Points",$C416&lt;&gt;"",$D416&lt;&gt;"",OR($K416="",$L416="",$M416="")),
Error!$B$20,
""
)))))))))))))))))))))))))))))))))))))))))))))))))))))))),
Error!$B$23))</f>
        <v/>
      </c>
      <c r="O416" s="343" t="str" cm="1">
        <f t="array" aca="1" ref="O416" ca="1">IFERROR(_xlfn.LET(
    _xlpm.txt, $C416,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17" spans="1:15" x14ac:dyDescent="0.3">
      <c r="A417" s="320"/>
      <c r="B417" s="616" t="str">
        <f t="shared" si="467"/>
        <v/>
      </c>
      <c r="C417" s="617" t="str">
        <f t="shared" si="468"/>
        <v/>
      </c>
      <c r="D417" s="618" t="str">
        <f t="shared" si="469"/>
        <v/>
      </c>
      <c r="E417" s="616" t="str">
        <f t="shared" si="470"/>
        <v/>
      </c>
      <c r="F417" s="616" t="str">
        <f t="shared" si="471"/>
        <v/>
      </c>
      <c r="G417" s="619" t="str">
        <f>IF(Tree_Table1[[#This Row],[Tree Status  &amp;]]="Retain", Tables!$B$237, IF(Tree_Table1[[#This Row],[Tree Status  &amp;]]="Remove", Tables!$B$238, ""))</f>
        <v/>
      </c>
      <c r="H417" s="321"/>
      <c r="I417" s="322"/>
      <c r="J417" s="453"/>
      <c r="K417" s="323" t="str">
        <f>IFERROR(
    IF(
        AND($H417="Zoning: Tree Points", NOT(ISNUMBER(SEARCH("sp.", $C417)))),
        VLOOKUP($C417, 'Tree List'!$C$3:$F$601, 4, FALSE),
        ""
    ),
"")</f>
        <v/>
      </c>
      <c r="L417" s="324" t="str" cm="1">
        <f t="array" ref="L417">IFERROR(
IF(
    AND($H417="Zoning: Tree Points", NOT(ISNUMBER(SEARCH("sp.", $C417)))),
    _xlfn.IFS(
        (COUNTIFS('Tree List'!$C$3:$C$601,$C417,'Tree List'!$D$3:$D$601,"Coniferous")
        + COUNTIFS('Tree List'!$C$3:$C$601,$C417,'Tree List'!$D$3:$D$601,"Deciduous Conifer")) &gt; 0,
            _xlfn.IFS($K417="Small",0.5,$K417="Small/Medium",1,$K417="Medium/Large",1.4,$K417="Large",1.8),
        (COUNTIFS('Tree List'!$C$3:$C$601,$C417,'Tree List'!$D$3:$D$601,"Deciduous")
        + COUNTIFS('Tree List'!$C$3:$C$601,$C417,'Tree List'!$D$3:$D$601,"Broadleaf Evergreen")) &gt; 0,
            _xlfn.IFS($K417="Small",0.4,$K417="Small/Medium",0.8,$K417="Medium/Large",1.2,$K417="Large",1.6)
    ),
    ""
),
"")</f>
        <v/>
      </c>
      <c r="M417" s="475" t="str">
        <f t="shared" si="411"/>
        <v/>
      </c>
      <c r="N417" s="346" t="str" cm="1">
        <f t="array" aca="1" ref="N41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IF(AND(_xlpm.baseRow,ISNA(MATCH($C417,'Tree List'!$C$3:$C$601,0)),SUMPRODUCT(--ISNUMBER(SEARCH(Tables2!$C$677:$C$772,$O417)))&gt;0),
Error!$B$57,
IF(AND(_xlpm.hasDM,$F417="Remove",$H417&lt;&gt;"",OR($I417="On-site replacement",$I417="Off-site replacement",$I417="Payment In Lieu")),
Error!$B$56,
IF(AND(_xlpm.hasDM,$F417="Remove",$H417&lt;&gt;"",$I417="Relocation"),
Error!$B$66,
IF(AND(OR(_xlpm.hasCN,_xlpm.hasPH,_xlpm.hasGR),$H417&lt;&gt;"",COUNTIF(Tables!$B$132:$B$134,$H417)&gt;0,$I417="N/A (No replacement required)"),
Error!$B$62,
IF(AND(_xlpm.baseRow,$E417&lt;&gt;"",ISNA(MATCH($E417,Tables!$B$225:$B$232,0))),
Error!$B$2,
IF(AND(_xlpm.baseRow,$F417&lt;&gt;"",ISNA(MATCH($F417,Tables!$B$234:$B$235,0))),
Error!$B$24,
IF(AND(_xlpm.baseRow,_xlpm.ECA_H&gt;0,_xlpm.Shore_H&gt;0),
Error!$B$16,
IF(AND(_xlpm.baseRow,$E417&lt;&gt;"",$D417=""),
Error!$B$3,
IF(AND(_xlpm.baseRow,OR($E417="Tier 3",$E417="Tier 4"),$C417&lt;&gt;"",$D417&gt;=24,COUNTIF(Tables2!$B$166:$B$674,$C417)&gt;0),
Error!$B$44,
IF(AND(_xlpm.baseRow,OR($E417="Tier 3",$E417="Tier 4"),$C417&lt;&gt;"",$D417&lt;&gt;"",COUNTIF(Tables2!$B$73:$B$152,$C417)&gt;0,
$D417&gt;=IFERROR(INDEX(Tables2!$C$73:$C$152,MATCH($C417,Tables2!$B$73:$B$152,0)),-1)),
Error!$B$44,
IF(AND(_xlpm.baseRow,OR($E417="Tier 2",$E417="Tier 2 Grove"),$C417&lt;&gt;"",$D417&gt;=12,COUNTIF(Tables2!$B$153:$B$162,$C417)&gt;0),
Error!$B$45,
IF(AND(_xlpm.baseRow,$E417="Tier 2 Grove",$D417&lt;12),
Error!$B$41,
IF(AND(_xlpm.baseRow,$E417="Tier 2",$D417&lt;5.88),
Error!$B$40,
IF(AND(_xlpm.baseRow,OR($E417="Tier 2",$E417="Tier 2 Grove"),$C417&lt;&gt;"",$D417&lt;12,$D417&gt;=6,COUNTIF(Tables2!$B$153:$B$162,$C417)&gt;0),
Error!$B$54,
IF(AND(_xlpm.baseRow,$E417="Tier 2",COUNTIF(Tables2!$B$166:$B$674,$C417)&gt;0,$D417&lt;24),
Error!$B$54,
IF(AND(_xlpm.baseRow,$E417="Tier 3",ISNA(MATCH($C417,Tables2!$B$153:$B$162,0)),OR($D417&lt;12,$D417&gt;=24)),
Error!$B$9,
IF(AND(_xlpm.baseRow,$E417="Tier 3",COUNTIF(Tables2!$B$153:$B$162,$C417)&gt;0,$D417&lt;12),
Error!$B$46,
IF(AND(_xlpm.baseRow,$E417="Tier 4",OR($D417&lt;6,$D417&gt;=12)),
Error!$B$10,
IF(AND(_xlpm.baseRow,$E417="&lt;6in DSH for Tree Points",OR($D417&gt;=6,$D417="")),
Error!$B$8,
IF(AND(_xlpm.baseRow,$E417="Street Tree for Green Factor",$F417&lt;&gt;"",$F417&lt;&gt;"Retain"),
Error!$B$14,
IF(AND($E417="&lt;6in DSH for Tree Points",$F417="Retain",$H417&lt;&gt;"",ISNA(MATCH($H417,Tables!$B$174:$B$174,0))),
Error!$B$15,
IF(AND($E417="Street Tree for Green Factor",$F417="Retain",$H417&lt;&gt;"",$H417&lt;&gt;"Zoning: Green Factor"),
Error!$B$15,
IF(AND($E417="ECA / Shoreline Tree",$F417="Remove",$H417&lt;&gt;"",ISNA(MATCH($H417,Tables!$B$189:$B$190,0))),
Error!$B$15,
IF(AND($E417="ECA / Shoreline Tree",$F417="Retain",$H417&lt;&gt;"",ISNA(MATCH($H417,Tables!$B$184:$B$186,0))),
Error!$B$15,
IF(AND($E417="Tier 4",$F417="Remove",$H417&lt;&gt;"",ISNA(MATCH($H417,Tables!$B$171,0))),
Error!$B$15,
IF(AND($E417="Tier 4",$F417="Retain",$H417&lt;&gt;"",ISNA(MATCH($H417,Tables!$B$166:$B$168,0))),
Error!$B$15,
IF(AND($E417="Tier 3",$F417="Retain",$H417&lt;&gt;"",ISNA(MATCH($H417,Tables!$B$158:$B$160,0))),
Error!$B$15,
IF(AND($E417="Tier 3",$F417="Remove",$H417&lt;&gt;"",ISNA(MATCH($H417,Tables!$B$163,0))),
Error!$B$15,
IF(AND(OR($E417="Tier 2",$E417="Tier 2 Grove"),$F417="Remove",$H417&lt;&gt;"",ISNA(MATCH($H417,Tables!$B$153:$B$155,0))),
Error!$B$15,
IF(AND(OR($E417="Tier 2",$E417="Tier 2 Grove"),$F417="Retain",$H417&lt;&gt;"",ISNA(MATCH($H417,Tables!$B$147:$B$150,0))),
Error!$B$15,
IF(AND($E417="Tier 1",$F417="Remove",$H417&lt;&gt;"",ISNA(MATCH($H417,Tables!$B$143:$B$144,0))),
Error!$B$15,
IF(AND($E417="Tier 1",$F417="Retain",$H417&lt;&gt;"",ISNA(MATCH($H417,Tables!$B$137:$B$140,0))),
Error!$B$15,
IF(AND($E417&lt;&gt;"Tier 2",$E417&lt;&gt;"Tier 2 Grove",$E417&lt;&gt;"Tier 3",$E417&lt;&gt;"Tier 4",$H417="Zoning: Green Factor",OR($D417="",$D417&lt;6)),
Error!$B$11,
IF(AND(_xlpm.baseRow,$D417&lt;6,$E417="&lt;6in DSH for Tree Points",_xlpm.TreePoints_H=0),
Error!$B$21,
IF(AND(_xlpm.baseRow,$E417&lt;&gt;"",$D417&lt;&gt;"",$F417=""),
Error!$B$4,
IF(AND(_xlpm.baseRow,$F417="Remove",OR($E417="Tier 1",$E417="Tier 2",$E417="Tier 2 Grove"),COUNTBLANK(_xlpm.HRange)&lt;3,_xlpm.uniqueH&gt;=2),
Error!$B$48,
IF(AND(_xlpm.baseRow,$F417="Retain",OR($E417="Tier 1",$E417="Tier 2",$E417="Tier 2 Grove"),COUNTIF(_xlpm.HRange,"Tree Code: Required to Retain Tier 1-2 Tree")=0),
Error!$B$47,
IF(AND(_xlpm.baseRow,$E417&lt;&gt;"",$D417&lt;&gt;"",$F417&lt;&gt;"",COUNTBLANK(_xlpm.HRange)=4),
Error!$B$5,
IF(AND($F417="Remove",$H417&lt;&gt;"",$I417=""),
Error!$B$18,
IF(AND($E417="Tier 4",$F417="Remove",$H417="Tree Protection Code: Tier 3 or Tier 4 Allowance",$H417&lt;&gt;"",ISNA(MATCH($I417,Tables!$B$200,0))),
Error!$B$17,
IF(AND($E417="Tier 3",$F417="Remove",$H417&lt;&gt;"",$H417="Tree Protection Code: Tier 3 or Tier 4 Allowance",OR($I417="",ISNA(MATCH($I417,Tables!$B$193:$B$197,0)))),
Error!$B$17,
IF(AND(OR($E417="Tier 2",$E417="Tier 2 Grove"),$F417="Remove",$H417="Tree Protection Code: Other removal allowance or exemption",$I417&lt;&gt;"",ISNA(MATCH($I417,Tables!$B$215:$B$218,0))),
Error!$B$17,
IF(AND(OR($E417="Tier 2",$E417="Tier 2 Grove"),$F417="Remove",$H417="Tree Protection Code: Development Capacity",$I417&lt;&gt;"",ISNA(MATCH($I417,Tables!$B$193:$B$197,0))),
Error!$B$17,
IF(AND(OR($E417="Tier 2",$E417="Tier 2 Grove"),$F417="Remove",$H417="Tree Protection Code: Necessary for Construction",$I417&lt;&gt;"",ISNA(MATCH($I417,Tables!$B$193:$B$197,0))),
Error!$B$17,
IF(AND($E417="Tier 1",$F417="Remove",$H417="Tree Protection Code: Special Exception",$I417&lt;&gt;"",ISNA(MATCH($I417,Tables!$B$215:$B$218,0))),
Error!$B$17,
IF(AND($E417="Tier 1",$F417="Remove",$H417="Tree Protection Code: Other removal allowance or exemption",$I417&lt;&gt;"",ISNA(MATCH($I417,Tables!$B$215:$B$218,0))),
Error!$B$17,
IF(AND($E417="ECA / Shoreline Tree",$F417="Remove",$H417&lt;&gt;"",OR($H417="Shoreline",$H417="Environmental Critical Area (ECA)"),ISNA(MATCH($I417,Tables!$B$209:$B$212,0))),
Error!$B$17,
IF(AND(_xlpm.baseRow,$F417="Retain",$E417="ECA / Shoreline Tree",_xlpm.ECA_Short=0),
Error!$B$61,
IF(AND($F417="Remove",ISNUMBER(MATCH($E417,{"Tier 1","Tier 2","Tier 3","Tier 4","Tier 2 Grove"},0)),ISNUMBER(MATCH($I417,{"On-site replacement","Off-site replacement"},0)),$J417="",$H417&lt;&gt;""),
Error!$B$19,
IF(AND(_xlpm.baseRow,$E417&lt;&gt;"",$D417&lt;&gt;"",$F417&lt;&gt;"",COUNTBLANK($B417:$C417)&gt;0,COUNTBLANK(_xlpm.HRange)&lt;&gt;4),
Error!$B$22,
IF(AND($H417="Zoning: Tree Points",$K417&lt;&gt;"",ISNA(MATCH($K417,Tables!$B$242:$B$253,0))),
Error!$B$58,
IF(AND($H417="Zoning: Tree Points",$K417="Small",$L417&lt;&gt;"",ISNA(MATCH($L417,Tables!$C$243:$C$244,0))),
Error!$B$59,
IF(AND($H417="Zoning: Tree Points",$K417="Small/Medium",$L417&lt;&gt;"",ISNA(MATCH($L417,Tables!$C$246:$C$247,0))),
Error!$B$59,
IF(AND($H417="Zoning: Tree Points",$K417="Medium/Large",$L417&lt;&gt;"",ISNA(MATCH($L417,Tables!$C$249:$C$250,0))),
Error!$B$59,
IF(AND($H417="Zoning: Tree Points",$K417="Large",$L417&lt;&gt;"",ISNA(MATCH($L417,Tables!$C$252:$C$253,0))),
Error!$B$59,
IF(AND($F417="Retain",$H417="Zoning: Tree Points",$C417&lt;&gt;"",$D417&lt;&gt;"",OR($K417="",$L417="",$M417="")),
Error!$B$20,
""
)))))))))))))))))))))))))))))))))))))))))))))))))))))))),
Error!$B$23))</f>
        <v/>
      </c>
      <c r="O417" s="343" t="str" cm="1">
        <f t="array" aca="1" ref="O417" ca="1">IFERROR(_xlfn.LET(
    _xlpm.txt, $C417,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18" spans="1:15" ht="15" thickBot="1" x14ac:dyDescent="0.35">
      <c r="A418" s="331"/>
      <c r="B418" s="616" t="str">
        <f t="shared" si="467"/>
        <v/>
      </c>
      <c r="C418" s="617" t="str">
        <f t="shared" si="468"/>
        <v/>
      </c>
      <c r="D418" s="618" t="str">
        <f t="shared" si="469"/>
        <v/>
      </c>
      <c r="E418" s="616" t="str">
        <f t="shared" si="470"/>
        <v/>
      </c>
      <c r="F418" s="616" t="str">
        <f t="shared" si="471"/>
        <v/>
      </c>
      <c r="G418" s="619" t="str">
        <f>IF(Tree_Table1[[#This Row],[Tree Status  &amp;]]="Retain", Tables!$B$237, IF(Tree_Table1[[#This Row],[Tree Status  &amp;]]="Remove", Tables!$B$238, ""))</f>
        <v/>
      </c>
      <c r="H418" s="329"/>
      <c r="I418" s="330"/>
      <c r="J418" s="455"/>
      <c r="K418" s="327" t="str">
        <f>IFERROR(
    IF(
        AND($H418="Zoning: Tree Points", NOT(ISNUMBER(SEARCH("sp.", $C418)))),
        VLOOKUP($C418, 'Tree List'!$C$3:$F$601, 4, FALSE),
        ""
    ),
"")</f>
        <v/>
      </c>
      <c r="L418" s="328" t="str" cm="1">
        <f t="array" ref="L418">IFERROR(
IF(
    AND($H418="Zoning: Tree Points", NOT(ISNUMBER(SEARCH("sp.", $C418)))),
    _xlfn.IFS(
        (COUNTIFS('Tree List'!$C$3:$C$601,$C418,'Tree List'!$D$3:$D$601,"Coniferous")
        + COUNTIFS('Tree List'!$C$3:$C$601,$C418,'Tree List'!$D$3:$D$601,"Deciduous Conifer")) &gt; 0,
            _xlfn.IFS($K418="Small",0.5,$K418="Small/Medium",1,$K418="Medium/Large",1.4,$K418="Large",1.8),
        (COUNTIFS('Tree List'!$C$3:$C$601,$C418,'Tree List'!$D$3:$D$601,"Deciduous")
        + COUNTIFS('Tree List'!$C$3:$C$601,$C418,'Tree List'!$D$3:$D$601,"Broadleaf Evergreen")) &gt; 0,
            _xlfn.IFS($K418="Small",0.4,$K418="Small/Medium",0.8,$K418="Medium/Large",1.2,$K418="Large",1.6)
    ),
    ""
),
"")</f>
        <v/>
      </c>
      <c r="M418" s="476" t="str">
        <f t="shared" si="411"/>
        <v/>
      </c>
      <c r="N418" s="347" t="str" cm="1">
        <f t="array" aca="1" ref="N41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IF(AND(_xlpm.baseRow,ISNA(MATCH($C418,'Tree List'!$C$3:$C$601,0)),SUMPRODUCT(--ISNUMBER(SEARCH(Tables2!$C$677:$C$772,$O418)))&gt;0),
Error!$B$57,
IF(AND(_xlpm.hasDM,$F418="Remove",$H418&lt;&gt;"",OR($I418="On-site replacement",$I418="Off-site replacement",$I418="Payment In Lieu")),
Error!$B$56,
IF(AND(_xlpm.hasDM,$F418="Remove",$H418&lt;&gt;"",$I418="Relocation"),
Error!$B$66,
IF(AND(OR(_xlpm.hasCN,_xlpm.hasPH,_xlpm.hasGR),$H418&lt;&gt;"",COUNTIF(Tables!$B$132:$B$134,$H418)&gt;0,$I418="N/A (No replacement required)"),
Error!$B$62,
IF(AND(_xlpm.baseRow,$E418&lt;&gt;"",ISNA(MATCH($E418,Tables!$B$225:$B$232,0))),
Error!$B$2,
IF(AND(_xlpm.baseRow,$F418&lt;&gt;"",ISNA(MATCH($F418,Tables!$B$234:$B$235,0))),
Error!$B$24,
IF(AND(_xlpm.baseRow,_xlpm.ECA_H&gt;0,_xlpm.Shore_H&gt;0),
Error!$B$16,
IF(AND(_xlpm.baseRow,$E418&lt;&gt;"",$D418=""),
Error!$B$3,
IF(AND(_xlpm.baseRow,OR($E418="Tier 3",$E418="Tier 4"),$C418&lt;&gt;"",$D418&gt;=24,COUNTIF(Tables2!$B$166:$B$674,$C418)&gt;0),
Error!$B$44,
IF(AND(_xlpm.baseRow,OR($E418="Tier 3",$E418="Tier 4"),$C418&lt;&gt;"",$D418&lt;&gt;"",COUNTIF(Tables2!$B$73:$B$152,$C418)&gt;0,
$D418&gt;=IFERROR(INDEX(Tables2!$C$73:$C$152,MATCH($C418,Tables2!$B$73:$B$152,0)),-1)),
Error!$B$44,
IF(AND(_xlpm.baseRow,OR($E418="Tier 2",$E418="Tier 2 Grove"),$C418&lt;&gt;"",$D418&gt;=12,COUNTIF(Tables2!$B$153:$B$162,$C418)&gt;0),
Error!$B$45,
IF(AND(_xlpm.baseRow,$E418="Tier 2 Grove",$D418&lt;12),
Error!$B$41,
IF(AND(_xlpm.baseRow,$E418="Tier 2",$D418&lt;5.88),
Error!$B$40,
IF(AND(_xlpm.baseRow,OR($E418="Tier 2",$E418="Tier 2 Grove"),$C418&lt;&gt;"",$D418&lt;12,$D418&gt;=6,COUNTIF(Tables2!$B$153:$B$162,$C418)&gt;0),
Error!$B$54,
IF(AND(_xlpm.baseRow,$E418="Tier 2",COUNTIF(Tables2!$B$166:$B$674,$C418)&gt;0,$D418&lt;24),
Error!$B$54,
IF(AND(_xlpm.baseRow,$E418="Tier 3",ISNA(MATCH($C418,Tables2!$B$153:$B$162,0)),OR($D418&lt;12,$D418&gt;=24)),
Error!$B$9,
IF(AND(_xlpm.baseRow,$E418="Tier 3",COUNTIF(Tables2!$B$153:$B$162,$C418)&gt;0,$D418&lt;12),
Error!$B$46,
IF(AND(_xlpm.baseRow,$E418="Tier 4",OR($D418&lt;6,$D418&gt;=12)),
Error!$B$10,
IF(AND(_xlpm.baseRow,$E418="&lt;6in DSH for Tree Points",OR($D418&gt;=6,$D418="")),
Error!$B$8,
IF(AND(_xlpm.baseRow,$E418="Street Tree for Green Factor",$F418&lt;&gt;"",$F418&lt;&gt;"Retain"),
Error!$B$14,
IF(AND($E418="&lt;6in DSH for Tree Points",$F418="Retain",$H418&lt;&gt;"",ISNA(MATCH($H418,Tables!$B$174:$B$174,0))),
Error!$B$15,
IF(AND($E418="Street Tree for Green Factor",$F418="Retain",$H418&lt;&gt;"",$H418&lt;&gt;"Zoning: Green Factor"),
Error!$B$15,
IF(AND($E418="ECA / Shoreline Tree",$F418="Remove",$H418&lt;&gt;"",ISNA(MATCH($H418,Tables!$B$189:$B$190,0))),
Error!$B$15,
IF(AND($E418="ECA / Shoreline Tree",$F418="Retain",$H418&lt;&gt;"",ISNA(MATCH($H418,Tables!$B$184:$B$186,0))),
Error!$B$15,
IF(AND($E418="Tier 4",$F418="Remove",$H418&lt;&gt;"",ISNA(MATCH($H418,Tables!$B$171,0))),
Error!$B$15,
IF(AND($E418="Tier 4",$F418="Retain",$H418&lt;&gt;"",ISNA(MATCH($H418,Tables!$B$166:$B$168,0))),
Error!$B$15,
IF(AND($E418="Tier 3",$F418="Retain",$H418&lt;&gt;"",ISNA(MATCH($H418,Tables!$B$158:$B$160,0))),
Error!$B$15,
IF(AND($E418="Tier 3",$F418="Remove",$H418&lt;&gt;"",ISNA(MATCH($H418,Tables!$B$163,0))),
Error!$B$15,
IF(AND(OR($E418="Tier 2",$E418="Tier 2 Grove"),$F418="Remove",$H418&lt;&gt;"",ISNA(MATCH($H418,Tables!$B$153:$B$155,0))),
Error!$B$15,
IF(AND(OR($E418="Tier 2",$E418="Tier 2 Grove"),$F418="Retain",$H418&lt;&gt;"",ISNA(MATCH($H418,Tables!$B$147:$B$150,0))),
Error!$B$15,
IF(AND($E418="Tier 1",$F418="Remove",$H418&lt;&gt;"",ISNA(MATCH($H418,Tables!$B$143:$B$144,0))),
Error!$B$15,
IF(AND($E418="Tier 1",$F418="Retain",$H418&lt;&gt;"",ISNA(MATCH($H418,Tables!$B$137:$B$140,0))),
Error!$B$15,
IF(AND($E418&lt;&gt;"Tier 2",$E418&lt;&gt;"Tier 2 Grove",$E418&lt;&gt;"Tier 3",$E418&lt;&gt;"Tier 4",$H418="Zoning: Green Factor",OR($D418="",$D418&lt;6)),
Error!$B$11,
IF(AND(_xlpm.baseRow,$D418&lt;6,$E418="&lt;6in DSH for Tree Points",_xlpm.TreePoints_H=0),
Error!$B$21,
IF(AND(_xlpm.baseRow,$E418&lt;&gt;"",$D418&lt;&gt;"",$F418=""),
Error!$B$4,
IF(AND(_xlpm.baseRow,$F418="Remove",OR($E418="Tier 1",$E418="Tier 2",$E418="Tier 2 Grove"),COUNTBLANK(_xlpm.HRange)&lt;3,_xlpm.uniqueH&gt;=2),
Error!$B$48,
IF(AND(_xlpm.baseRow,$F418="Retain",OR($E418="Tier 1",$E418="Tier 2",$E418="Tier 2 Grove"),COUNTIF(_xlpm.HRange,"Tree Code: Required to Retain Tier 1-2 Tree")=0),
Error!$B$47,
IF(AND(_xlpm.baseRow,$E418&lt;&gt;"",$D418&lt;&gt;"",$F418&lt;&gt;"",COUNTBLANK(_xlpm.HRange)=4),
Error!$B$5,
IF(AND($F418="Remove",$H418&lt;&gt;"",$I418=""),
Error!$B$18,
IF(AND($E418="Tier 4",$F418="Remove",$H418="Tree Protection Code: Tier 3 or Tier 4 Allowance",$H418&lt;&gt;"",ISNA(MATCH($I418,Tables!$B$200,0))),
Error!$B$17,
IF(AND($E418="Tier 3",$F418="Remove",$H418&lt;&gt;"",$H418="Tree Protection Code: Tier 3 or Tier 4 Allowance",OR($I418="",ISNA(MATCH($I418,Tables!$B$193:$B$197,0)))),
Error!$B$17,
IF(AND(OR($E418="Tier 2",$E418="Tier 2 Grove"),$F418="Remove",$H418="Tree Protection Code: Other removal allowance or exemption",$I418&lt;&gt;"",ISNA(MATCH($I418,Tables!$B$215:$B$218,0))),
Error!$B$17,
IF(AND(OR($E418="Tier 2",$E418="Tier 2 Grove"),$F418="Remove",$H418="Tree Protection Code: Development Capacity",$I418&lt;&gt;"",ISNA(MATCH($I418,Tables!$B$193:$B$197,0))),
Error!$B$17,
IF(AND(OR($E418="Tier 2",$E418="Tier 2 Grove"),$F418="Remove",$H418="Tree Protection Code: Necessary for Construction",$I418&lt;&gt;"",ISNA(MATCH($I418,Tables!$B$193:$B$197,0))),
Error!$B$17,
IF(AND($E418="Tier 1",$F418="Remove",$H418="Tree Protection Code: Special Exception",$I418&lt;&gt;"",ISNA(MATCH($I418,Tables!$B$215:$B$218,0))),
Error!$B$17,
IF(AND($E418="Tier 1",$F418="Remove",$H418="Tree Protection Code: Other removal allowance or exemption",$I418&lt;&gt;"",ISNA(MATCH($I418,Tables!$B$215:$B$218,0))),
Error!$B$17,
IF(AND($E418="ECA / Shoreline Tree",$F418="Remove",$H418&lt;&gt;"",OR($H418="Shoreline",$H418="Environmental Critical Area (ECA)"),ISNA(MATCH($I418,Tables!$B$209:$B$212,0))),
Error!$B$17,
IF(AND(_xlpm.baseRow,$F418="Retain",$E418="ECA / Shoreline Tree",_xlpm.ECA_Short=0),
Error!$B$61,
IF(AND($F418="Remove",ISNUMBER(MATCH($E418,{"Tier 1","Tier 2","Tier 3","Tier 4","Tier 2 Grove"},0)),ISNUMBER(MATCH($I418,{"On-site replacement","Off-site replacement"},0)),$J418="",$H418&lt;&gt;""),
Error!$B$19,
IF(AND(_xlpm.baseRow,$E418&lt;&gt;"",$D418&lt;&gt;"",$F418&lt;&gt;"",COUNTBLANK($B418:$C418)&gt;0,COUNTBLANK(_xlpm.HRange)&lt;&gt;4),
Error!$B$22,
IF(AND($H418="Zoning: Tree Points",$K418&lt;&gt;"",ISNA(MATCH($K418,Tables!$B$242:$B$253,0))),
Error!$B$58,
IF(AND($H418="Zoning: Tree Points",$K418="Small",$L418&lt;&gt;"",ISNA(MATCH($L418,Tables!$C$243:$C$244,0))),
Error!$B$59,
IF(AND($H418="Zoning: Tree Points",$K418="Small/Medium",$L418&lt;&gt;"",ISNA(MATCH($L418,Tables!$C$246:$C$247,0))),
Error!$B$59,
IF(AND($H418="Zoning: Tree Points",$K418="Medium/Large",$L418&lt;&gt;"",ISNA(MATCH($L418,Tables!$C$249:$C$250,0))),
Error!$B$59,
IF(AND($H418="Zoning: Tree Points",$K418="Large",$L418&lt;&gt;"",ISNA(MATCH($L418,Tables!$C$252:$C$253,0))),
Error!$B$59,
IF(AND($F418="Retain",$H418="Zoning: Tree Points",$C418&lt;&gt;"",$D418&lt;&gt;"",OR($K418="",$L418="",$M418="")),
Error!$B$20,
""
)))))))))))))))))))))))))))))))))))))))))))))))))))))))),
Error!$B$23))</f>
        <v/>
      </c>
      <c r="O418" s="343" t="str" cm="1">
        <f t="array" aca="1" ref="O418" ca="1">IFERROR(_xlfn.LET(
    _xlpm.txt, $C418,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19" spans="1:15" ht="15" thickBot="1" x14ac:dyDescent="0.35">
      <c r="A419" s="311">
        <v>103</v>
      </c>
      <c r="B419" s="312"/>
      <c r="C419" s="313"/>
      <c r="D419" s="478"/>
      <c r="E419" s="314"/>
      <c r="F419" s="314"/>
      <c r="G419" s="315" t="str">
        <f>IF(Tree_Table1[[#This Row],[Tree Status  &amp;]]="Retain", Tables!$B$237, IF(Tree_Table1[[#This Row],[Tree Status  &amp;]]="Remove", Tables!$B$238, ""))</f>
        <v/>
      </c>
      <c r="H419" s="316"/>
      <c r="I419" s="317"/>
      <c r="J419" s="452"/>
      <c r="K419" s="318" t="str">
        <f>IFERROR(
    IF(
        AND($H419="Zoning: Tree Points", NOT(ISNUMBER(SEARCH("sp.", $C419)))),
        VLOOKUP($C419, 'Tree List'!$C$3:$F$601, 4, FALSE),
        ""
    ),
"")</f>
        <v/>
      </c>
      <c r="L419" s="319" t="str" cm="1">
        <f t="array" ref="L419">IFERROR(
IF(
    AND($H419="Zoning: Tree Points", NOT(ISNUMBER(SEARCH("sp.", $C419)))),
    _xlfn.IFS(
        (COUNTIFS('Tree List'!$C$3:$C$601,$C419,'Tree List'!$D$3:$D$601,"Coniferous")
        + COUNTIFS('Tree List'!$C$3:$C$601,$C419,'Tree List'!$D$3:$D$601,"Deciduous Conifer")) &gt; 0,
            _xlfn.IFS($K419="Small",0.5,$K419="Small/Medium",1,$K419="Medium/Large",1.4,$K419="Large",1.8),
        (COUNTIFS('Tree List'!$C$3:$C$601,$C419,'Tree List'!$D$3:$D$601,"Deciduous")
        + COUNTIFS('Tree List'!$C$3:$C$601,$C419,'Tree List'!$D$3:$D$601,"Broadleaf Evergreen")) &gt; 0,
            _xlfn.IFS($K419="Small",0.4,$K419="Small/Medium",0.8,$K419="Medium/Large",1.2,$K419="Large",1.6)
    ),
    ""
),
"")</f>
        <v/>
      </c>
      <c r="M419" s="474" t="str">
        <f t="shared" si="411"/>
        <v/>
      </c>
      <c r="N419" s="620" t="str" cm="1">
        <f t="array" aca="1" ref="N41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IF(AND(_xlpm.baseRow,ISNA(MATCH($C419,'Tree List'!$C$3:$C$601,0)),SUMPRODUCT(--ISNUMBER(SEARCH(Tables2!$C$677:$C$772,$O419)))&gt;0),
Error!$B$57,
IF(AND(_xlpm.hasDM,$F419="Remove",$H419&lt;&gt;"",OR($I419="On-site replacement",$I419="Off-site replacement",$I419="Payment In Lieu")),
Error!$B$56,
IF(AND(_xlpm.hasDM,$F419="Remove",$H419&lt;&gt;"",$I419="Relocation"),
Error!$B$66,
IF(AND(OR(_xlpm.hasCN,_xlpm.hasPH,_xlpm.hasGR),$H419&lt;&gt;"",COUNTIF(Tables!$B$132:$B$134,$H419)&gt;0,$I419="N/A (No replacement required)"),
Error!$B$62,
IF(AND(_xlpm.baseRow,$E419&lt;&gt;"",ISNA(MATCH($E419,Tables!$B$225:$B$232,0))),
Error!$B$2,
IF(AND(_xlpm.baseRow,$F419&lt;&gt;"",ISNA(MATCH($F419,Tables!$B$234:$B$235,0))),
Error!$B$24,
IF(AND(_xlpm.baseRow,_xlpm.ECA_H&gt;0,_xlpm.Shore_H&gt;0),
Error!$B$16,
IF(AND(_xlpm.baseRow,$E419&lt;&gt;"",$D419=""),
Error!$B$3,
IF(AND(_xlpm.baseRow,OR($E419="Tier 3",$E419="Tier 4"),$C419&lt;&gt;"",$D419&gt;=24,COUNTIF(Tables2!$B$166:$B$674,$C419)&gt;0),
Error!$B$44,
IF(AND(_xlpm.baseRow,OR($E419="Tier 3",$E419="Tier 4"),$C419&lt;&gt;"",$D419&lt;&gt;"",COUNTIF(Tables2!$B$73:$B$152,$C419)&gt;0,
$D419&gt;=IFERROR(INDEX(Tables2!$C$73:$C$152,MATCH($C419,Tables2!$B$73:$B$152,0)),-1)),
Error!$B$44,
IF(AND(_xlpm.baseRow,OR($E419="Tier 2",$E419="Tier 2 Grove"),$C419&lt;&gt;"",$D419&gt;=12,COUNTIF(Tables2!$B$153:$B$162,$C419)&gt;0),
Error!$B$45,
IF(AND(_xlpm.baseRow,$E419="Tier 2 Grove",$D419&lt;12),
Error!$B$41,
IF(AND(_xlpm.baseRow,$E419="Tier 2",$D419&lt;5.88),
Error!$B$40,
IF(AND(_xlpm.baseRow,OR($E419="Tier 2",$E419="Tier 2 Grove"),$C419&lt;&gt;"",$D419&lt;12,$D419&gt;=6,COUNTIF(Tables2!$B$153:$B$162,$C419)&gt;0),
Error!$B$54,
IF(AND(_xlpm.baseRow,$E419="Tier 2",COUNTIF(Tables2!$B$166:$B$674,$C419)&gt;0,$D419&lt;24),
Error!$B$54,
IF(AND(_xlpm.baseRow,$E419="Tier 3",ISNA(MATCH($C419,Tables2!$B$153:$B$162,0)),OR($D419&lt;12,$D419&gt;=24)),
Error!$B$9,
IF(AND(_xlpm.baseRow,$E419="Tier 3",COUNTIF(Tables2!$B$153:$B$162,$C419)&gt;0,$D419&lt;12),
Error!$B$46,
IF(AND(_xlpm.baseRow,$E419="Tier 4",OR($D419&lt;6,$D419&gt;=12)),
Error!$B$10,
IF(AND(_xlpm.baseRow,$E419="&lt;6in DSH for Tree Points",OR($D419&gt;=6,$D419="")),
Error!$B$8,
IF(AND(_xlpm.baseRow,$E419="Street Tree for Green Factor",$F419&lt;&gt;"",$F419&lt;&gt;"Retain"),
Error!$B$14,
IF(AND($E419="&lt;6in DSH for Tree Points",$F419="Retain",$H419&lt;&gt;"",ISNA(MATCH($H419,Tables!$B$174:$B$174,0))),
Error!$B$15,
IF(AND($E419="Street Tree for Green Factor",$F419="Retain",$H419&lt;&gt;"",$H419&lt;&gt;"Zoning: Green Factor"),
Error!$B$15,
IF(AND($E419="ECA / Shoreline Tree",$F419="Remove",$H419&lt;&gt;"",ISNA(MATCH($H419,Tables!$B$189:$B$190,0))),
Error!$B$15,
IF(AND($E419="ECA / Shoreline Tree",$F419="Retain",$H419&lt;&gt;"",ISNA(MATCH($H419,Tables!$B$184:$B$186,0))),
Error!$B$15,
IF(AND($E419="Tier 4",$F419="Remove",$H419&lt;&gt;"",ISNA(MATCH($H419,Tables!$B$171,0))),
Error!$B$15,
IF(AND($E419="Tier 4",$F419="Retain",$H419&lt;&gt;"",ISNA(MATCH($H419,Tables!$B$166:$B$168,0))),
Error!$B$15,
IF(AND($E419="Tier 3",$F419="Retain",$H419&lt;&gt;"",ISNA(MATCH($H419,Tables!$B$158:$B$160,0))),
Error!$B$15,
IF(AND($E419="Tier 3",$F419="Remove",$H419&lt;&gt;"",ISNA(MATCH($H419,Tables!$B$163,0))),
Error!$B$15,
IF(AND(OR($E419="Tier 2",$E419="Tier 2 Grove"),$F419="Remove",$H419&lt;&gt;"",ISNA(MATCH($H419,Tables!$B$153:$B$155,0))),
Error!$B$15,
IF(AND(OR($E419="Tier 2",$E419="Tier 2 Grove"),$F419="Retain",$H419&lt;&gt;"",ISNA(MATCH($H419,Tables!$B$147:$B$150,0))),
Error!$B$15,
IF(AND($E419="Tier 1",$F419="Remove",$H419&lt;&gt;"",ISNA(MATCH($H419,Tables!$B$143:$B$144,0))),
Error!$B$15,
IF(AND($E419="Tier 1",$F419="Retain",$H419&lt;&gt;"",ISNA(MATCH($H419,Tables!$B$137:$B$140,0))),
Error!$B$15,
IF(AND($E419&lt;&gt;"Tier 2",$E419&lt;&gt;"Tier 2 Grove",$E419&lt;&gt;"Tier 3",$E419&lt;&gt;"Tier 4",$H419="Zoning: Green Factor",OR($D419="",$D419&lt;6)),
Error!$B$11,
IF(AND(_xlpm.baseRow,$D419&lt;6,$E419="&lt;6in DSH for Tree Points",_xlpm.TreePoints_H=0),
Error!$B$21,
IF(AND(_xlpm.baseRow,$E419&lt;&gt;"",$D419&lt;&gt;"",$F419=""),
Error!$B$4,
IF(AND(_xlpm.baseRow,$F419="Remove",OR($E419="Tier 1",$E419="Tier 2",$E419="Tier 2 Grove"),COUNTBLANK(_xlpm.HRange)&lt;3,_xlpm.uniqueH&gt;=2),
Error!$B$48,
IF(AND(_xlpm.baseRow,$F419="Retain",OR($E419="Tier 1",$E419="Tier 2",$E419="Tier 2 Grove"),COUNTIF(_xlpm.HRange,"Tree Code: Required to Retain Tier 1-2 Tree")=0),
Error!$B$47,
IF(AND(_xlpm.baseRow,$E419&lt;&gt;"",$D419&lt;&gt;"",$F419&lt;&gt;"",COUNTBLANK(_xlpm.HRange)=4),
Error!$B$5,
IF(AND($F419="Remove",$H419&lt;&gt;"",$I419=""),
Error!$B$18,
IF(AND($E419="Tier 4",$F419="Remove",$H419="Tree Protection Code: Tier 3 or Tier 4 Allowance",$H419&lt;&gt;"",ISNA(MATCH($I419,Tables!$B$200,0))),
Error!$B$17,
IF(AND($E419="Tier 3",$F419="Remove",$H419&lt;&gt;"",$H419="Tree Protection Code: Tier 3 or Tier 4 Allowance",OR($I419="",ISNA(MATCH($I419,Tables!$B$193:$B$197,0)))),
Error!$B$17,
IF(AND(OR($E419="Tier 2",$E419="Tier 2 Grove"),$F419="Remove",$H419="Tree Protection Code: Other removal allowance or exemption",$I419&lt;&gt;"",ISNA(MATCH($I419,Tables!$B$215:$B$218,0))),
Error!$B$17,
IF(AND(OR($E419="Tier 2",$E419="Tier 2 Grove"),$F419="Remove",$H419="Tree Protection Code: Development Capacity",$I419&lt;&gt;"",ISNA(MATCH($I419,Tables!$B$193:$B$197,0))),
Error!$B$17,
IF(AND(OR($E419="Tier 2",$E419="Tier 2 Grove"),$F419="Remove",$H419="Tree Protection Code: Necessary for Construction",$I419&lt;&gt;"",ISNA(MATCH($I419,Tables!$B$193:$B$197,0))),
Error!$B$17,
IF(AND($E419="Tier 1",$F419="Remove",$H419="Tree Protection Code: Special Exception",$I419&lt;&gt;"",ISNA(MATCH($I419,Tables!$B$215:$B$218,0))),
Error!$B$17,
IF(AND($E419="Tier 1",$F419="Remove",$H419="Tree Protection Code: Other removal allowance or exemption",$I419&lt;&gt;"",ISNA(MATCH($I419,Tables!$B$215:$B$218,0))),
Error!$B$17,
IF(AND($E419="ECA / Shoreline Tree",$F419="Remove",$H419&lt;&gt;"",OR($H419="Shoreline",$H419="Environmental Critical Area (ECA)"),ISNA(MATCH($I419,Tables!$B$209:$B$212,0))),
Error!$B$17,
IF(AND(_xlpm.baseRow,$F419="Retain",$E419="ECA / Shoreline Tree",_xlpm.ECA_Short=0),
Error!$B$61,
IF(AND($F419="Remove",ISNUMBER(MATCH($E419,{"Tier 1","Tier 2","Tier 3","Tier 4","Tier 2 Grove"},0)),ISNUMBER(MATCH($I419,{"On-site replacement","Off-site replacement"},0)),$J419="",$H419&lt;&gt;""),
Error!$B$19,
IF(AND(_xlpm.baseRow,$E419&lt;&gt;"",$D419&lt;&gt;"",$F419&lt;&gt;"",COUNTBLANK($B419:$C419)&gt;0,COUNTBLANK(_xlpm.HRange)&lt;&gt;4),
Error!$B$22,
IF(AND($H419="Zoning: Tree Points",$K419&lt;&gt;"",ISNA(MATCH($K419,Tables!$B$242:$B$253,0))),
Error!$B$58,
IF(AND($H419="Zoning: Tree Points",$K419="Small",$L419&lt;&gt;"",ISNA(MATCH($L419,Tables!$C$243:$C$244,0))),
Error!$B$59,
IF(AND($H419="Zoning: Tree Points",$K419="Small/Medium",$L419&lt;&gt;"",ISNA(MATCH($L419,Tables!$C$246:$C$247,0))),
Error!$B$59,
IF(AND($H419="Zoning: Tree Points",$K419="Medium/Large",$L419&lt;&gt;"",ISNA(MATCH($L419,Tables!$C$249:$C$250,0))),
Error!$B$59,
IF(AND($H419="Zoning: Tree Points",$K419="Large",$L419&lt;&gt;"",ISNA(MATCH($L419,Tables!$C$252:$C$253,0))),
Error!$B$59,
IF(AND($F419="Retain",$H419="Zoning: Tree Points",$C419&lt;&gt;"",$D419&lt;&gt;"",OR($K419="",$L419="",$M419="")),
Error!$B$20,
""
)))))))))))))))))))))))))))))))))))))))))))))))))))))))),
Error!$B$23))</f>
        <v/>
      </c>
      <c r="O419" s="343" t="str" cm="1">
        <f t="array" aca="1" ref="O419" ca="1">IFERROR(_xlfn.LET(
    _xlpm.txt, $C419,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20" spans="1:15" x14ac:dyDescent="0.3">
      <c r="A420" s="320"/>
      <c r="B420" s="616" t="str">
        <f t="shared" ref="B420:B422" si="472">IF($B419="", "", $B419)</f>
        <v/>
      </c>
      <c r="C420" s="617" t="str">
        <f t="shared" ref="C420:C422" si="473">IF($C419="", "", $C419)</f>
        <v/>
      </c>
      <c r="D420" s="618" t="str">
        <f t="shared" ref="D420:D422" si="474">IF($D419="", "", $D419)</f>
        <v/>
      </c>
      <c r="E420" s="616" t="str">
        <f t="shared" ref="E420:E422" si="475">IF($E419="", "", $E419)</f>
        <v/>
      </c>
      <c r="F420" s="616" t="str">
        <f t="shared" ref="F420:F422" si="476">IF($F419="", "", $F419)</f>
        <v/>
      </c>
      <c r="G420" s="619" t="str">
        <f>IF(Tree_Table1[[#This Row],[Tree Status  &amp;]]="Retain", Tables!$B$237, IF(Tree_Table1[[#This Row],[Tree Status  &amp;]]="Remove", Tables!$B$238, ""))</f>
        <v/>
      </c>
      <c r="H420" s="321"/>
      <c r="I420" s="322"/>
      <c r="J420" s="453"/>
      <c r="K420" s="323" t="str">
        <f>IFERROR(
    IF(
        AND($H420="Zoning: Tree Points", NOT(ISNUMBER(SEARCH("sp.", $C420)))),
        VLOOKUP($C420, 'Tree List'!$C$3:$F$601, 4, FALSE),
        ""
    ),
"")</f>
        <v/>
      </c>
      <c r="L420" s="324" t="str" cm="1">
        <f t="array" ref="L420">IFERROR(
IF(
    AND($H420="Zoning: Tree Points", NOT(ISNUMBER(SEARCH("sp.", $C420)))),
    _xlfn.IFS(
        (COUNTIFS('Tree List'!$C$3:$C$601,$C420,'Tree List'!$D$3:$D$601,"Coniferous")
        + COUNTIFS('Tree List'!$C$3:$C$601,$C420,'Tree List'!$D$3:$D$601,"Deciduous Conifer")) &gt; 0,
            _xlfn.IFS($K420="Small",0.5,$K420="Small/Medium",1,$K420="Medium/Large",1.4,$K420="Large",1.8),
        (COUNTIFS('Tree List'!$C$3:$C$601,$C420,'Tree List'!$D$3:$D$601,"Deciduous")
        + COUNTIFS('Tree List'!$C$3:$C$601,$C420,'Tree List'!$D$3:$D$601,"Broadleaf Evergreen")) &gt; 0,
            _xlfn.IFS($K420="Small",0.4,$K420="Small/Medium",0.8,$K420="Medium/Large",1.2,$K420="Large",1.6)
    ),
    ""
),
"")</f>
        <v/>
      </c>
      <c r="M420" s="475" t="str">
        <f t="shared" si="411"/>
        <v/>
      </c>
      <c r="N420" s="346" t="str" cm="1">
        <f t="array" aca="1" ref="N42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IF(AND(_xlpm.baseRow,ISNA(MATCH($C420,'Tree List'!$C$3:$C$601,0)),SUMPRODUCT(--ISNUMBER(SEARCH(Tables2!$C$677:$C$772,$O420)))&gt;0),
Error!$B$57,
IF(AND(_xlpm.hasDM,$F420="Remove",$H420&lt;&gt;"",OR($I420="On-site replacement",$I420="Off-site replacement",$I420="Payment In Lieu")),
Error!$B$56,
IF(AND(_xlpm.hasDM,$F420="Remove",$H420&lt;&gt;"",$I420="Relocation"),
Error!$B$66,
IF(AND(OR(_xlpm.hasCN,_xlpm.hasPH,_xlpm.hasGR),$H420&lt;&gt;"",COUNTIF(Tables!$B$132:$B$134,$H420)&gt;0,$I420="N/A (No replacement required)"),
Error!$B$62,
IF(AND(_xlpm.baseRow,$E420&lt;&gt;"",ISNA(MATCH($E420,Tables!$B$225:$B$232,0))),
Error!$B$2,
IF(AND(_xlpm.baseRow,$F420&lt;&gt;"",ISNA(MATCH($F420,Tables!$B$234:$B$235,0))),
Error!$B$24,
IF(AND(_xlpm.baseRow,_xlpm.ECA_H&gt;0,_xlpm.Shore_H&gt;0),
Error!$B$16,
IF(AND(_xlpm.baseRow,$E420&lt;&gt;"",$D420=""),
Error!$B$3,
IF(AND(_xlpm.baseRow,OR($E420="Tier 3",$E420="Tier 4"),$C420&lt;&gt;"",$D420&gt;=24,COUNTIF(Tables2!$B$166:$B$674,$C420)&gt;0),
Error!$B$44,
IF(AND(_xlpm.baseRow,OR($E420="Tier 3",$E420="Tier 4"),$C420&lt;&gt;"",$D420&lt;&gt;"",COUNTIF(Tables2!$B$73:$B$152,$C420)&gt;0,
$D420&gt;=IFERROR(INDEX(Tables2!$C$73:$C$152,MATCH($C420,Tables2!$B$73:$B$152,0)),-1)),
Error!$B$44,
IF(AND(_xlpm.baseRow,OR($E420="Tier 2",$E420="Tier 2 Grove"),$C420&lt;&gt;"",$D420&gt;=12,COUNTIF(Tables2!$B$153:$B$162,$C420)&gt;0),
Error!$B$45,
IF(AND(_xlpm.baseRow,$E420="Tier 2 Grove",$D420&lt;12),
Error!$B$41,
IF(AND(_xlpm.baseRow,$E420="Tier 2",$D420&lt;5.88),
Error!$B$40,
IF(AND(_xlpm.baseRow,OR($E420="Tier 2",$E420="Tier 2 Grove"),$C420&lt;&gt;"",$D420&lt;12,$D420&gt;=6,COUNTIF(Tables2!$B$153:$B$162,$C420)&gt;0),
Error!$B$54,
IF(AND(_xlpm.baseRow,$E420="Tier 2",COUNTIF(Tables2!$B$166:$B$674,$C420)&gt;0,$D420&lt;24),
Error!$B$54,
IF(AND(_xlpm.baseRow,$E420="Tier 3",ISNA(MATCH($C420,Tables2!$B$153:$B$162,0)),OR($D420&lt;12,$D420&gt;=24)),
Error!$B$9,
IF(AND(_xlpm.baseRow,$E420="Tier 3",COUNTIF(Tables2!$B$153:$B$162,$C420)&gt;0,$D420&lt;12),
Error!$B$46,
IF(AND(_xlpm.baseRow,$E420="Tier 4",OR($D420&lt;6,$D420&gt;=12)),
Error!$B$10,
IF(AND(_xlpm.baseRow,$E420="&lt;6in DSH for Tree Points",OR($D420&gt;=6,$D420="")),
Error!$B$8,
IF(AND(_xlpm.baseRow,$E420="Street Tree for Green Factor",$F420&lt;&gt;"",$F420&lt;&gt;"Retain"),
Error!$B$14,
IF(AND($E420="&lt;6in DSH for Tree Points",$F420="Retain",$H420&lt;&gt;"",ISNA(MATCH($H420,Tables!$B$174:$B$174,0))),
Error!$B$15,
IF(AND($E420="Street Tree for Green Factor",$F420="Retain",$H420&lt;&gt;"",$H420&lt;&gt;"Zoning: Green Factor"),
Error!$B$15,
IF(AND($E420="ECA / Shoreline Tree",$F420="Remove",$H420&lt;&gt;"",ISNA(MATCH($H420,Tables!$B$189:$B$190,0))),
Error!$B$15,
IF(AND($E420="ECA / Shoreline Tree",$F420="Retain",$H420&lt;&gt;"",ISNA(MATCH($H420,Tables!$B$184:$B$186,0))),
Error!$B$15,
IF(AND($E420="Tier 4",$F420="Remove",$H420&lt;&gt;"",ISNA(MATCH($H420,Tables!$B$171,0))),
Error!$B$15,
IF(AND($E420="Tier 4",$F420="Retain",$H420&lt;&gt;"",ISNA(MATCH($H420,Tables!$B$166:$B$168,0))),
Error!$B$15,
IF(AND($E420="Tier 3",$F420="Retain",$H420&lt;&gt;"",ISNA(MATCH($H420,Tables!$B$158:$B$160,0))),
Error!$B$15,
IF(AND($E420="Tier 3",$F420="Remove",$H420&lt;&gt;"",ISNA(MATCH($H420,Tables!$B$163,0))),
Error!$B$15,
IF(AND(OR($E420="Tier 2",$E420="Tier 2 Grove"),$F420="Remove",$H420&lt;&gt;"",ISNA(MATCH($H420,Tables!$B$153:$B$155,0))),
Error!$B$15,
IF(AND(OR($E420="Tier 2",$E420="Tier 2 Grove"),$F420="Retain",$H420&lt;&gt;"",ISNA(MATCH($H420,Tables!$B$147:$B$150,0))),
Error!$B$15,
IF(AND($E420="Tier 1",$F420="Remove",$H420&lt;&gt;"",ISNA(MATCH($H420,Tables!$B$143:$B$144,0))),
Error!$B$15,
IF(AND($E420="Tier 1",$F420="Retain",$H420&lt;&gt;"",ISNA(MATCH($H420,Tables!$B$137:$B$140,0))),
Error!$B$15,
IF(AND($E420&lt;&gt;"Tier 2",$E420&lt;&gt;"Tier 2 Grove",$E420&lt;&gt;"Tier 3",$E420&lt;&gt;"Tier 4",$H420="Zoning: Green Factor",OR($D420="",$D420&lt;6)),
Error!$B$11,
IF(AND(_xlpm.baseRow,$D420&lt;6,$E420="&lt;6in DSH for Tree Points",_xlpm.TreePoints_H=0),
Error!$B$21,
IF(AND(_xlpm.baseRow,$E420&lt;&gt;"",$D420&lt;&gt;"",$F420=""),
Error!$B$4,
IF(AND(_xlpm.baseRow,$F420="Remove",OR($E420="Tier 1",$E420="Tier 2",$E420="Tier 2 Grove"),COUNTBLANK(_xlpm.HRange)&lt;3,_xlpm.uniqueH&gt;=2),
Error!$B$48,
IF(AND(_xlpm.baseRow,$F420="Retain",OR($E420="Tier 1",$E420="Tier 2",$E420="Tier 2 Grove"),COUNTIF(_xlpm.HRange,"Tree Code: Required to Retain Tier 1-2 Tree")=0),
Error!$B$47,
IF(AND(_xlpm.baseRow,$E420&lt;&gt;"",$D420&lt;&gt;"",$F420&lt;&gt;"",COUNTBLANK(_xlpm.HRange)=4),
Error!$B$5,
IF(AND($F420="Remove",$H420&lt;&gt;"",$I420=""),
Error!$B$18,
IF(AND($E420="Tier 4",$F420="Remove",$H420="Tree Protection Code: Tier 3 or Tier 4 Allowance",$H420&lt;&gt;"",ISNA(MATCH($I420,Tables!$B$200,0))),
Error!$B$17,
IF(AND($E420="Tier 3",$F420="Remove",$H420&lt;&gt;"",$H420="Tree Protection Code: Tier 3 or Tier 4 Allowance",OR($I420="",ISNA(MATCH($I420,Tables!$B$193:$B$197,0)))),
Error!$B$17,
IF(AND(OR($E420="Tier 2",$E420="Tier 2 Grove"),$F420="Remove",$H420="Tree Protection Code: Other removal allowance or exemption",$I420&lt;&gt;"",ISNA(MATCH($I420,Tables!$B$215:$B$218,0))),
Error!$B$17,
IF(AND(OR($E420="Tier 2",$E420="Tier 2 Grove"),$F420="Remove",$H420="Tree Protection Code: Development Capacity",$I420&lt;&gt;"",ISNA(MATCH($I420,Tables!$B$193:$B$197,0))),
Error!$B$17,
IF(AND(OR($E420="Tier 2",$E420="Tier 2 Grove"),$F420="Remove",$H420="Tree Protection Code: Necessary for Construction",$I420&lt;&gt;"",ISNA(MATCH($I420,Tables!$B$193:$B$197,0))),
Error!$B$17,
IF(AND($E420="Tier 1",$F420="Remove",$H420="Tree Protection Code: Special Exception",$I420&lt;&gt;"",ISNA(MATCH($I420,Tables!$B$215:$B$218,0))),
Error!$B$17,
IF(AND($E420="Tier 1",$F420="Remove",$H420="Tree Protection Code: Other removal allowance or exemption",$I420&lt;&gt;"",ISNA(MATCH($I420,Tables!$B$215:$B$218,0))),
Error!$B$17,
IF(AND($E420="ECA / Shoreline Tree",$F420="Remove",$H420&lt;&gt;"",OR($H420="Shoreline",$H420="Environmental Critical Area (ECA)"),ISNA(MATCH($I420,Tables!$B$209:$B$212,0))),
Error!$B$17,
IF(AND(_xlpm.baseRow,$F420="Retain",$E420="ECA / Shoreline Tree",_xlpm.ECA_Short=0),
Error!$B$61,
IF(AND($F420="Remove",ISNUMBER(MATCH($E420,{"Tier 1","Tier 2","Tier 3","Tier 4","Tier 2 Grove"},0)),ISNUMBER(MATCH($I420,{"On-site replacement","Off-site replacement"},0)),$J420="",$H420&lt;&gt;""),
Error!$B$19,
IF(AND(_xlpm.baseRow,$E420&lt;&gt;"",$D420&lt;&gt;"",$F420&lt;&gt;"",COUNTBLANK($B420:$C420)&gt;0,COUNTBLANK(_xlpm.HRange)&lt;&gt;4),
Error!$B$22,
IF(AND($H420="Zoning: Tree Points",$K420&lt;&gt;"",ISNA(MATCH($K420,Tables!$B$242:$B$253,0))),
Error!$B$58,
IF(AND($H420="Zoning: Tree Points",$K420="Small",$L420&lt;&gt;"",ISNA(MATCH($L420,Tables!$C$243:$C$244,0))),
Error!$B$59,
IF(AND($H420="Zoning: Tree Points",$K420="Small/Medium",$L420&lt;&gt;"",ISNA(MATCH($L420,Tables!$C$246:$C$247,0))),
Error!$B$59,
IF(AND($H420="Zoning: Tree Points",$K420="Medium/Large",$L420&lt;&gt;"",ISNA(MATCH($L420,Tables!$C$249:$C$250,0))),
Error!$B$59,
IF(AND($H420="Zoning: Tree Points",$K420="Large",$L420&lt;&gt;"",ISNA(MATCH($L420,Tables!$C$252:$C$253,0))),
Error!$B$59,
IF(AND($F420="Retain",$H420="Zoning: Tree Points",$C420&lt;&gt;"",$D420&lt;&gt;"",OR($K420="",$L420="",$M420="")),
Error!$B$20,
""
)))))))))))))))))))))))))))))))))))))))))))))))))))))))),
Error!$B$23))</f>
        <v/>
      </c>
      <c r="O420" s="343" t="str" cm="1">
        <f t="array" aca="1" ref="O420" ca="1">IFERROR(_xlfn.LET(
    _xlpm.txt, $C420,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21" spans="1:15" x14ac:dyDescent="0.3">
      <c r="A421" s="320"/>
      <c r="B421" s="616" t="str">
        <f t="shared" si="472"/>
        <v/>
      </c>
      <c r="C421" s="617" t="str">
        <f t="shared" si="473"/>
        <v/>
      </c>
      <c r="D421" s="618" t="str">
        <f t="shared" si="474"/>
        <v/>
      </c>
      <c r="E421" s="616" t="str">
        <f t="shared" si="475"/>
        <v/>
      </c>
      <c r="F421" s="616" t="str">
        <f t="shared" si="476"/>
        <v/>
      </c>
      <c r="G421" s="619" t="str">
        <f>IF(Tree_Table1[[#This Row],[Tree Status  &amp;]]="Retain", Tables!$B$237, IF(Tree_Table1[[#This Row],[Tree Status  &amp;]]="Remove", Tables!$B$238, ""))</f>
        <v/>
      </c>
      <c r="H421" s="321"/>
      <c r="I421" s="322"/>
      <c r="J421" s="453"/>
      <c r="K421" s="323" t="str">
        <f>IFERROR(
    IF(
        AND($H421="Zoning: Tree Points", NOT(ISNUMBER(SEARCH("sp.", $C421)))),
        VLOOKUP($C421, 'Tree List'!$C$3:$F$601, 4, FALSE),
        ""
    ),
"")</f>
        <v/>
      </c>
      <c r="L421" s="324" t="str" cm="1">
        <f t="array" ref="L421">IFERROR(
IF(
    AND($H421="Zoning: Tree Points", NOT(ISNUMBER(SEARCH("sp.", $C421)))),
    _xlfn.IFS(
        (COUNTIFS('Tree List'!$C$3:$C$601,$C421,'Tree List'!$D$3:$D$601,"Coniferous")
        + COUNTIFS('Tree List'!$C$3:$C$601,$C421,'Tree List'!$D$3:$D$601,"Deciduous Conifer")) &gt; 0,
            _xlfn.IFS($K421="Small",0.5,$K421="Small/Medium",1,$K421="Medium/Large",1.4,$K421="Large",1.8),
        (COUNTIFS('Tree List'!$C$3:$C$601,$C421,'Tree List'!$D$3:$D$601,"Deciduous")
        + COUNTIFS('Tree List'!$C$3:$C$601,$C421,'Tree List'!$D$3:$D$601,"Broadleaf Evergreen")) &gt; 0,
            _xlfn.IFS($K421="Small",0.4,$K421="Small/Medium",0.8,$K421="Medium/Large",1.2,$K421="Large",1.6)
    ),
    ""
),
"")</f>
        <v/>
      </c>
      <c r="M421" s="475" t="str">
        <f t="shared" si="411"/>
        <v/>
      </c>
      <c r="N421" s="346" t="str" cm="1">
        <f t="array" aca="1" ref="N42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IF(AND(_xlpm.baseRow,ISNA(MATCH($C421,'Tree List'!$C$3:$C$601,0)),SUMPRODUCT(--ISNUMBER(SEARCH(Tables2!$C$677:$C$772,$O421)))&gt;0),
Error!$B$57,
IF(AND(_xlpm.hasDM,$F421="Remove",$H421&lt;&gt;"",OR($I421="On-site replacement",$I421="Off-site replacement",$I421="Payment In Lieu")),
Error!$B$56,
IF(AND(_xlpm.hasDM,$F421="Remove",$H421&lt;&gt;"",$I421="Relocation"),
Error!$B$66,
IF(AND(OR(_xlpm.hasCN,_xlpm.hasPH,_xlpm.hasGR),$H421&lt;&gt;"",COUNTIF(Tables!$B$132:$B$134,$H421)&gt;0,$I421="N/A (No replacement required)"),
Error!$B$62,
IF(AND(_xlpm.baseRow,$E421&lt;&gt;"",ISNA(MATCH($E421,Tables!$B$225:$B$232,0))),
Error!$B$2,
IF(AND(_xlpm.baseRow,$F421&lt;&gt;"",ISNA(MATCH($F421,Tables!$B$234:$B$235,0))),
Error!$B$24,
IF(AND(_xlpm.baseRow,_xlpm.ECA_H&gt;0,_xlpm.Shore_H&gt;0),
Error!$B$16,
IF(AND(_xlpm.baseRow,$E421&lt;&gt;"",$D421=""),
Error!$B$3,
IF(AND(_xlpm.baseRow,OR($E421="Tier 3",$E421="Tier 4"),$C421&lt;&gt;"",$D421&gt;=24,COUNTIF(Tables2!$B$166:$B$674,$C421)&gt;0),
Error!$B$44,
IF(AND(_xlpm.baseRow,OR($E421="Tier 3",$E421="Tier 4"),$C421&lt;&gt;"",$D421&lt;&gt;"",COUNTIF(Tables2!$B$73:$B$152,$C421)&gt;0,
$D421&gt;=IFERROR(INDEX(Tables2!$C$73:$C$152,MATCH($C421,Tables2!$B$73:$B$152,0)),-1)),
Error!$B$44,
IF(AND(_xlpm.baseRow,OR($E421="Tier 2",$E421="Tier 2 Grove"),$C421&lt;&gt;"",$D421&gt;=12,COUNTIF(Tables2!$B$153:$B$162,$C421)&gt;0),
Error!$B$45,
IF(AND(_xlpm.baseRow,$E421="Tier 2 Grove",$D421&lt;12),
Error!$B$41,
IF(AND(_xlpm.baseRow,$E421="Tier 2",$D421&lt;5.88),
Error!$B$40,
IF(AND(_xlpm.baseRow,OR($E421="Tier 2",$E421="Tier 2 Grove"),$C421&lt;&gt;"",$D421&lt;12,$D421&gt;=6,COUNTIF(Tables2!$B$153:$B$162,$C421)&gt;0),
Error!$B$54,
IF(AND(_xlpm.baseRow,$E421="Tier 2",COUNTIF(Tables2!$B$166:$B$674,$C421)&gt;0,$D421&lt;24),
Error!$B$54,
IF(AND(_xlpm.baseRow,$E421="Tier 3",ISNA(MATCH($C421,Tables2!$B$153:$B$162,0)),OR($D421&lt;12,$D421&gt;=24)),
Error!$B$9,
IF(AND(_xlpm.baseRow,$E421="Tier 3",COUNTIF(Tables2!$B$153:$B$162,$C421)&gt;0,$D421&lt;12),
Error!$B$46,
IF(AND(_xlpm.baseRow,$E421="Tier 4",OR($D421&lt;6,$D421&gt;=12)),
Error!$B$10,
IF(AND(_xlpm.baseRow,$E421="&lt;6in DSH for Tree Points",OR($D421&gt;=6,$D421="")),
Error!$B$8,
IF(AND(_xlpm.baseRow,$E421="Street Tree for Green Factor",$F421&lt;&gt;"",$F421&lt;&gt;"Retain"),
Error!$B$14,
IF(AND($E421="&lt;6in DSH for Tree Points",$F421="Retain",$H421&lt;&gt;"",ISNA(MATCH($H421,Tables!$B$174:$B$174,0))),
Error!$B$15,
IF(AND($E421="Street Tree for Green Factor",$F421="Retain",$H421&lt;&gt;"",$H421&lt;&gt;"Zoning: Green Factor"),
Error!$B$15,
IF(AND($E421="ECA / Shoreline Tree",$F421="Remove",$H421&lt;&gt;"",ISNA(MATCH($H421,Tables!$B$189:$B$190,0))),
Error!$B$15,
IF(AND($E421="ECA / Shoreline Tree",$F421="Retain",$H421&lt;&gt;"",ISNA(MATCH($H421,Tables!$B$184:$B$186,0))),
Error!$B$15,
IF(AND($E421="Tier 4",$F421="Remove",$H421&lt;&gt;"",ISNA(MATCH($H421,Tables!$B$171,0))),
Error!$B$15,
IF(AND($E421="Tier 4",$F421="Retain",$H421&lt;&gt;"",ISNA(MATCH($H421,Tables!$B$166:$B$168,0))),
Error!$B$15,
IF(AND($E421="Tier 3",$F421="Retain",$H421&lt;&gt;"",ISNA(MATCH($H421,Tables!$B$158:$B$160,0))),
Error!$B$15,
IF(AND($E421="Tier 3",$F421="Remove",$H421&lt;&gt;"",ISNA(MATCH($H421,Tables!$B$163,0))),
Error!$B$15,
IF(AND(OR($E421="Tier 2",$E421="Tier 2 Grove"),$F421="Remove",$H421&lt;&gt;"",ISNA(MATCH($H421,Tables!$B$153:$B$155,0))),
Error!$B$15,
IF(AND(OR($E421="Tier 2",$E421="Tier 2 Grove"),$F421="Retain",$H421&lt;&gt;"",ISNA(MATCH($H421,Tables!$B$147:$B$150,0))),
Error!$B$15,
IF(AND($E421="Tier 1",$F421="Remove",$H421&lt;&gt;"",ISNA(MATCH($H421,Tables!$B$143:$B$144,0))),
Error!$B$15,
IF(AND($E421="Tier 1",$F421="Retain",$H421&lt;&gt;"",ISNA(MATCH($H421,Tables!$B$137:$B$140,0))),
Error!$B$15,
IF(AND($E421&lt;&gt;"Tier 2",$E421&lt;&gt;"Tier 2 Grove",$E421&lt;&gt;"Tier 3",$E421&lt;&gt;"Tier 4",$H421="Zoning: Green Factor",OR($D421="",$D421&lt;6)),
Error!$B$11,
IF(AND(_xlpm.baseRow,$D421&lt;6,$E421="&lt;6in DSH for Tree Points",_xlpm.TreePoints_H=0),
Error!$B$21,
IF(AND(_xlpm.baseRow,$E421&lt;&gt;"",$D421&lt;&gt;"",$F421=""),
Error!$B$4,
IF(AND(_xlpm.baseRow,$F421="Remove",OR($E421="Tier 1",$E421="Tier 2",$E421="Tier 2 Grove"),COUNTBLANK(_xlpm.HRange)&lt;3,_xlpm.uniqueH&gt;=2),
Error!$B$48,
IF(AND(_xlpm.baseRow,$F421="Retain",OR($E421="Tier 1",$E421="Tier 2",$E421="Tier 2 Grove"),COUNTIF(_xlpm.HRange,"Tree Code: Required to Retain Tier 1-2 Tree")=0),
Error!$B$47,
IF(AND(_xlpm.baseRow,$E421&lt;&gt;"",$D421&lt;&gt;"",$F421&lt;&gt;"",COUNTBLANK(_xlpm.HRange)=4),
Error!$B$5,
IF(AND($F421="Remove",$H421&lt;&gt;"",$I421=""),
Error!$B$18,
IF(AND($E421="Tier 4",$F421="Remove",$H421="Tree Protection Code: Tier 3 or Tier 4 Allowance",$H421&lt;&gt;"",ISNA(MATCH($I421,Tables!$B$200,0))),
Error!$B$17,
IF(AND($E421="Tier 3",$F421="Remove",$H421&lt;&gt;"",$H421="Tree Protection Code: Tier 3 or Tier 4 Allowance",OR($I421="",ISNA(MATCH($I421,Tables!$B$193:$B$197,0)))),
Error!$B$17,
IF(AND(OR($E421="Tier 2",$E421="Tier 2 Grove"),$F421="Remove",$H421="Tree Protection Code: Other removal allowance or exemption",$I421&lt;&gt;"",ISNA(MATCH($I421,Tables!$B$215:$B$218,0))),
Error!$B$17,
IF(AND(OR($E421="Tier 2",$E421="Tier 2 Grove"),$F421="Remove",$H421="Tree Protection Code: Development Capacity",$I421&lt;&gt;"",ISNA(MATCH($I421,Tables!$B$193:$B$197,0))),
Error!$B$17,
IF(AND(OR($E421="Tier 2",$E421="Tier 2 Grove"),$F421="Remove",$H421="Tree Protection Code: Necessary for Construction",$I421&lt;&gt;"",ISNA(MATCH($I421,Tables!$B$193:$B$197,0))),
Error!$B$17,
IF(AND($E421="Tier 1",$F421="Remove",$H421="Tree Protection Code: Special Exception",$I421&lt;&gt;"",ISNA(MATCH($I421,Tables!$B$215:$B$218,0))),
Error!$B$17,
IF(AND($E421="Tier 1",$F421="Remove",$H421="Tree Protection Code: Other removal allowance or exemption",$I421&lt;&gt;"",ISNA(MATCH($I421,Tables!$B$215:$B$218,0))),
Error!$B$17,
IF(AND($E421="ECA / Shoreline Tree",$F421="Remove",$H421&lt;&gt;"",OR($H421="Shoreline",$H421="Environmental Critical Area (ECA)"),ISNA(MATCH($I421,Tables!$B$209:$B$212,0))),
Error!$B$17,
IF(AND(_xlpm.baseRow,$F421="Retain",$E421="ECA / Shoreline Tree",_xlpm.ECA_Short=0),
Error!$B$61,
IF(AND($F421="Remove",ISNUMBER(MATCH($E421,{"Tier 1","Tier 2","Tier 3","Tier 4","Tier 2 Grove"},0)),ISNUMBER(MATCH($I421,{"On-site replacement","Off-site replacement"},0)),$J421="",$H421&lt;&gt;""),
Error!$B$19,
IF(AND(_xlpm.baseRow,$E421&lt;&gt;"",$D421&lt;&gt;"",$F421&lt;&gt;"",COUNTBLANK($B421:$C421)&gt;0,COUNTBLANK(_xlpm.HRange)&lt;&gt;4),
Error!$B$22,
IF(AND($H421="Zoning: Tree Points",$K421&lt;&gt;"",ISNA(MATCH($K421,Tables!$B$242:$B$253,0))),
Error!$B$58,
IF(AND($H421="Zoning: Tree Points",$K421="Small",$L421&lt;&gt;"",ISNA(MATCH($L421,Tables!$C$243:$C$244,0))),
Error!$B$59,
IF(AND($H421="Zoning: Tree Points",$K421="Small/Medium",$L421&lt;&gt;"",ISNA(MATCH($L421,Tables!$C$246:$C$247,0))),
Error!$B$59,
IF(AND($H421="Zoning: Tree Points",$K421="Medium/Large",$L421&lt;&gt;"",ISNA(MATCH($L421,Tables!$C$249:$C$250,0))),
Error!$B$59,
IF(AND($H421="Zoning: Tree Points",$K421="Large",$L421&lt;&gt;"",ISNA(MATCH($L421,Tables!$C$252:$C$253,0))),
Error!$B$59,
IF(AND($F421="Retain",$H421="Zoning: Tree Points",$C421&lt;&gt;"",$D421&lt;&gt;"",OR($K421="",$L421="",$M421="")),
Error!$B$20,
""
)))))))))))))))))))))))))))))))))))))))))))))))))))))))),
Error!$B$23))</f>
        <v/>
      </c>
      <c r="O421" s="343" t="str" cm="1">
        <f t="array" aca="1" ref="O421" ca="1">IFERROR(_xlfn.LET(
    _xlpm.txt, $C421,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22" spans="1:15" ht="15" thickBot="1" x14ac:dyDescent="0.35">
      <c r="A422" s="331"/>
      <c r="B422" s="616" t="str">
        <f t="shared" si="472"/>
        <v/>
      </c>
      <c r="C422" s="617" t="str">
        <f t="shared" si="473"/>
        <v/>
      </c>
      <c r="D422" s="618" t="str">
        <f t="shared" si="474"/>
        <v/>
      </c>
      <c r="E422" s="616" t="str">
        <f t="shared" si="475"/>
        <v/>
      </c>
      <c r="F422" s="616" t="str">
        <f t="shared" si="476"/>
        <v/>
      </c>
      <c r="G422" s="619" t="str">
        <f>IF(Tree_Table1[[#This Row],[Tree Status  &amp;]]="Retain", Tables!$B$237, IF(Tree_Table1[[#This Row],[Tree Status  &amp;]]="Remove", Tables!$B$238, ""))</f>
        <v/>
      </c>
      <c r="H422" s="329"/>
      <c r="I422" s="330"/>
      <c r="J422" s="455"/>
      <c r="K422" s="327" t="str">
        <f>IFERROR(
    IF(
        AND($H422="Zoning: Tree Points", NOT(ISNUMBER(SEARCH("sp.", $C422)))),
        VLOOKUP($C422, 'Tree List'!$C$3:$F$601, 4, FALSE),
        ""
    ),
"")</f>
        <v/>
      </c>
      <c r="L422" s="328" t="str" cm="1">
        <f t="array" ref="L422">IFERROR(
IF(
    AND($H422="Zoning: Tree Points", NOT(ISNUMBER(SEARCH("sp.", $C422)))),
    _xlfn.IFS(
        (COUNTIFS('Tree List'!$C$3:$C$601,$C422,'Tree List'!$D$3:$D$601,"Coniferous")
        + COUNTIFS('Tree List'!$C$3:$C$601,$C422,'Tree List'!$D$3:$D$601,"Deciduous Conifer")) &gt; 0,
            _xlfn.IFS($K422="Small",0.5,$K422="Small/Medium",1,$K422="Medium/Large",1.4,$K422="Large",1.8),
        (COUNTIFS('Tree List'!$C$3:$C$601,$C422,'Tree List'!$D$3:$D$601,"Deciduous")
        + COUNTIFS('Tree List'!$C$3:$C$601,$C422,'Tree List'!$D$3:$D$601,"Broadleaf Evergreen")) &gt; 0,
            _xlfn.IFS($K422="Small",0.4,$K422="Small/Medium",0.8,$K422="Medium/Large",1.2,$K422="Large",1.6)
    ),
    ""
),
"")</f>
        <v/>
      </c>
      <c r="M422" s="476" t="str">
        <f t="shared" si="411"/>
        <v/>
      </c>
      <c r="N422" s="347" t="str" cm="1">
        <f t="array" aca="1" ref="N42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IF(AND(_xlpm.baseRow,ISNA(MATCH($C422,'Tree List'!$C$3:$C$601,0)),SUMPRODUCT(--ISNUMBER(SEARCH(Tables2!$C$677:$C$772,$O422)))&gt;0),
Error!$B$57,
IF(AND(_xlpm.hasDM,$F422="Remove",$H422&lt;&gt;"",OR($I422="On-site replacement",$I422="Off-site replacement",$I422="Payment In Lieu")),
Error!$B$56,
IF(AND(_xlpm.hasDM,$F422="Remove",$H422&lt;&gt;"",$I422="Relocation"),
Error!$B$66,
IF(AND(OR(_xlpm.hasCN,_xlpm.hasPH,_xlpm.hasGR),$H422&lt;&gt;"",COUNTIF(Tables!$B$132:$B$134,$H422)&gt;0,$I422="N/A (No replacement required)"),
Error!$B$62,
IF(AND(_xlpm.baseRow,$E422&lt;&gt;"",ISNA(MATCH($E422,Tables!$B$225:$B$232,0))),
Error!$B$2,
IF(AND(_xlpm.baseRow,$F422&lt;&gt;"",ISNA(MATCH($F422,Tables!$B$234:$B$235,0))),
Error!$B$24,
IF(AND(_xlpm.baseRow,_xlpm.ECA_H&gt;0,_xlpm.Shore_H&gt;0),
Error!$B$16,
IF(AND(_xlpm.baseRow,$E422&lt;&gt;"",$D422=""),
Error!$B$3,
IF(AND(_xlpm.baseRow,OR($E422="Tier 3",$E422="Tier 4"),$C422&lt;&gt;"",$D422&gt;=24,COUNTIF(Tables2!$B$166:$B$674,$C422)&gt;0),
Error!$B$44,
IF(AND(_xlpm.baseRow,OR($E422="Tier 3",$E422="Tier 4"),$C422&lt;&gt;"",$D422&lt;&gt;"",COUNTIF(Tables2!$B$73:$B$152,$C422)&gt;0,
$D422&gt;=IFERROR(INDEX(Tables2!$C$73:$C$152,MATCH($C422,Tables2!$B$73:$B$152,0)),-1)),
Error!$B$44,
IF(AND(_xlpm.baseRow,OR($E422="Tier 2",$E422="Tier 2 Grove"),$C422&lt;&gt;"",$D422&gt;=12,COUNTIF(Tables2!$B$153:$B$162,$C422)&gt;0),
Error!$B$45,
IF(AND(_xlpm.baseRow,$E422="Tier 2 Grove",$D422&lt;12),
Error!$B$41,
IF(AND(_xlpm.baseRow,$E422="Tier 2",$D422&lt;5.88),
Error!$B$40,
IF(AND(_xlpm.baseRow,OR($E422="Tier 2",$E422="Tier 2 Grove"),$C422&lt;&gt;"",$D422&lt;12,$D422&gt;=6,COUNTIF(Tables2!$B$153:$B$162,$C422)&gt;0),
Error!$B$54,
IF(AND(_xlpm.baseRow,$E422="Tier 2",COUNTIF(Tables2!$B$166:$B$674,$C422)&gt;0,$D422&lt;24),
Error!$B$54,
IF(AND(_xlpm.baseRow,$E422="Tier 3",ISNA(MATCH($C422,Tables2!$B$153:$B$162,0)),OR($D422&lt;12,$D422&gt;=24)),
Error!$B$9,
IF(AND(_xlpm.baseRow,$E422="Tier 3",COUNTIF(Tables2!$B$153:$B$162,$C422)&gt;0,$D422&lt;12),
Error!$B$46,
IF(AND(_xlpm.baseRow,$E422="Tier 4",OR($D422&lt;6,$D422&gt;=12)),
Error!$B$10,
IF(AND(_xlpm.baseRow,$E422="&lt;6in DSH for Tree Points",OR($D422&gt;=6,$D422="")),
Error!$B$8,
IF(AND(_xlpm.baseRow,$E422="Street Tree for Green Factor",$F422&lt;&gt;"",$F422&lt;&gt;"Retain"),
Error!$B$14,
IF(AND($E422="&lt;6in DSH for Tree Points",$F422="Retain",$H422&lt;&gt;"",ISNA(MATCH($H422,Tables!$B$174:$B$174,0))),
Error!$B$15,
IF(AND($E422="Street Tree for Green Factor",$F422="Retain",$H422&lt;&gt;"",$H422&lt;&gt;"Zoning: Green Factor"),
Error!$B$15,
IF(AND($E422="ECA / Shoreline Tree",$F422="Remove",$H422&lt;&gt;"",ISNA(MATCH($H422,Tables!$B$189:$B$190,0))),
Error!$B$15,
IF(AND($E422="ECA / Shoreline Tree",$F422="Retain",$H422&lt;&gt;"",ISNA(MATCH($H422,Tables!$B$184:$B$186,0))),
Error!$B$15,
IF(AND($E422="Tier 4",$F422="Remove",$H422&lt;&gt;"",ISNA(MATCH($H422,Tables!$B$171,0))),
Error!$B$15,
IF(AND($E422="Tier 4",$F422="Retain",$H422&lt;&gt;"",ISNA(MATCH($H422,Tables!$B$166:$B$168,0))),
Error!$B$15,
IF(AND($E422="Tier 3",$F422="Retain",$H422&lt;&gt;"",ISNA(MATCH($H422,Tables!$B$158:$B$160,0))),
Error!$B$15,
IF(AND($E422="Tier 3",$F422="Remove",$H422&lt;&gt;"",ISNA(MATCH($H422,Tables!$B$163,0))),
Error!$B$15,
IF(AND(OR($E422="Tier 2",$E422="Tier 2 Grove"),$F422="Remove",$H422&lt;&gt;"",ISNA(MATCH($H422,Tables!$B$153:$B$155,0))),
Error!$B$15,
IF(AND(OR($E422="Tier 2",$E422="Tier 2 Grove"),$F422="Retain",$H422&lt;&gt;"",ISNA(MATCH($H422,Tables!$B$147:$B$150,0))),
Error!$B$15,
IF(AND($E422="Tier 1",$F422="Remove",$H422&lt;&gt;"",ISNA(MATCH($H422,Tables!$B$143:$B$144,0))),
Error!$B$15,
IF(AND($E422="Tier 1",$F422="Retain",$H422&lt;&gt;"",ISNA(MATCH($H422,Tables!$B$137:$B$140,0))),
Error!$B$15,
IF(AND($E422&lt;&gt;"Tier 2",$E422&lt;&gt;"Tier 2 Grove",$E422&lt;&gt;"Tier 3",$E422&lt;&gt;"Tier 4",$H422="Zoning: Green Factor",OR($D422="",$D422&lt;6)),
Error!$B$11,
IF(AND(_xlpm.baseRow,$D422&lt;6,$E422="&lt;6in DSH for Tree Points",_xlpm.TreePoints_H=0),
Error!$B$21,
IF(AND(_xlpm.baseRow,$E422&lt;&gt;"",$D422&lt;&gt;"",$F422=""),
Error!$B$4,
IF(AND(_xlpm.baseRow,$F422="Remove",OR($E422="Tier 1",$E422="Tier 2",$E422="Tier 2 Grove"),COUNTBLANK(_xlpm.HRange)&lt;3,_xlpm.uniqueH&gt;=2),
Error!$B$48,
IF(AND(_xlpm.baseRow,$F422="Retain",OR($E422="Tier 1",$E422="Tier 2",$E422="Tier 2 Grove"),COUNTIF(_xlpm.HRange,"Tree Code: Required to Retain Tier 1-2 Tree")=0),
Error!$B$47,
IF(AND(_xlpm.baseRow,$E422&lt;&gt;"",$D422&lt;&gt;"",$F422&lt;&gt;"",COUNTBLANK(_xlpm.HRange)=4),
Error!$B$5,
IF(AND($F422="Remove",$H422&lt;&gt;"",$I422=""),
Error!$B$18,
IF(AND($E422="Tier 4",$F422="Remove",$H422="Tree Protection Code: Tier 3 or Tier 4 Allowance",$H422&lt;&gt;"",ISNA(MATCH($I422,Tables!$B$200,0))),
Error!$B$17,
IF(AND($E422="Tier 3",$F422="Remove",$H422&lt;&gt;"",$H422="Tree Protection Code: Tier 3 or Tier 4 Allowance",OR($I422="",ISNA(MATCH($I422,Tables!$B$193:$B$197,0)))),
Error!$B$17,
IF(AND(OR($E422="Tier 2",$E422="Tier 2 Grove"),$F422="Remove",$H422="Tree Protection Code: Other removal allowance or exemption",$I422&lt;&gt;"",ISNA(MATCH($I422,Tables!$B$215:$B$218,0))),
Error!$B$17,
IF(AND(OR($E422="Tier 2",$E422="Tier 2 Grove"),$F422="Remove",$H422="Tree Protection Code: Development Capacity",$I422&lt;&gt;"",ISNA(MATCH($I422,Tables!$B$193:$B$197,0))),
Error!$B$17,
IF(AND(OR($E422="Tier 2",$E422="Tier 2 Grove"),$F422="Remove",$H422="Tree Protection Code: Necessary for Construction",$I422&lt;&gt;"",ISNA(MATCH($I422,Tables!$B$193:$B$197,0))),
Error!$B$17,
IF(AND($E422="Tier 1",$F422="Remove",$H422="Tree Protection Code: Special Exception",$I422&lt;&gt;"",ISNA(MATCH($I422,Tables!$B$215:$B$218,0))),
Error!$B$17,
IF(AND($E422="Tier 1",$F422="Remove",$H422="Tree Protection Code: Other removal allowance or exemption",$I422&lt;&gt;"",ISNA(MATCH($I422,Tables!$B$215:$B$218,0))),
Error!$B$17,
IF(AND($E422="ECA / Shoreline Tree",$F422="Remove",$H422&lt;&gt;"",OR($H422="Shoreline",$H422="Environmental Critical Area (ECA)"),ISNA(MATCH($I422,Tables!$B$209:$B$212,0))),
Error!$B$17,
IF(AND(_xlpm.baseRow,$F422="Retain",$E422="ECA / Shoreline Tree",_xlpm.ECA_Short=0),
Error!$B$61,
IF(AND($F422="Remove",ISNUMBER(MATCH($E422,{"Tier 1","Tier 2","Tier 3","Tier 4","Tier 2 Grove"},0)),ISNUMBER(MATCH($I422,{"On-site replacement","Off-site replacement"},0)),$J422="",$H422&lt;&gt;""),
Error!$B$19,
IF(AND(_xlpm.baseRow,$E422&lt;&gt;"",$D422&lt;&gt;"",$F422&lt;&gt;"",COUNTBLANK($B422:$C422)&gt;0,COUNTBLANK(_xlpm.HRange)&lt;&gt;4),
Error!$B$22,
IF(AND($H422="Zoning: Tree Points",$K422&lt;&gt;"",ISNA(MATCH($K422,Tables!$B$242:$B$253,0))),
Error!$B$58,
IF(AND($H422="Zoning: Tree Points",$K422="Small",$L422&lt;&gt;"",ISNA(MATCH($L422,Tables!$C$243:$C$244,0))),
Error!$B$59,
IF(AND($H422="Zoning: Tree Points",$K422="Small/Medium",$L422&lt;&gt;"",ISNA(MATCH($L422,Tables!$C$246:$C$247,0))),
Error!$B$59,
IF(AND($H422="Zoning: Tree Points",$K422="Medium/Large",$L422&lt;&gt;"",ISNA(MATCH($L422,Tables!$C$249:$C$250,0))),
Error!$B$59,
IF(AND($H422="Zoning: Tree Points",$K422="Large",$L422&lt;&gt;"",ISNA(MATCH($L422,Tables!$C$252:$C$253,0))),
Error!$B$59,
IF(AND($F422="Retain",$H422="Zoning: Tree Points",$C422&lt;&gt;"",$D422&lt;&gt;"",OR($K422="",$L422="",$M422="")),
Error!$B$20,
""
)))))))))))))))))))))))))))))))))))))))))))))))))))))))),
Error!$B$23))</f>
        <v/>
      </c>
      <c r="O422" s="343" t="str" cm="1">
        <f t="array" aca="1" ref="O422" ca="1">IFERROR(_xlfn.LET(
    _xlpm.txt, $C422,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23" spans="1:15" ht="15" thickBot="1" x14ac:dyDescent="0.35">
      <c r="A423" s="311">
        <v>104</v>
      </c>
      <c r="B423" s="312"/>
      <c r="C423" s="313"/>
      <c r="D423" s="478"/>
      <c r="E423" s="314"/>
      <c r="F423" s="314"/>
      <c r="G423" s="315" t="str">
        <f>IF(Tree_Table1[[#This Row],[Tree Status  &amp;]]="Retain", Tables!$B$237, IF(Tree_Table1[[#This Row],[Tree Status  &amp;]]="Remove", Tables!$B$238, ""))</f>
        <v/>
      </c>
      <c r="H423" s="316"/>
      <c r="I423" s="317"/>
      <c r="J423" s="452"/>
      <c r="K423" s="318" t="str">
        <f>IFERROR(
    IF(
        AND($H423="Zoning: Tree Points", NOT(ISNUMBER(SEARCH("sp.", $C423)))),
        VLOOKUP($C423, 'Tree List'!$C$3:$F$601, 4, FALSE),
        ""
    ),
"")</f>
        <v/>
      </c>
      <c r="L423" s="319" t="str" cm="1">
        <f t="array" ref="L423">IFERROR(
IF(
    AND($H423="Zoning: Tree Points", NOT(ISNUMBER(SEARCH("sp.", $C423)))),
    _xlfn.IFS(
        (COUNTIFS('Tree List'!$C$3:$C$601,$C423,'Tree List'!$D$3:$D$601,"Coniferous")
        + COUNTIFS('Tree List'!$C$3:$C$601,$C423,'Tree List'!$D$3:$D$601,"Deciduous Conifer")) &gt; 0,
            _xlfn.IFS($K423="Small",0.5,$K423="Small/Medium",1,$K423="Medium/Large",1.4,$K423="Large",1.8),
        (COUNTIFS('Tree List'!$C$3:$C$601,$C423,'Tree List'!$D$3:$D$601,"Deciduous")
        + COUNTIFS('Tree List'!$C$3:$C$601,$C423,'Tree List'!$D$3:$D$601,"Broadleaf Evergreen")) &gt; 0,
            _xlfn.IFS($K423="Small",0.4,$K423="Small/Medium",0.8,$K423="Medium/Large",1.2,$K423="Large",1.6)
    ),
    ""
),
"")</f>
        <v/>
      </c>
      <c r="M423" s="474" t="str">
        <f t="shared" si="411"/>
        <v/>
      </c>
      <c r="N423" s="620" t="str" cm="1">
        <f t="array" aca="1" ref="N42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IF(AND(_xlpm.baseRow,ISNA(MATCH($C423,'Tree List'!$C$3:$C$601,0)),SUMPRODUCT(--ISNUMBER(SEARCH(Tables2!$C$677:$C$772,$O423)))&gt;0),
Error!$B$57,
IF(AND(_xlpm.hasDM,$F423="Remove",$H423&lt;&gt;"",OR($I423="On-site replacement",$I423="Off-site replacement",$I423="Payment In Lieu")),
Error!$B$56,
IF(AND(_xlpm.hasDM,$F423="Remove",$H423&lt;&gt;"",$I423="Relocation"),
Error!$B$66,
IF(AND(OR(_xlpm.hasCN,_xlpm.hasPH,_xlpm.hasGR),$H423&lt;&gt;"",COUNTIF(Tables!$B$132:$B$134,$H423)&gt;0,$I423="N/A (No replacement required)"),
Error!$B$62,
IF(AND(_xlpm.baseRow,$E423&lt;&gt;"",ISNA(MATCH($E423,Tables!$B$225:$B$232,0))),
Error!$B$2,
IF(AND(_xlpm.baseRow,$F423&lt;&gt;"",ISNA(MATCH($F423,Tables!$B$234:$B$235,0))),
Error!$B$24,
IF(AND(_xlpm.baseRow,_xlpm.ECA_H&gt;0,_xlpm.Shore_H&gt;0),
Error!$B$16,
IF(AND(_xlpm.baseRow,$E423&lt;&gt;"",$D423=""),
Error!$B$3,
IF(AND(_xlpm.baseRow,OR($E423="Tier 3",$E423="Tier 4"),$C423&lt;&gt;"",$D423&gt;=24,COUNTIF(Tables2!$B$166:$B$674,$C423)&gt;0),
Error!$B$44,
IF(AND(_xlpm.baseRow,OR($E423="Tier 3",$E423="Tier 4"),$C423&lt;&gt;"",$D423&lt;&gt;"",COUNTIF(Tables2!$B$73:$B$152,$C423)&gt;0,
$D423&gt;=IFERROR(INDEX(Tables2!$C$73:$C$152,MATCH($C423,Tables2!$B$73:$B$152,0)),-1)),
Error!$B$44,
IF(AND(_xlpm.baseRow,OR($E423="Tier 2",$E423="Tier 2 Grove"),$C423&lt;&gt;"",$D423&gt;=12,COUNTIF(Tables2!$B$153:$B$162,$C423)&gt;0),
Error!$B$45,
IF(AND(_xlpm.baseRow,$E423="Tier 2 Grove",$D423&lt;12),
Error!$B$41,
IF(AND(_xlpm.baseRow,$E423="Tier 2",$D423&lt;5.88),
Error!$B$40,
IF(AND(_xlpm.baseRow,OR($E423="Tier 2",$E423="Tier 2 Grove"),$C423&lt;&gt;"",$D423&lt;12,$D423&gt;=6,COUNTIF(Tables2!$B$153:$B$162,$C423)&gt;0),
Error!$B$54,
IF(AND(_xlpm.baseRow,$E423="Tier 2",COUNTIF(Tables2!$B$166:$B$674,$C423)&gt;0,$D423&lt;24),
Error!$B$54,
IF(AND(_xlpm.baseRow,$E423="Tier 3",ISNA(MATCH($C423,Tables2!$B$153:$B$162,0)),OR($D423&lt;12,$D423&gt;=24)),
Error!$B$9,
IF(AND(_xlpm.baseRow,$E423="Tier 3",COUNTIF(Tables2!$B$153:$B$162,$C423)&gt;0,$D423&lt;12),
Error!$B$46,
IF(AND(_xlpm.baseRow,$E423="Tier 4",OR($D423&lt;6,$D423&gt;=12)),
Error!$B$10,
IF(AND(_xlpm.baseRow,$E423="&lt;6in DSH for Tree Points",OR($D423&gt;=6,$D423="")),
Error!$B$8,
IF(AND(_xlpm.baseRow,$E423="Street Tree for Green Factor",$F423&lt;&gt;"",$F423&lt;&gt;"Retain"),
Error!$B$14,
IF(AND($E423="&lt;6in DSH for Tree Points",$F423="Retain",$H423&lt;&gt;"",ISNA(MATCH($H423,Tables!$B$174:$B$174,0))),
Error!$B$15,
IF(AND($E423="Street Tree for Green Factor",$F423="Retain",$H423&lt;&gt;"",$H423&lt;&gt;"Zoning: Green Factor"),
Error!$B$15,
IF(AND($E423="ECA / Shoreline Tree",$F423="Remove",$H423&lt;&gt;"",ISNA(MATCH($H423,Tables!$B$189:$B$190,0))),
Error!$B$15,
IF(AND($E423="ECA / Shoreline Tree",$F423="Retain",$H423&lt;&gt;"",ISNA(MATCH($H423,Tables!$B$184:$B$186,0))),
Error!$B$15,
IF(AND($E423="Tier 4",$F423="Remove",$H423&lt;&gt;"",ISNA(MATCH($H423,Tables!$B$171,0))),
Error!$B$15,
IF(AND($E423="Tier 4",$F423="Retain",$H423&lt;&gt;"",ISNA(MATCH($H423,Tables!$B$166:$B$168,0))),
Error!$B$15,
IF(AND($E423="Tier 3",$F423="Retain",$H423&lt;&gt;"",ISNA(MATCH($H423,Tables!$B$158:$B$160,0))),
Error!$B$15,
IF(AND($E423="Tier 3",$F423="Remove",$H423&lt;&gt;"",ISNA(MATCH($H423,Tables!$B$163,0))),
Error!$B$15,
IF(AND(OR($E423="Tier 2",$E423="Tier 2 Grove"),$F423="Remove",$H423&lt;&gt;"",ISNA(MATCH($H423,Tables!$B$153:$B$155,0))),
Error!$B$15,
IF(AND(OR($E423="Tier 2",$E423="Tier 2 Grove"),$F423="Retain",$H423&lt;&gt;"",ISNA(MATCH($H423,Tables!$B$147:$B$150,0))),
Error!$B$15,
IF(AND($E423="Tier 1",$F423="Remove",$H423&lt;&gt;"",ISNA(MATCH($H423,Tables!$B$143:$B$144,0))),
Error!$B$15,
IF(AND($E423="Tier 1",$F423="Retain",$H423&lt;&gt;"",ISNA(MATCH($H423,Tables!$B$137:$B$140,0))),
Error!$B$15,
IF(AND($E423&lt;&gt;"Tier 2",$E423&lt;&gt;"Tier 2 Grove",$E423&lt;&gt;"Tier 3",$E423&lt;&gt;"Tier 4",$H423="Zoning: Green Factor",OR($D423="",$D423&lt;6)),
Error!$B$11,
IF(AND(_xlpm.baseRow,$D423&lt;6,$E423="&lt;6in DSH for Tree Points",_xlpm.TreePoints_H=0),
Error!$B$21,
IF(AND(_xlpm.baseRow,$E423&lt;&gt;"",$D423&lt;&gt;"",$F423=""),
Error!$B$4,
IF(AND(_xlpm.baseRow,$F423="Remove",OR($E423="Tier 1",$E423="Tier 2",$E423="Tier 2 Grove"),COUNTBLANK(_xlpm.HRange)&lt;3,_xlpm.uniqueH&gt;=2),
Error!$B$48,
IF(AND(_xlpm.baseRow,$F423="Retain",OR($E423="Tier 1",$E423="Tier 2",$E423="Tier 2 Grove"),COUNTIF(_xlpm.HRange,"Tree Code: Required to Retain Tier 1-2 Tree")=0),
Error!$B$47,
IF(AND(_xlpm.baseRow,$E423&lt;&gt;"",$D423&lt;&gt;"",$F423&lt;&gt;"",COUNTBLANK(_xlpm.HRange)=4),
Error!$B$5,
IF(AND($F423="Remove",$H423&lt;&gt;"",$I423=""),
Error!$B$18,
IF(AND($E423="Tier 4",$F423="Remove",$H423="Tree Protection Code: Tier 3 or Tier 4 Allowance",$H423&lt;&gt;"",ISNA(MATCH($I423,Tables!$B$200,0))),
Error!$B$17,
IF(AND($E423="Tier 3",$F423="Remove",$H423&lt;&gt;"",$H423="Tree Protection Code: Tier 3 or Tier 4 Allowance",OR($I423="",ISNA(MATCH($I423,Tables!$B$193:$B$197,0)))),
Error!$B$17,
IF(AND(OR($E423="Tier 2",$E423="Tier 2 Grove"),$F423="Remove",$H423="Tree Protection Code: Other removal allowance or exemption",$I423&lt;&gt;"",ISNA(MATCH($I423,Tables!$B$215:$B$218,0))),
Error!$B$17,
IF(AND(OR($E423="Tier 2",$E423="Tier 2 Grove"),$F423="Remove",$H423="Tree Protection Code: Development Capacity",$I423&lt;&gt;"",ISNA(MATCH($I423,Tables!$B$193:$B$197,0))),
Error!$B$17,
IF(AND(OR($E423="Tier 2",$E423="Tier 2 Grove"),$F423="Remove",$H423="Tree Protection Code: Necessary for Construction",$I423&lt;&gt;"",ISNA(MATCH($I423,Tables!$B$193:$B$197,0))),
Error!$B$17,
IF(AND($E423="Tier 1",$F423="Remove",$H423="Tree Protection Code: Special Exception",$I423&lt;&gt;"",ISNA(MATCH($I423,Tables!$B$215:$B$218,0))),
Error!$B$17,
IF(AND($E423="Tier 1",$F423="Remove",$H423="Tree Protection Code: Other removal allowance or exemption",$I423&lt;&gt;"",ISNA(MATCH($I423,Tables!$B$215:$B$218,0))),
Error!$B$17,
IF(AND($E423="ECA / Shoreline Tree",$F423="Remove",$H423&lt;&gt;"",OR($H423="Shoreline",$H423="Environmental Critical Area (ECA)"),ISNA(MATCH($I423,Tables!$B$209:$B$212,0))),
Error!$B$17,
IF(AND(_xlpm.baseRow,$F423="Retain",$E423="ECA / Shoreline Tree",_xlpm.ECA_Short=0),
Error!$B$61,
IF(AND($F423="Remove",ISNUMBER(MATCH($E423,{"Tier 1","Tier 2","Tier 3","Tier 4","Tier 2 Grove"},0)),ISNUMBER(MATCH($I423,{"On-site replacement","Off-site replacement"},0)),$J423="",$H423&lt;&gt;""),
Error!$B$19,
IF(AND(_xlpm.baseRow,$E423&lt;&gt;"",$D423&lt;&gt;"",$F423&lt;&gt;"",COUNTBLANK($B423:$C423)&gt;0,COUNTBLANK(_xlpm.HRange)&lt;&gt;4),
Error!$B$22,
IF(AND($H423="Zoning: Tree Points",$K423&lt;&gt;"",ISNA(MATCH($K423,Tables!$B$242:$B$253,0))),
Error!$B$58,
IF(AND($H423="Zoning: Tree Points",$K423="Small",$L423&lt;&gt;"",ISNA(MATCH($L423,Tables!$C$243:$C$244,0))),
Error!$B$59,
IF(AND($H423="Zoning: Tree Points",$K423="Small/Medium",$L423&lt;&gt;"",ISNA(MATCH($L423,Tables!$C$246:$C$247,0))),
Error!$B$59,
IF(AND($H423="Zoning: Tree Points",$K423="Medium/Large",$L423&lt;&gt;"",ISNA(MATCH($L423,Tables!$C$249:$C$250,0))),
Error!$B$59,
IF(AND($H423="Zoning: Tree Points",$K423="Large",$L423&lt;&gt;"",ISNA(MATCH($L423,Tables!$C$252:$C$253,0))),
Error!$B$59,
IF(AND($F423="Retain",$H423="Zoning: Tree Points",$C423&lt;&gt;"",$D423&lt;&gt;"",OR($K423="",$L423="",$M423="")),
Error!$B$20,
""
)))))))))))))))))))))))))))))))))))))))))))))))))))))))),
Error!$B$23))</f>
        <v/>
      </c>
      <c r="O423" s="343" t="str" cm="1">
        <f t="array" aca="1" ref="O423" ca="1">IFERROR(_xlfn.LET(
    _xlpm.txt, $C423,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24" spans="1:15" x14ac:dyDescent="0.3">
      <c r="A424" s="320"/>
      <c r="B424" s="616" t="str">
        <f t="shared" ref="B424:B426" si="477">IF($B423="", "", $B423)</f>
        <v/>
      </c>
      <c r="C424" s="617" t="str">
        <f t="shared" ref="C424:C426" si="478">IF($C423="", "", $C423)</f>
        <v/>
      </c>
      <c r="D424" s="618" t="str">
        <f t="shared" ref="D424:D426" si="479">IF($D423="", "", $D423)</f>
        <v/>
      </c>
      <c r="E424" s="616" t="str">
        <f t="shared" ref="E424:E426" si="480">IF($E423="", "", $E423)</f>
        <v/>
      </c>
      <c r="F424" s="616" t="str">
        <f t="shared" ref="F424:F426" si="481">IF($F423="", "", $F423)</f>
        <v/>
      </c>
      <c r="G424" s="619" t="str">
        <f>IF(Tree_Table1[[#This Row],[Tree Status  &amp;]]="Retain", Tables!$B$237, IF(Tree_Table1[[#This Row],[Tree Status  &amp;]]="Remove", Tables!$B$238, ""))</f>
        <v/>
      </c>
      <c r="H424" s="321"/>
      <c r="I424" s="322"/>
      <c r="J424" s="453"/>
      <c r="K424" s="323" t="str">
        <f>IFERROR(
    IF(
        AND($H424="Zoning: Tree Points", NOT(ISNUMBER(SEARCH("sp.", $C424)))),
        VLOOKUP($C424, 'Tree List'!$C$3:$F$601, 4, FALSE),
        ""
    ),
"")</f>
        <v/>
      </c>
      <c r="L424" s="324" t="str" cm="1">
        <f t="array" ref="L424">IFERROR(
IF(
    AND($H424="Zoning: Tree Points", NOT(ISNUMBER(SEARCH("sp.", $C424)))),
    _xlfn.IFS(
        (COUNTIFS('Tree List'!$C$3:$C$601,$C424,'Tree List'!$D$3:$D$601,"Coniferous")
        + COUNTIFS('Tree List'!$C$3:$C$601,$C424,'Tree List'!$D$3:$D$601,"Deciduous Conifer")) &gt; 0,
            _xlfn.IFS($K424="Small",0.5,$K424="Small/Medium",1,$K424="Medium/Large",1.4,$K424="Large",1.8),
        (COUNTIFS('Tree List'!$C$3:$C$601,$C424,'Tree List'!$D$3:$D$601,"Deciduous")
        + COUNTIFS('Tree List'!$C$3:$C$601,$C424,'Tree List'!$D$3:$D$601,"Broadleaf Evergreen")) &gt; 0,
            _xlfn.IFS($K424="Small",0.4,$K424="Small/Medium",0.8,$K424="Medium/Large",1.2,$K424="Large",1.6)
    ),
    ""
),
"")</f>
        <v/>
      </c>
      <c r="M424" s="475" t="str">
        <f t="shared" si="411"/>
        <v/>
      </c>
      <c r="N424" s="346" t="str" cm="1">
        <f t="array" aca="1" ref="N42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IF(AND(_xlpm.baseRow,ISNA(MATCH($C424,'Tree List'!$C$3:$C$601,0)),SUMPRODUCT(--ISNUMBER(SEARCH(Tables2!$C$677:$C$772,$O424)))&gt;0),
Error!$B$57,
IF(AND(_xlpm.hasDM,$F424="Remove",$H424&lt;&gt;"",OR($I424="On-site replacement",$I424="Off-site replacement",$I424="Payment In Lieu")),
Error!$B$56,
IF(AND(_xlpm.hasDM,$F424="Remove",$H424&lt;&gt;"",$I424="Relocation"),
Error!$B$66,
IF(AND(OR(_xlpm.hasCN,_xlpm.hasPH,_xlpm.hasGR),$H424&lt;&gt;"",COUNTIF(Tables!$B$132:$B$134,$H424)&gt;0,$I424="N/A (No replacement required)"),
Error!$B$62,
IF(AND(_xlpm.baseRow,$E424&lt;&gt;"",ISNA(MATCH($E424,Tables!$B$225:$B$232,0))),
Error!$B$2,
IF(AND(_xlpm.baseRow,$F424&lt;&gt;"",ISNA(MATCH($F424,Tables!$B$234:$B$235,0))),
Error!$B$24,
IF(AND(_xlpm.baseRow,_xlpm.ECA_H&gt;0,_xlpm.Shore_H&gt;0),
Error!$B$16,
IF(AND(_xlpm.baseRow,$E424&lt;&gt;"",$D424=""),
Error!$B$3,
IF(AND(_xlpm.baseRow,OR($E424="Tier 3",$E424="Tier 4"),$C424&lt;&gt;"",$D424&gt;=24,COUNTIF(Tables2!$B$166:$B$674,$C424)&gt;0),
Error!$B$44,
IF(AND(_xlpm.baseRow,OR($E424="Tier 3",$E424="Tier 4"),$C424&lt;&gt;"",$D424&lt;&gt;"",COUNTIF(Tables2!$B$73:$B$152,$C424)&gt;0,
$D424&gt;=IFERROR(INDEX(Tables2!$C$73:$C$152,MATCH($C424,Tables2!$B$73:$B$152,0)),-1)),
Error!$B$44,
IF(AND(_xlpm.baseRow,OR($E424="Tier 2",$E424="Tier 2 Grove"),$C424&lt;&gt;"",$D424&gt;=12,COUNTIF(Tables2!$B$153:$B$162,$C424)&gt;0),
Error!$B$45,
IF(AND(_xlpm.baseRow,$E424="Tier 2 Grove",$D424&lt;12),
Error!$B$41,
IF(AND(_xlpm.baseRow,$E424="Tier 2",$D424&lt;5.88),
Error!$B$40,
IF(AND(_xlpm.baseRow,OR($E424="Tier 2",$E424="Tier 2 Grove"),$C424&lt;&gt;"",$D424&lt;12,$D424&gt;=6,COUNTIF(Tables2!$B$153:$B$162,$C424)&gt;0),
Error!$B$54,
IF(AND(_xlpm.baseRow,$E424="Tier 2",COUNTIF(Tables2!$B$166:$B$674,$C424)&gt;0,$D424&lt;24),
Error!$B$54,
IF(AND(_xlpm.baseRow,$E424="Tier 3",ISNA(MATCH($C424,Tables2!$B$153:$B$162,0)),OR($D424&lt;12,$D424&gt;=24)),
Error!$B$9,
IF(AND(_xlpm.baseRow,$E424="Tier 3",COUNTIF(Tables2!$B$153:$B$162,$C424)&gt;0,$D424&lt;12),
Error!$B$46,
IF(AND(_xlpm.baseRow,$E424="Tier 4",OR($D424&lt;6,$D424&gt;=12)),
Error!$B$10,
IF(AND(_xlpm.baseRow,$E424="&lt;6in DSH for Tree Points",OR($D424&gt;=6,$D424="")),
Error!$B$8,
IF(AND(_xlpm.baseRow,$E424="Street Tree for Green Factor",$F424&lt;&gt;"",$F424&lt;&gt;"Retain"),
Error!$B$14,
IF(AND($E424="&lt;6in DSH for Tree Points",$F424="Retain",$H424&lt;&gt;"",ISNA(MATCH($H424,Tables!$B$174:$B$174,0))),
Error!$B$15,
IF(AND($E424="Street Tree for Green Factor",$F424="Retain",$H424&lt;&gt;"",$H424&lt;&gt;"Zoning: Green Factor"),
Error!$B$15,
IF(AND($E424="ECA / Shoreline Tree",$F424="Remove",$H424&lt;&gt;"",ISNA(MATCH($H424,Tables!$B$189:$B$190,0))),
Error!$B$15,
IF(AND($E424="ECA / Shoreline Tree",$F424="Retain",$H424&lt;&gt;"",ISNA(MATCH($H424,Tables!$B$184:$B$186,0))),
Error!$B$15,
IF(AND($E424="Tier 4",$F424="Remove",$H424&lt;&gt;"",ISNA(MATCH($H424,Tables!$B$171,0))),
Error!$B$15,
IF(AND($E424="Tier 4",$F424="Retain",$H424&lt;&gt;"",ISNA(MATCH($H424,Tables!$B$166:$B$168,0))),
Error!$B$15,
IF(AND($E424="Tier 3",$F424="Retain",$H424&lt;&gt;"",ISNA(MATCH($H424,Tables!$B$158:$B$160,0))),
Error!$B$15,
IF(AND($E424="Tier 3",$F424="Remove",$H424&lt;&gt;"",ISNA(MATCH($H424,Tables!$B$163,0))),
Error!$B$15,
IF(AND(OR($E424="Tier 2",$E424="Tier 2 Grove"),$F424="Remove",$H424&lt;&gt;"",ISNA(MATCH($H424,Tables!$B$153:$B$155,0))),
Error!$B$15,
IF(AND(OR($E424="Tier 2",$E424="Tier 2 Grove"),$F424="Retain",$H424&lt;&gt;"",ISNA(MATCH($H424,Tables!$B$147:$B$150,0))),
Error!$B$15,
IF(AND($E424="Tier 1",$F424="Remove",$H424&lt;&gt;"",ISNA(MATCH($H424,Tables!$B$143:$B$144,0))),
Error!$B$15,
IF(AND($E424="Tier 1",$F424="Retain",$H424&lt;&gt;"",ISNA(MATCH($H424,Tables!$B$137:$B$140,0))),
Error!$B$15,
IF(AND($E424&lt;&gt;"Tier 2",$E424&lt;&gt;"Tier 2 Grove",$E424&lt;&gt;"Tier 3",$E424&lt;&gt;"Tier 4",$H424="Zoning: Green Factor",OR($D424="",$D424&lt;6)),
Error!$B$11,
IF(AND(_xlpm.baseRow,$D424&lt;6,$E424="&lt;6in DSH for Tree Points",_xlpm.TreePoints_H=0),
Error!$B$21,
IF(AND(_xlpm.baseRow,$E424&lt;&gt;"",$D424&lt;&gt;"",$F424=""),
Error!$B$4,
IF(AND(_xlpm.baseRow,$F424="Remove",OR($E424="Tier 1",$E424="Tier 2",$E424="Tier 2 Grove"),COUNTBLANK(_xlpm.HRange)&lt;3,_xlpm.uniqueH&gt;=2),
Error!$B$48,
IF(AND(_xlpm.baseRow,$F424="Retain",OR($E424="Tier 1",$E424="Tier 2",$E424="Tier 2 Grove"),COUNTIF(_xlpm.HRange,"Tree Code: Required to Retain Tier 1-2 Tree")=0),
Error!$B$47,
IF(AND(_xlpm.baseRow,$E424&lt;&gt;"",$D424&lt;&gt;"",$F424&lt;&gt;"",COUNTBLANK(_xlpm.HRange)=4),
Error!$B$5,
IF(AND($F424="Remove",$H424&lt;&gt;"",$I424=""),
Error!$B$18,
IF(AND($E424="Tier 4",$F424="Remove",$H424="Tree Protection Code: Tier 3 or Tier 4 Allowance",$H424&lt;&gt;"",ISNA(MATCH($I424,Tables!$B$200,0))),
Error!$B$17,
IF(AND($E424="Tier 3",$F424="Remove",$H424&lt;&gt;"",$H424="Tree Protection Code: Tier 3 or Tier 4 Allowance",OR($I424="",ISNA(MATCH($I424,Tables!$B$193:$B$197,0)))),
Error!$B$17,
IF(AND(OR($E424="Tier 2",$E424="Tier 2 Grove"),$F424="Remove",$H424="Tree Protection Code: Other removal allowance or exemption",$I424&lt;&gt;"",ISNA(MATCH($I424,Tables!$B$215:$B$218,0))),
Error!$B$17,
IF(AND(OR($E424="Tier 2",$E424="Tier 2 Grove"),$F424="Remove",$H424="Tree Protection Code: Development Capacity",$I424&lt;&gt;"",ISNA(MATCH($I424,Tables!$B$193:$B$197,0))),
Error!$B$17,
IF(AND(OR($E424="Tier 2",$E424="Tier 2 Grove"),$F424="Remove",$H424="Tree Protection Code: Necessary for Construction",$I424&lt;&gt;"",ISNA(MATCH($I424,Tables!$B$193:$B$197,0))),
Error!$B$17,
IF(AND($E424="Tier 1",$F424="Remove",$H424="Tree Protection Code: Special Exception",$I424&lt;&gt;"",ISNA(MATCH($I424,Tables!$B$215:$B$218,0))),
Error!$B$17,
IF(AND($E424="Tier 1",$F424="Remove",$H424="Tree Protection Code: Other removal allowance or exemption",$I424&lt;&gt;"",ISNA(MATCH($I424,Tables!$B$215:$B$218,0))),
Error!$B$17,
IF(AND($E424="ECA / Shoreline Tree",$F424="Remove",$H424&lt;&gt;"",OR($H424="Shoreline",$H424="Environmental Critical Area (ECA)"),ISNA(MATCH($I424,Tables!$B$209:$B$212,0))),
Error!$B$17,
IF(AND(_xlpm.baseRow,$F424="Retain",$E424="ECA / Shoreline Tree",_xlpm.ECA_Short=0),
Error!$B$61,
IF(AND($F424="Remove",ISNUMBER(MATCH($E424,{"Tier 1","Tier 2","Tier 3","Tier 4","Tier 2 Grove"},0)),ISNUMBER(MATCH($I424,{"On-site replacement","Off-site replacement"},0)),$J424="",$H424&lt;&gt;""),
Error!$B$19,
IF(AND(_xlpm.baseRow,$E424&lt;&gt;"",$D424&lt;&gt;"",$F424&lt;&gt;"",COUNTBLANK($B424:$C424)&gt;0,COUNTBLANK(_xlpm.HRange)&lt;&gt;4),
Error!$B$22,
IF(AND($H424="Zoning: Tree Points",$K424&lt;&gt;"",ISNA(MATCH($K424,Tables!$B$242:$B$253,0))),
Error!$B$58,
IF(AND($H424="Zoning: Tree Points",$K424="Small",$L424&lt;&gt;"",ISNA(MATCH($L424,Tables!$C$243:$C$244,0))),
Error!$B$59,
IF(AND($H424="Zoning: Tree Points",$K424="Small/Medium",$L424&lt;&gt;"",ISNA(MATCH($L424,Tables!$C$246:$C$247,0))),
Error!$B$59,
IF(AND($H424="Zoning: Tree Points",$K424="Medium/Large",$L424&lt;&gt;"",ISNA(MATCH($L424,Tables!$C$249:$C$250,0))),
Error!$B$59,
IF(AND($H424="Zoning: Tree Points",$K424="Large",$L424&lt;&gt;"",ISNA(MATCH($L424,Tables!$C$252:$C$253,0))),
Error!$B$59,
IF(AND($F424="Retain",$H424="Zoning: Tree Points",$C424&lt;&gt;"",$D424&lt;&gt;"",OR($K424="",$L424="",$M424="")),
Error!$B$20,
""
)))))))))))))))))))))))))))))))))))))))))))))))))))))))),
Error!$B$23))</f>
        <v/>
      </c>
      <c r="O424" s="343" t="str" cm="1">
        <f t="array" aca="1" ref="O424" ca="1">IFERROR(_xlfn.LET(
    _xlpm.txt, $C424,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25" spans="1:15" x14ac:dyDescent="0.3">
      <c r="A425" s="320"/>
      <c r="B425" s="616" t="str">
        <f t="shared" si="477"/>
        <v/>
      </c>
      <c r="C425" s="617" t="str">
        <f t="shared" si="478"/>
        <v/>
      </c>
      <c r="D425" s="618" t="str">
        <f t="shared" si="479"/>
        <v/>
      </c>
      <c r="E425" s="616" t="str">
        <f t="shared" si="480"/>
        <v/>
      </c>
      <c r="F425" s="616" t="str">
        <f t="shared" si="481"/>
        <v/>
      </c>
      <c r="G425" s="619" t="str">
        <f>IF(Tree_Table1[[#This Row],[Tree Status  &amp;]]="Retain", Tables!$B$237, IF(Tree_Table1[[#This Row],[Tree Status  &amp;]]="Remove", Tables!$B$238, ""))</f>
        <v/>
      </c>
      <c r="H425" s="321"/>
      <c r="I425" s="322"/>
      <c r="J425" s="453"/>
      <c r="K425" s="323" t="str">
        <f>IFERROR(
    IF(
        AND($H425="Zoning: Tree Points", NOT(ISNUMBER(SEARCH("sp.", $C425)))),
        VLOOKUP($C425, 'Tree List'!$C$3:$F$601, 4, FALSE),
        ""
    ),
"")</f>
        <v/>
      </c>
      <c r="L425" s="324" t="str" cm="1">
        <f t="array" ref="L425">IFERROR(
IF(
    AND($H425="Zoning: Tree Points", NOT(ISNUMBER(SEARCH("sp.", $C425)))),
    _xlfn.IFS(
        (COUNTIFS('Tree List'!$C$3:$C$601,$C425,'Tree List'!$D$3:$D$601,"Coniferous")
        + COUNTIFS('Tree List'!$C$3:$C$601,$C425,'Tree List'!$D$3:$D$601,"Deciduous Conifer")) &gt; 0,
            _xlfn.IFS($K425="Small",0.5,$K425="Small/Medium",1,$K425="Medium/Large",1.4,$K425="Large",1.8),
        (COUNTIFS('Tree List'!$C$3:$C$601,$C425,'Tree List'!$D$3:$D$601,"Deciduous")
        + COUNTIFS('Tree List'!$C$3:$C$601,$C425,'Tree List'!$D$3:$D$601,"Broadleaf Evergreen")) &gt; 0,
            _xlfn.IFS($K425="Small",0.4,$K425="Small/Medium",0.8,$K425="Medium/Large",1.2,$K425="Large",1.6)
    ),
    ""
),
"")</f>
        <v/>
      </c>
      <c r="M425" s="475" t="str">
        <f t="shared" si="411"/>
        <v/>
      </c>
      <c r="N425" s="346" t="str" cm="1">
        <f t="array" aca="1" ref="N42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IF(AND(_xlpm.baseRow,ISNA(MATCH($C425,'Tree List'!$C$3:$C$601,0)),SUMPRODUCT(--ISNUMBER(SEARCH(Tables2!$C$677:$C$772,$O425)))&gt;0),
Error!$B$57,
IF(AND(_xlpm.hasDM,$F425="Remove",$H425&lt;&gt;"",OR($I425="On-site replacement",$I425="Off-site replacement",$I425="Payment In Lieu")),
Error!$B$56,
IF(AND(_xlpm.hasDM,$F425="Remove",$H425&lt;&gt;"",$I425="Relocation"),
Error!$B$66,
IF(AND(OR(_xlpm.hasCN,_xlpm.hasPH,_xlpm.hasGR),$H425&lt;&gt;"",COUNTIF(Tables!$B$132:$B$134,$H425)&gt;0,$I425="N/A (No replacement required)"),
Error!$B$62,
IF(AND(_xlpm.baseRow,$E425&lt;&gt;"",ISNA(MATCH($E425,Tables!$B$225:$B$232,0))),
Error!$B$2,
IF(AND(_xlpm.baseRow,$F425&lt;&gt;"",ISNA(MATCH($F425,Tables!$B$234:$B$235,0))),
Error!$B$24,
IF(AND(_xlpm.baseRow,_xlpm.ECA_H&gt;0,_xlpm.Shore_H&gt;0),
Error!$B$16,
IF(AND(_xlpm.baseRow,$E425&lt;&gt;"",$D425=""),
Error!$B$3,
IF(AND(_xlpm.baseRow,OR($E425="Tier 3",$E425="Tier 4"),$C425&lt;&gt;"",$D425&gt;=24,COUNTIF(Tables2!$B$166:$B$674,$C425)&gt;0),
Error!$B$44,
IF(AND(_xlpm.baseRow,OR($E425="Tier 3",$E425="Tier 4"),$C425&lt;&gt;"",$D425&lt;&gt;"",COUNTIF(Tables2!$B$73:$B$152,$C425)&gt;0,
$D425&gt;=IFERROR(INDEX(Tables2!$C$73:$C$152,MATCH($C425,Tables2!$B$73:$B$152,0)),-1)),
Error!$B$44,
IF(AND(_xlpm.baseRow,OR($E425="Tier 2",$E425="Tier 2 Grove"),$C425&lt;&gt;"",$D425&gt;=12,COUNTIF(Tables2!$B$153:$B$162,$C425)&gt;0),
Error!$B$45,
IF(AND(_xlpm.baseRow,$E425="Tier 2 Grove",$D425&lt;12),
Error!$B$41,
IF(AND(_xlpm.baseRow,$E425="Tier 2",$D425&lt;5.88),
Error!$B$40,
IF(AND(_xlpm.baseRow,OR($E425="Tier 2",$E425="Tier 2 Grove"),$C425&lt;&gt;"",$D425&lt;12,$D425&gt;=6,COUNTIF(Tables2!$B$153:$B$162,$C425)&gt;0),
Error!$B$54,
IF(AND(_xlpm.baseRow,$E425="Tier 2",COUNTIF(Tables2!$B$166:$B$674,$C425)&gt;0,$D425&lt;24),
Error!$B$54,
IF(AND(_xlpm.baseRow,$E425="Tier 3",ISNA(MATCH($C425,Tables2!$B$153:$B$162,0)),OR($D425&lt;12,$D425&gt;=24)),
Error!$B$9,
IF(AND(_xlpm.baseRow,$E425="Tier 3",COUNTIF(Tables2!$B$153:$B$162,$C425)&gt;0,$D425&lt;12),
Error!$B$46,
IF(AND(_xlpm.baseRow,$E425="Tier 4",OR($D425&lt;6,$D425&gt;=12)),
Error!$B$10,
IF(AND(_xlpm.baseRow,$E425="&lt;6in DSH for Tree Points",OR($D425&gt;=6,$D425="")),
Error!$B$8,
IF(AND(_xlpm.baseRow,$E425="Street Tree for Green Factor",$F425&lt;&gt;"",$F425&lt;&gt;"Retain"),
Error!$B$14,
IF(AND($E425="&lt;6in DSH for Tree Points",$F425="Retain",$H425&lt;&gt;"",ISNA(MATCH($H425,Tables!$B$174:$B$174,0))),
Error!$B$15,
IF(AND($E425="Street Tree for Green Factor",$F425="Retain",$H425&lt;&gt;"",$H425&lt;&gt;"Zoning: Green Factor"),
Error!$B$15,
IF(AND($E425="ECA / Shoreline Tree",$F425="Remove",$H425&lt;&gt;"",ISNA(MATCH($H425,Tables!$B$189:$B$190,0))),
Error!$B$15,
IF(AND($E425="ECA / Shoreline Tree",$F425="Retain",$H425&lt;&gt;"",ISNA(MATCH($H425,Tables!$B$184:$B$186,0))),
Error!$B$15,
IF(AND($E425="Tier 4",$F425="Remove",$H425&lt;&gt;"",ISNA(MATCH($H425,Tables!$B$171,0))),
Error!$B$15,
IF(AND($E425="Tier 4",$F425="Retain",$H425&lt;&gt;"",ISNA(MATCH($H425,Tables!$B$166:$B$168,0))),
Error!$B$15,
IF(AND($E425="Tier 3",$F425="Retain",$H425&lt;&gt;"",ISNA(MATCH($H425,Tables!$B$158:$B$160,0))),
Error!$B$15,
IF(AND($E425="Tier 3",$F425="Remove",$H425&lt;&gt;"",ISNA(MATCH($H425,Tables!$B$163,0))),
Error!$B$15,
IF(AND(OR($E425="Tier 2",$E425="Tier 2 Grove"),$F425="Remove",$H425&lt;&gt;"",ISNA(MATCH($H425,Tables!$B$153:$B$155,0))),
Error!$B$15,
IF(AND(OR($E425="Tier 2",$E425="Tier 2 Grove"),$F425="Retain",$H425&lt;&gt;"",ISNA(MATCH($H425,Tables!$B$147:$B$150,0))),
Error!$B$15,
IF(AND($E425="Tier 1",$F425="Remove",$H425&lt;&gt;"",ISNA(MATCH($H425,Tables!$B$143:$B$144,0))),
Error!$B$15,
IF(AND($E425="Tier 1",$F425="Retain",$H425&lt;&gt;"",ISNA(MATCH($H425,Tables!$B$137:$B$140,0))),
Error!$B$15,
IF(AND($E425&lt;&gt;"Tier 2",$E425&lt;&gt;"Tier 2 Grove",$E425&lt;&gt;"Tier 3",$E425&lt;&gt;"Tier 4",$H425="Zoning: Green Factor",OR($D425="",$D425&lt;6)),
Error!$B$11,
IF(AND(_xlpm.baseRow,$D425&lt;6,$E425="&lt;6in DSH for Tree Points",_xlpm.TreePoints_H=0),
Error!$B$21,
IF(AND(_xlpm.baseRow,$E425&lt;&gt;"",$D425&lt;&gt;"",$F425=""),
Error!$B$4,
IF(AND(_xlpm.baseRow,$F425="Remove",OR($E425="Tier 1",$E425="Tier 2",$E425="Tier 2 Grove"),COUNTBLANK(_xlpm.HRange)&lt;3,_xlpm.uniqueH&gt;=2),
Error!$B$48,
IF(AND(_xlpm.baseRow,$F425="Retain",OR($E425="Tier 1",$E425="Tier 2",$E425="Tier 2 Grove"),COUNTIF(_xlpm.HRange,"Tree Code: Required to Retain Tier 1-2 Tree")=0),
Error!$B$47,
IF(AND(_xlpm.baseRow,$E425&lt;&gt;"",$D425&lt;&gt;"",$F425&lt;&gt;"",COUNTBLANK(_xlpm.HRange)=4),
Error!$B$5,
IF(AND($F425="Remove",$H425&lt;&gt;"",$I425=""),
Error!$B$18,
IF(AND($E425="Tier 4",$F425="Remove",$H425="Tree Protection Code: Tier 3 or Tier 4 Allowance",$H425&lt;&gt;"",ISNA(MATCH($I425,Tables!$B$200,0))),
Error!$B$17,
IF(AND($E425="Tier 3",$F425="Remove",$H425&lt;&gt;"",$H425="Tree Protection Code: Tier 3 or Tier 4 Allowance",OR($I425="",ISNA(MATCH($I425,Tables!$B$193:$B$197,0)))),
Error!$B$17,
IF(AND(OR($E425="Tier 2",$E425="Tier 2 Grove"),$F425="Remove",$H425="Tree Protection Code: Other removal allowance or exemption",$I425&lt;&gt;"",ISNA(MATCH($I425,Tables!$B$215:$B$218,0))),
Error!$B$17,
IF(AND(OR($E425="Tier 2",$E425="Tier 2 Grove"),$F425="Remove",$H425="Tree Protection Code: Development Capacity",$I425&lt;&gt;"",ISNA(MATCH($I425,Tables!$B$193:$B$197,0))),
Error!$B$17,
IF(AND(OR($E425="Tier 2",$E425="Tier 2 Grove"),$F425="Remove",$H425="Tree Protection Code: Necessary for Construction",$I425&lt;&gt;"",ISNA(MATCH($I425,Tables!$B$193:$B$197,0))),
Error!$B$17,
IF(AND($E425="Tier 1",$F425="Remove",$H425="Tree Protection Code: Special Exception",$I425&lt;&gt;"",ISNA(MATCH($I425,Tables!$B$215:$B$218,0))),
Error!$B$17,
IF(AND($E425="Tier 1",$F425="Remove",$H425="Tree Protection Code: Other removal allowance or exemption",$I425&lt;&gt;"",ISNA(MATCH($I425,Tables!$B$215:$B$218,0))),
Error!$B$17,
IF(AND($E425="ECA / Shoreline Tree",$F425="Remove",$H425&lt;&gt;"",OR($H425="Shoreline",$H425="Environmental Critical Area (ECA)"),ISNA(MATCH($I425,Tables!$B$209:$B$212,0))),
Error!$B$17,
IF(AND(_xlpm.baseRow,$F425="Retain",$E425="ECA / Shoreline Tree",_xlpm.ECA_Short=0),
Error!$B$61,
IF(AND($F425="Remove",ISNUMBER(MATCH($E425,{"Tier 1","Tier 2","Tier 3","Tier 4","Tier 2 Grove"},0)),ISNUMBER(MATCH($I425,{"On-site replacement","Off-site replacement"},0)),$J425="",$H425&lt;&gt;""),
Error!$B$19,
IF(AND(_xlpm.baseRow,$E425&lt;&gt;"",$D425&lt;&gt;"",$F425&lt;&gt;"",COUNTBLANK($B425:$C425)&gt;0,COUNTBLANK(_xlpm.HRange)&lt;&gt;4),
Error!$B$22,
IF(AND($H425="Zoning: Tree Points",$K425&lt;&gt;"",ISNA(MATCH($K425,Tables!$B$242:$B$253,0))),
Error!$B$58,
IF(AND($H425="Zoning: Tree Points",$K425="Small",$L425&lt;&gt;"",ISNA(MATCH($L425,Tables!$C$243:$C$244,0))),
Error!$B$59,
IF(AND($H425="Zoning: Tree Points",$K425="Small/Medium",$L425&lt;&gt;"",ISNA(MATCH($L425,Tables!$C$246:$C$247,0))),
Error!$B$59,
IF(AND($H425="Zoning: Tree Points",$K425="Medium/Large",$L425&lt;&gt;"",ISNA(MATCH($L425,Tables!$C$249:$C$250,0))),
Error!$B$59,
IF(AND($H425="Zoning: Tree Points",$K425="Large",$L425&lt;&gt;"",ISNA(MATCH($L425,Tables!$C$252:$C$253,0))),
Error!$B$59,
IF(AND($F425="Retain",$H425="Zoning: Tree Points",$C425&lt;&gt;"",$D425&lt;&gt;"",OR($K425="",$L425="",$M425="")),
Error!$B$20,
""
)))))))))))))))))))))))))))))))))))))))))))))))))))))))),
Error!$B$23))</f>
        <v/>
      </c>
      <c r="O425" s="343" t="str" cm="1">
        <f t="array" aca="1" ref="O425" ca="1">IFERROR(_xlfn.LET(
    _xlpm.txt, $C425,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26" spans="1:15" ht="15" thickBot="1" x14ac:dyDescent="0.35">
      <c r="A426" s="331"/>
      <c r="B426" s="616" t="str">
        <f t="shared" si="477"/>
        <v/>
      </c>
      <c r="C426" s="617" t="str">
        <f t="shared" si="478"/>
        <v/>
      </c>
      <c r="D426" s="618" t="str">
        <f t="shared" si="479"/>
        <v/>
      </c>
      <c r="E426" s="616" t="str">
        <f t="shared" si="480"/>
        <v/>
      </c>
      <c r="F426" s="616" t="str">
        <f t="shared" si="481"/>
        <v/>
      </c>
      <c r="G426" s="619" t="str">
        <f>IF(Tree_Table1[[#This Row],[Tree Status  &amp;]]="Retain", Tables!$B$237, IF(Tree_Table1[[#This Row],[Tree Status  &amp;]]="Remove", Tables!$B$238, ""))</f>
        <v/>
      </c>
      <c r="H426" s="329"/>
      <c r="I426" s="330"/>
      <c r="J426" s="455"/>
      <c r="K426" s="327" t="str">
        <f>IFERROR(
    IF(
        AND($H426="Zoning: Tree Points", NOT(ISNUMBER(SEARCH("sp.", $C426)))),
        VLOOKUP($C426, 'Tree List'!$C$3:$F$601, 4, FALSE),
        ""
    ),
"")</f>
        <v/>
      </c>
      <c r="L426" s="328" t="str" cm="1">
        <f t="array" ref="L426">IFERROR(
IF(
    AND($H426="Zoning: Tree Points", NOT(ISNUMBER(SEARCH("sp.", $C426)))),
    _xlfn.IFS(
        (COUNTIFS('Tree List'!$C$3:$C$601,$C426,'Tree List'!$D$3:$D$601,"Coniferous")
        + COUNTIFS('Tree List'!$C$3:$C$601,$C426,'Tree List'!$D$3:$D$601,"Deciduous Conifer")) &gt; 0,
            _xlfn.IFS($K426="Small",0.5,$K426="Small/Medium",1,$K426="Medium/Large",1.4,$K426="Large",1.8),
        (COUNTIFS('Tree List'!$C$3:$C$601,$C426,'Tree List'!$D$3:$D$601,"Deciduous")
        + COUNTIFS('Tree List'!$C$3:$C$601,$C426,'Tree List'!$D$3:$D$601,"Broadleaf Evergreen")) &gt; 0,
            _xlfn.IFS($K426="Small",0.4,$K426="Small/Medium",0.8,$K426="Medium/Large",1.2,$K426="Large",1.6)
    ),
    ""
),
"")</f>
        <v/>
      </c>
      <c r="M426" s="476" t="str">
        <f t="shared" si="411"/>
        <v/>
      </c>
      <c r="N426" s="347" t="str" cm="1">
        <f t="array" aca="1" ref="N42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IF(AND(_xlpm.baseRow,ISNA(MATCH($C426,'Tree List'!$C$3:$C$601,0)),SUMPRODUCT(--ISNUMBER(SEARCH(Tables2!$C$677:$C$772,$O426)))&gt;0),
Error!$B$57,
IF(AND(_xlpm.hasDM,$F426="Remove",$H426&lt;&gt;"",OR($I426="On-site replacement",$I426="Off-site replacement",$I426="Payment In Lieu")),
Error!$B$56,
IF(AND(_xlpm.hasDM,$F426="Remove",$H426&lt;&gt;"",$I426="Relocation"),
Error!$B$66,
IF(AND(OR(_xlpm.hasCN,_xlpm.hasPH,_xlpm.hasGR),$H426&lt;&gt;"",COUNTIF(Tables!$B$132:$B$134,$H426)&gt;0,$I426="N/A (No replacement required)"),
Error!$B$62,
IF(AND(_xlpm.baseRow,$E426&lt;&gt;"",ISNA(MATCH($E426,Tables!$B$225:$B$232,0))),
Error!$B$2,
IF(AND(_xlpm.baseRow,$F426&lt;&gt;"",ISNA(MATCH($F426,Tables!$B$234:$B$235,0))),
Error!$B$24,
IF(AND(_xlpm.baseRow,_xlpm.ECA_H&gt;0,_xlpm.Shore_H&gt;0),
Error!$B$16,
IF(AND(_xlpm.baseRow,$E426&lt;&gt;"",$D426=""),
Error!$B$3,
IF(AND(_xlpm.baseRow,OR($E426="Tier 3",$E426="Tier 4"),$C426&lt;&gt;"",$D426&gt;=24,COUNTIF(Tables2!$B$166:$B$674,$C426)&gt;0),
Error!$B$44,
IF(AND(_xlpm.baseRow,OR($E426="Tier 3",$E426="Tier 4"),$C426&lt;&gt;"",$D426&lt;&gt;"",COUNTIF(Tables2!$B$73:$B$152,$C426)&gt;0,
$D426&gt;=IFERROR(INDEX(Tables2!$C$73:$C$152,MATCH($C426,Tables2!$B$73:$B$152,0)),-1)),
Error!$B$44,
IF(AND(_xlpm.baseRow,OR($E426="Tier 2",$E426="Tier 2 Grove"),$C426&lt;&gt;"",$D426&gt;=12,COUNTIF(Tables2!$B$153:$B$162,$C426)&gt;0),
Error!$B$45,
IF(AND(_xlpm.baseRow,$E426="Tier 2 Grove",$D426&lt;12),
Error!$B$41,
IF(AND(_xlpm.baseRow,$E426="Tier 2",$D426&lt;5.88),
Error!$B$40,
IF(AND(_xlpm.baseRow,OR($E426="Tier 2",$E426="Tier 2 Grove"),$C426&lt;&gt;"",$D426&lt;12,$D426&gt;=6,COUNTIF(Tables2!$B$153:$B$162,$C426)&gt;0),
Error!$B$54,
IF(AND(_xlpm.baseRow,$E426="Tier 2",COUNTIF(Tables2!$B$166:$B$674,$C426)&gt;0,$D426&lt;24),
Error!$B$54,
IF(AND(_xlpm.baseRow,$E426="Tier 3",ISNA(MATCH($C426,Tables2!$B$153:$B$162,0)),OR($D426&lt;12,$D426&gt;=24)),
Error!$B$9,
IF(AND(_xlpm.baseRow,$E426="Tier 3",COUNTIF(Tables2!$B$153:$B$162,$C426)&gt;0,$D426&lt;12),
Error!$B$46,
IF(AND(_xlpm.baseRow,$E426="Tier 4",OR($D426&lt;6,$D426&gt;=12)),
Error!$B$10,
IF(AND(_xlpm.baseRow,$E426="&lt;6in DSH for Tree Points",OR($D426&gt;=6,$D426="")),
Error!$B$8,
IF(AND(_xlpm.baseRow,$E426="Street Tree for Green Factor",$F426&lt;&gt;"",$F426&lt;&gt;"Retain"),
Error!$B$14,
IF(AND($E426="&lt;6in DSH for Tree Points",$F426="Retain",$H426&lt;&gt;"",ISNA(MATCH($H426,Tables!$B$174:$B$174,0))),
Error!$B$15,
IF(AND($E426="Street Tree for Green Factor",$F426="Retain",$H426&lt;&gt;"",$H426&lt;&gt;"Zoning: Green Factor"),
Error!$B$15,
IF(AND($E426="ECA / Shoreline Tree",$F426="Remove",$H426&lt;&gt;"",ISNA(MATCH($H426,Tables!$B$189:$B$190,0))),
Error!$B$15,
IF(AND($E426="ECA / Shoreline Tree",$F426="Retain",$H426&lt;&gt;"",ISNA(MATCH($H426,Tables!$B$184:$B$186,0))),
Error!$B$15,
IF(AND($E426="Tier 4",$F426="Remove",$H426&lt;&gt;"",ISNA(MATCH($H426,Tables!$B$171,0))),
Error!$B$15,
IF(AND($E426="Tier 4",$F426="Retain",$H426&lt;&gt;"",ISNA(MATCH($H426,Tables!$B$166:$B$168,0))),
Error!$B$15,
IF(AND($E426="Tier 3",$F426="Retain",$H426&lt;&gt;"",ISNA(MATCH($H426,Tables!$B$158:$B$160,0))),
Error!$B$15,
IF(AND($E426="Tier 3",$F426="Remove",$H426&lt;&gt;"",ISNA(MATCH($H426,Tables!$B$163,0))),
Error!$B$15,
IF(AND(OR($E426="Tier 2",$E426="Tier 2 Grove"),$F426="Remove",$H426&lt;&gt;"",ISNA(MATCH($H426,Tables!$B$153:$B$155,0))),
Error!$B$15,
IF(AND(OR($E426="Tier 2",$E426="Tier 2 Grove"),$F426="Retain",$H426&lt;&gt;"",ISNA(MATCH($H426,Tables!$B$147:$B$150,0))),
Error!$B$15,
IF(AND($E426="Tier 1",$F426="Remove",$H426&lt;&gt;"",ISNA(MATCH($H426,Tables!$B$143:$B$144,0))),
Error!$B$15,
IF(AND($E426="Tier 1",$F426="Retain",$H426&lt;&gt;"",ISNA(MATCH($H426,Tables!$B$137:$B$140,0))),
Error!$B$15,
IF(AND($E426&lt;&gt;"Tier 2",$E426&lt;&gt;"Tier 2 Grove",$E426&lt;&gt;"Tier 3",$E426&lt;&gt;"Tier 4",$H426="Zoning: Green Factor",OR($D426="",$D426&lt;6)),
Error!$B$11,
IF(AND(_xlpm.baseRow,$D426&lt;6,$E426="&lt;6in DSH for Tree Points",_xlpm.TreePoints_H=0),
Error!$B$21,
IF(AND(_xlpm.baseRow,$E426&lt;&gt;"",$D426&lt;&gt;"",$F426=""),
Error!$B$4,
IF(AND(_xlpm.baseRow,$F426="Remove",OR($E426="Tier 1",$E426="Tier 2",$E426="Tier 2 Grove"),COUNTBLANK(_xlpm.HRange)&lt;3,_xlpm.uniqueH&gt;=2),
Error!$B$48,
IF(AND(_xlpm.baseRow,$F426="Retain",OR($E426="Tier 1",$E426="Tier 2",$E426="Tier 2 Grove"),COUNTIF(_xlpm.HRange,"Tree Code: Required to Retain Tier 1-2 Tree")=0),
Error!$B$47,
IF(AND(_xlpm.baseRow,$E426&lt;&gt;"",$D426&lt;&gt;"",$F426&lt;&gt;"",COUNTBLANK(_xlpm.HRange)=4),
Error!$B$5,
IF(AND($F426="Remove",$H426&lt;&gt;"",$I426=""),
Error!$B$18,
IF(AND($E426="Tier 4",$F426="Remove",$H426="Tree Protection Code: Tier 3 or Tier 4 Allowance",$H426&lt;&gt;"",ISNA(MATCH($I426,Tables!$B$200,0))),
Error!$B$17,
IF(AND($E426="Tier 3",$F426="Remove",$H426&lt;&gt;"",$H426="Tree Protection Code: Tier 3 or Tier 4 Allowance",OR($I426="",ISNA(MATCH($I426,Tables!$B$193:$B$197,0)))),
Error!$B$17,
IF(AND(OR($E426="Tier 2",$E426="Tier 2 Grove"),$F426="Remove",$H426="Tree Protection Code: Other removal allowance or exemption",$I426&lt;&gt;"",ISNA(MATCH($I426,Tables!$B$215:$B$218,0))),
Error!$B$17,
IF(AND(OR($E426="Tier 2",$E426="Tier 2 Grove"),$F426="Remove",$H426="Tree Protection Code: Development Capacity",$I426&lt;&gt;"",ISNA(MATCH($I426,Tables!$B$193:$B$197,0))),
Error!$B$17,
IF(AND(OR($E426="Tier 2",$E426="Tier 2 Grove"),$F426="Remove",$H426="Tree Protection Code: Necessary for Construction",$I426&lt;&gt;"",ISNA(MATCH($I426,Tables!$B$193:$B$197,0))),
Error!$B$17,
IF(AND($E426="Tier 1",$F426="Remove",$H426="Tree Protection Code: Special Exception",$I426&lt;&gt;"",ISNA(MATCH($I426,Tables!$B$215:$B$218,0))),
Error!$B$17,
IF(AND($E426="Tier 1",$F426="Remove",$H426="Tree Protection Code: Other removal allowance or exemption",$I426&lt;&gt;"",ISNA(MATCH($I426,Tables!$B$215:$B$218,0))),
Error!$B$17,
IF(AND($E426="ECA / Shoreline Tree",$F426="Remove",$H426&lt;&gt;"",OR($H426="Shoreline",$H426="Environmental Critical Area (ECA)"),ISNA(MATCH($I426,Tables!$B$209:$B$212,0))),
Error!$B$17,
IF(AND(_xlpm.baseRow,$F426="Retain",$E426="ECA / Shoreline Tree",_xlpm.ECA_Short=0),
Error!$B$61,
IF(AND($F426="Remove",ISNUMBER(MATCH($E426,{"Tier 1","Tier 2","Tier 3","Tier 4","Tier 2 Grove"},0)),ISNUMBER(MATCH($I426,{"On-site replacement","Off-site replacement"},0)),$J426="",$H426&lt;&gt;""),
Error!$B$19,
IF(AND(_xlpm.baseRow,$E426&lt;&gt;"",$D426&lt;&gt;"",$F426&lt;&gt;"",COUNTBLANK($B426:$C426)&gt;0,COUNTBLANK(_xlpm.HRange)&lt;&gt;4),
Error!$B$22,
IF(AND($H426="Zoning: Tree Points",$K426&lt;&gt;"",ISNA(MATCH($K426,Tables!$B$242:$B$253,0))),
Error!$B$58,
IF(AND($H426="Zoning: Tree Points",$K426="Small",$L426&lt;&gt;"",ISNA(MATCH($L426,Tables!$C$243:$C$244,0))),
Error!$B$59,
IF(AND($H426="Zoning: Tree Points",$K426="Small/Medium",$L426&lt;&gt;"",ISNA(MATCH($L426,Tables!$C$246:$C$247,0))),
Error!$B$59,
IF(AND($H426="Zoning: Tree Points",$K426="Medium/Large",$L426&lt;&gt;"",ISNA(MATCH($L426,Tables!$C$249:$C$250,0))),
Error!$B$59,
IF(AND($H426="Zoning: Tree Points",$K426="Large",$L426&lt;&gt;"",ISNA(MATCH($L426,Tables!$C$252:$C$253,0))),
Error!$B$59,
IF(AND($F426="Retain",$H426="Zoning: Tree Points",$C426&lt;&gt;"",$D426&lt;&gt;"",OR($K426="",$L426="",$M426="")),
Error!$B$20,
""
)))))))))))))))))))))))))))))))))))))))))))))))))))))))),
Error!$B$23))</f>
        <v/>
      </c>
      <c r="O426" s="343" t="str" cm="1">
        <f t="array" aca="1" ref="O426" ca="1">IFERROR(_xlfn.LET(
    _xlpm.txt, $C426,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27" spans="1:15" ht="15" thickBot="1" x14ac:dyDescent="0.35">
      <c r="A427" s="311">
        <v>105</v>
      </c>
      <c r="B427" s="312"/>
      <c r="C427" s="313"/>
      <c r="D427" s="478"/>
      <c r="E427" s="314"/>
      <c r="F427" s="314"/>
      <c r="G427" s="315" t="str">
        <f>IF(Tree_Table1[[#This Row],[Tree Status  &amp;]]="Retain", Tables!$B$237, IF(Tree_Table1[[#This Row],[Tree Status  &amp;]]="Remove", Tables!$B$238, ""))</f>
        <v/>
      </c>
      <c r="H427" s="316"/>
      <c r="I427" s="317"/>
      <c r="J427" s="452"/>
      <c r="K427" s="318" t="str">
        <f>IFERROR(
    IF(
        AND($H427="Zoning: Tree Points", NOT(ISNUMBER(SEARCH("sp.", $C427)))),
        VLOOKUP($C427, 'Tree List'!$C$3:$F$601, 4, FALSE),
        ""
    ),
"")</f>
        <v/>
      </c>
      <c r="L427" s="319" t="str" cm="1">
        <f t="array" ref="L427">IFERROR(
IF(
    AND($H427="Zoning: Tree Points", NOT(ISNUMBER(SEARCH("sp.", $C427)))),
    _xlfn.IFS(
        (COUNTIFS('Tree List'!$C$3:$C$601,$C427,'Tree List'!$D$3:$D$601,"Coniferous")
        + COUNTIFS('Tree List'!$C$3:$C$601,$C427,'Tree List'!$D$3:$D$601,"Deciduous Conifer")) &gt; 0,
            _xlfn.IFS($K427="Small",0.5,$K427="Small/Medium",1,$K427="Medium/Large",1.4,$K427="Large",1.8),
        (COUNTIFS('Tree List'!$C$3:$C$601,$C427,'Tree List'!$D$3:$D$601,"Deciduous")
        + COUNTIFS('Tree List'!$C$3:$C$601,$C427,'Tree List'!$D$3:$D$601,"Broadleaf Evergreen")) &gt; 0,
            _xlfn.IFS($K427="Small",0.4,$K427="Small/Medium",0.8,$K427="Medium/Large",1.2,$K427="Large",1.6)
    ),
    ""
),
"")</f>
        <v/>
      </c>
      <c r="M427" s="474" t="str">
        <f t="shared" si="411"/>
        <v/>
      </c>
      <c r="N427" s="620" t="str" cm="1">
        <f t="array" aca="1" ref="N42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IF(AND(_xlpm.baseRow,ISNA(MATCH($C427,'Tree List'!$C$3:$C$601,0)),SUMPRODUCT(--ISNUMBER(SEARCH(Tables2!$C$677:$C$772,$O427)))&gt;0),
Error!$B$57,
IF(AND(_xlpm.hasDM,$F427="Remove",$H427&lt;&gt;"",OR($I427="On-site replacement",$I427="Off-site replacement",$I427="Payment In Lieu")),
Error!$B$56,
IF(AND(_xlpm.hasDM,$F427="Remove",$H427&lt;&gt;"",$I427="Relocation"),
Error!$B$66,
IF(AND(OR(_xlpm.hasCN,_xlpm.hasPH,_xlpm.hasGR),$H427&lt;&gt;"",COUNTIF(Tables!$B$132:$B$134,$H427)&gt;0,$I427="N/A (No replacement required)"),
Error!$B$62,
IF(AND(_xlpm.baseRow,$E427&lt;&gt;"",ISNA(MATCH($E427,Tables!$B$225:$B$232,0))),
Error!$B$2,
IF(AND(_xlpm.baseRow,$F427&lt;&gt;"",ISNA(MATCH($F427,Tables!$B$234:$B$235,0))),
Error!$B$24,
IF(AND(_xlpm.baseRow,_xlpm.ECA_H&gt;0,_xlpm.Shore_H&gt;0),
Error!$B$16,
IF(AND(_xlpm.baseRow,$E427&lt;&gt;"",$D427=""),
Error!$B$3,
IF(AND(_xlpm.baseRow,OR($E427="Tier 3",$E427="Tier 4"),$C427&lt;&gt;"",$D427&gt;=24,COUNTIF(Tables2!$B$166:$B$674,$C427)&gt;0),
Error!$B$44,
IF(AND(_xlpm.baseRow,OR($E427="Tier 3",$E427="Tier 4"),$C427&lt;&gt;"",$D427&lt;&gt;"",COUNTIF(Tables2!$B$73:$B$152,$C427)&gt;0,
$D427&gt;=IFERROR(INDEX(Tables2!$C$73:$C$152,MATCH($C427,Tables2!$B$73:$B$152,0)),-1)),
Error!$B$44,
IF(AND(_xlpm.baseRow,OR($E427="Tier 2",$E427="Tier 2 Grove"),$C427&lt;&gt;"",$D427&gt;=12,COUNTIF(Tables2!$B$153:$B$162,$C427)&gt;0),
Error!$B$45,
IF(AND(_xlpm.baseRow,$E427="Tier 2 Grove",$D427&lt;12),
Error!$B$41,
IF(AND(_xlpm.baseRow,$E427="Tier 2",$D427&lt;5.88),
Error!$B$40,
IF(AND(_xlpm.baseRow,OR($E427="Tier 2",$E427="Tier 2 Grove"),$C427&lt;&gt;"",$D427&lt;12,$D427&gt;=6,COUNTIF(Tables2!$B$153:$B$162,$C427)&gt;0),
Error!$B$54,
IF(AND(_xlpm.baseRow,$E427="Tier 2",COUNTIF(Tables2!$B$166:$B$674,$C427)&gt;0,$D427&lt;24),
Error!$B$54,
IF(AND(_xlpm.baseRow,$E427="Tier 3",ISNA(MATCH($C427,Tables2!$B$153:$B$162,0)),OR($D427&lt;12,$D427&gt;=24)),
Error!$B$9,
IF(AND(_xlpm.baseRow,$E427="Tier 3",COUNTIF(Tables2!$B$153:$B$162,$C427)&gt;0,$D427&lt;12),
Error!$B$46,
IF(AND(_xlpm.baseRow,$E427="Tier 4",OR($D427&lt;6,$D427&gt;=12)),
Error!$B$10,
IF(AND(_xlpm.baseRow,$E427="&lt;6in DSH for Tree Points",OR($D427&gt;=6,$D427="")),
Error!$B$8,
IF(AND(_xlpm.baseRow,$E427="Street Tree for Green Factor",$F427&lt;&gt;"",$F427&lt;&gt;"Retain"),
Error!$B$14,
IF(AND($E427="&lt;6in DSH for Tree Points",$F427="Retain",$H427&lt;&gt;"",ISNA(MATCH($H427,Tables!$B$174:$B$174,0))),
Error!$B$15,
IF(AND($E427="Street Tree for Green Factor",$F427="Retain",$H427&lt;&gt;"",$H427&lt;&gt;"Zoning: Green Factor"),
Error!$B$15,
IF(AND($E427="ECA / Shoreline Tree",$F427="Remove",$H427&lt;&gt;"",ISNA(MATCH($H427,Tables!$B$189:$B$190,0))),
Error!$B$15,
IF(AND($E427="ECA / Shoreline Tree",$F427="Retain",$H427&lt;&gt;"",ISNA(MATCH($H427,Tables!$B$184:$B$186,0))),
Error!$B$15,
IF(AND($E427="Tier 4",$F427="Remove",$H427&lt;&gt;"",ISNA(MATCH($H427,Tables!$B$171,0))),
Error!$B$15,
IF(AND($E427="Tier 4",$F427="Retain",$H427&lt;&gt;"",ISNA(MATCH($H427,Tables!$B$166:$B$168,0))),
Error!$B$15,
IF(AND($E427="Tier 3",$F427="Retain",$H427&lt;&gt;"",ISNA(MATCH($H427,Tables!$B$158:$B$160,0))),
Error!$B$15,
IF(AND($E427="Tier 3",$F427="Remove",$H427&lt;&gt;"",ISNA(MATCH($H427,Tables!$B$163,0))),
Error!$B$15,
IF(AND(OR($E427="Tier 2",$E427="Tier 2 Grove"),$F427="Remove",$H427&lt;&gt;"",ISNA(MATCH($H427,Tables!$B$153:$B$155,0))),
Error!$B$15,
IF(AND(OR($E427="Tier 2",$E427="Tier 2 Grove"),$F427="Retain",$H427&lt;&gt;"",ISNA(MATCH($H427,Tables!$B$147:$B$150,0))),
Error!$B$15,
IF(AND($E427="Tier 1",$F427="Remove",$H427&lt;&gt;"",ISNA(MATCH($H427,Tables!$B$143:$B$144,0))),
Error!$B$15,
IF(AND($E427="Tier 1",$F427="Retain",$H427&lt;&gt;"",ISNA(MATCH($H427,Tables!$B$137:$B$140,0))),
Error!$B$15,
IF(AND($E427&lt;&gt;"Tier 2",$E427&lt;&gt;"Tier 2 Grove",$E427&lt;&gt;"Tier 3",$E427&lt;&gt;"Tier 4",$H427="Zoning: Green Factor",OR($D427="",$D427&lt;6)),
Error!$B$11,
IF(AND(_xlpm.baseRow,$D427&lt;6,$E427="&lt;6in DSH for Tree Points",_xlpm.TreePoints_H=0),
Error!$B$21,
IF(AND(_xlpm.baseRow,$E427&lt;&gt;"",$D427&lt;&gt;"",$F427=""),
Error!$B$4,
IF(AND(_xlpm.baseRow,$F427="Remove",OR($E427="Tier 1",$E427="Tier 2",$E427="Tier 2 Grove"),COUNTBLANK(_xlpm.HRange)&lt;3,_xlpm.uniqueH&gt;=2),
Error!$B$48,
IF(AND(_xlpm.baseRow,$F427="Retain",OR($E427="Tier 1",$E427="Tier 2",$E427="Tier 2 Grove"),COUNTIF(_xlpm.HRange,"Tree Code: Required to Retain Tier 1-2 Tree")=0),
Error!$B$47,
IF(AND(_xlpm.baseRow,$E427&lt;&gt;"",$D427&lt;&gt;"",$F427&lt;&gt;"",COUNTBLANK(_xlpm.HRange)=4),
Error!$B$5,
IF(AND($F427="Remove",$H427&lt;&gt;"",$I427=""),
Error!$B$18,
IF(AND($E427="Tier 4",$F427="Remove",$H427="Tree Protection Code: Tier 3 or Tier 4 Allowance",$H427&lt;&gt;"",ISNA(MATCH($I427,Tables!$B$200,0))),
Error!$B$17,
IF(AND($E427="Tier 3",$F427="Remove",$H427&lt;&gt;"",$H427="Tree Protection Code: Tier 3 or Tier 4 Allowance",OR($I427="",ISNA(MATCH($I427,Tables!$B$193:$B$197,0)))),
Error!$B$17,
IF(AND(OR($E427="Tier 2",$E427="Tier 2 Grove"),$F427="Remove",$H427="Tree Protection Code: Other removal allowance or exemption",$I427&lt;&gt;"",ISNA(MATCH($I427,Tables!$B$215:$B$218,0))),
Error!$B$17,
IF(AND(OR($E427="Tier 2",$E427="Tier 2 Grove"),$F427="Remove",$H427="Tree Protection Code: Development Capacity",$I427&lt;&gt;"",ISNA(MATCH($I427,Tables!$B$193:$B$197,0))),
Error!$B$17,
IF(AND(OR($E427="Tier 2",$E427="Tier 2 Grove"),$F427="Remove",$H427="Tree Protection Code: Necessary for Construction",$I427&lt;&gt;"",ISNA(MATCH($I427,Tables!$B$193:$B$197,0))),
Error!$B$17,
IF(AND($E427="Tier 1",$F427="Remove",$H427="Tree Protection Code: Special Exception",$I427&lt;&gt;"",ISNA(MATCH($I427,Tables!$B$215:$B$218,0))),
Error!$B$17,
IF(AND($E427="Tier 1",$F427="Remove",$H427="Tree Protection Code: Other removal allowance or exemption",$I427&lt;&gt;"",ISNA(MATCH($I427,Tables!$B$215:$B$218,0))),
Error!$B$17,
IF(AND($E427="ECA / Shoreline Tree",$F427="Remove",$H427&lt;&gt;"",OR($H427="Shoreline",$H427="Environmental Critical Area (ECA)"),ISNA(MATCH($I427,Tables!$B$209:$B$212,0))),
Error!$B$17,
IF(AND(_xlpm.baseRow,$F427="Retain",$E427="ECA / Shoreline Tree",_xlpm.ECA_Short=0),
Error!$B$61,
IF(AND($F427="Remove",ISNUMBER(MATCH($E427,{"Tier 1","Tier 2","Tier 3","Tier 4","Tier 2 Grove"},0)),ISNUMBER(MATCH($I427,{"On-site replacement","Off-site replacement"},0)),$J427="",$H427&lt;&gt;""),
Error!$B$19,
IF(AND(_xlpm.baseRow,$E427&lt;&gt;"",$D427&lt;&gt;"",$F427&lt;&gt;"",COUNTBLANK($B427:$C427)&gt;0,COUNTBLANK(_xlpm.HRange)&lt;&gt;4),
Error!$B$22,
IF(AND($H427="Zoning: Tree Points",$K427&lt;&gt;"",ISNA(MATCH($K427,Tables!$B$242:$B$253,0))),
Error!$B$58,
IF(AND($H427="Zoning: Tree Points",$K427="Small",$L427&lt;&gt;"",ISNA(MATCH($L427,Tables!$C$243:$C$244,0))),
Error!$B$59,
IF(AND($H427="Zoning: Tree Points",$K427="Small/Medium",$L427&lt;&gt;"",ISNA(MATCH($L427,Tables!$C$246:$C$247,0))),
Error!$B$59,
IF(AND($H427="Zoning: Tree Points",$K427="Medium/Large",$L427&lt;&gt;"",ISNA(MATCH($L427,Tables!$C$249:$C$250,0))),
Error!$B$59,
IF(AND($H427="Zoning: Tree Points",$K427="Large",$L427&lt;&gt;"",ISNA(MATCH($L427,Tables!$C$252:$C$253,0))),
Error!$B$59,
IF(AND($F427="Retain",$H427="Zoning: Tree Points",$C427&lt;&gt;"",$D427&lt;&gt;"",OR($K427="",$L427="",$M427="")),
Error!$B$20,
""
)))))))))))))))))))))))))))))))))))))))))))))))))))))))),
Error!$B$23))</f>
        <v/>
      </c>
      <c r="O427" s="343" t="str" cm="1">
        <f t="array" aca="1" ref="O427" ca="1">IFERROR(_xlfn.LET(
    _xlpm.txt, $C427,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28" spans="1:15" x14ac:dyDescent="0.3">
      <c r="A428" s="320"/>
      <c r="B428" s="616" t="str">
        <f t="shared" ref="B428:B430" si="482">IF($B427="", "", $B427)</f>
        <v/>
      </c>
      <c r="C428" s="617" t="str">
        <f t="shared" ref="C428:C430" si="483">IF($C427="", "", $C427)</f>
        <v/>
      </c>
      <c r="D428" s="618" t="str">
        <f t="shared" ref="D428:D430" si="484">IF($D427="", "", $D427)</f>
        <v/>
      </c>
      <c r="E428" s="616" t="str">
        <f t="shared" ref="E428:E430" si="485">IF($E427="", "", $E427)</f>
        <v/>
      </c>
      <c r="F428" s="616" t="str">
        <f t="shared" ref="F428:F430" si="486">IF($F427="", "", $F427)</f>
        <v/>
      </c>
      <c r="G428" s="619" t="str">
        <f>IF(Tree_Table1[[#This Row],[Tree Status  &amp;]]="Retain", Tables!$B$237, IF(Tree_Table1[[#This Row],[Tree Status  &amp;]]="Remove", Tables!$B$238, ""))</f>
        <v/>
      </c>
      <c r="H428" s="321"/>
      <c r="I428" s="322"/>
      <c r="J428" s="453"/>
      <c r="K428" s="323" t="str">
        <f>IFERROR(
    IF(
        AND($H428="Zoning: Tree Points", NOT(ISNUMBER(SEARCH("sp.", $C428)))),
        VLOOKUP($C428, 'Tree List'!$C$3:$F$601, 4, FALSE),
        ""
    ),
"")</f>
        <v/>
      </c>
      <c r="L428" s="324" t="str" cm="1">
        <f t="array" ref="L428">IFERROR(
IF(
    AND($H428="Zoning: Tree Points", NOT(ISNUMBER(SEARCH("sp.", $C428)))),
    _xlfn.IFS(
        (COUNTIFS('Tree List'!$C$3:$C$601,$C428,'Tree List'!$D$3:$D$601,"Coniferous")
        + COUNTIFS('Tree List'!$C$3:$C$601,$C428,'Tree List'!$D$3:$D$601,"Deciduous Conifer")) &gt; 0,
            _xlfn.IFS($K428="Small",0.5,$K428="Small/Medium",1,$K428="Medium/Large",1.4,$K428="Large",1.8),
        (COUNTIFS('Tree List'!$C$3:$C$601,$C428,'Tree List'!$D$3:$D$601,"Deciduous")
        + COUNTIFS('Tree List'!$C$3:$C$601,$C428,'Tree List'!$D$3:$D$601,"Broadleaf Evergreen")) &gt; 0,
            _xlfn.IFS($K428="Small",0.4,$K428="Small/Medium",0.8,$K428="Medium/Large",1.2,$K428="Large",1.6)
    ),
    ""
),
"")</f>
        <v/>
      </c>
      <c r="M428" s="475" t="str">
        <f t="shared" si="411"/>
        <v/>
      </c>
      <c r="N428" s="346" t="str" cm="1">
        <f t="array" aca="1" ref="N42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IF(AND(_xlpm.baseRow,ISNA(MATCH($C428,'Tree List'!$C$3:$C$601,0)),SUMPRODUCT(--ISNUMBER(SEARCH(Tables2!$C$677:$C$772,$O428)))&gt;0),
Error!$B$57,
IF(AND(_xlpm.hasDM,$F428="Remove",$H428&lt;&gt;"",OR($I428="On-site replacement",$I428="Off-site replacement",$I428="Payment In Lieu")),
Error!$B$56,
IF(AND(_xlpm.hasDM,$F428="Remove",$H428&lt;&gt;"",$I428="Relocation"),
Error!$B$66,
IF(AND(OR(_xlpm.hasCN,_xlpm.hasPH,_xlpm.hasGR),$H428&lt;&gt;"",COUNTIF(Tables!$B$132:$B$134,$H428)&gt;0,$I428="N/A (No replacement required)"),
Error!$B$62,
IF(AND(_xlpm.baseRow,$E428&lt;&gt;"",ISNA(MATCH($E428,Tables!$B$225:$B$232,0))),
Error!$B$2,
IF(AND(_xlpm.baseRow,$F428&lt;&gt;"",ISNA(MATCH($F428,Tables!$B$234:$B$235,0))),
Error!$B$24,
IF(AND(_xlpm.baseRow,_xlpm.ECA_H&gt;0,_xlpm.Shore_H&gt;0),
Error!$B$16,
IF(AND(_xlpm.baseRow,$E428&lt;&gt;"",$D428=""),
Error!$B$3,
IF(AND(_xlpm.baseRow,OR($E428="Tier 3",$E428="Tier 4"),$C428&lt;&gt;"",$D428&gt;=24,COUNTIF(Tables2!$B$166:$B$674,$C428)&gt;0),
Error!$B$44,
IF(AND(_xlpm.baseRow,OR($E428="Tier 3",$E428="Tier 4"),$C428&lt;&gt;"",$D428&lt;&gt;"",COUNTIF(Tables2!$B$73:$B$152,$C428)&gt;0,
$D428&gt;=IFERROR(INDEX(Tables2!$C$73:$C$152,MATCH($C428,Tables2!$B$73:$B$152,0)),-1)),
Error!$B$44,
IF(AND(_xlpm.baseRow,OR($E428="Tier 2",$E428="Tier 2 Grove"),$C428&lt;&gt;"",$D428&gt;=12,COUNTIF(Tables2!$B$153:$B$162,$C428)&gt;0),
Error!$B$45,
IF(AND(_xlpm.baseRow,$E428="Tier 2 Grove",$D428&lt;12),
Error!$B$41,
IF(AND(_xlpm.baseRow,$E428="Tier 2",$D428&lt;5.88),
Error!$B$40,
IF(AND(_xlpm.baseRow,OR($E428="Tier 2",$E428="Tier 2 Grove"),$C428&lt;&gt;"",$D428&lt;12,$D428&gt;=6,COUNTIF(Tables2!$B$153:$B$162,$C428)&gt;0),
Error!$B$54,
IF(AND(_xlpm.baseRow,$E428="Tier 2",COUNTIF(Tables2!$B$166:$B$674,$C428)&gt;0,$D428&lt;24),
Error!$B$54,
IF(AND(_xlpm.baseRow,$E428="Tier 3",ISNA(MATCH($C428,Tables2!$B$153:$B$162,0)),OR($D428&lt;12,$D428&gt;=24)),
Error!$B$9,
IF(AND(_xlpm.baseRow,$E428="Tier 3",COUNTIF(Tables2!$B$153:$B$162,$C428)&gt;0,$D428&lt;12),
Error!$B$46,
IF(AND(_xlpm.baseRow,$E428="Tier 4",OR($D428&lt;6,$D428&gt;=12)),
Error!$B$10,
IF(AND(_xlpm.baseRow,$E428="&lt;6in DSH for Tree Points",OR($D428&gt;=6,$D428="")),
Error!$B$8,
IF(AND(_xlpm.baseRow,$E428="Street Tree for Green Factor",$F428&lt;&gt;"",$F428&lt;&gt;"Retain"),
Error!$B$14,
IF(AND($E428="&lt;6in DSH for Tree Points",$F428="Retain",$H428&lt;&gt;"",ISNA(MATCH($H428,Tables!$B$174:$B$174,0))),
Error!$B$15,
IF(AND($E428="Street Tree for Green Factor",$F428="Retain",$H428&lt;&gt;"",$H428&lt;&gt;"Zoning: Green Factor"),
Error!$B$15,
IF(AND($E428="ECA / Shoreline Tree",$F428="Remove",$H428&lt;&gt;"",ISNA(MATCH($H428,Tables!$B$189:$B$190,0))),
Error!$B$15,
IF(AND($E428="ECA / Shoreline Tree",$F428="Retain",$H428&lt;&gt;"",ISNA(MATCH($H428,Tables!$B$184:$B$186,0))),
Error!$B$15,
IF(AND($E428="Tier 4",$F428="Remove",$H428&lt;&gt;"",ISNA(MATCH($H428,Tables!$B$171,0))),
Error!$B$15,
IF(AND($E428="Tier 4",$F428="Retain",$H428&lt;&gt;"",ISNA(MATCH($H428,Tables!$B$166:$B$168,0))),
Error!$B$15,
IF(AND($E428="Tier 3",$F428="Retain",$H428&lt;&gt;"",ISNA(MATCH($H428,Tables!$B$158:$B$160,0))),
Error!$B$15,
IF(AND($E428="Tier 3",$F428="Remove",$H428&lt;&gt;"",ISNA(MATCH($H428,Tables!$B$163,0))),
Error!$B$15,
IF(AND(OR($E428="Tier 2",$E428="Tier 2 Grove"),$F428="Remove",$H428&lt;&gt;"",ISNA(MATCH($H428,Tables!$B$153:$B$155,0))),
Error!$B$15,
IF(AND(OR($E428="Tier 2",$E428="Tier 2 Grove"),$F428="Retain",$H428&lt;&gt;"",ISNA(MATCH($H428,Tables!$B$147:$B$150,0))),
Error!$B$15,
IF(AND($E428="Tier 1",$F428="Remove",$H428&lt;&gt;"",ISNA(MATCH($H428,Tables!$B$143:$B$144,0))),
Error!$B$15,
IF(AND($E428="Tier 1",$F428="Retain",$H428&lt;&gt;"",ISNA(MATCH($H428,Tables!$B$137:$B$140,0))),
Error!$B$15,
IF(AND($E428&lt;&gt;"Tier 2",$E428&lt;&gt;"Tier 2 Grove",$E428&lt;&gt;"Tier 3",$E428&lt;&gt;"Tier 4",$H428="Zoning: Green Factor",OR($D428="",$D428&lt;6)),
Error!$B$11,
IF(AND(_xlpm.baseRow,$D428&lt;6,$E428="&lt;6in DSH for Tree Points",_xlpm.TreePoints_H=0),
Error!$B$21,
IF(AND(_xlpm.baseRow,$E428&lt;&gt;"",$D428&lt;&gt;"",$F428=""),
Error!$B$4,
IF(AND(_xlpm.baseRow,$F428="Remove",OR($E428="Tier 1",$E428="Tier 2",$E428="Tier 2 Grove"),COUNTBLANK(_xlpm.HRange)&lt;3,_xlpm.uniqueH&gt;=2),
Error!$B$48,
IF(AND(_xlpm.baseRow,$F428="Retain",OR($E428="Tier 1",$E428="Tier 2",$E428="Tier 2 Grove"),COUNTIF(_xlpm.HRange,"Tree Code: Required to Retain Tier 1-2 Tree")=0),
Error!$B$47,
IF(AND(_xlpm.baseRow,$E428&lt;&gt;"",$D428&lt;&gt;"",$F428&lt;&gt;"",COUNTBLANK(_xlpm.HRange)=4),
Error!$B$5,
IF(AND($F428="Remove",$H428&lt;&gt;"",$I428=""),
Error!$B$18,
IF(AND($E428="Tier 4",$F428="Remove",$H428="Tree Protection Code: Tier 3 or Tier 4 Allowance",$H428&lt;&gt;"",ISNA(MATCH($I428,Tables!$B$200,0))),
Error!$B$17,
IF(AND($E428="Tier 3",$F428="Remove",$H428&lt;&gt;"",$H428="Tree Protection Code: Tier 3 or Tier 4 Allowance",OR($I428="",ISNA(MATCH($I428,Tables!$B$193:$B$197,0)))),
Error!$B$17,
IF(AND(OR($E428="Tier 2",$E428="Tier 2 Grove"),$F428="Remove",$H428="Tree Protection Code: Other removal allowance or exemption",$I428&lt;&gt;"",ISNA(MATCH($I428,Tables!$B$215:$B$218,0))),
Error!$B$17,
IF(AND(OR($E428="Tier 2",$E428="Tier 2 Grove"),$F428="Remove",$H428="Tree Protection Code: Development Capacity",$I428&lt;&gt;"",ISNA(MATCH($I428,Tables!$B$193:$B$197,0))),
Error!$B$17,
IF(AND(OR($E428="Tier 2",$E428="Tier 2 Grove"),$F428="Remove",$H428="Tree Protection Code: Necessary for Construction",$I428&lt;&gt;"",ISNA(MATCH($I428,Tables!$B$193:$B$197,0))),
Error!$B$17,
IF(AND($E428="Tier 1",$F428="Remove",$H428="Tree Protection Code: Special Exception",$I428&lt;&gt;"",ISNA(MATCH($I428,Tables!$B$215:$B$218,0))),
Error!$B$17,
IF(AND($E428="Tier 1",$F428="Remove",$H428="Tree Protection Code: Other removal allowance or exemption",$I428&lt;&gt;"",ISNA(MATCH($I428,Tables!$B$215:$B$218,0))),
Error!$B$17,
IF(AND($E428="ECA / Shoreline Tree",$F428="Remove",$H428&lt;&gt;"",OR($H428="Shoreline",$H428="Environmental Critical Area (ECA)"),ISNA(MATCH($I428,Tables!$B$209:$B$212,0))),
Error!$B$17,
IF(AND(_xlpm.baseRow,$F428="Retain",$E428="ECA / Shoreline Tree",_xlpm.ECA_Short=0),
Error!$B$61,
IF(AND($F428="Remove",ISNUMBER(MATCH($E428,{"Tier 1","Tier 2","Tier 3","Tier 4","Tier 2 Grove"},0)),ISNUMBER(MATCH($I428,{"On-site replacement","Off-site replacement"},0)),$J428="",$H428&lt;&gt;""),
Error!$B$19,
IF(AND(_xlpm.baseRow,$E428&lt;&gt;"",$D428&lt;&gt;"",$F428&lt;&gt;"",COUNTBLANK($B428:$C428)&gt;0,COUNTBLANK(_xlpm.HRange)&lt;&gt;4),
Error!$B$22,
IF(AND($H428="Zoning: Tree Points",$K428&lt;&gt;"",ISNA(MATCH($K428,Tables!$B$242:$B$253,0))),
Error!$B$58,
IF(AND($H428="Zoning: Tree Points",$K428="Small",$L428&lt;&gt;"",ISNA(MATCH($L428,Tables!$C$243:$C$244,0))),
Error!$B$59,
IF(AND($H428="Zoning: Tree Points",$K428="Small/Medium",$L428&lt;&gt;"",ISNA(MATCH($L428,Tables!$C$246:$C$247,0))),
Error!$B$59,
IF(AND($H428="Zoning: Tree Points",$K428="Medium/Large",$L428&lt;&gt;"",ISNA(MATCH($L428,Tables!$C$249:$C$250,0))),
Error!$B$59,
IF(AND($H428="Zoning: Tree Points",$K428="Large",$L428&lt;&gt;"",ISNA(MATCH($L428,Tables!$C$252:$C$253,0))),
Error!$B$59,
IF(AND($F428="Retain",$H428="Zoning: Tree Points",$C428&lt;&gt;"",$D428&lt;&gt;"",OR($K428="",$L428="",$M428="")),
Error!$B$20,
""
)))))))))))))))))))))))))))))))))))))))))))))))))))))))),
Error!$B$23))</f>
        <v/>
      </c>
      <c r="O428" s="343" t="str" cm="1">
        <f t="array" aca="1" ref="O428" ca="1">IFERROR(_xlfn.LET(
    _xlpm.txt, $C428,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29" spans="1:15" x14ac:dyDescent="0.3">
      <c r="A429" s="320"/>
      <c r="B429" s="616" t="str">
        <f t="shared" si="482"/>
        <v/>
      </c>
      <c r="C429" s="617" t="str">
        <f t="shared" si="483"/>
        <v/>
      </c>
      <c r="D429" s="618" t="str">
        <f t="shared" si="484"/>
        <v/>
      </c>
      <c r="E429" s="616" t="str">
        <f t="shared" si="485"/>
        <v/>
      </c>
      <c r="F429" s="616" t="str">
        <f t="shared" si="486"/>
        <v/>
      </c>
      <c r="G429" s="619" t="str">
        <f>IF(Tree_Table1[[#This Row],[Tree Status  &amp;]]="Retain", Tables!$B$237, IF(Tree_Table1[[#This Row],[Tree Status  &amp;]]="Remove", Tables!$B$238, ""))</f>
        <v/>
      </c>
      <c r="H429" s="321"/>
      <c r="I429" s="322"/>
      <c r="J429" s="453"/>
      <c r="K429" s="323" t="str">
        <f>IFERROR(
    IF(
        AND($H429="Zoning: Tree Points", NOT(ISNUMBER(SEARCH("sp.", $C429)))),
        VLOOKUP($C429, 'Tree List'!$C$3:$F$601, 4, FALSE),
        ""
    ),
"")</f>
        <v/>
      </c>
      <c r="L429" s="324" t="str" cm="1">
        <f t="array" ref="L429">IFERROR(
IF(
    AND($H429="Zoning: Tree Points", NOT(ISNUMBER(SEARCH("sp.", $C429)))),
    _xlfn.IFS(
        (COUNTIFS('Tree List'!$C$3:$C$601,$C429,'Tree List'!$D$3:$D$601,"Coniferous")
        + COUNTIFS('Tree List'!$C$3:$C$601,$C429,'Tree List'!$D$3:$D$601,"Deciduous Conifer")) &gt; 0,
            _xlfn.IFS($K429="Small",0.5,$K429="Small/Medium",1,$K429="Medium/Large",1.4,$K429="Large",1.8),
        (COUNTIFS('Tree List'!$C$3:$C$601,$C429,'Tree List'!$D$3:$D$601,"Deciduous")
        + COUNTIFS('Tree List'!$C$3:$C$601,$C429,'Tree List'!$D$3:$D$601,"Broadleaf Evergreen")) &gt; 0,
            _xlfn.IFS($K429="Small",0.4,$K429="Small/Medium",0.8,$K429="Medium/Large",1.2,$K429="Large",1.6)
    ),
    ""
),
"")</f>
        <v/>
      </c>
      <c r="M429" s="475" t="str">
        <f t="shared" si="411"/>
        <v/>
      </c>
      <c r="N429" s="346" t="str" cm="1">
        <f t="array" aca="1" ref="N42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IF(AND(_xlpm.baseRow,ISNA(MATCH($C429,'Tree List'!$C$3:$C$601,0)),SUMPRODUCT(--ISNUMBER(SEARCH(Tables2!$C$677:$C$772,$O429)))&gt;0),
Error!$B$57,
IF(AND(_xlpm.hasDM,$F429="Remove",$H429&lt;&gt;"",OR($I429="On-site replacement",$I429="Off-site replacement",$I429="Payment In Lieu")),
Error!$B$56,
IF(AND(_xlpm.hasDM,$F429="Remove",$H429&lt;&gt;"",$I429="Relocation"),
Error!$B$66,
IF(AND(OR(_xlpm.hasCN,_xlpm.hasPH,_xlpm.hasGR),$H429&lt;&gt;"",COUNTIF(Tables!$B$132:$B$134,$H429)&gt;0,$I429="N/A (No replacement required)"),
Error!$B$62,
IF(AND(_xlpm.baseRow,$E429&lt;&gt;"",ISNA(MATCH($E429,Tables!$B$225:$B$232,0))),
Error!$B$2,
IF(AND(_xlpm.baseRow,$F429&lt;&gt;"",ISNA(MATCH($F429,Tables!$B$234:$B$235,0))),
Error!$B$24,
IF(AND(_xlpm.baseRow,_xlpm.ECA_H&gt;0,_xlpm.Shore_H&gt;0),
Error!$B$16,
IF(AND(_xlpm.baseRow,$E429&lt;&gt;"",$D429=""),
Error!$B$3,
IF(AND(_xlpm.baseRow,OR($E429="Tier 3",$E429="Tier 4"),$C429&lt;&gt;"",$D429&gt;=24,COUNTIF(Tables2!$B$166:$B$674,$C429)&gt;0),
Error!$B$44,
IF(AND(_xlpm.baseRow,OR($E429="Tier 3",$E429="Tier 4"),$C429&lt;&gt;"",$D429&lt;&gt;"",COUNTIF(Tables2!$B$73:$B$152,$C429)&gt;0,
$D429&gt;=IFERROR(INDEX(Tables2!$C$73:$C$152,MATCH($C429,Tables2!$B$73:$B$152,0)),-1)),
Error!$B$44,
IF(AND(_xlpm.baseRow,OR($E429="Tier 2",$E429="Tier 2 Grove"),$C429&lt;&gt;"",$D429&gt;=12,COUNTIF(Tables2!$B$153:$B$162,$C429)&gt;0),
Error!$B$45,
IF(AND(_xlpm.baseRow,$E429="Tier 2 Grove",$D429&lt;12),
Error!$B$41,
IF(AND(_xlpm.baseRow,$E429="Tier 2",$D429&lt;5.88),
Error!$B$40,
IF(AND(_xlpm.baseRow,OR($E429="Tier 2",$E429="Tier 2 Grove"),$C429&lt;&gt;"",$D429&lt;12,$D429&gt;=6,COUNTIF(Tables2!$B$153:$B$162,$C429)&gt;0),
Error!$B$54,
IF(AND(_xlpm.baseRow,$E429="Tier 2",COUNTIF(Tables2!$B$166:$B$674,$C429)&gt;0,$D429&lt;24),
Error!$B$54,
IF(AND(_xlpm.baseRow,$E429="Tier 3",ISNA(MATCH($C429,Tables2!$B$153:$B$162,0)),OR($D429&lt;12,$D429&gt;=24)),
Error!$B$9,
IF(AND(_xlpm.baseRow,$E429="Tier 3",COUNTIF(Tables2!$B$153:$B$162,$C429)&gt;0,$D429&lt;12),
Error!$B$46,
IF(AND(_xlpm.baseRow,$E429="Tier 4",OR($D429&lt;6,$D429&gt;=12)),
Error!$B$10,
IF(AND(_xlpm.baseRow,$E429="&lt;6in DSH for Tree Points",OR($D429&gt;=6,$D429="")),
Error!$B$8,
IF(AND(_xlpm.baseRow,$E429="Street Tree for Green Factor",$F429&lt;&gt;"",$F429&lt;&gt;"Retain"),
Error!$B$14,
IF(AND($E429="&lt;6in DSH for Tree Points",$F429="Retain",$H429&lt;&gt;"",ISNA(MATCH($H429,Tables!$B$174:$B$174,0))),
Error!$B$15,
IF(AND($E429="Street Tree for Green Factor",$F429="Retain",$H429&lt;&gt;"",$H429&lt;&gt;"Zoning: Green Factor"),
Error!$B$15,
IF(AND($E429="ECA / Shoreline Tree",$F429="Remove",$H429&lt;&gt;"",ISNA(MATCH($H429,Tables!$B$189:$B$190,0))),
Error!$B$15,
IF(AND($E429="ECA / Shoreline Tree",$F429="Retain",$H429&lt;&gt;"",ISNA(MATCH($H429,Tables!$B$184:$B$186,0))),
Error!$B$15,
IF(AND($E429="Tier 4",$F429="Remove",$H429&lt;&gt;"",ISNA(MATCH($H429,Tables!$B$171,0))),
Error!$B$15,
IF(AND($E429="Tier 4",$F429="Retain",$H429&lt;&gt;"",ISNA(MATCH($H429,Tables!$B$166:$B$168,0))),
Error!$B$15,
IF(AND($E429="Tier 3",$F429="Retain",$H429&lt;&gt;"",ISNA(MATCH($H429,Tables!$B$158:$B$160,0))),
Error!$B$15,
IF(AND($E429="Tier 3",$F429="Remove",$H429&lt;&gt;"",ISNA(MATCH($H429,Tables!$B$163,0))),
Error!$B$15,
IF(AND(OR($E429="Tier 2",$E429="Tier 2 Grove"),$F429="Remove",$H429&lt;&gt;"",ISNA(MATCH($H429,Tables!$B$153:$B$155,0))),
Error!$B$15,
IF(AND(OR($E429="Tier 2",$E429="Tier 2 Grove"),$F429="Retain",$H429&lt;&gt;"",ISNA(MATCH($H429,Tables!$B$147:$B$150,0))),
Error!$B$15,
IF(AND($E429="Tier 1",$F429="Remove",$H429&lt;&gt;"",ISNA(MATCH($H429,Tables!$B$143:$B$144,0))),
Error!$B$15,
IF(AND($E429="Tier 1",$F429="Retain",$H429&lt;&gt;"",ISNA(MATCH($H429,Tables!$B$137:$B$140,0))),
Error!$B$15,
IF(AND($E429&lt;&gt;"Tier 2",$E429&lt;&gt;"Tier 2 Grove",$E429&lt;&gt;"Tier 3",$E429&lt;&gt;"Tier 4",$H429="Zoning: Green Factor",OR($D429="",$D429&lt;6)),
Error!$B$11,
IF(AND(_xlpm.baseRow,$D429&lt;6,$E429="&lt;6in DSH for Tree Points",_xlpm.TreePoints_H=0),
Error!$B$21,
IF(AND(_xlpm.baseRow,$E429&lt;&gt;"",$D429&lt;&gt;"",$F429=""),
Error!$B$4,
IF(AND(_xlpm.baseRow,$F429="Remove",OR($E429="Tier 1",$E429="Tier 2",$E429="Tier 2 Grove"),COUNTBLANK(_xlpm.HRange)&lt;3,_xlpm.uniqueH&gt;=2),
Error!$B$48,
IF(AND(_xlpm.baseRow,$F429="Retain",OR($E429="Tier 1",$E429="Tier 2",$E429="Tier 2 Grove"),COUNTIF(_xlpm.HRange,"Tree Code: Required to Retain Tier 1-2 Tree")=0),
Error!$B$47,
IF(AND(_xlpm.baseRow,$E429&lt;&gt;"",$D429&lt;&gt;"",$F429&lt;&gt;"",COUNTBLANK(_xlpm.HRange)=4),
Error!$B$5,
IF(AND($F429="Remove",$H429&lt;&gt;"",$I429=""),
Error!$B$18,
IF(AND($E429="Tier 4",$F429="Remove",$H429="Tree Protection Code: Tier 3 or Tier 4 Allowance",$H429&lt;&gt;"",ISNA(MATCH($I429,Tables!$B$200,0))),
Error!$B$17,
IF(AND($E429="Tier 3",$F429="Remove",$H429&lt;&gt;"",$H429="Tree Protection Code: Tier 3 or Tier 4 Allowance",OR($I429="",ISNA(MATCH($I429,Tables!$B$193:$B$197,0)))),
Error!$B$17,
IF(AND(OR($E429="Tier 2",$E429="Tier 2 Grove"),$F429="Remove",$H429="Tree Protection Code: Other removal allowance or exemption",$I429&lt;&gt;"",ISNA(MATCH($I429,Tables!$B$215:$B$218,0))),
Error!$B$17,
IF(AND(OR($E429="Tier 2",$E429="Tier 2 Grove"),$F429="Remove",$H429="Tree Protection Code: Development Capacity",$I429&lt;&gt;"",ISNA(MATCH($I429,Tables!$B$193:$B$197,0))),
Error!$B$17,
IF(AND(OR($E429="Tier 2",$E429="Tier 2 Grove"),$F429="Remove",$H429="Tree Protection Code: Necessary for Construction",$I429&lt;&gt;"",ISNA(MATCH($I429,Tables!$B$193:$B$197,0))),
Error!$B$17,
IF(AND($E429="Tier 1",$F429="Remove",$H429="Tree Protection Code: Special Exception",$I429&lt;&gt;"",ISNA(MATCH($I429,Tables!$B$215:$B$218,0))),
Error!$B$17,
IF(AND($E429="Tier 1",$F429="Remove",$H429="Tree Protection Code: Other removal allowance or exemption",$I429&lt;&gt;"",ISNA(MATCH($I429,Tables!$B$215:$B$218,0))),
Error!$B$17,
IF(AND($E429="ECA / Shoreline Tree",$F429="Remove",$H429&lt;&gt;"",OR($H429="Shoreline",$H429="Environmental Critical Area (ECA)"),ISNA(MATCH($I429,Tables!$B$209:$B$212,0))),
Error!$B$17,
IF(AND(_xlpm.baseRow,$F429="Retain",$E429="ECA / Shoreline Tree",_xlpm.ECA_Short=0),
Error!$B$61,
IF(AND($F429="Remove",ISNUMBER(MATCH($E429,{"Tier 1","Tier 2","Tier 3","Tier 4","Tier 2 Grove"},0)),ISNUMBER(MATCH($I429,{"On-site replacement","Off-site replacement"},0)),$J429="",$H429&lt;&gt;""),
Error!$B$19,
IF(AND(_xlpm.baseRow,$E429&lt;&gt;"",$D429&lt;&gt;"",$F429&lt;&gt;"",COUNTBLANK($B429:$C429)&gt;0,COUNTBLANK(_xlpm.HRange)&lt;&gt;4),
Error!$B$22,
IF(AND($H429="Zoning: Tree Points",$K429&lt;&gt;"",ISNA(MATCH($K429,Tables!$B$242:$B$253,0))),
Error!$B$58,
IF(AND($H429="Zoning: Tree Points",$K429="Small",$L429&lt;&gt;"",ISNA(MATCH($L429,Tables!$C$243:$C$244,0))),
Error!$B$59,
IF(AND($H429="Zoning: Tree Points",$K429="Small/Medium",$L429&lt;&gt;"",ISNA(MATCH($L429,Tables!$C$246:$C$247,0))),
Error!$B$59,
IF(AND($H429="Zoning: Tree Points",$K429="Medium/Large",$L429&lt;&gt;"",ISNA(MATCH($L429,Tables!$C$249:$C$250,0))),
Error!$B$59,
IF(AND($H429="Zoning: Tree Points",$K429="Large",$L429&lt;&gt;"",ISNA(MATCH($L429,Tables!$C$252:$C$253,0))),
Error!$B$59,
IF(AND($F429="Retain",$H429="Zoning: Tree Points",$C429&lt;&gt;"",$D429&lt;&gt;"",OR($K429="",$L429="",$M429="")),
Error!$B$20,
""
)))))))))))))))))))))))))))))))))))))))))))))))))))))))),
Error!$B$23))</f>
        <v/>
      </c>
      <c r="O429" s="343" t="str" cm="1">
        <f t="array" aca="1" ref="O429" ca="1">IFERROR(_xlfn.LET(
    _xlpm.txt, $C429,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30" spans="1:15" ht="15" thickBot="1" x14ac:dyDescent="0.35">
      <c r="A430" s="331"/>
      <c r="B430" s="616" t="str">
        <f t="shared" si="482"/>
        <v/>
      </c>
      <c r="C430" s="617" t="str">
        <f t="shared" si="483"/>
        <v/>
      </c>
      <c r="D430" s="618" t="str">
        <f t="shared" si="484"/>
        <v/>
      </c>
      <c r="E430" s="616" t="str">
        <f t="shared" si="485"/>
        <v/>
      </c>
      <c r="F430" s="616" t="str">
        <f t="shared" si="486"/>
        <v/>
      </c>
      <c r="G430" s="619" t="str">
        <f>IF(Tree_Table1[[#This Row],[Tree Status  &amp;]]="Retain", Tables!$B$237, IF(Tree_Table1[[#This Row],[Tree Status  &amp;]]="Remove", Tables!$B$238, ""))</f>
        <v/>
      </c>
      <c r="H430" s="329"/>
      <c r="I430" s="330"/>
      <c r="J430" s="455"/>
      <c r="K430" s="327" t="str">
        <f>IFERROR(
    IF(
        AND($H430="Zoning: Tree Points", NOT(ISNUMBER(SEARCH("sp.", $C430)))),
        VLOOKUP($C430, 'Tree List'!$C$3:$F$601, 4, FALSE),
        ""
    ),
"")</f>
        <v/>
      </c>
      <c r="L430" s="328" t="str" cm="1">
        <f t="array" ref="L430">IFERROR(
IF(
    AND($H430="Zoning: Tree Points", NOT(ISNUMBER(SEARCH("sp.", $C430)))),
    _xlfn.IFS(
        (COUNTIFS('Tree List'!$C$3:$C$601,$C430,'Tree List'!$D$3:$D$601,"Coniferous")
        + COUNTIFS('Tree List'!$C$3:$C$601,$C430,'Tree List'!$D$3:$D$601,"Deciduous Conifer")) &gt; 0,
            _xlfn.IFS($K430="Small",0.5,$K430="Small/Medium",1,$K430="Medium/Large",1.4,$K430="Large",1.8),
        (COUNTIFS('Tree List'!$C$3:$C$601,$C430,'Tree List'!$D$3:$D$601,"Deciduous")
        + COUNTIFS('Tree List'!$C$3:$C$601,$C430,'Tree List'!$D$3:$D$601,"Broadleaf Evergreen")) &gt; 0,
            _xlfn.IFS($K430="Small",0.4,$K430="Small/Medium",0.8,$K430="Medium/Large",1.2,$K430="Large",1.6)
    ),
    ""
),
"")</f>
        <v/>
      </c>
      <c r="M430" s="476" t="str">
        <f t="shared" si="411"/>
        <v/>
      </c>
      <c r="N430" s="347" t="str" cm="1">
        <f t="array" aca="1" ref="N43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IF(AND(_xlpm.baseRow,ISNA(MATCH($C430,'Tree List'!$C$3:$C$601,0)),SUMPRODUCT(--ISNUMBER(SEARCH(Tables2!$C$677:$C$772,$O430)))&gt;0),
Error!$B$57,
IF(AND(_xlpm.hasDM,$F430="Remove",$H430&lt;&gt;"",OR($I430="On-site replacement",$I430="Off-site replacement",$I430="Payment In Lieu")),
Error!$B$56,
IF(AND(_xlpm.hasDM,$F430="Remove",$H430&lt;&gt;"",$I430="Relocation"),
Error!$B$66,
IF(AND(OR(_xlpm.hasCN,_xlpm.hasPH,_xlpm.hasGR),$H430&lt;&gt;"",COUNTIF(Tables!$B$132:$B$134,$H430)&gt;0,$I430="N/A (No replacement required)"),
Error!$B$62,
IF(AND(_xlpm.baseRow,$E430&lt;&gt;"",ISNA(MATCH($E430,Tables!$B$225:$B$232,0))),
Error!$B$2,
IF(AND(_xlpm.baseRow,$F430&lt;&gt;"",ISNA(MATCH($F430,Tables!$B$234:$B$235,0))),
Error!$B$24,
IF(AND(_xlpm.baseRow,_xlpm.ECA_H&gt;0,_xlpm.Shore_H&gt;0),
Error!$B$16,
IF(AND(_xlpm.baseRow,$E430&lt;&gt;"",$D430=""),
Error!$B$3,
IF(AND(_xlpm.baseRow,OR($E430="Tier 3",$E430="Tier 4"),$C430&lt;&gt;"",$D430&gt;=24,COUNTIF(Tables2!$B$166:$B$674,$C430)&gt;0),
Error!$B$44,
IF(AND(_xlpm.baseRow,OR($E430="Tier 3",$E430="Tier 4"),$C430&lt;&gt;"",$D430&lt;&gt;"",COUNTIF(Tables2!$B$73:$B$152,$C430)&gt;0,
$D430&gt;=IFERROR(INDEX(Tables2!$C$73:$C$152,MATCH($C430,Tables2!$B$73:$B$152,0)),-1)),
Error!$B$44,
IF(AND(_xlpm.baseRow,OR($E430="Tier 2",$E430="Tier 2 Grove"),$C430&lt;&gt;"",$D430&gt;=12,COUNTIF(Tables2!$B$153:$B$162,$C430)&gt;0),
Error!$B$45,
IF(AND(_xlpm.baseRow,$E430="Tier 2 Grove",$D430&lt;12),
Error!$B$41,
IF(AND(_xlpm.baseRow,$E430="Tier 2",$D430&lt;5.88),
Error!$B$40,
IF(AND(_xlpm.baseRow,OR($E430="Tier 2",$E430="Tier 2 Grove"),$C430&lt;&gt;"",$D430&lt;12,$D430&gt;=6,COUNTIF(Tables2!$B$153:$B$162,$C430)&gt;0),
Error!$B$54,
IF(AND(_xlpm.baseRow,$E430="Tier 2",COUNTIF(Tables2!$B$166:$B$674,$C430)&gt;0,$D430&lt;24),
Error!$B$54,
IF(AND(_xlpm.baseRow,$E430="Tier 3",ISNA(MATCH($C430,Tables2!$B$153:$B$162,0)),OR($D430&lt;12,$D430&gt;=24)),
Error!$B$9,
IF(AND(_xlpm.baseRow,$E430="Tier 3",COUNTIF(Tables2!$B$153:$B$162,$C430)&gt;0,$D430&lt;12),
Error!$B$46,
IF(AND(_xlpm.baseRow,$E430="Tier 4",OR($D430&lt;6,$D430&gt;=12)),
Error!$B$10,
IF(AND(_xlpm.baseRow,$E430="&lt;6in DSH for Tree Points",OR($D430&gt;=6,$D430="")),
Error!$B$8,
IF(AND(_xlpm.baseRow,$E430="Street Tree for Green Factor",$F430&lt;&gt;"",$F430&lt;&gt;"Retain"),
Error!$B$14,
IF(AND($E430="&lt;6in DSH for Tree Points",$F430="Retain",$H430&lt;&gt;"",ISNA(MATCH($H430,Tables!$B$174:$B$174,0))),
Error!$B$15,
IF(AND($E430="Street Tree for Green Factor",$F430="Retain",$H430&lt;&gt;"",$H430&lt;&gt;"Zoning: Green Factor"),
Error!$B$15,
IF(AND($E430="ECA / Shoreline Tree",$F430="Remove",$H430&lt;&gt;"",ISNA(MATCH($H430,Tables!$B$189:$B$190,0))),
Error!$B$15,
IF(AND($E430="ECA / Shoreline Tree",$F430="Retain",$H430&lt;&gt;"",ISNA(MATCH($H430,Tables!$B$184:$B$186,0))),
Error!$B$15,
IF(AND($E430="Tier 4",$F430="Remove",$H430&lt;&gt;"",ISNA(MATCH($H430,Tables!$B$171,0))),
Error!$B$15,
IF(AND($E430="Tier 4",$F430="Retain",$H430&lt;&gt;"",ISNA(MATCH($H430,Tables!$B$166:$B$168,0))),
Error!$B$15,
IF(AND($E430="Tier 3",$F430="Retain",$H430&lt;&gt;"",ISNA(MATCH($H430,Tables!$B$158:$B$160,0))),
Error!$B$15,
IF(AND($E430="Tier 3",$F430="Remove",$H430&lt;&gt;"",ISNA(MATCH($H430,Tables!$B$163,0))),
Error!$B$15,
IF(AND(OR($E430="Tier 2",$E430="Tier 2 Grove"),$F430="Remove",$H430&lt;&gt;"",ISNA(MATCH($H430,Tables!$B$153:$B$155,0))),
Error!$B$15,
IF(AND(OR($E430="Tier 2",$E430="Tier 2 Grove"),$F430="Retain",$H430&lt;&gt;"",ISNA(MATCH($H430,Tables!$B$147:$B$150,0))),
Error!$B$15,
IF(AND($E430="Tier 1",$F430="Remove",$H430&lt;&gt;"",ISNA(MATCH($H430,Tables!$B$143:$B$144,0))),
Error!$B$15,
IF(AND($E430="Tier 1",$F430="Retain",$H430&lt;&gt;"",ISNA(MATCH($H430,Tables!$B$137:$B$140,0))),
Error!$B$15,
IF(AND($E430&lt;&gt;"Tier 2",$E430&lt;&gt;"Tier 2 Grove",$E430&lt;&gt;"Tier 3",$E430&lt;&gt;"Tier 4",$H430="Zoning: Green Factor",OR($D430="",$D430&lt;6)),
Error!$B$11,
IF(AND(_xlpm.baseRow,$D430&lt;6,$E430="&lt;6in DSH for Tree Points",_xlpm.TreePoints_H=0),
Error!$B$21,
IF(AND(_xlpm.baseRow,$E430&lt;&gt;"",$D430&lt;&gt;"",$F430=""),
Error!$B$4,
IF(AND(_xlpm.baseRow,$F430="Remove",OR($E430="Tier 1",$E430="Tier 2",$E430="Tier 2 Grove"),COUNTBLANK(_xlpm.HRange)&lt;3,_xlpm.uniqueH&gt;=2),
Error!$B$48,
IF(AND(_xlpm.baseRow,$F430="Retain",OR($E430="Tier 1",$E430="Tier 2",$E430="Tier 2 Grove"),COUNTIF(_xlpm.HRange,"Tree Code: Required to Retain Tier 1-2 Tree")=0),
Error!$B$47,
IF(AND(_xlpm.baseRow,$E430&lt;&gt;"",$D430&lt;&gt;"",$F430&lt;&gt;"",COUNTBLANK(_xlpm.HRange)=4),
Error!$B$5,
IF(AND($F430="Remove",$H430&lt;&gt;"",$I430=""),
Error!$B$18,
IF(AND($E430="Tier 4",$F430="Remove",$H430="Tree Protection Code: Tier 3 or Tier 4 Allowance",$H430&lt;&gt;"",ISNA(MATCH($I430,Tables!$B$200,0))),
Error!$B$17,
IF(AND($E430="Tier 3",$F430="Remove",$H430&lt;&gt;"",$H430="Tree Protection Code: Tier 3 or Tier 4 Allowance",OR($I430="",ISNA(MATCH($I430,Tables!$B$193:$B$197,0)))),
Error!$B$17,
IF(AND(OR($E430="Tier 2",$E430="Tier 2 Grove"),$F430="Remove",$H430="Tree Protection Code: Other removal allowance or exemption",$I430&lt;&gt;"",ISNA(MATCH($I430,Tables!$B$215:$B$218,0))),
Error!$B$17,
IF(AND(OR($E430="Tier 2",$E430="Tier 2 Grove"),$F430="Remove",$H430="Tree Protection Code: Development Capacity",$I430&lt;&gt;"",ISNA(MATCH($I430,Tables!$B$193:$B$197,0))),
Error!$B$17,
IF(AND(OR($E430="Tier 2",$E430="Tier 2 Grove"),$F430="Remove",$H430="Tree Protection Code: Necessary for Construction",$I430&lt;&gt;"",ISNA(MATCH($I430,Tables!$B$193:$B$197,0))),
Error!$B$17,
IF(AND($E430="Tier 1",$F430="Remove",$H430="Tree Protection Code: Special Exception",$I430&lt;&gt;"",ISNA(MATCH($I430,Tables!$B$215:$B$218,0))),
Error!$B$17,
IF(AND($E430="Tier 1",$F430="Remove",$H430="Tree Protection Code: Other removal allowance or exemption",$I430&lt;&gt;"",ISNA(MATCH($I430,Tables!$B$215:$B$218,0))),
Error!$B$17,
IF(AND($E430="ECA / Shoreline Tree",$F430="Remove",$H430&lt;&gt;"",OR($H430="Shoreline",$H430="Environmental Critical Area (ECA)"),ISNA(MATCH($I430,Tables!$B$209:$B$212,0))),
Error!$B$17,
IF(AND(_xlpm.baseRow,$F430="Retain",$E430="ECA / Shoreline Tree",_xlpm.ECA_Short=0),
Error!$B$61,
IF(AND($F430="Remove",ISNUMBER(MATCH($E430,{"Tier 1","Tier 2","Tier 3","Tier 4","Tier 2 Grove"},0)),ISNUMBER(MATCH($I430,{"On-site replacement","Off-site replacement"},0)),$J430="",$H430&lt;&gt;""),
Error!$B$19,
IF(AND(_xlpm.baseRow,$E430&lt;&gt;"",$D430&lt;&gt;"",$F430&lt;&gt;"",COUNTBLANK($B430:$C430)&gt;0,COUNTBLANK(_xlpm.HRange)&lt;&gt;4),
Error!$B$22,
IF(AND($H430="Zoning: Tree Points",$K430&lt;&gt;"",ISNA(MATCH($K430,Tables!$B$242:$B$253,0))),
Error!$B$58,
IF(AND($H430="Zoning: Tree Points",$K430="Small",$L430&lt;&gt;"",ISNA(MATCH($L430,Tables!$C$243:$C$244,0))),
Error!$B$59,
IF(AND($H430="Zoning: Tree Points",$K430="Small/Medium",$L430&lt;&gt;"",ISNA(MATCH($L430,Tables!$C$246:$C$247,0))),
Error!$B$59,
IF(AND($H430="Zoning: Tree Points",$K430="Medium/Large",$L430&lt;&gt;"",ISNA(MATCH($L430,Tables!$C$249:$C$250,0))),
Error!$B$59,
IF(AND($H430="Zoning: Tree Points",$K430="Large",$L430&lt;&gt;"",ISNA(MATCH($L430,Tables!$C$252:$C$253,0))),
Error!$B$59,
IF(AND($F430="Retain",$H430="Zoning: Tree Points",$C430&lt;&gt;"",$D430&lt;&gt;"",OR($K430="",$L430="",$M430="")),
Error!$B$20,
""
)))))))))))))))))))))))))))))))))))))))))))))))))))))))),
Error!$B$23))</f>
        <v/>
      </c>
      <c r="O430" s="343" t="str" cm="1">
        <f t="array" aca="1" ref="O430" ca="1">IFERROR(_xlfn.LET(
    _xlpm.txt, $C430,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31" spans="1:15" ht="15" thickBot="1" x14ac:dyDescent="0.35">
      <c r="A431" s="311">
        <v>106</v>
      </c>
      <c r="B431" s="312"/>
      <c r="C431" s="313"/>
      <c r="D431" s="478"/>
      <c r="E431" s="314"/>
      <c r="F431" s="314"/>
      <c r="G431" s="315" t="str">
        <f>IF(Tree_Table1[[#This Row],[Tree Status  &amp;]]="Retain", Tables!$B$237, IF(Tree_Table1[[#This Row],[Tree Status  &amp;]]="Remove", Tables!$B$238, ""))</f>
        <v/>
      </c>
      <c r="H431" s="316"/>
      <c r="I431" s="317"/>
      <c r="J431" s="452"/>
      <c r="K431" s="318" t="str">
        <f>IFERROR(
    IF(
        AND($H431="Zoning: Tree Points", NOT(ISNUMBER(SEARCH("sp.", $C431)))),
        VLOOKUP($C431, 'Tree List'!$C$3:$F$601, 4, FALSE),
        ""
    ),
"")</f>
        <v/>
      </c>
      <c r="L431" s="319" t="str" cm="1">
        <f t="array" ref="L431">IFERROR(
IF(
    AND($H431="Zoning: Tree Points", NOT(ISNUMBER(SEARCH("sp.", $C431)))),
    _xlfn.IFS(
        (COUNTIFS('Tree List'!$C$3:$C$601,$C431,'Tree List'!$D$3:$D$601,"Coniferous")
        + COUNTIFS('Tree List'!$C$3:$C$601,$C431,'Tree List'!$D$3:$D$601,"Deciduous Conifer")) &gt; 0,
            _xlfn.IFS($K431="Small",0.5,$K431="Small/Medium",1,$K431="Medium/Large",1.4,$K431="Large",1.8),
        (COUNTIFS('Tree List'!$C$3:$C$601,$C431,'Tree List'!$D$3:$D$601,"Deciduous")
        + COUNTIFS('Tree List'!$C$3:$C$601,$C431,'Tree List'!$D$3:$D$601,"Broadleaf Evergreen")) &gt; 0,
            _xlfn.IFS($K431="Small",0.4,$K431="Small/Medium",0.8,$K431="Medium/Large",1.2,$K431="Large",1.6)
    ),
    ""
),
"")</f>
        <v/>
      </c>
      <c r="M431" s="474" t="str">
        <f t="shared" si="411"/>
        <v/>
      </c>
      <c r="N431" s="620" t="str" cm="1">
        <f t="array" aca="1" ref="N43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IF(AND(_xlpm.baseRow,ISNA(MATCH($C431,'Tree List'!$C$3:$C$601,0)),SUMPRODUCT(--ISNUMBER(SEARCH(Tables2!$C$677:$C$772,$O431)))&gt;0),
Error!$B$57,
IF(AND(_xlpm.hasDM,$F431="Remove",$H431&lt;&gt;"",OR($I431="On-site replacement",$I431="Off-site replacement",$I431="Payment In Lieu")),
Error!$B$56,
IF(AND(_xlpm.hasDM,$F431="Remove",$H431&lt;&gt;"",$I431="Relocation"),
Error!$B$66,
IF(AND(OR(_xlpm.hasCN,_xlpm.hasPH,_xlpm.hasGR),$H431&lt;&gt;"",COUNTIF(Tables!$B$132:$B$134,$H431)&gt;0,$I431="N/A (No replacement required)"),
Error!$B$62,
IF(AND(_xlpm.baseRow,$E431&lt;&gt;"",ISNA(MATCH($E431,Tables!$B$225:$B$232,0))),
Error!$B$2,
IF(AND(_xlpm.baseRow,$F431&lt;&gt;"",ISNA(MATCH($F431,Tables!$B$234:$B$235,0))),
Error!$B$24,
IF(AND(_xlpm.baseRow,_xlpm.ECA_H&gt;0,_xlpm.Shore_H&gt;0),
Error!$B$16,
IF(AND(_xlpm.baseRow,$E431&lt;&gt;"",$D431=""),
Error!$B$3,
IF(AND(_xlpm.baseRow,OR($E431="Tier 3",$E431="Tier 4"),$C431&lt;&gt;"",$D431&gt;=24,COUNTIF(Tables2!$B$166:$B$674,$C431)&gt;0),
Error!$B$44,
IF(AND(_xlpm.baseRow,OR($E431="Tier 3",$E431="Tier 4"),$C431&lt;&gt;"",$D431&lt;&gt;"",COUNTIF(Tables2!$B$73:$B$152,$C431)&gt;0,
$D431&gt;=IFERROR(INDEX(Tables2!$C$73:$C$152,MATCH($C431,Tables2!$B$73:$B$152,0)),-1)),
Error!$B$44,
IF(AND(_xlpm.baseRow,OR($E431="Tier 2",$E431="Tier 2 Grove"),$C431&lt;&gt;"",$D431&gt;=12,COUNTIF(Tables2!$B$153:$B$162,$C431)&gt;0),
Error!$B$45,
IF(AND(_xlpm.baseRow,$E431="Tier 2 Grove",$D431&lt;12),
Error!$B$41,
IF(AND(_xlpm.baseRow,$E431="Tier 2",$D431&lt;5.88),
Error!$B$40,
IF(AND(_xlpm.baseRow,OR($E431="Tier 2",$E431="Tier 2 Grove"),$C431&lt;&gt;"",$D431&lt;12,$D431&gt;=6,COUNTIF(Tables2!$B$153:$B$162,$C431)&gt;0),
Error!$B$54,
IF(AND(_xlpm.baseRow,$E431="Tier 2",COUNTIF(Tables2!$B$166:$B$674,$C431)&gt;0,$D431&lt;24),
Error!$B$54,
IF(AND(_xlpm.baseRow,$E431="Tier 3",ISNA(MATCH($C431,Tables2!$B$153:$B$162,0)),OR($D431&lt;12,$D431&gt;=24)),
Error!$B$9,
IF(AND(_xlpm.baseRow,$E431="Tier 3",COUNTIF(Tables2!$B$153:$B$162,$C431)&gt;0,$D431&lt;12),
Error!$B$46,
IF(AND(_xlpm.baseRow,$E431="Tier 4",OR($D431&lt;6,$D431&gt;=12)),
Error!$B$10,
IF(AND(_xlpm.baseRow,$E431="&lt;6in DSH for Tree Points",OR($D431&gt;=6,$D431="")),
Error!$B$8,
IF(AND(_xlpm.baseRow,$E431="Street Tree for Green Factor",$F431&lt;&gt;"",$F431&lt;&gt;"Retain"),
Error!$B$14,
IF(AND($E431="&lt;6in DSH for Tree Points",$F431="Retain",$H431&lt;&gt;"",ISNA(MATCH($H431,Tables!$B$174:$B$174,0))),
Error!$B$15,
IF(AND($E431="Street Tree for Green Factor",$F431="Retain",$H431&lt;&gt;"",$H431&lt;&gt;"Zoning: Green Factor"),
Error!$B$15,
IF(AND($E431="ECA / Shoreline Tree",$F431="Remove",$H431&lt;&gt;"",ISNA(MATCH($H431,Tables!$B$189:$B$190,0))),
Error!$B$15,
IF(AND($E431="ECA / Shoreline Tree",$F431="Retain",$H431&lt;&gt;"",ISNA(MATCH($H431,Tables!$B$184:$B$186,0))),
Error!$B$15,
IF(AND($E431="Tier 4",$F431="Remove",$H431&lt;&gt;"",ISNA(MATCH($H431,Tables!$B$171,0))),
Error!$B$15,
IF(AND($E431="Tier 4",$F431="Retain",$H431&lt;&gt;"",ISNA(MATCH($H431,Tables!$B$166:$B$168,0))),
Error!$B$15,
IF(AND($E431="Tier 3",$F431="Retain",$H431&lt;&gt;"",ISNA(MATCH($H431,Tables!$B$158:$B$160,0))),
Error!$B$15,
IF(AND($E431="Tier 3",$F431="Remove",$H431&lt;&gt;"",ISNA(MATCH($H431,Tables!$B$163,0))),
Error!$B$15,
IF(AND(OR($E431="Tier 2",$E431="Tier 2 Grove"),$F431="Remove",$H431&lt;&gt;"",ISNA(MATCH($H431,Tables!$B$153:$B$155,0))),
Error!$B$15,
IF(AND(OR($E431="Tier 2",$E431="Tier 2 Grove"),$F431="Retain",$H431&lt;&gt;"",ISNA(MATCH($H431,Tables!$B$147:$B$150,0))),
Error!$B$15,
IF(AND($E431="Tier 1",$F431="Remove",$H431&lt;&gt;"",ISNA(MATCH($H431,Tables!$B$143:$B$144,0))),
Error!$B$15,
IF(AND($E431="Tier 1",$F431="Retain",$H431&lt;&gt;"",ISNA(MATCH($H431,Tables!$B$137:$B$140,0))),
Error!$B$15,
IF(AND($E431&lt;&gt;"Tier 2",$E431&lt;&gt;"Tier 2 Grove",$E431&lt;&gt;"Tier 3",$E431&lt;&gt;"Tier 4",$H431="Zoning: Green Factor",OR($D431="",$D431&lt;6)),
Error!$B$11,
IF(AND(_xlpm.baseRow,$D431&lt;6,$E431="&lt;6in DSH for Tree Points",_xlpm.TreePoints_H=0),
Error!$B$21,
IF(AND(_xlpm.baseRow,$E431&lt;&gt;"",$D431&lt;&gt;"",$F431=""),
Error!$B$4,
IF(AND(_xlpm.baseRow,$F431="Remove",OR($E431="Tier 1",$E431="Tier 2",$E431="Tier 2 Grove"),COUNTBLANK(_xlpm.HRange)&lt;3,_xlpm.uniqueH&gt;=2),
Error!$B$48,
IF(AND(_xlpm.baseRow,$F431="Retain",OR($E431="Tier 1",$E431="Tier 2",$E431="Tier 2 Grove"),COUNTIF(_xlpm.HRange,"Tree Code: Required to Retain Tier 1-2 Tree")=0),
Error!$B$47,
IF(AND(_xlpm.baseRow,$E431&lt;&gt;"",$D431&lt;&gt;"",$F431&lt;&gt;"",COUNTBLANK(_xlpm.HRange)=4),
Error!$B$5,
IF(AND($F431="Remove",$H431&lt;&gt;"",$I431=""),
Error!$B$18,
IF(AND($E431="Tier 4",$F431="Remove",$H431="Tree Protection Code: Tier 3 or Tier 4 Allowance",$H431&lt;&gt;"",ISNA(MATCH($I431,Tables!$B$200,0))),
Error!$B$17,
IF(AND($E431="Tier 3",$F431="Remove",$H431&lt;&gt;"",$H431="Tree Protection Code: Tier 3 or Tier 4 Allowance",OR($I431="",ISNA(MATCH($I431,Tables!$B$193:$B$197,0)))),
Error!$B$17,
IF(AND(OR($E431="Tier 2",$E431="Tier 2 Grove"),$F431="Remove",$H431="Tree Protection Code: Other removal allowance or exemption",$I431&lt;&gt;"",ISNA(MATCH($I431,Tables!$B$215:$B$218,0))),
Error!$B$17,
IF(AND(OR($E431="Tier 2",$E431="Tier 2 Grove"),$F431="Remove",$H431="Tree Protection Code: Development Capacity",$I431&lt;&gt;"",ISNA(MATCH($I431,Tables!$B$193:$B$197,0))),
Error!$B$17,
IF(AND(OR($E431="Tier 2",$E431="Tier 2 Grove"),$F431="Remove",$H431="Tree Protection Code: Necessary for Construction",$I431&lt;&gt;"",ISNA(MATCH($I431,Tables!$B$193:$B$197,0))),
Error!$B$17,
IF(AND($E431="Tier 1",$F431="Remove",$H431="Tree Protection Code: Special Exception",$I431&lt;&gt;"",ISNA(MATCH($I431,Tables!$B$215:$B$218,0))),
Error!$B$17,
IF(AND($E431="Tier 1",$F431="Remove",$H431="Tree Protection Code: Other removal allowance or exemption",$I431&lt;&gt;"",ISNA(MATCH($I431,Tables!$B$215:$B$218,0))),
Error!$B$17,
IF(AND($E431="ECA / Shoreline Tree",$F431="Remove",$H431&lt;&gt;"",OR($H431="Shoreline",$H431="Environmental Critical Area (ECA)"),ISNA(MATCH($I431,Tables!$B$209:$B$212,0))),
Error!$B$17,
IF(AND(_xlpm.baseRow,$F431="Retain",$E431="ECA / Shoreline Tree",_xlpm.ECA_Short=0),
Error!$B$61,
IF(AND($F431="Remove",ISNUMBER(MATCH($E431,{"Tier 1","Tier 2","Tier 3","Tier 4","Tier 2 Grove"},0)),ISNUMBER(MATCH($I431,{"On-site replacement","Off-site replacement"},0)),$J431="",$H431&lt;&gt;""),
Error!$B$19,
IF(AND(_xlpm.baseRow,$E431&lt;&gt;"",$D431&lt;&gt;"",$F431&lt;&gt;"",COUNTBLANK($B431:$C431)&gt;0,COUNTBLANK(_xlpm.HRange)&lt;&gt;4),
Error!$B$22,
IF(AND($H431="Zoning: Tree Points",$K431&lt;&gt;"",ISNA(MATCH($K431,Tables!$B$242:$B$253,0))),
Error!$B$58,
IF(AND($H431="Zoning: Tree Points",$K431="Small",$L431&lt;&gt;"",ISNA(MATCH($L431,Tables!$C$243:$C$244,0))),
Error!$B$59,
IF(AND($H431="Zoning: Tree Points",$K431="Small/Medium",$L431&lt;&gt;"",ISNA(MATCH($L431,Tables!$C$246:$C$247,0))),
Error!$B$59,
IF(AND($H431="Zoning: Tree Points",$K431="Medium/Large",$L431&lt;&gt;"",ISNA(MATCH($L431,Tables!$C$249:$C$250,0))),
Error!$B$59,
IF(AND($H431="Zoning: Tree Points",$K431="Large",$L431&lt;&gt;"",ISNA(MATCH($L431,Tables!$C$252:$C$253,0))),
Error!$B$59,
IF(AND($F431="Retain",$H431="Zoning: Tree Points",$C431&lt;&gt;"",$D431&lt;&gt;"",OR($K431="",$L431="",$M431="")),
Error!$B$20,
""
)))))))))))))))))))))))))))))))))))))))))))))))))))))))),
Error!$B$23))</f>
        <v/>
      </c>
      <c r="O431" s="343" t="str" cm="1">
        <f t="array" aca="1" ref="O431" ca="1">IFERROR(_xlfn.LET(
    _xlpm.txt, $C431,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32" spans="1:15" x14ac:dyDescent="0.3">
      <c r="A432" s="320"/>
      <c r="B432" s="616" t="str">
        <f t="shared" ref="B432:B434" si="487">IF($B431="", "", $B431)</f>
        <v/>
      </c>
      <c r="C432" s="617" t="str">
        <f t="shared" ref="C432:C434" si="488">IF($C431="", "", $C431)</f>
        <v/>
      </c>
      <c r="D432" s="618" t="str">
        <f t="shared" ref="D432:D434" si="489">IF($D431="", "", $D431)</f>
        <v/>
      </c>
      <c r="E432" s="616" t="str">
        <f t="shared" ref="E432:E434" si="490">IF($E431="", "", $E431)</f>
        <v/>
      </c>
      <c r="F432" s="616" t="str">
        <f t="shared" ref="F432:F434" si="491">IF($F431="", "", $F431)</f>
        <v/>
      </c>
      <c r="G432" s="619" t="str">
        <f>IF(Tree_Table1[[#This Row],[Tree Status  &amp;]]="Retain", Tables!$B$237, IF(Tree_Table1[[#This Row],[Tree Status  &amp;]]="Remove", Tables!$B$238, ""))</f>
        <v/>
      </c>
      <c r="H432" s="321"/>
      <c r="I432" s="322"/>
      <c r="J432" s="453"/>
      <c r="K432" s="323" t="str">
        <f>IFERROR(
    IF(
        AND($H432="Zoning: Tree Points", NOT(ISNUMBER(SEARCH("sp.", $C432)))),
        VLOOKUP($C432, 'Tree List'!$C$3:$F$601, 4, FALSE),
        ""
    ),
"")</f>
        <v/>
      </c>
      <c r="L432" s="324" t="str" cm="1">
        <f t="array" ref="L432">IFERROR(
IF(
    AND($H432="Zoning: Tree Points", NOT(ISNUMBER(SEARCH("sp.", $C432)))),
    _xlfn.IFS(
        (COUNTIFS('Tree List'!$C$3:$C$601,$C432,'Tree List'!$D$3:$D$601,"Coniferous")
        + COUNTIFS('Tree List'!$C$3:$C$601,$C432,'Tree List'!$D$3:$D$601,"Deciduous Conifer")) &gt; 0,
            _xlfn.IFS($K432="Small",0.5,$K432="Small/Medium",1,$K432="Medium/Large",1.4,$K432="Large",1.8),
        (COUNTIFS('Tree List'!$C$3:$C$601,$C432,'Tree List'!$D$3:$D$601,"Deciduous")
        + COUNTIFS('Tree List'!$C$3:$C$601,$C432,'Tree List'!$D$3:$D$601,"Broadleaf Evergreen")) &gt; 0,
            _xlfn.IFS($K432="Small",0.4,$K432="Small/Medium",0.8,$K432="Medium/Large",1.2,$K432="Large",1.6)
    ),
    ""
),
"")</f>
        <v/>
      </c>
      <c r="M432" s="475" t="str">
        <f t="shared" si="411"/>
        <v/>
      </c>
      <c r="N432" s="346" t="str" cm="1">
        <f t="array" aca="1" ref="N43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IF(AND(_xlpm.baseRow,ISNA(MATCH($C432,'Tree List'!$C$3:$C$601,0)),SUMPRODUCT(--ISNUMBER(SEARCH(Tables2!$C$677:$C$772,$O432)))&gt;0),
Error!$B$57,
IF(AND(_xlpm.hasDM,$F432="Remove",$H432&lt;&gt;"",OR($I432="On-site replacement",$I432="Off-site replacement",$I432="Payment In Lieu")),
Error!$B$56,
IF(AND(_xlpm.hasDM,$F432="Remove",$H432&lt;&gt;"",$I432="Relocation"),
Error!$B$66,
IF(AND(OR(_xlpm.hasCN,_xlpm.hasPH,_xlpm.hasGR),$H432&lt;&gt;"",COUNTIF(Tables!$B$132:$B$134,$H432)&gt;0,$I432="N/A (No replacement required)"),
Error!$B$62,
IF(AND(_xlpm.baseRow,$E432&lt;&gt;"",ISNA(MATCH($E432,Tables!$B$225:$B$232,0))),
Error!$B$2,
IF(AND(_xlpm.baseRow,$F432&lt;&gt;"",ISNA(MATCH($F432,Tables!$B$234:$B$235,0))),
Error!$B$24,
IF(AND(_xlpm.baseRow,_xlpm.ECA_H&gt;0,_xlpm.Shore_H&gt;0),
Error!$B$16,
IF(AND(_xlpm.baseRow,$E432&lt;&gt;"",$D432=""),
Error!$B$3,
IF(AND(_xlpm.baseRow,OR($E432="Tier 3",$E432="Tier 4"),$C432&lt;&gt;"",$D432&gt;=24,COUNTIF(Tables2!$B$166:$B$674,$C432)&gt;0),
Error!$B$44,
IF(AND(_xlpm.baseRow,OR($E432="Tier 3",$E432="Tier 4"),$C432&lt;&gt;"",$D432&lt;&gt;"",COUNTIF(Tables2!$B$73:$B$152,$C432)&gt;0,
$D432&gt;=IFERROR(INDEX(Tables2!$C$73:$C$152,MATCH($C432,Tables2!$B$73:$B$152,0)),-1)),
Error!$B$44,
IF(AND(_xlpm.baseRow,OR($E432="Tier 2",$E432="Tier 2 Grove"),$C432&lt;&gt;"",$D432&gt;=12,COUNTIF(Tables2!$B$153:$B$162,$C432)&gt;0),
Error!$B$45,
IF(AND(_xlpm.baseRow,$E432="Tier 2 Grove",$D432&lt;12),
Error!$B$41,
IF(AND(_xlpm.baseRow,$E432="Tier 2",$D432&lt;5.88),
Error!$B$40,
IF(AND(_xlpm.baseRow,OR($E432="Tier 2",$E432="Tier 2 Grove"),$C432&lt;&gt;"",$D432&lt;12,$D432&gt;=6,COUNTIF(Tables2!$B$153:$B$162,$C432)&gt;0),
Error!$B$54,
IF(AND(_xlpm.baseRow,$E432="Tier 2",COUNTIF(Tables2!$B$166:$B$674,$C432)&gt;0,$D432&lt;24),
Error!$B$54,
IF(AND(_xlpm.baseRow,$E432="Tier 3",ISNA(MATCH($C432,Tables2!$B$153:$B$162,0)),OR($D432&lt;12,$D432&gt;=24)),
Error!$B$9,
IF(AND(_xlpm.baseRow,$E432="Tier 3",COUNTIF(Tables2!$B$153:$B$162,$C432)&gt;0,$D432&lt;12),
Error!$B$46,
IF(AND(_xlpm.baseRow,$E432="Tier 4",OR($D432&lt;6,$D432&gt;=12)),
Error!$B$10,
IF(AND(_xlpm.baseRow,$E432="&lt;6in DSH for Tree Points",OR($D432&gt;=6,$D432="")),
Error!$B$8,
IF(AND(_xlpm.baseRow,$E432="Street Tree for Green Factor",$F432&lt;&gt;"",$F432&lt;&gt;"Retain"),
Error!$B$14,
IF(AND($E432="&lt;6in DSH for Tree Points",$F432="Retain",$H432&lt;&gt;"",ISNA(MATCH($H432,Tables!$B$174:$B$174,0))),
Error!$B$15,
IF(AND($E432="Street Tree for Green Factor",$F432="Retain",$H432&lt;&gt;"",$H432&lt;&gt;"Zoning: Green Factor"),
Error!$B$15,
IF(AND($E432="ECA / Shoreline Tree",$F432="Remove",$H432&lt;&gt;"",ISNA(MATCH($H432,Tables!$B$189:$B$190,0))),
Error!$B$15,
IF(AND($E432="ECA / Shoreline Tree",$F432="Retain",$H432&lt;&gt;"",ISNA(MATCH($H432,Tables!$B$184:$B$186,0))),
Error!$B$15,
IF(AND($E432="Tier 4",$F432="Remove",$H432&lt;&gt;"",ISNA(MATCH($H432,Tables!$B$171,0))),
Error!$B$15,
IF(AND($E432="Tier 4",$F432="Retain",$H432&lt;&gt;"",ISNA(MATCH($H432,Tables!$B$166:$B$168,0))),
Error!$B$15,
IF(AND($E432="Tier 3",$F432="Retain",$H432&lt;&gt;"",ISNA(MATCH($H432,Tables!$B$158:$B$160,0))),
Error!$B$15,
IF(AND($E432="Tier 3",$F432="Remove",$H432&lt;&gt;"",ISNA(MATCH($H432,Tables!$B$163,0))),
Error!$B$15,
IF(AND(OR($E432="Tier 2",$E432="Tier 2 Grove"),$F432="Remove",$H432&lt;&gt;"",ISNA(MATCH($H432,Tables!$B$153:$B$155,0))),
Error!$B$15,
IF(AND(OR($E432="Tier 2",$E432="Tier 2 Grove"),$F432="Retain",$H432&lt;&gt;"",ISNA(MATCH($H432,Tables!$B$147:$B$150,0))),
Error!$B$15,
IF(AND($E432="Tier 1",$F432="Remove",$H432&lt;&gt;"",ISNA(MATCH($H432,Tables!$B$143:$B$144,0))),
Error!$B$15,
IF(AND($E432="Tier 1",$F432="Retain",$H432&lt;&gt;"",ISNA(MATCH($H432,Tables!$B$137:$B$140,0))),
Error!$B$15,
IF(AND($E432&lt;&gt;"Tier 2",$E432&lt;&gt;"Tier 2 Grove",$E432&lt;&gt;"Tier 3",$E432&lt;&gt;"Tier 4",$H432="Zoning: Green Factor",OR($D432="",$D432&lt;6)),
Error!$B$11,
IF(AND(_xlpm.baseRow,$D432&lt;6,$E432="&lt;6in DSH for Tree Points",_xlpm.TreePoints_H=0),
Error!$B$21,
IF(AND(_xlpm.baseRow,$E432&lt;&gt;"",$D432&lt;&gt;"",$F432=""),
Error!$B$4,
IF(AND(_xlpm.baseRow,$F432="Remove",OR($E432="Tier 1",$E432="Tier 2",$E432="Tier 2 Grove"),COUNTBLANK(_xlpm.HRange)&lt;3,_xlpm.uniqueH&gt;=2),
Error!$B$48,
IF(AND(_xlpm.baseRow,$F432="Retain",OR($E432="Tier 1",$E432="Tier 2",$E432="Tier 2 Grove"),COUNTIF(_xlpm.HRange,"Tree Code: Required to Retain Tier 1-2 Tree")=0),
Error!$B$47,
IF(AND(_xlpm.baseRow,$E432&lt;&gt;"",$D432&lt;&gt;"",$F432&lt;&gt;"",COUNTBLANK(_xlpm.HRange)=4),
Error!$B$5,
IF(AND($F432="Remove",$H432&lt;&gt;"",$I432=""),
Error!$B$18,
IF(AND($E432="Tier 4",$F432="Remove",$H432="Tree Protection Code: Tier 3 or Tier 4 Allowance",$H432&lt;&gt;"",ISNA(MATCH($I432,Tables!$B$200,0))),
Error!$B$17,
IF(AND($E432="Tier 3",$F432="Remove",$H432&lt;&gt;"",$H432="Tree Protection Code: Tier 3 or Tier 4 Allowance",OR($I432="",ISNA(MATCH($I432,Tables!$B$193:$B$197,0)))),
Error!$B$17,
IF(AND(OR($E432="Tier 2",$E432="Tier 2 Grove"),$F432="Remove",$H432="Tree Protection Code: Other removal allowance or exemption",$I432&lt;&gt;"",ISNA(MATCH($I432,Tables!$B$215:$B$218,0))),
Error!$B$17,
IF(AND(OR($E432="Tier 2",$E432="Tier 2 Grove"),$F432="Remove",$H432="Tree Protection Code: Development Capacity",$I432&lt;&gt;"",ISNA(MATCH($I432,Tables!$B$193:$B$197,0))),
Error!$B$17,
IF(AND(OR($E432="Tier 2",$E432="Tier 2 Grove"),$F432="Remove",$H432="Tree Protection Code: Necessary for Construction",$I432&lt;&gt;"",ISNA(MATCH($I432,Tables!$B$193:$B$197,0))),
Error!$B$17,
IF(AND($E432="Tier 1",$F432="Remove",$H432="Tree Protection Code: Special Exception",$I432&lt;&gt;"",ISNA(MATCH($I432,Tables!$B$215:$B$218,0))),
Error!$B$17,
IF(AND($E432="Tier 1",$F432="Remove",$H432="Tree Protection Code: Other removal allowance or exemption",$I432&lt;&gt;"",ISNA(MATCH($I432,Tables!$B$215:$B$218,0))),
Error!$B$17,
IF(AND($E432="ECA / Shoreline Tree",$F432="Remove",$H432&lt;&gt;"",OR($H432="Shoreline",$H432="Environmental Critical Area (ECA)"),ISNA(MATCH($I432,Tables!$B$209:$B$212,0))),
Error!$B$17,
IF(AND(_xlpm.baseRow,$F432="Retain",$E432="ECA / Shoreline Tree",_xlpm.ECA_Short=0),
Error!$B$61,
IF(AND($F432="Remove",ISNUMBER(MATCH($E432,{"Tier 1","Tier 2","Tier 3","Tier 4","Tier 2 Grove"},0)),ISNUMBER(MATCH($I432,{"On-site replacement","Off-site replacement"},0)),$J432="",$H432&lt;&gt;""),
Error!$B$19,
IF(AND(_xlpm.baseRow,$E432&lt;&gt;"",$D432&lt;&gt;"",$F432&lt;&gt;"",COUNTBLANK($B432:$C432)&gt;0,COUNTBLANK(_xlpm.HRange)&lt;&gt;4),
Error!$B$22,
IF(AND($H432="Zoning: Tree Points",$K432&lt;&gt;"",ISNA(MATCH($K432,Tables!$B$242:$B$253,0))),
Error!$B$58,
IF(AND($H432="Zoning: Tree Points",$K432="Small",$L432&lt;&gt;"",ISNA(MATCH($L432,Tables!$C$243:$C$244,0))),
Error!$B$59,
IF(AND($H432="Zoning: Tree Points",$K432="Small/Medium",$L432&lt;&gt;"",ISNA(MATCH($L432,Tables!$C$246:$C$247,0))),
Error!$B$59,
IF(AND($H432="Zoning: Tree Points",$K432="Medium/Large",$L432&lt;&gt;"",ISNA(MATCH($L432,Tables!$C$249:$C$250,0))),
Error!$B$59,
IF(AND($H432="Zoning: Tree Points",$K432="Large",$L432&lt;&gt;"",ISNA(MATCH($L432,Tables!$C$252:$C$253,0))),
Error!$B$59,
IF(AND($F432="Retain",$H432="Zoning: Tree Points",$C432&lt;&gt;"",$D432&lt;&gt;"",OR($K432="",$L432="",$M432="")),
Error!$B$20,
""
)))))))))))))))))))))))))))))))))))))))))))))))))))))))),
Error!$B$23))</f>
        <v/>
      </c>
      <c r="O432" s="343" t="str" cm="1">
        <f t="array" aca="1" ref="O432" ca="1">IFERROR(_xlfn.LET(
    _xlpm.txt, $C432,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33" spans="1:15" x14ac:dyDescent="0.3">
      <c r="A433" s="320"/>
      <c r="B433" s="616" t="str">
        <f t="shared" si="487"/>
        <v/>
      </c>
      <c r="C433" s="617" t="str">
        <f t="shared" si="488"/>
        <v/>
      </c>
      <c r="D433" s="618" t="str">
        <f t="shared" si="489"/>
        <v/>
      </c>
      <c r="E433" s="616" t="str">
        <f t="shared" si="490"/>
        <v/>
      </c>
      <c r="F433" s="616" t="str">
        <f t="shared" si="491"/>
        <v/>
      </c>
      <c r="G433" s="619" t="str">
        <f>IF(Tree_Table1[[#This Row],[Tree Status  &amp;]]="Retain", Tables!$B$237, IF(Tree_Table1[[#This Row],[Tree Status  &amp;]]="Remove", Tables!$B$238, ""))</f>
        <v/>
      </c>
      <c r="H433" s="321"/>
      <c r="I433" s="322"/>
      <c r="J433" s="453"/>
      <c r="K433" s="323" t="str">
        <f>IFERROR(
    IF(
        AND($H433="Zoning: Tree Points", NOT(ISNUMBER(SEARCH("sp.", $C433)))),
        VLOOKUP($C433, 'Tree List'!$C$3:$F$601, 4, FALSE),
        ""
    ),
"")</f>
        <v/>
      </c>
      <c r="L433" s="324" t="str" cm="1">
        <f t="array" ref="L433">IFERROR(
IF(
    AND($H433="Zoning: Tree Points", NOT(ISNUMBER(SEARCH("sp.", $C433)))),
    _xlfn.IFS(
        (COUNTIFS('Tree List'!$C$3:$C$601,$C433,'Tree List'!$D$3:$D$601,"Coniferous")
        + COUNTIFS('Tree List'!$C$3:$C$601,$C433,'Tree List'!$D$3:$D$601,"Deciduous Conifer")) &gt; 0,
            _xlfn.IFS($K433="Small",0.5,$K433="Small/Medium",1,$K433="Medium/Large",1.4,$K433="Large",1.8),
        (COUNTIFS('Tree List'!$C$3:$C$601,$C433,'Tree List'!$D$3:$D$601,"Deciduous")
        + COUNTIFS('Tree List'!$C$3:$C$601,$C433,'Tree List'!$D$3:$D$601,"Broadleaf Evergreen")) &gt; 0,
            _xlfn.IFS($K433="Small",0.4,$K433="Small/Medium",0.8,$K433="Medium/Large",1.2,$K433="Large",1.6)
    ),
    ""
),
"")</f>
        <v/>
      </c>
      <c r="M433" s="475" t="str">
        <f t="shared" si="411"/>
        <v/>
      </c>
      <c r="N433" s="346" t="str" cm="1">
        <f t="array" aca="1" ref="N43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IF(AND(_xlpm.baseRow,ISNA(MATCH($C433,'Tree List'!$C$3:$C$601,0)),SUMPRODUCT(--ISNUMBER(SEARCH(Tables2!$C$677:$C$772,$O433)))&gt;0),
Error!$B$57,
IF(AND(_xlpm.hasDM,$F433="Remove",$H433&lt;&gt;"",OR($I433="On-site replacement",$I433="Off-site replacement",$I433="Payment In Lieu")),
Error!$B$56,
IF(AND(_xlpm.hasDM,$F433="Remove",$H433&lt;&gt;"",$I433="Relocation"),
Error!$B$66,
IF(AND(OR(_xlpm.hasCN,_xlpm.hasPH,_xlpm.hasGR),$H433&lt;&gt;"",COUNTIF(Tables!$B$132:$B$134,$H433)&gt;0,$I433="N/A (No replacement required)"),
Error!$B$62,
IF(AND(_xlpm.baseRow,$E433&lt;&gt;"",ISNA(MATCH($E433,Tables!$B$225:$B$232,0))),
Error!$B$2,
IF(AND(_xlpm.baseRow,$F433&lt;&gt;"",ISNA(MATCH($F433,Tables!$B$234:$B$235,0))),
Error!$B$24,
IF(AND(_xlpm.baseRow,_xlpm.ECA_H&gt;0,_xlpm.Shore_H&gt;0),
Error!$B$16,
IF(AND(_xlpm.baseRow,$E433&lt;&gt;"",$D433=""),
Error!$B$3,
IF(AND(_xlpm.baseRow,OR($E433="Tier 3",$E433="Tier 4"),$C433&lt;&gt;"",$D433&gt;=24,COUNTIF(Tables2!$B$166:$B$674,$C433)&gt;0),
Error!$B$44,
IF(AND(_xlpm.baseRow,OR($E433="Tier 3",$E433="Tier 4"),$C433&lt;&gt;"",$D433&lt;&gt;"",COUNTIF(Tables2!$B$73:$B$152,$C433)&gt;0,
$D433&gt;=IFERROR(INDEX(Tables2!$C$73:$C$152,MATCH($C433,Tables2!$B$73:$B$152,0)),-1)),
Error!$B$44,
IF(AND(_xlpm.baseRow,OR($E433="Tier 2",$E433="Tier 2 Grove"),$C433&lt;&gt;"",$D433&gt;=12,COUNTIF(Tables2!$B$153:$B$162,$C433)&gt;0),
Error!$B$45,
IF(AND(_xlpm.baseRow,$E433="Tier 2 Grove",$D433&lt;12),
Error!$B$41,
IF(AND(_xlpm.baseRow,$E433="Tier 2",$D433&lt;5.88),
Error!$B$40,
IF(AND(_xlpm.baseRow,OR($E433="Tier 2",$E433="Tier 2 Grove"),$C433&lt;&gt;"",$D433&lt;12,$D433&gt;=6,COUNTIF(Tables2!$B$153:$B$162,$C433)&gt;0),
Error!$B$54,
IF(AND(_xlpm.baseRow,$E433="Tier 2",COUNTIF(Tables2!$B$166:$B$674,$C433)&gt;0,$D433&lt;24),
Error!$B$54,
IF(AND(_xlpm.baseRow,$E433="Tier 3",ISNA(MATCH($C433,Tables2!$B$153:$B$162,0)),OR($D433&lt;12,$D433&gt;=24)),
Error!$B$9,
IF(AND(_xlpm.baseRow,$E433="Tier 3",COUNTIF(Tables2!$B$153:$B$162,$C433)&gt;0,$D433&lt;12),
Error!$B$46,
IF(AND(_xlpm.baseRow,$E433="Tier 4",OR($D433&lt;6,$D433&gt;=12)),
Error!$B$10,
IF(AND(_xlpm.baseRow,$E433="&lt;6in DSH for Tree Points",OR($D433&gt;=6,$D433="")),
Error!$B$8,
IF(AND(_xlpm.baseRow,$E433="Street Tree for Green Factor",$F433&lt;&gt;"",$F433&lt;&gt;"Retain"),
Error!$B$14,
IF(AND($E433="&lt;6in DSH for Tree Points",$F433="Retain",$H433&lt;&gt;"",ISNA(MATCH($H433,Tables!$B$174:$B$174,0))),
Error!$B$15,
IF(AND($E433="Street Tree for Green Factor",$F433="Retain",$H433&lt;&gt;"",$H433&lt;&gt;"Zoning: Green Factor"),
Error!$B$15,
IF(AND($E433="ECA / Shoreline Tree",$F433="Remove",$H433&lt;&gt;"",ISNA(MATCH($H433,Tables!$B$189:$B$190,0))),
Error!$B$15,
IF(AND($E433="ECA / Shoreline Tree",$F433="Retain",$H433&lt;&gt;"",ISNA(MATCH($H433,Tables!$B$184:$B$186,0))),
Error!$B$15,
IF(AND($E433="Tier 4",$F433="Remove",$H433&lt;&gt;"",ISNA(MATCH($H433,Tables!$B$171,0))),
Error!$B$15,
IF(AND($E433="Tier 4",$F433="Retain",$H433&lt;&gt;"",ISNA(MATCH($H433,Tables!$B$166:$B$168,0))),
Error!$B$15,
IF(AND($E433="Tier 3",$F433="Retain",$H433&lt;&gt;"",ISNA(MATCH($H433,Tables!$B$158:$B$160,0))),
Error!$B$15,
IF(AND($E433="Tier 3",$F433="Remove",$H433&lt;&gt;"",ISNA(MATCH($H433,Tables!$B$163,0))),
Error!$B$15,
IF(AND(OR($E433="Tier 2",$E433="Tier 2 Grove"),$F433="Remove",$H433&lt;&gt;"",ISNA(MATCH($H433,Tables!$B$153:$B$155,0))),
Error!$B$15,
IF(AND(OR($E433="Tier 2",$E433="Tier 2 Grove"),$F433="Retain",$H433&lt;&gt;"",ISNA(MATCH($H433,Tables!$B$147:$B$150,0))),
Error!$B$15,
IF(AND($E433="Tier 1",$F433="Remove",$H433&lt;&gt;"",ISNA(MATCH($H433,Tables!$B$143:$B$144,0))),
Error!$B$15,
IF(AND($E433="Tier 1",$F433="Retain",$H433&lt;&gt;"",ISNA(MATCH($H433,Tables!$B$137:$B$140,0))),
Error!$B$15,
IF(AND($E433&lt;&gt;"Tier 2",$E433&lt;&gt;"Tier 2 Grove",$E433&lt;&gt;"Tier 3",$E433&lt;&gt;"Tier 4",$H433="Zoning: Green Factor",OR($D433="",$D433&lt;6)),
Error!$B$11,
IF(AND(_xlpm.baseRow,$D433&lt;6,$E433="&lt;6in DSH for Tree Points",_xlpm.TreePoints_H=0),
Error!$B$21,
IF(AND(_xlpm.baseRow,$E433&lt;&gt;"",$D433&lt;&gt;"",$F433=""),
Error!$B$4,
IF(AND(_xlpm.baseRow,$F433="Remove",OR($E433="Tier 1",$E433="Tier 2",$E433="Tier 2 Grove"),COUNTBLANK(_xlpm.HRange)&lt;3,_xlpm.uniqueH&gt;=2),
Error!$B$48,
IF(AND(_xlpm.baseRow,$F433="Retain",OR($E433="Tier 1",$E433="Tier 2",$E433="Tier 2 Grove"),COUNTIF(_xlpm.HRange,"Tree Code: Required to Retain Tier 1-2 Tree")=0),
Error!$B$47,
IF(AND(_xlpm.baseRow,$E433&lt;&gt;"",$D433&lt;&gt;"",$F433&lt;&gt;"",COUNTBLANK(_xlpm.HRange)=4),
Error!$B$5,
IF(AND($F433="Remove",$H433&lt;&gt;"",$I433=""),
Error!$B$18,
IF(AND($E433="Tier 4",$F433="Remove",$H433="Tree Protection Code: Tier 3 or Tier 4 Allowance",$H433&lt;&gt;"",ISNA(MATCH($I433,Tables!$B$200,0))),
Error!$B$17,
IF(AND($E433="Tier 3",$F433="Remove",$H433&lt;&gt;"",$H433="Tree Protection Code: Tier 3 or Tier 4 Allowance",OR($I433="",ISNA(MATCH($I433,Tables!$B$193:$B$197,0)))),
Error!$B$17,
IF(AND(OR($E433="Tier 2",$E433="Tier 2 Grove"),$F433="Remove",$H433="Tree Protection Code: Other removal allowance or exemption",$I433&lt;&gt;"",ISNA(MATCH($I433,Tables!$B$215:$B$218,0))),
Error!$B$17,
IF(AND(OR($E433="Tier 2",$E433="Tier 2 Grove"),$F433="Remove",$H433="Tree Protection Code: Development Capacity",$I433&lt;&gt;"",ISNA(MATCH($I433,Tables!$B$193:$B$197,0))),
Error!$B$17,
IF(AND(OR($E433="Tier 2",$E433="Tier 2 Grove"),$F433="Remove",$H433="Tree Protection Code: Necessary for Construction",$I433&lt;&gt;"",ISNA(MATCH($I433,Tables!$B$193:$B$197,0))),
Error!$B$17,
IF(AND($E433="Tier 1",$F433="Remove",$H433="Tree Protection Code: Special Exception",$I433&lt;&gt;"",ISNA(MATCH($I433,Tables!$B$215:$B$218,0))),
Error!$B$17,
IF(AND($E433="Tier 1",$F433="Remove",$H433="Tree Protection Code: Other removal allowance or exemption",$I433&lt;&gt;"",ISNA(MATCH($I433,Tables!$B$215:$B$218,0))),
Error!$B$17,
IF(AND($E433="ECA / Shoreline Tree",$F433="Remove",$H433&lt;&gt;"",OR($H433="Shoreline",$H433="Environmental Critical Area (ECA)"),ISNA(MATCH($I433,Tables!$B$209:$B$212,0))),
Error!$B$17,
IF(AND(_xlpm.baseRow,$F433="Retain",$E433="ECA / Shoreline Tree",_xlpm.ECA_Short=0),
Error!$B$61,
IF(AND($F433="Remove",ISNUMBER(MATCH($E433,{"Tier 1","Tier 2","Tier 3","Tier 4","Tier 2 Grove"},0)),ISNUMBER(MATCH($I433,{"On-site replacement","Off-site replacement"},0)),$J433="",$H433&lt;&gt;""),
Error!$B$19,
IF(AND(_xlpm.baseRow,$E433&lt;&gt;"",$D433&lt;&gt;"",$F433&lt;&gt;"",COUNTBLANK($B433:$C433)&gt;0,COUNTBLANK(_xlpm.HRange)&lt;&gt;4),
Error!$B$22,
IF(AND($H433="Zoning: Tree Points",$K433&lt;&gt;"",ISNA(MATCH($K433,Tables!$B$242:$B$253,0))),
Error!$B$58,
IF(AND($H433="Zoning: Tree Points",$K433="Small",$L433&lt;&gt;"",ISNA(MATCH($L433,Tables!$C$243:$C$244,0))),
Error!$B$59,
IF(AND($H433="Zoning: Tree Points",$K433="Small/Medium",$L433&lt;&gt;"",ISNA(MATCH($L433,Tables!$C$246:$C$247,0))),
Error!$B$59,
IF(AND($H433="Zoning: Tree Points",$K433="Medium/Large",$L433&lt;&gt;"",ISNA(MATCH($L433,Tables!$C$249:$C$250,0))),
Error!$B$59,
IF(AND($H433="Zoning: Tree Points",$K433="Large",$L433&lt;&gt;"",ISNA(MATCH($L433,Tables!$C$252:$C$253,0))),
Error!$B$59,
IF(AND($F433="Retain",$H433="Zoning: Tree Points",$C433&lt;&gt;"",$D433&lt;&gt;"",OR($K433="",$L433="",$M433="")),
Error!$B$20,
""
)))))))))))))))))))))))))))))))))))))))))))))))))))))))),
Error!$B$23))</f>
        <v/>
      </c>
      <c r="O433" s="343" t="str" cm="1">
        <f t="array" aca="1" ref="O433" ca="1">IFERROR(_xlfn.LET(
    _xlpm.txt, $C433,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34" spans="1:15" ht="15" thickBot="1" x14ac:dyDescent="0.35">
      <c r="A434" s="331"/>
      <c r="B434" s="616" t="str">
        <f t="shared" si="487"/>
        <v/>
      </c>
      <c r="C434" s="617" t="str">
        <f t="shared" si="488"/>
        <v/>
      </c>
      <c r="D434" s="618" t="str">
        <f t="shared" si="489"/>
        <v/>
      </c>
      <c r="E434" s="616" t="str">
        <f t="shared" si="490"/>
        <v/>
      </c>
      <c r="F434" s="616" t="str">
        <f t="shared" si="491"/>
        <v/>
      </c>
      <c r="G434" s="619" t="str">
        <f>IF(Tree_Table1[[#This Row],[Tree Status  &amp;]]="Retain", Tables!$B$237, IF(Tree_Table1[[#This Row],[Tree Status  &amp;]]="Remove", Tables!$B$238, ""))</f>
        <v/>
      </c>
      <c r="H434" s="329"/>
      <c r="I434" s="330"/>
      <c r="J434" s="455"/>
      <c r="K434" s="327" t="str">
        <f>IFERROR(
    IF(
        AND($H434="Zoning: Tree Points", NOT(ISNUMBER(SEARCH("sp.", $C434)))),
        VLOOKUP($C434, 'Tree List'!$C$3:$F$601, 4, FALSE),
        ""
    ),
"")</f>
        <v/>
      </c>
      <c r="L434" s="328" t="str" cm="1">
        <f t="array" ref="L434">IFERROR(
IF(
    AND($H434="Zoning: Tree Points", NOT(ISNUMBER(SEARCH("sp.", $C434)))),
    _xlfn.IFS(
        (COUNTIFS('Tree List'!$C$3:$C$601,$C434,'Tree List'!$D$3:$D$601,"Coniferous")
        + COUNTIFS('Tree List'!$C$3:$C$601,$C434,'Tree List'!$D$3:$D$601,"Deciduous Conifer")) &gt; 0,
            _xlfn.IFS($K434="Small",0.5,$K434="Small/Medium",1,$K434="Medium/Large",1.4,$K434="Large",1.8),
        (COUNTIFS('Tree List'!$C$3:$C$601,$C434,'Tree List'!$D$3:$D$601,"Deciduous")
        + COUNTIFS('Tree List'!$C$3:$C$601,$C434,'Tree List'!$D$3:$D$601,"Broadleaf Evergreen")) &gt; 0,
            _xlfn.IFS($K434="Small",0.4,$K434="Small/Medium",0.8,$K434="Medium/Large",1.2,$K434="Large",1.6)
    ),
    ""
),
"")</f>
        <v/>
      </c>
      <c r="M434" s="476" t="str">
        <f t="shared" si="411"/>
        <v/>
      </c>
      <c r="N434" s="347" t="str" cm="1">
        <f t="array" aca="1" ref="N43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IF(AND(_xlpm.baseRow,ISNA(MATCH($C434,'Tree List'!$C$3:$C$601,0)),SUMPRODUCT(--ISNUMBER(SEARCH(Tables2!$C$677:$C$772,$O434)))&gt;0),
Error!$B$57,
IF(AND(_xlpm.hasDM,$F434="Remove",$H434&lt;&gt;"",OR($I434="On-site replacement",$I434="Off-site replacement",$I434="Payment In Lieu")),
Error!$B$56,
IF(AND(_xlpm.hasDM,$F434="Remove",$H434&lt;&gt;"",$I434="Relocation"),
Error!$B$66,
IF(AND(OR(_xlpm.hasCN,_xlpm.hasPH,_xlpm.hasGR),$H434&lt;&gt;"",COUNTIF(Tables!$B$132:$B$134,$H434)&gt;0,$I434="N/A (No replacement required)"),
Error!$B$62,
IF(AND(_xlpm.baseRow,$E434&lt;&gt;"",ISNA(MATCH($E434,Tables!$B$225:$B$232,0))),
Error!$B$2,
IF(AND(_xlpm.baseRow,$F434&lt;&gt;"",ISNA(MATCH($F434,Tables!$B$234:$B$235,0))),
Error!$B$24,
IF(AND(_xlpm.baseRow,_xlpm.ECA_H&gt;0,_xlpm.Shore_H&gt;0),
Error!$B$16,
IF(AND(_xlpm.baseRow,$E434&lt;&gt;"",$D434=""),
Error!$B$3,
IF(AND(_xlpm.baseRow,OR($E434="Tier 3",$E434="Tier 4"),$C434&lt;&gt;"",$D434&gt;=24,COUNTIF(Tables2!$B$166:$B$674,$C434)&gt;0),
Error!$B$44,
IF(AND(_xlpm.baseRow,OR($E434="Tier 3",$E434="Tier 4"),$C434&lt;&gt;"",$D434&lt;&gt;"",COUNTIF(Tables2!$B$73:$B$152,$C434)&gt;0,
$D434&gt;=IFERROR(INDEX(Tables2!$C$73:$C$152,MATCH($C434,Tables2!$B$73:$B$152,0)),-1)),
Error!$B$44,
IF(AND(_xlpm.baseRow,OR($E434="Tier 2",$E434="Tier 2 Grove"),$C434&lt;&gt;"",$D434&gt;=12,COUNTIF(Tables2!$B$153:$B$162,$C434)&gt;0),
Error!$B$45,
IF(AND(_xlpm.baseRow,$E434="Tier 2 Grove",$D434&lt;12),
Error!$B$41,
IF(AND(_xlpm.baseRow,$E434="Tier 2",$D434&lt;5.88),
Error!$B$40,
IF(AND(_xlpm.baseRow,OR($E434="Tier 2",$E434="Tier 2 Grove"),$C434&lt;&gt;"",$D434&lt;12,$D434&gt;=6,COUNTIF(Tables2!$B$153:$B$162,$C434)&gt;0),
Error!$B$54,
IF(AND(_xlpm.baseRow,$E434="Tier 2",COUNTIF(Tables2!$B$166:$B$674,$C434)&gt;0,$D434&lt;24),
Error!$B$54,
IF(AND(_xlpm.baseRow,$E434="Tier 3",ISNA(MATCH($C434,Tables2!$B$153:$B$162,0)),OR($D434&lt;12,$D434&gt;=24)),
Error!$B$9,
IF(AND(_xlpm.baseRow,$E434="Tier 3",COUNTIF(Tables2!$B$153:$B$162,$C434)&gt;0,$D434&lt;12),
Error!$B$46,
IF(AND(_xlpm.baseRow,$E434="Tier 4",OR($D434&lt;6,$D434&gt;=12)),
Error!$B$10,
IF(AND(_xlpm.baseRow,$E434="&lt;6in DSH for Tree Points",OR($D434&gt;=6,$D434="")),
Error!$B$8,
IF(AND(_xlpm.baseRow,$E434="Street Tree for Green Factor",$F434&lt;&gt;"",$F434&lt;&gt;"Retain"),
Error!$B$14,
IF(AND($E434="&lt;6in DSH for Tree Points",$F434="Retain",$H434&lt;&gt;"",ISNA(MATCH($H434,Tables!$B$174:$B$174,0))),
Error!$B$15,
IF(AND($E434="Street Tree for Green Factor",$F434="Retain",$H434&lt;&gt;"",$H434&lt;&gt;"Zoning: Green Factor"),
Error!$B$15,
IF(AND($E434="ECA / Shoreline Tree",$F434="Remove",$H434&lt;&gt;"",ISNA(MATCH($H434,Tables!$B$189:$B$190,0))),
Error!$B$15,
IF(AND($E434="ECA / Shoreline Tree",$F434="Retain",$H434&lt;&gt;"",ISNA(MATCH($H434,Tables!$B$184:$B$186,0))),
Error!$B$15,
IF(AND($E434="Tier 4",$F434="Remove",$H434&lt;&gt;"",ISNA(MATCH($H434,Tables!$B$171,0))),
Error!$B$15,
IF(AND($E434="Tier 4",$F434="Retain",$H434&lt;&gt;"",ISNA(MATCH($H434,Tables!$B$166:$B$168,0))),
Error!$B$15,
IF(AND($E434="Tier 3",$F434="Retain",$H434&lt;&gt;"",ISNA(MATCH($H434,Tables!$B$158:$B$160,0))),
Error!$B$15,
IF(AND($E434="Tier 3",$F434="Remove",$H434&lt;&gt;"",ISNA(MATCH($H434,Tables!$B$163,0))),
Error!$B$15,
IF(AND(OR($E434="Tier 2",$E434="Tier 2 Grove"),$F434="Remove",$H434&lt;&gt;"",ISNA(MATCH($H434,Tables!$B$153:$B$155,0))),
Error!$B$15,
IF(AND(OR($E434="Tier 2",$E434="Tier 2 Grove"),$F434="Retain",$H434&lt;&gt;"",ISNA(MATCH($H434,Tables!$B$147:$B$150,0))),
Error!$B$15,
IF(AND($E434="Tier 1",$F434="Remove",$H434&lt;&gt;"",ISNA(MATCH($H434,Tables!$B$143:$B$144,0))),
Error!$B$15,
IF(AND($E434="Tier 1",$F434="Retain",$H434&lt;&gt;"",ISNA(MATCH($H434,Tables!$B$137:$B$140,0))),
Error!$B$15,
IF(AND($E434&lt;&gt;"Tier 2",$E434&lt;&gt;"Tier 2 Grove",$E434&lt;&gt;"Tier 3",$E434&lt;&gt;"Tier 4",$H434="Zoning: Green Factor",OR($D434="",$D434&lt;6)),
Error!$B$11,
IF(AND(_xlpm.baseRow,$D434&lt;6,$E434="&lt;6in DSH for Tree Points",_xlpm.TreePoints_H=0),
Error!$B$21,
IF(AND(_xlpm.baseRow,$E434&lt;&gt;"",$D434&lt;&gt;"",$F434=""),
Error!$B$4,
IF(AND(_xlpm.baseRow,$F434="Remove",OR($E434="Tier 1",$E434="Tier 2",$E434="Tier 2 Grove"),COUNTBLANK(_xlpm.HRange)&lt;3,_xlpm.uniqueH&gt;=2),
Error!$B$48,
IF(AND(_xlpm.baseRow,$F434="Retain",OR($E434="Tier 1",$E434="Tier 2",$E434="Tier 2 Grove"),COUNTIF(_xlpm.HRange,"Tree Code: Required to Retain Tier 1-2 Tree")=0),
Error!$B$47,
IF(AND(_xlpm.baseRow,$E434&lt;&gt;"",$D434&lt;&gt;"",$F434&lt;&gt;"",COUNTBLANK(_xlpm.HRange)=4),
Error!$B$5,
IF(AND($F434="Remove",$H434&lt;&gt;"",$I434=""),
Error!$B$18,
IF(AND($E434="Tier 4",$F434="Remove",$H434="Tree Protection Code: Tier 3 or Tier 4 Allowance",$H434&lt;&gt;"",ISNA(MATCH($I434,Tables!$B$200,0))),
Error!$B$17,
IF(AND($E434="Tier 3",$F434="Remove",$H434&lt;&gt;"",$H434="Tree Protection Code: Tier 3 or Tier 4 Allowance",OR($I434="",ISNA(MATCH($I434,Tables!$B$193:$B$197,0)))),
Error!$B$17,
IF(AND(OR($E434="Tier 2",$E434="Tier 2 Grove"),$F434="Remove",$H434="Tree Protection Code: Other removal allowance or exemption",$I434&lt;&gt;"",ISNA(MATCH($I434,Tables!$B$215:$B$218,0))),
Error!$B$17,
IF(AND(OR($E434="Tier 2",$E434="Tier 2 Grove"),$F434="Remove",$H434="Tree Protection Code: Development Capacity",$I434&lt;&gt;"",ISNA(MATCH($I434,Tables!$B$193:$B$197,0))),
Error!$B$17,
IF(AND(OR($E434="Tier 2",$E434="Tier 2 Grove"),$F434="Remove",$H434="Tree Protection Code: Necessary for Construction",$I434&lt;&gt;"",ISNA(MATCH($I434,Tables!$B$193:$B$197,0))),
Error!$B$17,
IF(AND($E434="Tier 1",$F434="Remove",$H434="Tree Protection Code: Special Exception",$I434&lt;&gt;"",ISNA(MATCH($I434,Tables!$B$215:$B$218,0))),
Error!$B$17,
IF(AND($E434="Tier 1",$F434="Remove",$H434="Tree Protection Code: Other removal allowance or exemption",$I434&lt;&gt;"",ISNA(MATCH($I434,Tables!$B$215:$B$218,0))),
Error!$B$17,
IF(AND($E434="ECA / Shoreline Tree",$F434="Remove",$H434&lt;&gt;"",OR($H434="Shoreline",$H434="Environmental Critical Area (ECA)"),ISNA(MATCH($I434,Tables!$B$209:$B$212,0))),
Error!$B$17,
IF(AND(_xlpm.baseRow,$F434="Retain",$E434="ECA / Shoreline Tree",_xlpm.ECA_Short=0),
Error!$B$61,
IF(AND($F434="Remove",ISNUMBER(MATCH($E434,{"Tier 1","Tier 2","Tier 3","Tier 4","Tier 2 Grove"},0)),ISNUMBER(MATCH($I434,{"On-site replacement","Off-site replacement"},0)),$J434="",$H434&lt;&gt;""),
Error!$B$19,
IF(AND(_xlpm.baseRow,$E434&lt;&gt;"",$D434&lt;&gt;"",$F434&lt;&gt;"",COUNTBLANK($B434:$C434)&gt;0,COUNTBLANK(_xlpm.HRange)&lt;&gt;4),
Error!$B$22,
IF(AND($H434="Zoning: Tree Points",$K434&lt;&gt;"",ISNA(MATCH($K434,Tables!$B$242:$B$253,0))),
Error!$B$58,
IF(AND($H434="Zoning: Tree Points",$K434="Small",$L434&lt;&gt;"",ISNA(MATCH($L434,Tables!$C$243:$C$244,0))),
Error!$B$59,
IF(AND($H434="Zoning: Tree Points",$K434="Small/Medium",$L434&lt;&gt;"",ISNA(MATCH($L434,Tables!$C$246:$C$247,0))),
Error!$B$59,
IF(AND($H434="Zoning: Tree Points",$K434="Medium/Large",$L434&lt;&gt;"",ISNA(MATCH($L434,Tables!$C$249:$C$250,0))),
Error!$B$59,
IF(AND($H434="Zoning: Tree Points",$K434="Large",$L434&lt;&gt;"",ISNA(MATCH($L434,Tables!$C$252:$C$253,0))),
Error!$B$59,
IF(AND($F434="Retain",$H434="Zoning: Tree Points",$C434&lt;&gt;"",$D434&lt;&gt;"",OR($K434="",$L434="",$M434="")),
Error!$B$20,
""
)))))))))))))))))))))))))))))))))))))))))))))))))))))))),
Error!$B$23))</f>
        <v/>
      </c>
      <c r="O434" s="343" t="str" cm="1">
        <f t="array" aca="1" ref="O434" ca="1">IFERROR(_xlfn.LET(
    _xlpm.txt, $C434,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35" spans="1:15" ht="15" thickBot="1" x14ac:dyDescent="0.35">
      <c r="A435" s="311">
        <v>107</v>
      </c>
      <c r="B435" s="312"/>
      <c r="C435" s="313"/>
      <c r="D435" s="478"/>
      <c r="E435" s="314"/>
      <c r="F435" s="314"/>
      <c r="G435" s="315" t="str">
        <f>IF(Tree_Table1[[#This Row],[Tree Status  &amp;]]="Retain", Tables!$B$237, IF(Tree_Table1[[#This Row],[Tree Status  &amp;]]="Remove", Tables!$B$238, ""))</f>
        <v/>
      </c>
      <c r="H435" s="316"/>
      <c r="I435" s="317"/>
      <c r="J435" s="452"/>
      <c r="K435" s="318" t="str">
        <f>IFERROR(
    IF(
        AND($H435="Zoning: Tree Points", NOT(ISNUMBER(SEARCH("sp.", $C435)))),
        VLOOKUP($C435, 'Tree List'!$C$3:$F$601, 4, FALSE),
        ""
    ),
"")</f>
        <v/>
      </c>
      <c r="L435" s="319" t="str" cm="1">
        <f t="array" ref="L435">IFERROR(
IF(
    AND($H435="Zoning: Tree Points", NOT(ISNUMBER(SEARCH("sp.", $C435)))),
    _xlfn.IFS(
        (COUNTIFS('Tree List'!$C$3:$C$601,$C435,'Tree List'!$D$3:$D$601,"Coniferous")
        + COUNTIFS('Tree List'!$C$3:$C$601,$C435,'Tree List'!$D$3:$D$601,"Deciduous Conifer")) &gt; 0,
            _xlfn.IFS($K435="Small",0.5,$K435="Small/Medium",1,$K435="Medium/Large",1.4,$K435="Large",1.8),
        (COUNTIFS('Tree List'!$C$3:$C$601,$C435,'Tree List'!$D$3:$D$601,"Deciduous")
        + COUNTIFS('Tree List'!$C$3:$C$601,$C435,'Tree List'!$D$3:$D$601,"Broadleaf Evergreen")) &gt; 0,
            _xlfn.IFS($K435="Small",0.4,$K435="Small/Medium",0.8,$K435="Medium/Large",1.2,$K435="Large",1.6)
    ),
    ""
),
"")</f>
        <v/>
      </c>
      <c r="M435" s="474" t="str">
        <f t="shared" ref="M435:M498" si="492">IFERROR($D435*$L435,"")</f>
        <v/>
      </c>
      <c r="N435" s="620" t="str" cm="1">
        <f t="array" aca="1" ref="N43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IF(AND(_xlpm.baseRow,ISNA(MATCH($C435,'Tree List'!$C$3:$C$601,0)),SUMPRODUCT(--ISNUMBER(SEARCH(Tables2!$C$677:$C$772,$O435)))&gt;0),
Error!$B$57,
IF(AND(_xlpm.hasDM,$F435="Remove",$H435&lt;&gt;"",OR($I435="On-site replacement",$I435="Off-site replacement",$I435="Payment In Lieu")),
Error!$B$56,
IF(AND(_xlpm.hasDM,$F435="Remove",$H435&lt;&gt;"",$I435="Relocation"),
Error!$B$66,
IF(AND(OR(_xlpm.hasCN,_xlpm.hasPH,_xlpm.hasGR),$H435&lt;&gt;"",COUNTIF(Tables!$B$132:$B$134,$H435)&gt;0,$I435="N/A (No replacement required)"),
Error!$B$62,
IF(AND(_xlpm.baseRow,$E435&lt;&gt;"",ISNA(MATCH($E435,Tables!$B$225:$B$232,0))),
Error!$B$2,
IF(AND(_xlpm.baseRow,$F435&lt;&gt;"",ISNA(MATCH($F435,Tables!$B$234:$B$235,0))),
Error!$B$24,
IF(AND(_xlpm.baseRow,_xlpm.ECA_H&gt;0,_xlpm.Shore_H&gt;0),
Error!$B$16,
IF(AND(_xlpm.baseRow,$E435&lt;&gt;"",$D435=""),
Error!$B$3,
IF(AND(_xlpm.baseRow,OR($E435="Tier 3",$E435="Tier 4"),$C435&lt;&gt;"",$D435&gt;=24,COUNTIF(Tables2!$B$166:$B$674,$C435)&gt;0),
Error!$B$44,
IF(AND(_xlpm.baseRow,OR($E435="Tier 3",$E435="Tier 4"),$C435&lt;&gt;"",$D435&lt;&gt;"",COUNTIF(Tables2!$B$73:$B$152,$C435)&gt;0,
$D435&gt;=IFERROR(INDEX(Tables2!$C$73:$C$152,MATCH($C435,Tables2!$B$73:$B$152,0)),-1)),
Error!$B$44,
IF(AND(_xlpm.baseRow,OR($E435="Tier 2",$E435="Tier 2 Grove"),$C435&lt;&gt;"",$D435&gt;=12,COUNTIF(Tables2!$B$153:$B$162,$C435)&gt;0),
Error!$B$45,
IF(AND(_xlpm.baseRow,$E435="Tier 2 Grove",$D435&lt;12),
Error!$B$41,
IF(AND(_xlpm.baseRow,$E435="Tier 2",$D435&lt;5.88),
Error!$B$40,
IF(AND(_xlpm.baseRow,OR($E435="Tier 2",$E435="Tier 2 Grove"),$C435&lt;&gt;"",$D435&lt;12,$D435&gt;=6,COUNTIF(Tables2!$B$153:$B$162,$C435)&gt;0),
Error!$B$54,
IF(AND(_xlpm.baseRow,$E435="Tier 2",COUNTIF(Tables2!$B$166:$B$674,$C435)&gt;0,$D435&lt;24),
Error!$B$54,
IF(AND(_xlpm.baseRow,$E435="Tier 3",ISNA(MATCH($C435,Tables2!$B$153:$B$162,0)),OR($D435&lt;12,$D435&gt;=24)),
Error!$B$9,
IF(AND(_xlpm.baseRow,$E435="Tier 3",COUNTIF(Tables2!$B$153:$B$162,$C435)&gt;0,$D435&lt;12),
Error!$B$46,
IF(AND(_xlpm.baseRow,$E435="Tier 4",OR($D435&lt;6,$D435&gt;=12)),
Error!$B$10,
IF(AND(_xlpm.baseRow,$E435="&lt;6in DSH for Tree Points",OR($D435&gt;=6,$D435="")),
Error!$B$8,
IF(AND(_xlpm.baseRow,$E435="Street Tree for Green Factor",$F435&lt;&gt;"",$F435&lt;&gt;"Retain"),
Error!$B$14,
IF(AND($E435="&lt;6in DSH for Tree Points",$F435="Retain",$H435&lt;&gt;"",ISNA(MATCH($H435,Tables!$B$174:$B$174,0))),
Error!$B$15,
IF(AND($E435="Street Tree for Green Factor",$F435="Retain",$H435&lt;&gt;"",$H435&lt;&gt;"Zoning: Green Factor"),
Error!$B$15,
IF(AND($E435="ECA / Shoreline Tree",$F435="Remove",$H435&lt;&gt;"",ISNA(MATCH($H435,Tables!$B$189:$B$190,0))),
Error!$B$15,
IF(AND($E435="ECA / Shoreline Tree",$F435="Retain",$H435&lt;&gt;"",ISNA(MATCH($H435,Tables!$B$184:$B$186,0))),
Error!$B$15,
IF(AND($E435="Tier 4",$F435="Remove",$H435&lt;&gt;"",ISNA(MATCH($H435,Tables!$B$171,0))),
Error!$B$15,
IF(AND($E435="Tier 4",$F435="Retain",$H435&lt;&gt;"",ISNA(MATCH($H435,Tables!$B$166:$B$168,0))),
Error!$B$15,
IF(AND($E435="Tier 3",$F435="Retain",$H435&lt;&gt;"",ISNA(MATCH($H435,Tables!$B$158:$B$160,0))),
Error!$B$15,
IF(AND($E435="Tier 3",$F435="Remove",$H435&lt;&gt;"",ISNA(MATCH($H435,Tables!$B$163,0))),
Error!$B$15,
IF(AND(OR($E435="Tier 2",$E435="Tier 2 Grove"),$F435="Remove",$H435&lt;&gt;"",ISNA(MATCH($H435,Tables!$B$153:$B$155,0))),
Error!$B$15,
IF(AND(OR($E435="Tier 2",$E435="Tier 2 Grove"),$F435="Retain",$H435&lt;&gt;"",ISNA(MATCH($H435,Tables!$B$147:$B$150,0))),
Error!$B$15,
IF(AND($E435="Tier 1",$F435="Remove",$H435&lt;&gt;"",ISNA(MATCH($H435,Tables!$B$143:$B$144,0))),
Error!$B$15,
IF(AND($E435="Tier 1",$F435="Retain",$H435&lt;&gt;"",ISNA(MATCH($H435,Tables!$B$137:$B$140,0))),
Error!$B$15,
IF(AND($E435&lt;&gt;"Tier 2",$E435&lt;&gt;"Tier 2 Grove",$E435&lt;&gt;"Tier 3",$E435&lt;&gt;"Tier 4",$H435="Zoning: Green Factor",OR($D435="",$D435&lt;6)),
Error!$B$11,
IF(AND(_xlpm.baseRow,$D435&lt;6,$E435="&lt;6in DSH for Tree Points",_xlpm.TreePoints_H=0),
Error!$B$21,
IF(AND(_xlpm.baseRow,$E435&lt;&gt;"",$D435&lt;&gt;"",$F435=""),
Error!$B$4,
IF(AND(_xlpm.baseRow,$F435="Remove",OR($E435="Tier 1",$E435="Tier 2",$E435="Tier 2 Grove"),COUNTBLANK(_xlpm.HRange)&lt;3,_xlpm.uniqueH&gt;=2),
Error!$B$48,
IF(AND(_xlpm.baseRow,$F435="Retain",OR($E435="Tier 1",$E435="Tier 2",$E435="Tier 2 Grove"),COUNTIF(_xlpm.HRange,"Tree Code: Required to Retain Tier 1-2 Tree")=0),
Error!$B$47,
IF(AND(_xlpm.baseRow,$E435&lt;&gt;"",$D435&lt;&gt;"",$F435&lt;&gt;"",COUNTBLANK(_xlpm.HRange)=4),
Error!$B$5,
IF(AND($F435="Remove",$H435&lt;&gt;"",$I435=""),
Error!$B$18,
IF(AND($E435="Tier 4",$F435="Remove",$H435="Tree Protection Code: Tier 3 or Tier 4 Allowance",$H435&lt;&gt;"",ISNA(MATCH($I435,Tables!$B$200,0))),
Error!$B$17,
IF(AND($E435="Tier 3",$F435="Remove",$H435&lt;&gt;"",$H435="Tree Protection Code: Tier 3 or Tier 4 Allowance",OR($I435="",ISNA(MATCH($I435,Tables!$B$193:$B$197,0)))),
Error!$B$17,
IF(AND(OR($E435="Tier 2",$E435="Tier 2 Grove"),$F435="Remove",$H435="Tree Protection Code: Other removal allowance or exemption",$I435&lt;&gt;"",ISNA(MATCH($I435,Tables!$B$215:$B$218,0))),
Error!$B$17,
IF(AND(OR($E435="Tier 2",$E435="Tier 2 Grove"),$F435="Remove",$H435="Tree Protection Code: Development Capacity",$I435&lt;&gt;"",ISNA(MATCH($I435,Tables!$B$193:$B$197,0))),
Error!$B$17,
IF(AND(OR($E435="Tier 2",$E435="Tier 2 Grove"),$F435="Remove",$H435="Tree Protection Code: Necessary for Construction",$I435&lt;&gt;"",ISNA(MATCH($I435,Tables!$B$193:$B$197,0))),
Error!$B$17,
IF(AND($E435="Tier 1",$F435="Remove",$H435="Tree Protection Code: Special Exception",$I435&lt;&gt;"",ISNA(MATCH($I435,Tables!$B$215:$B$218,0))),
Error!$B$17,
IF(AND($E435="Tier 1",$F435="Remove",$H435="Tree Protection Code: Other removal allowance or exemption",$I435&lt;&gt;"",ISNA(MATCH($I435,Tables!$B$215:$B$218,0))),
Error!$B$17,
IF(AND($E435="ECA / Shoreline Tree",$F435="Remove",$H435&lt;&gt;"",OR($H435="Shoreline",$H435="Environmental Critical Area (ECA)"),ISNA(MATCH($I435,Tables!$B$209:$B$212,0))),
Error!$B$17,
IF(AND(_xlpm.baseRow,$F435="Retain",$E435="ECA / Shoreline Tree",_xlpm.ECA_Short=0),
Error!$B$61,
IF(AND($F435="Remove",ISNUMBER(MATCH($E435,{"Tier 1","Tier 2","Tier 3","Tier 4","Tier 2 Grove"},0)),ISNUMBER(MATCH($I435,{"On-site replacement","Off-site replacement"},0)),$J435="",$H435&lt;&gt;""),
Error!$B$19,
IF(AND(_xlpm.baseRow,$E435&lt;&gt;"",$D435&lt;&gt;"",$F435&lt;&gt;"",COUNTBLANK($B435:$C435)&gt;0,COUNTBLANK(_xlpm.HRange)&lt;&gt;4),
Error!$B$22,
IF(AND($H435="Zoning: Tree Points",$K435&lt;&gt;"",ISNA(MATCH($K435,Tables!$B$242:$B$253,0))),
Error!$B$58,
IF(AND($H435="Zoning: Tree Points",$K435="Small",$L435&lt;&gt;"",ISNA(MATCH($L435,Tables!$C$243:$C$244,0))),
Error!$B$59,
IF(AND($H435="Zoning: Tree Points",$K435="Small/Medium",$L435&lt;&gt;"",ISNA(MATCH($L435,Tables!$C$246:$C$247,0))),
Error!$B$59,
IF(AND($H435="Zoning: Tree Points",$K435="Medium/Large",$L435&lt;&gt;"",ISNA(MATCH($L435,Tables!$C$249:$C$250,0))),
Error!$B$59,
IF(AND($H435="Zoning: Tree Points",$K435="Large",$L435&lt;&gt;"",ISNA(MATCH($L435,Tables!$C$252:$C$253,0))),
Error!$B$59,
IF(AND($F435="Retain",$H435="Zoning: Tree Points",$C435&lt;&gt;"",$D435&lt;&gt;"",OR($K435="",$L435="",$M435="")),
Error!$B$20,
""
)))))))))))))))))))))))))))))))))))))))))))))))))))))))),
Error!$B$23))</f>
        <v/>
      </c>
      <c r="O435" s="343" t="str" cm="1">
        <f t="array" aca="1" ref="O435" ca="1">IFERROR(_xlfn.LET(
    _xlpm.txt, $C435,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36" spans="1:15" x14ac:dyDescent="0.3">
      <c r="A436" s="320"/>
      <c r="B436" s="616" t="str">
        <f t="shared" ref="B436:B438" si="493">IF($B435="", "", $B435)</f>
        <v/>
      </c>
      <c r="C436" s="617" t="str">
        <f t="shared" ref="C436:C438" si="494">IF($C435="", "", $C435)</f>
        <v/>
      </c>
      <c r="D436" s="618" t="str">
        <f t="shared" ref="D436:D438" si="495">IF($D435="", "", $D435)</f>
        <v/>
      </c>
      <c r="E436" s="616" t="str">
        <f t="shared" ref="E436:E438" si="496">IF($E435="", "", $E435)</f>
        <v/>
      </c>
      <c r="F436" s="616" t="str">
        <f t="shared" ref="F436:F438" si="497">IF($F435="", "", $F435)</f>
        <v/>
      </c>
      <c r="G436" s="619" t="str">
        <f>IF(Tree_Table1[[#This Row],[Tree Status  &amp;]]="Retain", Tables!$B$237, IF(Tree_Table1[[#This Row],[Tree Status  &amp;]]="Remove", Tables!$B$238, ""))</f>
        <v/>
      </c>
      <c r="H436" s="321"/>
      <c r="I436" s="322"/>
      <c r="J436" s="453"/>
      <c r="K436" s="323" t="str">
        <f>IFERROR(
    IF(
        AND($H436="Zoning: Tree Points", NOT(ISNUMBER(SEARCH("sp.", $C436)))),
        VLOOKUP($C436, 'Tree List'!$C$3:$F$601, 4, FALSE),
        ""
    ),
"")</f>
        <v/>
      </c>
      <c r="L436" s="324" t="str" cm="1">
        <f t="array" ref="L436">IFERROR(
IF(
    AND($H436="Zoning: Tree Points", NOT(ISNUMBER(SEARCH("sp.", $C436)))),
    _xlfn.IFS(
        (COUNTIFS('Tree List'!$C$3:$C$601,$C436,'Tree List'!$D$3:$D$601,"Coniferous")
        + COUNTIFS('Tree List'!$C$3:$C$601,$C436,'Tree List'!$D$3:$D$601,"Deciduous Conifer")) &gt; 0,
            _xlfn.IFS($K436="Small",0.5,$K436="Small/Medium",1,$K436="Medium/Large",1.4,$K436="Large",1.8),
        (COUNTIFS('Tree List'!$C$3:$C$601,$C436,'Tree List'!$D$3:$D$601,"Deciduous")
        + COUNTIFS('Tree List'!$C$3:$C$601,$C436,'Tree List'!$D$3:$D$601,"Broadleaf Evergreen")) &gt; 0,
            _xlfn.IFS($K436="Small",0.4,$K436="Small/Medium",0.8,$K436="Medium/Large",1.2,$K436="Large",1.6)
    ),
    ""
),
"")</f>
        <v/>
      </c>
      <c r="M436" s="475" t="str">
        <f t="shared" si="492"/>
        <v/>
      </c>
      <c r="N436" s="346" t="str" cm="1">
        <f t="array" aca="1" ref="N43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IF(AND(_xlpm.baseRow,ISNA(MATCH($C436,'Tree List'!$C$3:$C$601,0)),SUMPRODUCT(--ISNUMBER(SEARCH(Tables2!$C$677:$C$772,$O436)))&gt;0),
Error!$B$57,
IF(AND(_xlpm.hasDM,$F436="Remove",$H436&lt;&gt;"",OR($I436="On-site replacement",$I436="Off-site replacement",$I436="Payment In Lieu")),
Error!$B$56,
IF(AND(_xlpm.hasDM,$F436="Remove",$H436&lt;&gt;"",$I436="Relocation"),
Error!$B$66,
IF(AND(OR(_xlpm.hasCN,_xlpm.hasPH,_xlpm.hasGR),$H436&lt;&gt;"",COUNTIF(Tables!$B$132:$B$134,$H436)&gt;0,$I436="N/A (No replacement required)"),
Error!$B$62,
IF(AND(_xlpm.baseRow,$E436&lt;&gt;"",ISNA(MATCH($E436,Tables!$B$225:$B$232,0))),
Error!$B$2,
IF(AND(_xlpm.baseRow,$F436&lt;&gt;"",ISNA(MATCH($F436,Tables!$B$234:$B$235,0))),
Error!$B$24,
IF(AND(_xlpm.baseRow,_xlpm.ECA_H&gt;0,_xlpm.Shore_H&gt;0),
Error!$B$16,
IF(AND(_xlpm.baseRow,$E436&lt;&gt;"",$D436=""),
Error!$B$3,
IF(AND(_xlpm.baseRow,OR($E436="Tier 3",$E436="Tier 4"),$C436&lt;&gt;"",$D436&gt;=24,COUNTIF(Tables2!$B$166:$B$674,$C436)&gt;0),
Error!$B$44,
IF(AND(_xlpm.baseRow,OR($E436="Tier 3",$E436="Tier 4"),$C436&lt;&gt;"",$D436&lt;&gt;"",COUNTIF(Tables2!$B$73:$B$152,$C436)&gt;0,
$D436&gt;=IFERROR(INDEX(Tables2!$C$73:$C$152,MATCH($C436,Tables2!$B$73:$B$152,0)),-1)),
Error!$B$44,
IF(AND(_xlpm.baseRow,OR($E436="Tier 2",$E436="Tier 2 Grove"),$C436&lt;&gt;"",$D436&gt;=12,COUNTIF(Tables2!$B$153:$B$162,$C436)&gt;0),
Error!$B$45,
IF(AND(_xlpm.baseRow,$E436="Tier 2 Grove",$D436&lt;12),
Error!$B$41,
IF(AND(_xlpm.baseRow,$E436="Tier 2",$D436&lt;5.88),
Error!$B$40,
IF(AND(_xlpm.baseRow,OR($E436="Tier 2",$E436="Tier 2 Grove"),$C436&lt;&gt;"",$D436&lt;12,$D436&gt;=6,COUNTIF(Tables2!$B$153:$B$162,$C436)&gt;0),
Error!$B$54,
IF(AND(_xlpm.baseRow,$E436="Tier 2",COUNTIF(Tables2!$B$166:$B$674,$C436)&gt;0,$D436&lt;24),
Error!$B$54,
IF(AND(_xlpm.baseRow,$E436="Tier 3",ISNA(MATCH($C436,Tables2!$B$153:$B$162,0)),OR($D436&lt;12,$D436&gt;=24)),
Error!$B$9,
IF(AND(_xlpm.baseRow,$E436="Tier 3",COUNTIF(Tables2!$B$153:$B$162,$C436)&gt;0,$D436&lt;12),
Error!$B$46,
IF(AND(_xlpm.baseRow,$E436="Tier 4",OR($D436&lt;6,$D436&gt;=12)),
Error!$B$10,
IF(AND(_xlpm.baseRow,$E436="&lt;6in DSH for Tree Points",OR($D436&gt;=6,$D436="")),
Error!$B$8,
IF(AND(_xlpm.baseRow,$E436="Street Tree for Green Factor",$F436&lt;&gt;"",$F436&lt;&gt;"Retain"),
Error!$B$14,
IF(AND($E436="&lt;6in DSH for Tree Points",$F436="Retain",$H436&lt;&gt;"",ISNA(MATCH($H436,Tables!$B$174:$B$174,0))),
Error!$B$15,
IF(AND($E436="Street Tree for Green Factor",$F436="Retain",$H436&lt;&gt;"",$H436&lt;&gt;"Zoning: Green Factor"),
Error!$B$15,
IF(AND($E436="ECA / Shoreline Tree",$F436="Remove",$H436&lt;&gt;"",ISNA(MATCH($H436,Tables!$B$189:$B$190,0))),
Error!$B$15,
IF(AND($E436="ECA / Shoreline Tree",$F436="Retain",$H436&lt;&gt;"",ISNA(MATCH($H436,Tables!$B$184:$B$186,0))),
Error!$B$15,
IF(AND($E436="Tier 4",$F436="Remove",$H436&lt;&gt;"",ISNA(MATCH($H436,Tables!$B$171,0))),
Error!$B$15,
IF(AND($E436="Tier 4",$F436="Retain",$H436&lt;&gt;"",ISNA(MATCH($H436,Tables!$B$166:$B$168,0))),
Error!$B$15,
IF(AND($E436="Tier 3",$F436="Retain",$H436&lt;&gt;"",ISNA(MATCH($H436,Tables!$B$158:$B$160,0))),
Error!$B$15,
IF(AND($E436="Tier 3",$F436="Remove",$H436&lt;&gt;"",ISNA(MATCH($H436,Tables!$B$163,0))),
Error!$B$15,
IF(AND(OR($E436="Tier 2",$E436="Tier 2 Grove"),$F436="Remove",$H436&lt;&gt;"",ISNA(MATCH($H436,Tables!$B$153:$B$155,0))),
Error!$B$15,
IF(AND(OR($E436="Tier 2",$E436="Tier 2 Grove"),$F436="Retain",$H436&lt;&gt;"",ISNA(MATCH($H436,Tables!$B$147:$B$150,0))),
Error!$B$15,
IF(AND($E436="Tier 1",$F436="Remove",$H436&lt;&gt;"",ISNA(MATCH($H436,Tables!$B$143:$B$144,0))),
Error!$B$15,
IF(AND($E436="Tier 1",$F436="Retain",$H436&lt;&gt;"",ISNA(MATCH($H436,Tables!$B$137:$B$140,0))),
Error!$B$15,
IF(AND($E436&lt;&gt;"Tier 2",$E436&lt;&gt;"Tier 2 Grove",$E436&lt;&gt;"Tier 3",$E436&lt;&gt;"Tier 4",$H436="Zoning: Green Factor",OR($D436="",$D436&lt;6)),
Error!$B$11,
IF(AND(_xlpm.baseRow,$D436&lt;6,$E436="&lt;6in DSH for Tree Points",_xlpm.TreePoints_H=0),
Error!$B$21,
IF(AND(_xlpm.baseRow,$E436&lt;&gt;"",$D436&lt;&gt;"",$F436=""),
Error!$B$4,
IF(AND(_xlpm.baseRow,$F436="Remove",OR($E436="Tier 1",$E436="Tier 2",$E436="Tier 2 Grove"),COUNTBLANK(_xlpm.HRange)&lt;3,_xlpm.uniqueH&gt;=2),
Error!$B$48,
IF(AND(_xlpm.baseRow,$F436="Retain",OR($E436="Tier 1",$E436="Tier 2",$E436="Tier 2 Grove"),COUNTIF(_xlpm.HRange,"Tree Code: Required to Retain Tier 1-2 Tree")=0),
Error!$B$47,
IF(AND(_xlpm.baseRow,$E436&lt;&gt;"",$D436&lt;&gt;"",$F436&lt;&gt;"",COUNTBLANK(_xlpm.HRange)=4),
Error!$B$5,
IF(AND($F436="Remove",$H436&lt;&gt;"",$I436=""),
Error!$B$18,
IF(AND($E436="Tier 4",$F436="Remove",$H436="Tree Protection Code: Tier 3 or Tier 4 Allowance",$H436&lt;&gt;"",ISNA(MATCH($I436,Tables!$B$200,0))),
Error!$B$17,
IF(AND($E436="Tier 3",$F436="Remove",$H436&lt;&gt;"",$H436="Tree Protection Code: Tier 3 or Tier 4 Allowance",OR($I436="",ISNA(MATCH($I436,Tables!$B$193:$B$197,0)))),
Error!$B$17,
IF(AND(OR($E436="Tier 2",$E436="Tier 2 Grove"),$F436="Remove",$H436="Tree Protection Code: Other removal allowance or exemption",$I436&lt;&gt;"",ISNA(MATCH($I436,Tables!$B$215:$B$218,0))),
Error!$B$17,
IF(AND(OR($E436="Tier 2",$E436="Tier 2 Grove"),$F436="Remove",$H436="Tree Protection Code: Development Capacity",$I436&lt;&gt;"",ISNA(MATCH($I436,Tables!$B$193:$B$197,0))),
Error!$B$17,
IF(AND(OR($E436="Tier 2",$E436="Tier 2 Grove"),$F436="Remove",$H436="Tree Protection Code: Necessary for Construction",$I436&lt;&gt;"",ISNA(MATCH($I436,Tables!$B$193:$B$197,0))),
Error!$B$17,
IF(AND($E436="Tier 1",$F436="Remove",$H436="Tree Protection Code: Special Exception",$I436&lt;&gt;"",ISNA(MATCH($I436,Tables!$B$215:$B$218,0))),
Error!$B$17,
IF(AND($E436="Tier 1",$F436="Remove",$H436="Tree Protection Code: Other removal allowance or exemption",$I436&lt;&gt;"",ISNA(MATCH($I436,Tables!$B$215:$B$218,0))),
Error!$B$17,
IF(AND($E436="ECA / Shoreline Tree",$F436="Remove",$H436&lt;&gt;"",OR($H436="Shoreline",$H436="Environmental Critical Area (ECA)"),ISNA(MATCH($I436,Tables!$B$209:$B$212,0))),
Error!$B$17,
IF(AND(_xlpm.baseRow,$F436="Retain",$E436="ECA / Shoreline Tree",_xlpm.ECA_Short=0),
Error!$B$61,
IF(AND($F436="Remove",ISNUMBER(MATCH($E436,{"Tier 1","Tier 2","Tier 3","Tier 4","Tier 2 Grove"},0)),ISNUMBER(MATCH($I436,{"On-site replacement","Off-site replacement"},0)),$J436="",$H436&lt;&gt;""),
Error!$B$19,
IF(AND(_xlpm.baseRow,$E436&lt;&gt;"",$D436&lt;&gt;"",$F436&lt;&gt;"",COUNTBLANK($B436:$C436)&gt;0,COUNTBLANK(_xlpm.HRange)&lt;&gt;4),
Error!$B$22,
IF(AND($H436="Zoning: Tree Points",$K436&lt;&gt;"",ISNA(MATCH($K436,Tables!$B$242:$B$253,0))),
Error!$B$58,
IF(AND($H436="Zoning: Tree Points",$K436="Small",$L436&lt;&gt;"",ISNA(MATCH($L436,Tables!$C$243:$C$244,0))),
Error!$B$59,
IF(AND($H436="Zoning: Tree Points",$K436="Small/Medium",$L436&lt;&gt;"",ISNA(MATCH($L436,Tables!$C$246:$C$247,0))),
Error!$B$59,
IF(AND($H436="Zoning: Tree Points",$K436="Medium/Large",$L436&lt;&gt;"",ISNA(MATCH($L436,Tables!$C$249:$C$250,0))),
Error!$B$59,
IF(AND($H436="Zoning: Tree Points",$K436="Large",$L436&lt;&gt;"",ISNA(MATCH($L436,Tables!$C$252:$C$253,0))),
Error!$B$59,
IF(AND($F436="Retain",$H436="Zoning: Tree Points",$C436&lt;&gt;"",$D436&lt;&gt;"",OR($K436="",$L436="",$M436="")),
Error!$B$20,
""
)))))))))))))))))))))))))))))))))))))))))))))))))))))))),
Error!$B$23))</f>
        <v/>
      </c>
      <c r="O436" s="343" t="str" cm="1">
        <f t="array" aca="1" ref="O436" ca="1">IFERROR(_xlfn.LET(
    _xlpm.txt, $C436,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37" spans="1:15" x14ac:dyDescent="0.3">
      <c r="A437" s="320"/>
      <c r="B437" s="616" t="str">
        <f t="shared" si="493"/>
        <v/>
      </c>
      <c r="C437" s="617" t="str">
        <f t="shared" si="494"/>
        <v/>
      </c>
      <c r="D437" s="618" t="str">
        <f t="shared" si="495"/>
        <v/>
      </c>
      <c r="E437" s="616" t="str">
        <f t="shared" si="496"/>
        <v/>
      </c>
      <c r="F437" s="616" t="str">
        <f t="shared" si="497"/>
        <v/>
      </c>
      <c r="G437" s="619" t="str">
        <f>IF(Tree_Table1[[#This Row],[Tree Status  &amp;]]="Retain", Tables!$B$237, IF(Tree_Table1[[#This Row],[Tree Status  &amp;]]="Remove", Tables!$B$238, ""))</f>
        <v/>
      </c>
      <c r="H437" s="321"/>
      <c r="I437" s="322"/>
      <c r="J437" s="453"/>
      <c r="K437" s="323" t="str">
        <f>IFERROR(
    IF(
        AND($H437="Zoning: Tree Points", NOT(ISNUMBER(SEARCH("sp.", $C437)))),
        VLOOKUP($C437, 'Tree List'!$C$3:$F$601, 4, FALSE),
        ""
    ),
"")</f>
        <v/>
      </c>
      <c r="L437" s="324" t="str" cm="1">
        <f t="array" ref="L437">IFERROR(
IF(
    AND($H437="Zoning: Tree Points", NOT(ISNUMBER(SEARCH("sp.", $C437)))),
    _xlfn.IFS(
        (COUNTIFS('Tree List'!$C$3:$C$601,$C437,'Tree List'!$D$3:$D$601,"Coniferous")
        + COUNTIFS('Tree List'!$C$3:$C$601,$C437,'Tree List'!$D$3:$D$601,"Deciduous Conifer")) &gt; 0,
            _xlfn.IFS($K437="Small",0.5,$K437="Small/Medium",1,$K437="Medium/Large",1.4,$K437="Large",1.8),
        (COUNTIFS('Tree List'!$C$3:$C$601,$C437,'Tree List'!$D$3:$D$601,"Deciduous")
        + COUNTIFS('Tree List'!$C$3:$C$601,$C437,'Tree List'!$D$3:$D$601,"Broadleaf Evergreen")) &gt; 0,
            _xlfn.IFS($K437="Small",0.4,$K437="Small/Medium",0.8,$K437="Medium/Large",1.2,$K437="Large",1.6)
    ),
    ""
),
"")</f>
        <v/>
      </c>
      <c r="M437" s="475" t="str">
        <f t="shared" si="492"/>
        <v/>
      </c>
      <c r="N437" s="346" t="str" cm="1">
        <f t="array" aca="1" ref="N43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IF(AND(_xlpm.baseRow,ISNA(MATCH($C437,'Tree List'!$C$3:$C$601,0)),SUMPRODUCT(--ISNUMBER(SEARCH(Tables2!$C$677:$C$772,$O437)))&gt;0),
Error!$B$57,
IF(AND(_xlpm.hasDM,$F437="Remove",$H437&lt;&gt;"",OR($I437="On-site replacement",$I437="Off-site replacement",$I437="Payment In Lieu")),
Error!$B$56,
IF(AND(_xlpm.hasDM,$F437="Remove",$H437&lt;&gt;"",$I437="Relocation"),
Error!$B$66,
IF(AND(OR(_xlpm.hasCN,_xlpm.hasPH,_xlpm.hasGR),$H437&lt;&gt;"",COUNTIF(Tables!$B$132:$B$134,$H437)&gt;0,$I437="N/A (No replacement required)"),
Error!$B$62,
IF(AND(_xlpm.baseRow,$E437&lt;&gt;"",ISNA(MATCH($E437,Tables!$B$225:$B$232,0))),
Error!$B$2,
IF(AND(_xlpm.baseRow,$F437&lt;&gt;"",ISNA(MATCH($F437,Tables!$B$234:$B$235,0))),
Error!$B$24,
IF(AND(_xlpm.baseRow,_xlpm.ECA_H&gt;0,_xlpm.Shore_H&gt;0),
Error!$B$16,
IF(AND(_xlpm.baseRow,$E437&lt;&gt;"",$D437=""),
Error!$B$3,
IF(AND(_xlpm.baseRow,OR($E437="Tier 3",$E437="Tier 4"),$C437&lt;&gt;"",$D437&gt;=24,COUNTIF(Tables2!$B$166:$B$674,$C437)&gt;0),
Error!$B$44,
IF(AND(_xlpm.baseRow,OR($E437="Tier 3",$E437="Tier 4"),$C437&lt;&gt;"",$D437&lt;&gt;"",COUNTIF(Tables2!$B$73:$B$152,$C437)&gt;0,
$D437&gt;=IFERROR(INDEX(Tables2!$C$73:$C$152,MATCH($C437,Tables2!$B$73:$B$152,0)),-1)),
Error!$B$44,
IF(AND(_xlpm.baseRow,OR($E437="Tier 2",$E437="Tier 2 Grove"),$C437&lt;&gt;"",$D437&gt;=12,COUNTIF(Tables2!$B$153:$B$162,$C437)&gt;0),
Error!$B$45,
IF(AND(_xlpm.baseRow,$E437="Tier 2 Grove",$D437&lt;12),
Error!$B$41,
IF(AND(_xlpm.baseRow,$E437="Tier 2",$D437&lt;5.88),
Error!$B$40,
IF(AND(_xlpm.baseRow,OR($E437="Tier 2",$E437="Tier 2 Grove"),$C437&lt;&gt;"",$D437&lt;12,$D437&gt;=6,COUNTIF(Tables2!$B$153:$B$162,$C437)&gt;0),
Error!$B$54,
IF(AND(_xlpm.baseRow,$E437="Tier 2",COUNTIF(Tables2!$B$166:$B$674,$C437)&gt;0,$D437&lt;24),
Error!$B$54,
IF(AND(_xlpm.baseRow,$E437="Tier 3",ISNA(MATCH($C437,Tables2!$B$153:$B$162,0)),OR($D437&lt;12,$D437&gt;=24)),
Error!$B$9,
IF(AND(_xlpm.baseRow,$E437="Tier 3",COUNTIF(Tables2!$B$153:$B$162,$C437)&gt;0,$D437&lt;12),
Error!$B$46,
IF(AND(_xlpm.baseRow,$E437="Tier 4",OR($D437&lt;6,$D437&gt;=12)),
Error!$B$10,
IF(AND(_xlpm.baseRow,$E437="&lt;6in DSH for Tree Points",OR($D437&gt;=6,$D437="")),
Error!$B$8,
IF(AND(_xlpm.baseRow,$E437="Street Tree for Green Factor",$F437&lt;&gt;"",$F437&lt;&gt;"Retain"),
Error!$B$14,
IF(AND($E437="&lt;6in DSH for Tree Points",$F437="Retain",$H437&lt;&gt;"",ISNA(MATCH($H437,Tables!$B$174:$B$174,0))),
Error!$B$15,
IF(AND($E437="Street Tree for Green Factor",$F437="Retain",$H437&lt;&gt;"",$H437&lt;&gt;"Zoning: Green Factor"),
Error!$B$15,
IF(AND($E437="ECA / Shoreline Tree",$F437="Remove",$H437&lt;&gt;"",ISNA(MATCH($H437,Tables!$B$189:$B$190,0))),
Error!$B$15,
IF(AND($E437="ECA / Shoreline Tree",$F437="Retain",$H437&lt;&gt;"",ISNA(MATCH($H437,Tables!$B$184:$B$186,0))),
Error!$B$15,
IF(AND($E437="Tier 4",$F437="Remove",$H437&lt;&gt;"",ISNA(MATCH($H437,Tables!$B$171,0))),
Error!$B$15,
IF(AND($E437="Tier 4",$F437="Retain",$H437&lt;&gt;"",ISNA(MATCH($H437,Tables!$B$166:$B$168,0))),
Error!$B$15,
IF(AND($E437="Tier 3",$F437="Retain",$H437&lt;&gt;"",ISNA(MATCH($H437,Tables!$B$158:$B$160,0))),
Error!$B$15,
IF(AND($E437="Tier 3",$F437="Remove",$H437&lt;&gt;"",ISNA(MATCH($H437,Tables!$B$163,0))),
Error!$B$15,
IF(AND(OR($E437="Tier 2",$E437="Tier 2 Grove"),$F437="Remove",$H437&lt;&gt;"",ISNA(MATCH($H437,Tables!$B$153:$B$155,0))),
Error!$B$15,
IF(AND(OR($E437="Tier 2",$E437="Tier 2 Grove"),$F437="Retain",$H437&lt;&gt;"",ISNA(MATCH($H437,Tables!$B$147:$B$150,0))),
Error!$B$15,
IF(AND($E437="Tier 1",$F437="Remove",$H437&lt;&gt;"",ISNA(MATCH($H437,Tables!$B$143:$B$144,0))),
Error!$B$15,
IF(AND($E437="Tier 1",$F437="Retain",$H437&lt;&gt;"",ISNA(MATCH($H437,Tables!$B$137:$B$140,0))),
Error!$B$15,
IF(AND($E437&lt;&gt;"Tier 2",$E437&lt;&gt;"Tier 2 Grove",$E437&lt;&gt;"Tier 3",$E437&lt;&gt;"Tier 4",$H437="Zoning: Green Factor",OR($D437="",$D437&lt;6)),
Error!$B$11,
IF(AND(_xlpm.baseRow,$D437&lt;6,$E437="&lt;6in DSH for Tree Points",_xlpm.TreePoints_H=0),
Error!$B$21,
IF(AND(_xlpm.baseRow,$E437&lt;&gt;"",$D437&lt;&gt;"",$F437=""),
Error!$B$4,
IF(AND(_xlpm.baseRow,$F437="Remove",OR($E437="Tier 1",$E437="Tier 2",$E437="Tier 2 Grove"),COUNTBLANK(_xlpm.HRange)&lt;3,_xlpm.uniqueH&gt;=2),
Error!$B$48,
IF(AND(_xlpm.baseRow,$F437="Retain",OR($E437="Tier 1",$E437="Tier 2",$E437="Tier 2 Grove"),COUNTIF(_xlpm.HRange,"Tree Code: Required to Retain Tier 1-2 Tree")=0),
Error!$B$47,
IF(AND(_xlpm.baseRow,$E437&lt;&gt;"",$D437&lt;&gt;"",$F437&lt;&gt;"",COUNTBLANK(_xlpm.HRange)=4),
Error!$B$5,
IF(AND($F437="Remove",$H437&lt;&gt;"",$I437=""),
Error!$B$18,
IF(AND($E437="Tier 4",$F437="Remove",$H437="Tree Protection Code: Tier 3 or Tier 4 Allowance",$H437&lt;&gt;"",ISNA(MATCH($I437,Tables!$B$200,0))),
Error!$B$17,
IF(AND($E437="Tier 3",$F437="Remove",$H437&lt;&gt;"",$H437="Tree Protection Code: Tier 3 or Tier 4 Allowance",OR($I437="",ISNA(MATCH($I437,Tables!$B$193:$B$197,0)))),
Error!$B$17,
IF(AND(OR($E437="Tier 2",$E437="Tier 2 Grove"),$F437="Remove",$H437="Tree Protection Code: Other removal allowance or exemption",$I437&lt;&gt;"",ISNA(MATCH($I437,Tables!$B$215:$B$218,0))),
Error!$B$17,
IF(AND(OR($E437="Tier 2",$E437="Tier 2 Grove"),$F437="Remove",$H437="Tree Protection Code: Development Capacity",$I437&lt;&gt;"",ISNA(MATCH($I437,Tables!$B$193:$B$197,0))),
Error!$B$17,
IF(AND(OR($E437="Tier 2",$E437="Tier 2 Grove"),$F437="Remove",$H437="Tree Protection Code: Necessary for Construction",$I437&lt;&gt;"",ISNA(MATCH($I437,Tables!$B$193:$B$197,0))),
Error!$B$17,
IF(AND($E437="Tier 1",$F437="Remove",$H437="Tree Protection Code: Special Exception",$I437&lt;&gt;"",ISNA(MATCH($I437,Tables!$B$215:$B$218,0))),
Error!$B$17,
IF(AND($E437="Tier 1",$F437="Remove",$H437="Tree Protection Code: Other removal allowance or exemption",$I437&lt;&gt;"",ISNA(MATCH($I437,Tables!$B$215:$B$218,0))),
Error!$B$17,
IF(AND($E437="ECA / Shoreline Tree",$F437="Remove",$H437&lt;&gt;"",OR($H437="Shoreline",$H437="Environmental Critical Area (ECA)"),ISNA(MATCH($I437,Tables!$B$209:$B$212,0))),
Error!$B$17,
IF(AND(_xlpm.baseRow,$F437="Retain",$E437="ECA / Shoreline Tree",_xlpm.ECA_Short=0),
Error!$B$61,
IF(AND($F437="Remove",ISNUMBER(MATCH($E437,{"Tier 1","Tier 2","Tier 3","Tier 4","Tier 2 Grove"},0)),ISNUMBER(MATCH($I437,{"On-site replacement","Off-site replacement"},0)),$J437="",$H437&lt;&gt;""),
Error!$B$19,
IF(AND(_xlpm.baseRow,$E437&lt;&gt;"",$D437&lt;&gt;"",$F437&lt;&gt;"",COUNTBLANK($B437:$C437)&gt;0,COUNTBLANK(_xlpm.HRange)&lt;&gt;4),
Error!$B$22,
IF(AND($H437="Zoning: Tree Points",$K437&lt;&gt;"",ISNA(MATCH($K437,Tables!$B$242:$B$253,0))),
Error!$B$58,
IF(AND($H437="Zoning: Tree Points",$K437="Small",$L437&lt;&gt;"",ISNA(MATCH($L437,Tables!$C$243:$C$244,0))),
Error!$B$59,
IF(AND($H437="Zoning: Tree Points",$K437="Small/Medium",$L437&lt;&gt;"",ISNA(MATCH($L437,Tables!$C$246:$C$247,0))),
Error!$B$59,
IF(AND($H437="Zoning: Tree Points",$K437="Medium/Large",$L437&lt;&gt;"",ISNA(MATCH($L437,Tables!$C$249:$C$250,0))),
Error!$B$59,
IF(AND($H437="Zoning: Tree Points",$K437="Large",$L437&lt;&gt;"",ISNA(MATCH($L437,Tables!$C$252:$C$253,0))),
Error!$B$59,
IF(AND($F437="Retain",$H437="Zoning: Tree Points",$C437&lt;&gt;"",$D437&lt;&gt;"",OR($K437="",$L437="",$M437="")),
Error!$B$20,
""
)))))))))))))))))))))))))))))))))))))))))))))))))))))))),
Error!$B$23))</f>
        <v/>
      </c>
      <c r="O437" s="343" t="str" cm="1">
        <f t="array" aca="1" ref="O437" ca="1">IFERROR(_xlfn.LET(
    _xlpm.txt, $C437,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38" spans="1:15" ht="15" thickBot="1" x14ac:dyDescent="0.35">
      <c r="A438" s="331"/>
      <c r="B438" s="616" t="str">
        <f t="shared" si="493"/>
        <v/>
      </c>
      <c r="C438" s="617" t="str">
        <f t="shared" si="494"/>
        <v/>
      </c>
      <c r="D438" s="618" t="str">
        <f t="shared" si="495"/>
        <v/>
      </c>
      <c r="E438" s="616" t="str">
        <f t="shared" si="496"/>
        <v/>
      </c>
      <c r="F438" s="616" t="str">
        <f t="shared" si="497"/>
        <v/>
      </c>
      <c r="G438" s="619" t="str">
        <f>IF(Tree_Table1[[#This Row],[Tree Status  &amp;]]="Retain", Tables!$B$237, IF(Tree_Table1[[#This Row],[Tree Status  &amp;]]="Remove", Tables!$B$238, ""))</f>
        <v/>
      </c>
      <c r="H438" s="329"/>
      <c r="I438" s="330"/>
      <c r="J438" s="455"/>
      <c r="K438" s="327" t="str">
        <f>IFERROR(
    IF(
        AND($H438="Zoning: Tree Points", NOT(ISNUMBER(SEARCH("sp.", $C438)))),
        VLOOKUP($C438, 'Tree List'!$C$3:$F$601, 4, FALSE),
        ""
    ),
"")</f>
        <v/>
      </c>
      <c r="L438" s="328" t="str" cm="1">
        <f t="array" ref="L438">IFERROR(
IF(
    AND($H438="Zoning: Tree Points", NOT(ISNUMBER(SEARCH("sp.", $C438)))),
    _xlfn.IFS(
        (COUNTIFS('Tree List'!$C$3:$C$601,$C438,'Tree List'!$D$3:$D$601,"Coniferous")
        + COUNTIFS('Tree List'!$C$3:$C$601,$C438,'Tree List'!$D$3:$D$601,"Deciduous Conifer")) &gt; 0,
            _xlfn.IFS($K438="Small",0.5,$K438="Small/Medium",1,$K438="Medium/Large",1.4,$K438="Large",1.8),
        (COUNTIFS('Tree List'!$C$3:$C$601,$C438,'Tree List'!$D$3:$D$601,"Deciduous")
        + COUNTIFS('Tree List'!$C$3:$C$601,$C438,'Tree List'!$D$3:$D$601,"Broadleaf Evergreen")) &gt; 0,
            _xlfn.IFS($K438="Small",0.4,$K438="Small/Medium",0.8,$K438="Medium/Large",1.2,$K438="Large",1.6)
    ),
    ""
),
"")</f>
        <v/>
      </c>
      <c r="M438" s="476" t="str">
        <f t="shared" si="492"/>
        <v/>
      </c>
      <c r="N438" s="347" t="str" cm="1">
        <f t="array" aca="1" ref="N43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IF(AND(_xlpm.baseRow,ISNA(MATCH($C438,'Tree List'!$C$3:$C$601,0)),SUMPRODUCT(--ISNUMBER(SEARCH(Tables2!$C$677:$C$772,$O438)))&gt;0),
Error!$B$57,
IF(AND(_xlpm.hasDM,$F438="Remove",$H438&lt;&gt;"",OR($I438="On-site replacement",$I438="Off-site replacement",$I438="Payment In Lieu")),
Error!$B$56,
IF(AND(_xlpm.hasDM,$F438="Remove",$H438&lt;&gt;"",$I438="Relocation"),
Error!$B$66,
IF(AND(OR(_xlpm.hasCN,_xlpm.hasPH,_xlpm.hasGR),$H438&lt;&gt;"",COUNTIF(Tables!$B$132:$B$134,$H438)&gt;0,$I438="N/A (No replacement required)"),
Error!$B$62,
IF(AND(_xlpm.baseRow,$E438&lt;&gt;"",ISNA(MATCH($E438,Tables!$B$225:$B$232,0))),
Error!$B$2,
IF(AND(_xlpm.baseRow,$F438&lt;&gt;"",ISNA(MATCH($F438,Tables!$B$234:$B$235,0))),
Error!$B$24,
IF(AND(_xlpm.baseRow,_xlpm.ECA_H&gt;0,_xlpm.Shore_H&gt;0),
Error!$B$16,
IF(AND(_xlpm.baseRow,$E438&lt;&gt;"",$D438=""),
Error!$B$3,
IF(AND(_xlpm.baseRow,OR($E438="Tier 3",$E438="Tier 4"),$C438&lt;&gt;"",$D438&gt;=24,COUNTIF(Tables2!$B$166:$B$674,$C438)&gt;0),
Error!$B$44,
IF(AND(_xlpm.baseRow,OR($E438="Tier 3",$E438="Tier 4"),$C438&lt;&gt;"",$D438&lt;&gt;"",COUNTIF(Tables2!$B$73:$B$152,$C438)&gt;0,
$D438&gt;=IFERROR(INDEX(Tables2!$C$73:$C$152,MATCH($C438,Tables2!$B$73:$B$152,0)),-1)),
Error!$B$44,
IF(AND(_xlpm.baseRow,OR($E438="Tier 2",$E438="Tier 2 Grove"),$C438&lt;&gt;"",$D438&gt;=12,COUNTIF(Tables2!$B$153:$B$162,$C438)&gt;0),
Error!$B$45,
IF(AND(_xlpm.baseRow,$E438="Tier 2 Grove",$D438&lt;12),
Error!$B$41,
IF(AND(_xlpm.baseRow,$E438="Tier 2",$D438&lt;5.88),
Error!$B$40,
IF(AND(_xlpm.baseRow,OR($E438="Tier 2",$E438="Tier 2 Grove"),$C438&lt;&gt;"",$D438&lt;12,$D438&gt;=6,COUNTIF(Tables2!$B$153:$B$162,$C438)&gt;0),
Error!$B$54,
IF(AND(_xlpm.baseRow,$E438="Tier 2",COUNTIF(Tables2!$B$166:$B$674,$C438)&gt;0,$D438&lt;24),
Error!$B$54,
IF(AND(_xlpm.baseRow,$E438="Tier 3",ISNA(MATCH($C438,Tables2!$B$153:$B$162,0)),OR($D438&lt;12,$D438&gt;=24)),
Error!$B$9,
IF(AND(_xlpm.baseRow,$E438="Tier 3",COUNTIF(Tables2!$B$153:$B$162,$C438)&gt;0,$D438&lt;12),
Error!$B$46,
IF(AND(_xlpm.baseRow,$E438="Tier 4",OR($D438&lt;6,$D438&gt;=12)),
Error!$B$10,
IF(AND(_xlpm.baseRow,$E438="&lt;6in DSH for Tree Points",OR($D438&gt;=6,$D438="")),
Error!$B$8,
IF(AND(_xlpm.baseRow,$E438="Street Tree for Green Factor",$F438&lt;&gt;"",$F438&lt;&gt;"Retain"),
Error!$B$14,
IF(AND($E438="&lt;6in DSH for Tree Points",$F438="Retain",$H438&lt;&gt;"",ISNA(MATCH($H438,Tables!$B$174:$B$174,0))),
Error!$B$15,
IF(AND($E438="Street Tree for Green Factor",$F438="Retain",$H438&lt;&gt;"",$H438&lt;&gt;"Zoning: Green Factor"),
Error!$B$15,
IF(AND($E438="ECA / Shoreline Tree",$F438="Remove",$H438&lt;&gt;"",ISNA(MATCH($H438,Tables!$B$189:$B$190,0))),
Error!$B$15,
IF(AND($E438="ECA / Shoreline Tree",$F438="Retain",$H438&lt;&gt;"",ISNA(MATCH($H438,Tables!$B$184:$B$186,0))),
Error!$B$15,
IF(AND($E438="Tier 4",$F438="Remove",$H438&lt;&gt;"",ISNA(MATCH($H438,Tables!$B$171,0))),
Error!$B$15,
IF(AND($E438="Tier 4",$F438="Retain",$H438&lt;&gt;"",ISNA(MATCH($H438,Tables!$B$166:$B$168,0))),
Error!$B$15,
IF(AND($E438="Tier 3",$F438="Retain",$H438&lt;&gt;"",ISNA(MATCH($H438,Tables!$B$158:$B$160,0))),
Error!$B$15,
IF(AND($E438="Tier 3",$F438="Remove",$H438&lt;&gt;"",ISNA(MATCH($H438,Tables!$B$163,0))),
Error!$B$15,
IF(AND(OR($E438="Tier 2",$E438="Tier 2 Grove"),$F438="Remove",$H438&lt;&gt;"",ISNA(MATCH($H438,Tables!$B$153:$B$155,0))),
Error!$B$15,
IF(AND(OR($E438="Tier 2",$E438="Tier 2 Grove"),$F438="Retain",$H438&lt;&gt;"",ISNA(MATCH($H438,Tables!$B$147:$B$150,0))),
Error!$B$15,
IF(AND($E438="Tier 1",$F438="Remove",$H438&lt;&gt;"",ISNA(MATCH($H438,Tables!$B$143:$B$144,0))),
Error!$B$15,
IF(AND($E438="Tier 1",$F438="Retain",$H438&lt;&gt;"",ISNA(MATCH($H438,Tables!$B$137:$B$140,0))),
Error!$B$15,
IF(AND($E438&lt;&gt;"Tier 2",$E438&lt;&gt;"Tier 2 Grove",$E438&lt;&gt;"Tier 3",$E438&lt;&gt;"Tier 4",$H438="Zoning: Green Factor",OR($D438="",$D438&lt;6)),
Error!$B$11,
IF(AND(_xlpm.baseRow,$D438&lt;6,$E438="&lt;6in DSH for Tree Points",_xlpm.TreePoints_H=0),
Error!$B$21,
IF(AND(_xlpm.baseRow,$E438&lt;&gt;"",$D438&lt;&gt;"",$F438=""),
Error!$B$4,
IF(AND(_xlpm.baseRow,$F438="Remove",OR($E438="Tier 1",$E438="Tier 2",$E438="Tier 2 Grove"),COUNTBLANK(_xlpm.HRange)&lt;3,_xlpm.uniqueH&gt;=2),
Error!$B$48,
IF(AND(_xlpm.baseRow,$F438="Retain",OR($E438="Tier 1",$E438="Tier 2",$E438="Tier 2 Grove"),COUNTIF(_xlpm.HRange,"Tree Code: Required to Retain Tier 1-2 Tree")=0),
Error!$B$47,
IF(AND(_xlpm.baseRow,$E438&lt;&gt;"",$D438&lt;&gt;"",$F438&lt;&gt;"",COUNTBLANK(_xlpm.HRange)=4),
Error!$B$5,
IF(AND($F438="Remove",$H438&lt;&gt;"",$I438=""),
Error!$B$18,
IF(AND($E438="Tier 4",$F438="Remove",$H438="Tree Protection Code: Tier 3 or Tier 4 Allowance",$H438&lt;&gt;"",ISNA(MATCH($I438,Tables!$B$200,0))),
Error!$B$17,
IF(AND($E438="Tier 3",$F438="Remove",$H438&lt;&gt;"",$H438="Tree Protection Code: Tier 3 or Tier 4 Allowance",OR($I438="",ISNA(MATCH($I438,Tables!$B$193:$B$197,0)))),
Error!$B$17,
IF(AND(OR($E438="Tier 2",$E438="Tier 2 Grove"),$F438="Remove",$H438="Tree Protection Code: Other removal allowance or exemption",$I438&lt;&gt;"",ISNA(MATCH($I438,Tables!$B$215:$B$218,0))),
Error!$B$17,
IF(AND(OR($E438="Tier 2",$E438="Tier 2 Grove"),$F438="Remove",$H438="Tree Protection Code: Development Capacity",$I438&lt;&gt;"",ISNA(MATCH($I438,Tables!$B$193:$B$197,0))),
Error!$B$17,
IF(AND(OR($E438="Tier 2",$E438="Tier 2 Grove"),$F438="Remove",$H438="Tree Protection Code: Necessary for Construction",$I438&lt;&gt;"",ISNA(MATCH($I438,Tables!$B$193:$B$197,0))),
Error!$B$17,
IF(AND($E438="Tier 1",$F438="Remove",$H438="Tree Protection Code: Special Exception",$I438&lt;&gt;"",ISNA(MATCH($I438,Tables!$B$215:$B$218,0))),
Error!$B$17,
IF(AND($E438="Tier 1",$F438="Remove",$H438="Tree Protection Code: Other removal allowance or exemption",$I438&lt;&gt;"",ISNA(MATCH($I438,Tables!$B$215:$B$218,0))),
Error!$B$17,
IF(AND($E438="ECA / Shoreline Tree",$F438="Remove",$H438&lt;&gt;"",OR($H438="Shoreline",$H438="Environmental Critical Area (ECA)"),ISNA(MATCH($I438,Tables!$B$209:$B$212,0))),
Error!$B$17,
IF(AND(_xlpm.baseRow,$F438="Retain",$E438="ECA / Shoreline Tree",_xlpm.ECA_Short=0),
Error!$B$61,
IF(AND($F438="Remove",ISNUMBER(MATCH($E438,{"Tier 1","Tier 2","Tier 3","Tier 4","Tier 2 Grove"},0)),ISNUMBER(MATCH($I438,{"On-site replacement","Off-site replacement"},0)),$J438="",$H438&lt;&gt;""),
Error!$B$19,
IF(AND(_xlpm.baseRow,$E438&lt;&gt;"",$D438&lt;&gt;"",$F438&lt;&gt;"",COUNTBLANK($B438:$C438)&gt;0,COUNTBLANK(_xlpm.HRange)&lt;&gt;4),
Error!$B$22,
IF(AND($H438="Zoning: Tree Points",$K438&lt;&gt;"",ISNA(MATCH($K438,Tables!$B$242:$B$253,0))),
Error!$B$58,
IF(AND($H438="Zoning: Tree Points",$K438="Small",$L438&lt;&gt;"",ISNA(MATCH($L438,Tables!$C$243:$C$244,0))),
Error!$B$59,
IF(AND($H438="Zoning: Tree Points",$K438="Small/Medium",$L438&lt;&gt;"",ISNA(MATCH($L438,Tables!$C$246:$C$247,0))),
Error!$B$59,
IF(AND($H438="Zoning: Tree Points",$K438="Medium/Large",$L438&lt;&gt;"",ISNA(MATCH($L438,Tables!$C$249:$C$250,0))),
Error!$B$59,
IF(AND($H438="Zoning: Tree Points",$K438="Large",$L438&lt;&gt;"",ISNA(MATCH($L438,Tables!$C$252:$C$253,0))),
Error!$B$59,
IF(AND($F438="Retain",$H438="Zoning: Tree Points",$C438&lt;&gt;"",$D438&lt;&gt;"",OR($K438="",$L438="",$M438="")),
Error!$B$20,
""
)))))))))))))))))))))))))))))))))))))))))))))))))))))))),
Error!$B$23))</f>
        <v/>
      </c>
      <c r="O438" s="343" t="str" cm="1">
        <f t="array" aca="1" ref="O438" ca="1">IFERROR(_xlfn.LET(
    _xlpm.txt, $C438,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39" spans="1:15" ht="15" thickBot="1" x14ac:dyDescent="0.35">
      <c r="A439" s="311">
        <v>108</v>
      </c>
      <c r="B439" s="312"/>
      <c r="C439" s="313"/>
      <c r="D439" s="478"/>
      <c r="E439" s="314"/>
      <c r="F439" s="314"/>
      <c r="G439" s="315" t="str">
        <f>IF(Tree_Table1[[#This Row],[Tree Status  &amp;]]="Retain", Tables!$B$237, IF(Tree_Table1[[#This Row],[Tree Status  &amp;]]="Remove", Tables!$B$238, ""))</f>
        <v/>
      </c>
      <c r="H439" s="316"/>
      <c r="I439" s="317"/>
      <c r="J439" s="452"/>
      <c r="K439" s="318" t="str">
        <f>IFERROR(
    IF(
        AND($H439="Zoning: Tree Points", NOT(ISNUMBER(SEARCH("sp.", $C439)))),
        VLOOKUP($C439, 'Tree List'!$C$3:$F$601, 4, FALSE),
        ""
    ),
"")</f>
        <v/>
      </c>
      <c r="L439" s="319" t="str" cm="1">
        <f t="array" ref="L439">IFERROR(
IF(
    AND($H439="Zoning: Tree Points", NOT(ISNUMBER(SEARCH("sp.", $C439)))),
    _xlfn.IFS(
        (COUNTIFS('Tree List'!$C$3:$C$601,$C439,'Tree List'!$D$3:$D$601,"Coniferous")
        + COUNTIFS('Tree List'!$C$3:$C$601,$C439,'Tree List'!$D$3:$D$601,"Deciduous Conifer")) &gt; 0,
            _xlfn.IFS($K439="Small",0.5,$K439="Small/Medium",1,$K439="Medium/Large",1.4,$K439="Large",1.8),
        (COUNTIFS('Tree List'!$C$3:$C$601,$C439,'Tree List'!$D$3:$D$601,"Deciduous")
        + COUNTIFS('Tree List'!$C$3:$C$601,$C439,'Tree List'!$D$3:$D$601,"Broadleaf Evergreen")) &gt; 0,
            _xlfn.IFS($K439="Small",0.4,$K439="Small/Medium",0.8,$K439="Medium/Large",1.2,$K439="Large",1.6)
    ),
    ""
),
"")</f>
        <v/>
      </c>
      <c r="M439" s="474" t="str">
        <f t="shared" si="492"/>
        <v/>
      </c>
      <c r="N439" s="620" t="str" cm="1">
        <f t="array" aca="1" ref="N43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IF(AND(_xlpm.baseRow,ISNA(MATCH($C439,'Tree List'!$C$3:$C$601,0)),SUMPRODUCT(--ISNUMBER(SEARCH(Tables2!$C$677:$C$772,$O439)))&gt;0),
Error!$B$57,
IF(AND(_xlpm.hasDM,$F439="Remove",$H439&lt;&gt;"",OR($I439="On-site replacement",$I439="Off-site replacement",$I439="Payment In Lieu")),
Error!$B$56,
IF(AND(_xlpm.hasDM,$F439="Remove",$H439&lt;&gt;"",$I439="Relocation"),
Error!$B$66,
IF(AND(OR(_xlpm.hasCN,_xlpm.hasPH,_xlpm.hasGR),$H439&lt;&gt;"",COUNTIF(Tables!$B$132:$B$134,$H439)&gt;0,$I439="N/A (No replacement required)"),
Error!$B$62,
IF(AND(_xlpm.baseRow,$E439&lt;&gt;"",ISNA(MATCH($E439,Tables!$B$225:$B$232,0))),
Error!$B$2,
IF(AND(_xlpm.baseRow,$F439&lt;&gt;"",ISNA(MATCH($F439,Tables!$B$234:$B$235,0))),
Error!$B$24,
IF(AND(_xlpm.baseRow,_xlpm.ECA_H&gt;0,_xlpm.Shore_H&gt;0),
Error!$B$16,
IF(AND(_xlpm.baseRow,$E439&lt;&gt;"",$D439=""),
Error!$B$3,
IF(AND(_xlpm.baseRow,OR($E439="Tier 3",$E439="Tier 4"),$C439&lt;&gt;"",$D439&gt;=24,COUNTIF(Tables2!$B$166:$B$674,$C439)&gt;0),
Error!$B$44,
IF(AND(_xlpm.baseRow,OR($E439="Tier 3",$E439="Tier 4"),$C439&lt;&gt;"",$D439&lt;&gt;"",COUNTIF(Tables2!$B$73:$B$152,$C439)&gt;0,
$D439&gt;=IFERROR(INDEX(Tables2!$C$73:$C$152,MATCH($C439,Tables2!$B$73:$B$152,0)),-1)),
Error!$B$44,
IF(AND(_xlpm.baseRow,OR($E439="Tier 2",$E439="Tier 2 Grove"),$C439&lt;&gt;"",$D439&gt;=12,COUNTIF(Tables2!$B$153:$B$162,$C439)&gt;0),
Error!$B$45,
IF(AND(_xlpm.baseRow,$E439="Tier 2 Grove",$D439&lt;12),
Error!$B$41,
IF(AND(_xlpm.baseRow,$E439="Tier 2",$D439&lt;5.88),
Error!$B$40,
IF(AND(_xlpm.baseRow,OR($E439="Tier 2",$E439="Tier 2 Grove"),$C439&lt;&gt;"",$D439&lt;12,$D439&gt;=6,COUNTIF(Tables2!$B$153:$B$162,$C439)&gt;0),
Error!$B$54,
IF(AND(_xlpm.baseRow,$E439="Tier 2",COUNTIF(Tables2!$B$166:$B$674,$C439)&gt;0,$D439&lt;24),
Error!$B$54,
IF(AND(_xlpm.baseRow,$E439="Tier 3",ISNA(MATCH($C439,Tables2!$B$153:$B$162,0)),OR($D439&lt;12,$D439&gt;=24)),
Error!$B$9,
IF(AND(_xlpm.baseRow,$E439="Tier 3",COUNTIF(Tables2!$B$153:$B$162,$C439)&gt;0,$D439&lt;12),
Error!$B$46,
IF(AND(_xlpm.baseRow,$E439="Tier 4",OR($D439&lt;6,$D439&gt;=12)),
Error!$B$10,
IF(AND(_xlpm.baseRow,$E439="&lt;6in DSH for Tree Points",OR($D439&gt;=6,$D439="")),
Error!$B$8,
IF(AND(_xlpm.baseRow,$E439="Street Tree for Green Factor",$F439&lt;&gt;"",$F439&lt;&gt;"Retain"),
Error!$B$14,
IF(AND($E439="&lt;6in DSH for Tree Points",$F439="Retain",$H439&lt;&gt;"",ISNA(MATCH($H439,Tables!$B$174:$B$174,0))),
Error!$B$15,
IF(AND($E439="Street Tree for Green Factor",$F439="Retain",$H439&lt;&gt;"",$H439&lt;&gt;"Zoning: Green Factor"),
Error!$B$15,
IF(AND($E439="ECA / Shoreline Tree",$F439="Remove",$H439&lt;&gt;"",ISNA(MATCH($H439,Tables!$B$189:$B$190,0))),
Error!$B$15,
IF(AND($E439="ECA / Shoreline Tree",$F439="Retain",$H439&lt;&gt;"",ISNA(MATCH($H439,Tables!$B$184:$B$186,0))),
Error!$B$15,
IF(AND($E439="Tier 4",$F439="Remove",$H439&lt;&gt;"",ISNA(MATCH($H439,Tables!$B$171,0))),
Error!$B$15,
IF(AND($E439="Tier 4",$F439="Retain",$H439&lt;&gt;"",ISNA(MATCH($H439,Tables!$B$166:$B$168,0))),
Error!$B$15,
IF(AND($E439="Tier 3",$F439="Retain",$H439&lt;&gt;"",ISNA(MATCH($H439,Tables!$B$158:$B$160,0))),
Error!$B$15,
IF(AND($E439="Tier 3",$F439="Remove",$H439&lt;&gt;"",ISNA(MATCH($H439,Tables!$B$163,0))),
Error!$B$15,
IF(AND(OR($E439="Tier 2",$E439="Tier 2 Grove"),$F439="Remove",$H439&lt;&gt;"",ISNA(MATCH($H439,Tables!$B$153:$B$155,0))),
Error!$B$15,
IF(AND(OR($E439="Tier 2",$E439="Tier 2 Grove"),$F439="Retain",$H439&lt;&gt;"",ISNA(MATCH($H439,Tables!$B$147:$B$150,0))),
Error!$B$15,
IF(AND($E439="Tier 1",$F439="Remove",$H439&lt;&gt;"",ISNA(MATCH($H439,Tables!$B$143:$B$144,0))),
Error!$B$15,
IF(AND($E439="Tier 1",$F439="Retain",$H439&lt;&gt;"",ISNA(MATCH($H439,Tables!$B$137:$B$140,0))),
Error!$B$15,
IF(AND($E439&lt;&gt;"Tier 2",$E439&lt;&gt;"Tier 2 Grove",$E439&lt;&gt;"Tier 3",$E439&lt;&gt;"Tier 4",$H439="Zoning: Green Factor",OR($D439="",$D439&lt;6)),
Error!$B$11,
IF(AND(_xlpm.baseRow,$D439&lt;6,$E439="&lt;6in DSH for Tree Points",_xlpm.TreePoints_H=0),
Error!$B$21,
IF(AND(_xlpm.baseRow,$E439&lt;&gt;"",$D439&lt;&gt;"",$F439=""),
Error!$B$4,
IF(AND(_xlpm.baseRow,$F439="Remove",OR($E439="Tier 1",$E439="Tier 2",$E439="Tier 2 Grove"),COUNTBLANK(_xlpm.HRange)&lt;3,_xlpm.uniqueH&gt;=2),
Error!$B$48,
IF(AND(_xlpm.baseRow,$F439="Retain",OR($E439="Tier 1",$E439="Tier 2",$E439="Tier 2 Grove"),COUNTIF(_xlpm.HRange,"Tree Code: Required to Retain Tier 1-2 Tree")=0),
Error!$B$47,
IF(AND(_xlpm.baseRow,$E439&lt;&gt;"",$D439&lt;&gt;"",$F439&lt;&gt;"",COUNTBLANK(_xlpm.HRange)=4),
Error!$B$5,
IF(AND($F439="Remove",$H439&lt;&gt;"",$I439=""),
Error!$B$18,
IF(AND($E439="Tier 4",$F439="Remove",$H439="Tree Protection Code: Tier 3 or Tier 4 Allowance",$H439&lt;&gt;"",ISNA(MATCH($I439,Tables!$B$200,0))),
Error!$B$17,
IF(AND($E439="Tier 3",$F439="Remove",$H439&lt;&gt;"",$H439="Tree Protection Code: Tier 3 or Tier 4 Allowance",OR($I439="",ISNA(MATCH($I439,Tables!$B$193:$B$197,0)))),
Error!$B$17,
IF(AND(OR($E439="Tier 2",$E439="Tier 2 Grove"),$F439="Remove",$H439="Tree Protection Code: Other removal allowance or exemption",$I439&lt;&gt;"",ISNA(MATCH($I439,Tables!$B$215:$B$218,0))),
Error!$B$17,
IF(AND(OR($E439="Tier 2",$E439="Tier 2 Grove"),$F439="Remove",$H439="Tree Protection Code: Development Capacity",$I439&lt;&gt;"",ISNA(MATCH($I439,Tables!$B$193:$B$197,0))),
Error!$B$17,
IF(AND(OR($E439="Tier 2",$E439="Tier 2 Grove"),$F439="Remove",$H439="Tree Protection Code: Necessary for Construction",$I439&lt;&gt;"",ISNA(MATCH($I439,Tables!$B$193:$B$197,0))),
Error!$B$17,
IF(AND($E439="Tier 1",$F439="Remove",$H439="Tree Protection Code: Special Exception",$I439&lt;&gt;"",ISNA(MATCH($I439,Tables!$B$215:$B$218,0))),
Error!$B$17,
IF(AND($E439="Tier 1",$F439="Remove",$H439="Tree Protection Code: Other removal allowance or exemption",$I439&lt;&gt;"",ISNA(MATCH($I439,Tables!$B$215:$B$218,0))),
Error!$B$17,
IF(AND($E439="ECA / Shoreline Tree",$F439="Remove",$H439&lt;&gt;"",OR($H439="Shoreline",$H439="Environmental Critical Area (ECA)"),ISNA(MATCH($I439,Tables!$B$209:$B$212,0))),
Error!$B$17,
IF(AND(_xlpm.baseRow,$F439="Retain",$E439="ECA / Shoreline Tree",_xlpm.ECA_Short=0),
Error!$B$61,
IF(AND($F439="Remove",ISNUMBER(MATCH($E439,{"Tier 1","Tier 2","Tier 3","Tier 4","Tier 2 Grove"},0)),ISNUMBER(MATCH($I439,{"On-site replacement","Off-site replacement"},0)),$J439="",$H439&lt;&gt;""),
Error!$B$19,
IF(AND(_xlpm.baseRow,$E439&lt;&gt;"",$D439&lt;&gt;"",$F439&lt;&gt;"",COUNTBLANK($B439:$C439)&gt;0,COUNTBLANK(_xlpm.HRange)&lt;&gt;4),
Error!$B$22,
IF(AND($H439="Zoning: Tree Points",$K439&lt;&gt;"",ISNA(MATCH($K439,Tables!$B$242:$B$253,0))),
Error!$B$58,
IF(AND($H439="Zoning: Tree Points",$K439="Small",$L439&lt;&gt;"",ISNA(MATCH($L439,Tables!$C$243:$C$244,0))),
Error!$B$59,
IF(AND($H439="Zoning: Tree Points",$K439="Small/Medium",$L439&lt;&gt;"",ISNA(MATCH($L439,Tables!$C$246:$C$247,0))),
Error!$B$59,
IF(AND($H439="Zoning: Tree Points",$K439="Medium/Large",$L439&lt;&gt;"",ISNA(MATCH($L439,Tables!$C$249:$C$250,0))),
Error!$B$59,
IF(AND($H439="Zoning: Tree Points",$K439="Large",$L439&lt;&gt;"",ISNA(MATCH($L439,Tables!$C$252:$C$253,0))),
Error!$B$59,
IF(AND($F439="Retain",$H439="Zoning: Tree Points",$C439&lt;&gt;"",$D439&lt;&gt;"",OR($K439="",$L439="",$M439="")),
Error!$B$20,
""
)))))))))))))))))))))))))))))))))))))))))))))))))))))))),
Error!$B$23))</f>
        <v/>
      </c>
      <c r="O439" s="343" t="str" cm="1">
        <f t="array" aca="1" ref="O439" ca="1">IFERROR(_xlfn.LET(
    _xlpm.txt, $C439,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40" spans="1:15" x14ac:dyDescent="0.3">
      <c r="A440" s="320"/>
      <c r="B440" s="616" t="str">
        <f t="shared" ref="B440:B442" si="498">IF($B439="", "", $B439)</f>
        <v/>
      </c>
      <c r="C440" s="617" t="str">
        <f t="shared" ref="C440:C442" si="499">IF($C439="", "", $C439)</f>
        <v/>
      </c>
      <c r="D440" s="618" t="str">
        <f t="shared" ref="D440:D442" si="500">IF($D439="", "", $D439)</f>
        <v/>
      </c>
      <c r="E440" s="616" t="str">
        <f t="shared" ref="E440:E442" si="501">IF($E439="", "", $E439)</f>
        <v/>
      </c>
      <c r="F440" s="616" t="str">
        <f t="shared" ref="F440:F442" si="502">IF($F439="", "", $F439)</f>
        <v/>
      </c>
      <c r="G440" s="619" t="str">
        <f>IF(Tree_Table1[[#This Row],[Tree Status  &amp;]]="Retain", Tables!$B$237, IF(Tree_Table1[[#This Row],[Tree Status  &amp;]]="Remove", Tables!$B$238, ""))</f>
        <v/>
      </c>
      <c r="H440" s="321"/>
      <c r="I440" s="322"/>
      <c r="J440" s="453"/>
      <c r="K440" s="323" t="str">
        <f>IFERROR(
    IF(
        AND($H440="Zoning: Tree Points", NOT(ISNUMBER(SEARCH("sp.", $C440)))),
        VLOOKUP($C440, 'Tree List'!$C$3:$F$601, 4, FALSE),
        ""
    ),
"")</f>
        <v/>
      </c>
      <c r="L440" s="324" t="str" cm="1">
        <f t="array" ref="L440">IFERROR(
IF(
    AND($H440="Zoning: Tree Points", NOT(ISNUMBER(SEARCH("sp.", $C440)))),
    _xlfn.IFS(
        (COUNTIFS('Tree List'!$C$3:$C$601,$C440,'Tree List'!$D$3:$D$601,"Coniferous")
        + COUNTIFS('Tree List'!$C$3:$C$601,$C440,'Tree List'!$D$3:$D$601,"Deciduous Conifer")) &gt; 0,
            _xlfn.IFS($K440="Small",0.5,$K440="Small/Medium",1,$K440="Medium/Large",1.4,$K440="Large",1.8),
        (COUNTIFS('Tree List'!$C$3:$C$601,$C440,'Tree List'!$D$3:$D$601,"Deciduous")
        + COUNTIFS('Tree List'!$C$3:$C$601,$C440,'Tree List'!$D$3:$D$601,"Broadleaf Evergreen")) &gt; 0,
            _xlfn.IFS($K440="Small",0.4,$K440="Small/Medium",0.8,$K440="Medium/Large",1.2,$K440="Large",1.6)
    ),
    ""
),
"")</f>
        <v/>
      </c>
      <c r="M440" s="475" t="str">
        <f t="shared" si="492"/>
        <v/>
      </c>
      <c r="N440" s="346" t="str" cm="1">
        <f t="array" aca="1" ref="N44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IF(AND(_xlpm.baseRow,ISNA(MATCH($C440,'Tree List'!$C$3:$C$601,0)),SUMPRODUCT(--ISNUMBER(SEARCH(Tables2!$C$677:$C$772,$O440)))&gt;0),
Error!$B$57,
IF(AND(_xlpm.hasDM,$F440="Remove",$H440&lt;&gt;"",OR($I440="On-site replacement",$I440="Off-site replacement",$I440="Payment In Lieu")),
Error!$B$56,
IF(AND(_xlpm.hasDM,$F440="Remove",$H440&lt;&gt;"",$I440="Relocation"),
Error!$B$66,
IF(AND(OR(_xlpm.hasCN,_xlpm.hasPH,_xlpm.hasGR),$H440&lt;&gt;"",COUNTIF(Tables!$B$132:$B$134,$H440)&gt;0,$I440="N/A (No replacement required)"),
Error!$B$62,
IF(AND(_xlpm.baseRow,$E440&lt;&gt;"",ISNA(MATCH($E440,Tables!$B$225:$B$232,0))),
Error!$B$2,
IF(AND(_xlpm.baseRow,$F440&lt;&gt;"",ISNA(MATCH($F440,Tables!$B$234:$B$235,0))),
Error!$B$24,
IF(AND(_xlpm.baseRow,_xlpm.ECA_H&gt;0,_xlpm.Shore_H&gt;0),
Error!$B$16,
IF(AND(_xlpm.baseRow,$E440&lt;&gt;"",$D440=""),
Error!$B$3,
IF(AND(_xlpm.baseRow,OR($E440="Tier 3",$E440="Tier 4"),$C440&lt;&gt;"",$D440&gt;=24,COUNTIF(Tables2!$B$166:$B$674,$C440)&gt;0),
Error!$B$44,
IF(AND(_xlpm.baseRow,OR($E440="Tier 3",$E440="Tier 4"),$C440&lt;&gt;"",$D440&lt;&gt;"",COUNTIF(Tables2!$B$73:$B$152,$C440)&gt;0,
$D440&gt;=IFERROR(INDEX(Tables2!$C$73:$C$152,MATCH($C440,Tables2!$B$73:$B$152,0)),-1)),
Error!$B$44,
IF(AND(_xlpm.baseRow,OR($E440="Tier 2",$E440="Tier 2 Grove"),$C440&lt;&gt;"",$D440&gt;=12,COUNTIF(Tables2!$B$153:$B$162,$C440)&gt;0),
Error!$B$45,
IF(AND(_xlpm.baseRow,$E440="Tier 2 Grove",$D440&lt;12),
Error!$B$41,
IF(AND(_xlpm.baseRow,$E440="Tier 2",$D440&lt;5.88),
Error!$B$40,
IF(AND(_xlpm.baseRow,OR($E440="Tier 2",$E440="Tier 2 Grove"),$C440&lt;&gt;"",$D440&lt;12,$D440&gt;=6,COUNTIF(Tables2!$B$153:$B$162,$C440)&gt;0),
Error!$B$54,
IF(AND(_xlpm.baseRow,$E440="Tier 2",COUNTIF(Tables2!$B$166:$B$674,$C440)&gt;0,$D440&lt;24),
Error!$B$54,
IF(AND(_xlpm.baseRow,$E440="Tier 3",ISNA(MATCH($C440,Tables2!$B$153:$B$162,0)),OR($D440&lt;12,$D440&gt;=24)),
Error!$B$9,
IF(AND(_xlpm.baseRow,$E440="Tier 3",COUNTIF(Tables2!$B$153:$B$162,$C440)&gt;0,$D440&lt;12),
Error!$B$46,
IF(AND(_xlpm.baseRow,$E440="Tier 4",OR($D440&lt;6,$D440&gt;=12)),
Error!$B$10,
IF(AND(_xlpm.baseRow,$E440="&lt;6in DSH for Tree Points",OR($D440&gt;=6,$D440="")),
Error!$B$8,
IF(AND(_xlpm.baseRow,$E440="Street Tree for Green Factor",$F440&lt;&gt;"",$F440&lt;&gt;"Retain"),
Error!$B$14,
IF(AND($E440="&lt;6in DSH for Tree Points",$F440="Retain",$H440&lt;&gt;"",ISNA(MATCH($H440,Tables!$B$174:$B$174,0))),
Error!$B$15,
IF(AND($E440="Street Tree for Green Factor",$F440="Retain",$H440&lt;&gt;"",$H440&lt;&gt;"Zoning: Green Factor"),
Error!$B$15,
IF(AND($E440="ECA / Shoreline Tree",$F440="Remove",$H440&lt;&gt;"",ISNA(MATCH($H440,Tables!$B$189:$B$190,0))),
Error!$B$15,
IF(AND($E440="ECA / Shoreline Tree",$F440="Retain",$H440&lt;&gt;"",ISNA(MATCH($H440,Tables!$B$184:$B$186,0))),
Error!$B$15,
IF(AND($E440="Tier 4",$F440="Remove",$H440&lt;&gt;"",ISNA(MATCH($H440,Tables!$B$171,0))),
Error!$B$15,
IF(AND($E440="Tier 4",$F440="Retain",$H440&lt;&gt;"",ISNA(MATCH($H440,Tables!$B$166:$B$168,0))),
Error!$B$15,
IF(AND($E440="Tier 3",$F440="Retain",$H440&lt;&gt;"",ISNA(MATCH($H440,Tables!$B$158:$B$160,0))),
Error!$B$15,
IF(AND($E440="Tier 3",$F440="Remove",$H440&lt;&gt;"",ISNA(MATCH($H440,Tables!$B$163,0))),
Error!$B$15,
IF(AND(OR($E440="Tier 2",$E440="Tier 2 Grove"),$F440="Remove",$H440&lt;&gt;"",ISNA(MATCH($H440,Tables!$B$153:$B$155,0))),
Error!$B$15,
IF(AND(OR($E440="Tier 2",$E440="Tier 2 Grove"),$F440="Retain",$H440&lt;&gt;"",ISNA(MATCH($H440,Tables!$B$147:$B$150,0))),
Error!$B$15,
IF(AND($E440="Tier 1",$F440="Remove",$H440&lt;&gt;"",ISNA(MATCH($H440,Tables!$B$143:$B$144,0))),
Error!$B$15,
IF(AND($E440="Tier 1",$F440="Retain",$H440&lt;&gt;"",ISNA(MATCH($H440,Tables!$B$137:$B$140,0))),
Error!$B$15,
IF(AND($E440&lt;&gt;"Tier 2",$E440&lt;&gt;"Tier 2 Grove",$E440&lt;&gt;"Tier 3",$E440&lt;&gt;"Tier 4",$H440="Zoning: Green Factor",OR($D440="",$D440&lt;6)),
Error!$B$11,
IF(AND(_xlpm.baseRow,$D440&lt;6,$E440="&lt;6in DSH for Tree Points",_xlpm.TreePoints_H=0),
Error!$B$21,
IF(AND(_xlpm.baseRow,$E440&lt;&gt;"",$D440&lt;&gt;"",$F440=""),
Error!$B$4,
IF(AND(_xlpm.baseRow,$F440="Remove",OR($E440="Tier 1",$E440="Tier 2",$E440="Tier 2 Grove"),COUNTBLANK(_xlpm.HRange)&lt;3,_xlpm.uniqueH&gt;=2),
Error!$B$48,
IF(AND(_xlpm.baseRow,$F440="Retain",OR($E440="Tier 1",$E440="Tier 2",$E440="Tier 2 Grove"),COUNTIF(_xlpm.HRange,"Tree Code: Required to Retain Tier 1-2 Tree")=0),
Error!$B$47,
IF(AND(_xlpm.baseRow,$E440&lt;&gt;"",$D440&lt;&gt;"",$F440&lt;&gt;"",COUNTBLANK(_xlpm.HRange)=4),
Error!$B$5,
IF(AND($F440="Remove",$H440&lt;&gt;"",$I440=""),
Error!$B$18,
IF(AND($E440="Tier 4",$F440="Remove",$H440="Tree Protection Code: Tier 3 or Tier 4 Allowance",$H440&lt;&gt;"",ISNA(MATCH($I440,Tables!$B$200,0))),
Error!$B$17,
IF(AND($E440="Tier 3",$F440="Remove",$H440&lt;&gt;"",$H440="Tree Protection Code: Tier 3 or Tier 4 Allowance",OR($I440="",ISNA(MATCH($I440,Tables!$B$193:$B$197,0)))),
Error!$B$17,
IF(AND(OR($E440="Tier 2",$E440="Tier 2 Grove"),$F440="Remove",$H440="Tree Protection Code: Other removal allowance or exemption",$I440&lt;&gt;"",ISNA(MATCH($I440,Tables!$B$215:$B$218,0))),
Error!$B$17,
IF(AND(OR($E440="Tier 2",$E440="Tier 2 Grove"),$F440="Remove",$H440="Tree Protection Code: Development Capacity",$I440&lt;&gt;"",ISNA(MATCH($I440,Tables!$B$193:$B$197,0))),
Error!$B$17,
IF(AND(OR($E440="Tier 2",$E440="Tier 2 Grove"),$F440="Remove",$H440="Tree Protection Code: Necessary for Construction",$I440&lt;&gt;"",ISNA(MATCH($I440,Tables!$B$193:$B$197,0))),
Error!$B$17,
IF(AND($E440="Tier 1",$F440="Remove",$H440="Tree Protection Code: Special Exception",$I440&lt;&gt;"",ISNA(MATCH($I440,Tables!$B$215:$B$218,0))),
Error!$B$17,
IF(AND($E440="Tier 1",$F440="Remove",$H440="Tree Protection Code: Other removal allowance or exemption",$I440&lt;&gt;"",ISNA(MATCH($I440,Tables!$B$215:$B$218,0))),
Error!$B$17,
IF(AND($E440="ECA / Shoreline Tree",$F440="Remove",$H440&lt;&gt;"",OR($H440="Shoreline",$H440="Environmental Critical Area (ECA)"),ISNA(MATCH($I440,Tables!$B$209:$B$212,0))),
Error!$B$17,
IF(AND(_xlpm.baseRow,$F440="Retain",$E440="ECA / Shoreline Tree",_xlpm.ECA_Short=0),
Error!$B$61,
IF(AND($F440="Remove",ISNUMBER(MATCH($E440,{"Tier 1","Tier 2","Tier 3","Tier 4","Tier 2 Grove"},0)),ISNUMBER(MATCH($I440,{"On-site replacement","Off-site replacement"},0)),$J440="",$H440&lt;&gt;""),
Error!$B$19,
IF(AND(_xlpm.baseRow,$E440&lt;&gt;"",$D440&lt;&gt;"",$F440&lt;&gt;"",COUNTBLANK($B440:$C440)&gt;0,COUNTBLANK(_xlpm.HRange)&lt;&gt;4),
Error!$B$22,
IF(AND($H440="Zoning: Tree Points",$K440&lt;&gt;"",ISNA(MATCH($K440,Tables!$B$242:$B$253,0))),
Error!$B$58,
IF(AND($H440="Zoning: Tree Points",$K440="Small",$L440&lt;&gt;"",ISNA(MATCH($L440,Tables!$C$243:$C$244,0))),
Error!$B$59,
IF(AND($H440="Zoning: Tree Points",$K440="Small/Medium",$L440&lt;&gt;"",ISNA(MATCH($L440,Tables!$C$246:$C$247,0))),
Error!$B$59,
IF(AND($H440="Zoning: Tree Points",$K440="Medium/Large",$L440&lt;&gt;"",ISNA(MATCH($L440,Tables!$C$249:$C$250,0))),
Error!$B$59,
IF(AND($H440="Zoning: Tree Points",$K440="Large",$L440&lt;&gt;"",ISNA(MATCH($L440,Tables!$C$252:$C$253,0))),
Error!$B$59,
IF(AND($F440="Retain",$H440="Zoning: Tree Points",$C440&lt;&gt;"",$D440&lt;&gt;"",OR($K440="",$L440="",$M440="")),
Error!$B$20,
""
)))))))))))))))))))))))))))))))))))))))))))))))))))))))),
Error!$B$23))</f>
        <v/>
      </c>
      <c r="O440" s="343" t="str" cm="1">
        <f t="array" aca="1" ref="O440" ca="1">IFERROR(_xlfn.LET(
    _xlpm.txt, $C440,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41" spans="1:15" x14ac:dyDescent="0.3">
      <c r="A441" s="320"/>
      <c r="B441" s="616" t="str">
        <f t="shared" si="498"/>
        <v/>
      </c>
      <c r="C441" s="617" t="str">
        <f t="shared" si="499"/>
        <v/>
      </c>
      <c r="D441" s="618" t="str">
        <f t="shared" si="500"/>
        <v/>
      </c>
      <c r="E441" s="616" t="str">
        <f t="shared" si="501"/>
        <v/>
      </c>
      <c r="F441" s="616" t="str">
        <f t="shared" si="502"/>
        <v/>
      </c>
      <c r="G441" s="619" t="str">
        <f>IF(Tree_Table1[[#This Row],[Tree Status  &amp;]]="Retain", Tables!$B$237, IF(Tree_Table1[[#This Row],[Tree Status  &amp;]]="Remove", Tables!$B$238, ""))</f>
        <v/>
      </c>
      <c r="H441" s="321"/>
      <c r="I441" s="322"/>
      <c r="J441" s="453"/>
      <c r="K441" s="323" t="str">
        <f>IFERROR(
    IF(
        AND($H441="Zoning: Tree Points", NOT(ISNUMBER(SEARCH("sp.", $C441)))),
        VLOOKUP($C441, 'Tree List'!$C$3:$F$601, 4, FALSE),
        ""
    ),
"")</f>
        <v/>
      </c>
      <c r="L441" s="324" t="str" cm="1">
        <f t="array" ref="L441">IFERROR(
IF(
    AND($H441="Zoning: Tree Points", NOT(ISNUMBER(SEARCH("sp.", $C441)))),
    _xlfn.IFS(
        (COUNTIFS('Tree List'!$C$3:$C$601,$C441,'Tree List'!$D$3:$D$601,"Coniferous")
        + COUNTIFS('Tree List'!$C$3:$C$601,$C441,'Tree List'!$D$3:$D$601,"Deciduous Conifer")) &gt; 0,
            _xlfn.IFS($K441="Small",0.5,$K441="Small/Medium",1,$K441="Medium/Large",1.4,$K441="Large",1.8),
        (COUNTIFS('Tree List'!$C$3:$C$601,$C441,'Tree List'!$D$3:$D$601,"Deciduous")
        + COUNTIFS('Tree List'!$C$3:$C$601,$C441,'Tree List'!$D$3:$D$601,"Broadleaf Evergreen")) &gt; 0,
            _xlfn.IFS($K441="Small",0.4,$K441="Small/Medium",0.8,$K441="Medium/Large",1.2,$K441="Large",1.6)
    ),
    ""
),
"")</f>
        <v/>
      </c>
      <c r="M441" s="475" t="str">
        <f t="shared" si="492"/>
        <v/>
      </c>
      <c r="N441" s="346" t="str" cm="1">
        <f t="array" aca="1" ref="N44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IF(AND(_xlpm.baseRow,ISNA(MATCH($C441,'Tree List'!$C$3:$C$601,0)),SUMPRODUCT(--ISNUMBER(SEARCH(Tables2!$C$677:$C$772,$O441)))&gt;0),
Error!$B$57,
IF(AND(_xlpm.hasDM,$F441="Remove",$H441&lt;&gt;"",OR($I441="On-site replacement",$I441="Off-site replacement",$I441="Payment In Lieu")),
Error!$B$56,
IF(AND(_xlpm.hasDM,$F441="Remove",$H441&lt;&gt;"",$I441="Relocation"),
Error!$B$66,
IF(AND(OR(_xlpm.hasCN,_xlpm.hasPH,_xlpm.hasGR),$H441&lt;&gt;"",COUNTIF(Tables!$B$132:$B$134,$H441)&gt;0,$I441="N/A (No replacement required)"),
Error!$B$62,
IF(AND(_xlpm.baseRow,$E441&lt;&gt;"",ISNA(MATCH($E441,Tables!$B$225:$B$232,0))),
Error!$B$2,
IF(AND(_xlpm.baseRow,$F441&lt;&gt;"",ISNA(MATCH($F441,Tables!$B$234:$B$235,0))),
Error!$B$24,
IF(AND(_xlpm.baseRow,_xlpm.ECA_H&gt;0,_xlpm.Shore_H&gt;0),
Error!$B$16,
IF(AND(_xlpm.baseRow,$E441&lt;&gt;"",$D441=""),
Error!$B$3,
IF(AND(_xlpm.baseRow,OR($E441="Tier 3",$E441="Tier 4"),$C441&lt;&gt;"",$D441&gt;=24,COUNTIF(Tables2!$B$166:$B$674,$C441)&gt;0),
Error!$B$44,
IF(AND(_xlpm.baseRow,OR($E441="Tier 3",$E441="Tier 4"),$C441&lt;&gt;"",$D441&lt;&gt;"",COUNTIF(Tables2!$B$73:$B$152,$C441)&gt;0,
$D441&gt;=IFERROR(INDEX(Tables2!$C$73:$C$152,MATCH($C441,Tables2!$B$73:$B$152,0)),-1)),
Error!$B$44,
IF(AND(_xlpm.baseRow,OR($E441="Tier 2",$E441="Tier 2 Grove"),$C441&lt;&gt;"",$D441&gt;=12,COUNTIF(Tables2!$B$153:$B$162,$C441)&gt;0),
Error!$B$45,
IF(AND(_xlpm.baseRow,$E441="Tier 2 Grove",$D441&lt;12),
Error!$B$41,
IF(AND(_xlpm.baseRow,$E441="Tier 2",$D441&lt;5.88),
Error!$B$40,
IF(AND(_xlpm.baseRow,OR($E441="Tier 2",$E441="Tier 2 Grove"),$C441&lt;&gt;"",$D441&lt;12,$D441&gt;=6,COUNTIF(Tables2!$B$153:$B$162,$C441)&gt;0),
Error!$B$54,
IF(AND(_xlpm.baseRow,$E441="Tier 2",COUNTIF(Tables2!$B$166:$B$674,$C441)&gt;0,$D441&lt;24),
Error!$B$54,
IF(AND(_xlpm.baseRow,$E441="Tier 3",ISNA(MATCH($C441,Tables2!$B$153:$B$162,0)),OR($D441&lt;12,$D441&gt;=24)),
Error!$B$9,
IF(AND(_xlpm.baseRow,$E441="Tier 3",COUNTIF(Tables2!$B$153:$B$162,$C441)&gt;0,$D441&lt;12),
Error!$B$46,
IF(AND(_xlpm.baseRow,$E441="Tier 4",OR($D441&lt;6,$D441&gt;=12)),
Error!$B$10,
IF(AND(_xlpm.baseRow,$E441="&lt;6in DSH for Tree Points",OR($D441&gt;=6,$D441="")),
Error!$B$8,
IF(AND(_xlpm.baseRow,$E441="Street Tree for Green Factor",$F441&lt;&gt;"",$F441&lt;&gt;"Retain"),
Error!$B$14,
IF(AND($E441="&lt;6in DSH for Tree Points",$F441="Retain",$H441&lt;&gt;"",ISNA(MATCH($H441,Tables!$B$174:$B$174,0))),
Error!$B$15,
IF(AND($E441="Street Tree for Green Factor",$F441="Retain",$H441&lt;&gt;"",$H441&lt;&gt;"Zoning: Green Factor"),
Error!$B$15,
IF(AND($E441="ECA / Shoreline Tree",$F441="Remove",$H441&lt;&gt;"",ISNA(MATCH($H441,Tables!$B$189:$B$190,0))),
Error!$B$15,
IF(AND($E441="ECA / Shoreline Tree",$F441="Retain",$H441&lt;&gt;"",ISNA(MATCH($H441,Tables!$B$184:$B$186,0))),
Error!$B$15,
IF(AND($E441="Tier 4",$F441="Remove",$H441&lt;&gt;"",ISNA(MATCH($H441,Tables!$B$171,0))),
Error!$B$15,
IF(AND($E441="Tier 4",$F441="Retain",$H441&lt;&gt;"",ISNA(MATCH($H441,Tables!$B$166:$B$168,0))),
Error!$B$15,
IF(AND($E441="Tier 3",$F441="Retain",$H441&lt;&gt;"",ISNA(MATCH($H441,Tables!$B$158:$B$160,0))),
Error!$B$15,
IF(AND($E441="Tier 3",$F441="Remove",$H441&lt;&gt;"",ISNA(MATCH($H441,Tables!$B$163,0))),
Error!$B$15,
IF(AND(OR($E441="Tier 2",$E441="Tier 2 Grove"),$F441="Remove",$H441&lt;&gt;"",ISNA(MATCH($H441,Tables!$B$153:$B$155,0))),
Error!$B$15,
IF(AND(OR($E441="Tier 2",$E441="Tier 2 Grove"),$F441="Retain",$H441&lt;&gt;"",ISNA(MATCH($H441,Tables!$B$147:$B$150,0))),
Error!$B$15,
IF(AND($E441="Tier 1",$F441="Remove",$H441&lt;&gt;"",ISNA(MATCH($H441,Tables!$B$143:$B$144,0))),
Error!$B$15,
IF(AND($E441="Tier 1",$F441="Retain",$H441&lt;&gt;"",ISNA(MATCH($H441,Tables!$B$137:$B$140,0))),
Error!$B$15,
IF(AND($E441&lt;&gt;"Tier 2",$E441&lt;&gt;"Tier 2 Grove",$E441&lt;&gt;"Tier 3",$E441&lt;&gt;"Tier 4",$H441="Zoning: Green Factor",OR($D441="",$D441&lt;6)),
Error!$B$11,
IF(AND(_xlpm.baseRow,$D441&lt;6,$E441="&lt;6in DSH for Tree Points",_xlpm.TreePoints_H=0),
Error!$B$21,
IF(AND(_xlpm.baseRow,$E441&lt;&gt;"",$D441&lt;&gt;"",$F441=""),
Error!$B$4,
IF(AND(_xlpm.baseRow,$F441="Remove",OR($E441="Tier 1",$E441="Tier 2",$E441="Tier 2 Grove"),COUNTBLANK(_xlpm.HRange)&lt;3,_xlpm.uniqueH&gt;=2),
Error!$B$48,
IF(AND(_xlpm.baseRow,$F441="Retain",OR($E441="Tier 1",$E441="Tier 2",$E441="Tier 2 Grove"),COUNTIF(_xlpm.HRange,"Tree Code: Required to Retain Tier 1-2 Tree")=0),
Error!$B$47,
IF(AND(_xlpm.baseRow,$E441&lt;&gt;"",$D441&lt;&gt;"",$F441&lt;&gt;"",COUNTBLANK(_xlpm.HRange)=4),
Error!$B$5,
IF(AND($F441="Remove",$H441&lt;&gt;"",$I441=""),
Error!$B$18,
IF(AND($E441="Tier 4",$F441="Remove",$H441="Tree Protection Code: Tier 3 or Tier 4 Allowance",$H441&lt;&gt;"",ISNA(MATCH($I441,Tables!$B$200,0))),
Error!$B$17,
IF(AND($E441="Tier 3",$F441="Remove",$H441&lt;&gt;"",$H441="Tree Protection Code: Tier 3 or Tier 4 Allowance",OR($I441="",ISNA(MATCH($I441,Tables!$B$193:$B$197,0)))),
Error!$B$17,
IF(AND(OR($E441="Tier 2",$E441="Tier 2 Grove"),$F441="Remove",$H441="Tree Protection Code: Other removal allowance or exemption",$I441&lt;&gt;"",ISNA(MATCH($I441,Tables!$B$215:$B$218,0))),
Error!$B$17,
IF(AND(OR($E441="Tier 2",$E441="Tier 2 Grove"),$F441="Remove",$H441="Tree Protection Code: Development Capacity",$I441&lt;&gt;"",ISNA(MATCH($I441,Tables!$B$193:$B$197,0))),
Error!$B$17,
IF(AND(OR($E441="Tier 2",$E441="Tier 2 Grove"),$F441="Remove",$H441="Tree Protection Code: Necessary for Construction",$I441&lt;&gt;"",ISNA(MATCH($I441,Tables!$B$193:$B$197,0))),
Error!$B$17,
IF(AND($E441="Tier 1",$F441="Remove",$H441="Tree Protection Code: Special Exception",$I441&lt;&gt;"",ISNA(MATCH($I441,Tables!$B$215:$B$218,0))),
Error!$B$17,
IF(AND($E441="Tier 1",$F441="Remove",$H441="Tree Protection Code: Other removal allowance or exemption",$I441&lt;&gt;"",ISNA(MATCH($I441,Tables!$B$215:$B$218,0))),
Error!$B$17,
IF(AND($E441="ECA / Shoreline Tree",$F441="Remove",$H441&lt;&gt;"",OR($H441="Shoreline",$H441="Environmental Critical Area (ECA)"),ISNA(MATCH($I441,Tables!$B$209:$B$212,0))),
Error!$B$17,
IF(AND(_xlpm.baseRow,$F441="Retain",$E441="ECA / Shoreline Tree",_xlpm.ECA_Short=0),
Error!$B$61,
IF(AND($F441="Remove",ISNUMBER(MATCH($E441,{"Tier 1","Tier 2","Tier 3","Tier 4","Tier 2 Grove"},0)),ISNUMBER(MATCH($I441,{"On-site replacement","Off-site replacement"},0)),$J441="",$H441&lt;&gt;""),
Error!$B$19,
IF(AND(_xlpm.baseRow,$E441&lt;&gt;"",$D441&lt;&gt;"",$F441&lt;&gt;"",COUNTBLANK($B441:$C441)&gt;0,COUNTBLANK(_xlpm.HRange)&lt;&gt;4),
Error!$B$22,
IF(AND($H441="Zoning: Tree Points",$K441&lt;&gt;"",ISNA(MATCH($K441,Tables!$B$242:$B$253,0))),
Error!$B$58,
IF(AND($H441="Zoning: Tree Points",$K441="Small",$L441&lt;&gt;"",ISNA(MATCH($L441,Tables!$C$243:$C$244,0))),
Error!$B$59,
IF(AND($H441="Zoning: Tree Points",$K441="Small/Medium",$L441&lt;&gt;"",ISNA(MATCH($L441,Tables!$C$246:$C$247,0))),
Error!$B$59,
IF(AND($H441="Zoning: Tree Points",$K441="Medium/Large",$L441&lt;&gt;"",ISNA(MATCH($L441,Tables!$C$249:$C$250,0))),
Error!$B$59,
IF(AND($H441="Zoning: Tree Points",$K441="Large",$L441&lt;&gt;"",ISNA(MATCH($L441,Tables!$C$252:$C$253,0))),
Error!$B$59,
IF(AND($F441="Retain",$H441="Zoning: Tree Points",$C441&lt;&gt;"",$D441&lt;&gt;"",OR($K441="",$L441="",$M441="")),
Error!$B$20,
""
)))))))))))))))))))))))))))))))))))))))))))))))))))))))),
Error!$B$23))</f>
        <v/>
      </c>
      <c r="O441" s="343" t="str" cm="1">
        <f t="array" aca="1" ref="O441" ca="1">IFERROR(_xlfn.LET(
    _xlpm.txt, $C441,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42" spans="1:15" ht="15" thickBot="1" x14ac:dyDescent="0.35">
      <c r="A442" s="331"/>
      <c r="B442" s="616" t="str">
        <f t="shared" si="498"/>
        <v/>
      </c>
      <c r="C442" s="617" t="str">
        <f t="shared" si="499"/>
        <v/>
      </c>
      <c r="D442" s="618" t="str">
        <f t="shared" si="500"/>
        <v/>
      </c>
      <c r="E442" s="616" t="str">
        <f t="shared" si="501"/>
        <v/>
      </c>
      <c r="F442" s="616" t="str">
        <f t="shared" si="502"/>
        <v/>
      </c>
      <c r="G442" s="619" t="str">
        <f>IF(Tree_Table1[[#This Row],[Tree Status  &amp;]]="Retain", Tables!$B$237, IF(Tree_Table1[[#This Row],[Tree Status  &amp;]]="Remove", Tables!$B$238, ""))</f>
        <v/>
      </c>
      <c r="H442" s="329"/>
      <c r="I442" s="330"/>
      <c r="J442" s="455"/>
      <c r="K442" s="327" t="str">
        <f>IFERROR(
    IF(
        AND($H442="Zoning: Tree Points", NOT(ISNUMBER(SEARCH("sp.", $C442)))),
        VLOOKUP($C442, 'Tree List'!$C$3:$F$601, 4, FALSE),
        ""
    ),
"")</f>
        <v/>
      </c>
      <c r="L442" s="328" t="str" cm="1">
        <f t="array" ref="L442">IFERROR(
IF(
    AND($H442="Zoning: Tree Points", NOT(ISNUMBER(SEARCH("sp.", $C442)))),
    _xlfn.IFS(
        (COUNTIFS('Tree List'!$C$3:$C$601,$C442,'Tree List'!$D$3:$D$601,"Coniferous")
        + COUNTIFS('Tree List'!$C$3:$C$601,$C442,'Tree List'!$D$3:$D$601,"Deciduous Conifer")) &gt; 0,
            _xlfn.IFS($K442="Small",0.5,$K442="Small/Medium",1,$K442="Medium/Large",1.4,$K442="Large",1.8),
        (COUNTIFS('Tree List'!$C$3:$C$601,$C442,'Tree List'!$D$3:$D$601,"Deciduous")
        + COUNTIFS('Tree List'!$C$3:$C$601,$C442,'Tree List'!$D$3:$D$601,"Broadleaf Evergreen")) &gt; 0,
            _xlfn.IFS($K442="Small",0.4,$K442="Small/Medium",0.8,$K442="Medium/Large",1.2,$K442="Large",1.6)
    ),
    ""
),
"")</f>
        <v/>
      </c>
      <c r="M442" s="476" t="str">
        <f t="shared" si="492"/>
        <v/>
      </c>
      <c r="N442" s="347" t="str" cm="1">
        <f t="array" aca="1" ref="N44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IF(AND(_xlpm.baseRow,ISNA(MATCH($C442,'Tree List'!$C$3:$C$601,0)),SUMPRODUCT(--ISNUMBER(SEARCH(Tables2!$C$677:$C$772,$O442)))&gt;0),
Error!$B$57,
IF(AND(_xlpm.hasDM,$F442="Remove",$H442&lt;&gt;"",OR($I442="On-site replacement",$I442="Off-site replacement",$I442="Payment In Lieu")),
Error!$B$56,
IF(AND(_xlpm.hasDM,$F442="Remove",$H442&lt;&gt;"",$I442="Relocation"),
Error!$B$66,
IF(AND(OR(_xlpm.hasCN,_xlpm.hasPH,_xlpm.hasGR),$H442&lt;&gt;"",COUNTIF(Tables!$B$132:$B$134,$H442)&gt;0,$I442="N/A (No replacement required)"),
Error!$B$62,
IF(AND(_xlpm.baseRow,$E442&lt;&gt;"",ISNA(MATCH($E442,Tables!$B$225:$B$232,0))),
Error!$B$2,
IF(AND(_xlpm.baseRow,$F442&lt;&gt;"",ISNA(MATCH($F442,Tables!$B$234:$B$235,0))),
Error!$B$24,
IF(AND(_xlpm.baseRow,_xlpm.ECA_H&gt;0,_xlpm.Shore_H&gt;0),
Error!$B$16,
IF(AND(_xlpm.baseRow,$E442&lt;&gt;"",$D442=""),
Error!$B$3,
IF(AND(_xlpm.baseRow,OR($E442="Tier 3",$E442="Tier 4"),$C442&lt;&gt;"",$D442&gt;=24,COUNTIF(Tables2!$B$166:$B$674,$C442)&gt;0),
Error!$B$44,
IF(AND(_xlpm.baseRow,OR($E442="Tier 3",$E442="Tier 4"),$C442&lt;&gt;"",$D442&lt;&gt;"",COUNTIF(Tables2!$B$73:$B$152,$C442)&gt;0,
$D442&gt;=IFERROR(INDEX(Tables2!$C$73:$C$152,MATCH($C442,Tables2!$B$73:$B$152,0)),-1)),
Error!$B$44,
IF(AND(_xlpm.baseRow,OR($E442="Tier 2",$E442="Tier 2 Grove"),$C442&lt;&gt;"",$D442&gt;=12,COUNTIF(Tables2!$B$153:$B$162,$C442)&gt;0),
Error!$B$45,
IF(AND(_xlpm.baseRow,$E442="Tier 2 Grove",$D442&lt;12),
Error!$B$41,
IF(AND(_xlpm.baseRow,$E442="Tier 2",$D442&lt;5.88),
Error!$B$40,
IF(AND(_xlpm.baseRow,OR($E442="Tier 2",$E442="Tier 2 Grove"),$C442&lt;&gt;"",$D442&lt;12,$D442&gt;=6,COUNTIF(Tables2!$B$153:$B$162,$C442)&gt;0),
Error!$B$54,
IF(AND(_xlpm.baseRow,$E442="Tier 2",COUNTIF(Tables2!$B$166:$B$674,$C442)&gt;0,$D442&lt;24),
Error!$B$54,
IF(AND(_xlpm.baseRow,$E442="Tier 3",ISNA(MATCH($C442,Tables2!$B$153:$B$162,0)),OR($D442&lt;12,$D442&gt;=24)),
Error!$B$9,
IF(AND(_xlpm.baseRow,$E442="Tier 3",COUNTIF(Tables2!$B$153:$B$162,$C442)&gt;0,$D442&lt;12),
Error!$B$46,
IF(AND(_xlpm.baseRow,$E442="Tier 4",OR($D442&lt;6,$D442&gt;=12)),
Error!$B$10,
IF(AND(_xlpm.baseRow,$E442="&lt;6in DSH for Tree Points",OR($D442&gt;=6,$D442="")),
Error!$B$8,
IF(AND(_xlpm.baseRow,$E442="Street Tree for Green Factor",$F442&lt;&gt;"",$F442&lt;&gt;"Retain"),
Error!$B$14,
IF(AND($E442="&lt;6in DSH for Tree Points",$F442="Retain",$H442&lt;&gt;"",ISNA(MATCH($H442,Tables!$B$174:$B$174,0))),
Error!$B$15,
IF(AND($E442="Street Tree for Green Factor",$F442="Retain",$H442&lt;&gt;"",$H442&lt;&gt;"Zoning: Green Factor"),
Error!$B$15,
IF(AND($E442="ECA / Shoreline Tree",$F442="Remove",$H442&lt;&gt;"",ISNA(MATCH($H442,Tables!$B$189:$B$190,0))),
Error!$B$15,
IF(AND($E442="ECA / Shoreline Tree",$F442="Retain",$H442&lt;&gt;"",ISNA(MATCH($H442,Tables!$B$184:$B$186,0))),
Error!$B$15,
IF(AND($E442="Tier 4",$F442="Remove",$H442&lt;&gt;"",ISNA(MATCH($H442,Tables!$B$171,0))),
Error!$B$15,
IF(AND($E442="Tier 4",$F442="Retain",$H442&lt;&gt;"",ISNA(MATCH($H442,Tables!$B$166:$B$168,0))),
Error!$B$15,
IF(AND($E442="Tier 3",$F442="Retain",$H442&lt;&gt;"",ISNA(MATCH($H442,Tables!$B$158:$B$160,0))),
Error!$B$15,
IF(AND($E442="Tier 3",$F442="Remove",$H442&lt;&gt;"",ISNA(MATCH($H442,Tables!$B$163,0))),
Error!$B$15,
IF(AND(OR($E442="Tier 2",$E442="Tier 2 Grove"),$F442="Remove",$H442&lt;&gt;"",ISNA(MATCH($H442,Tables!$B$153:$B$155,0))),
Error!$B$15,
IF(AND(OR($E442="Tier 2",$E442="Tier 2 Grove"),$F442="Retain",$H442&lt;&gt;"",ISNA(MATCH($H442,Tables!$B$147:$B$150,0))),
Error!$B$15,
IF(AND($E442="Tier 1",$F442="Remove",$H442&lt;&gt;"",ISNA(MATCH($H442,Tables!$B$143:$B$144,0))),
Error!$B$15,
IF(AND($E442="Tier 1",$F442="Retain",$H442&lt;&gt;"",ISNA(MATCH($H442,Tables!$B$137:$B$140,0))),
Error!$B$15,
IF(AND($E442&lt;&gt;"Tier 2",$E442&lt;&gt;"Tier 2 Grove",$E442&lt;&gt;"Tier 3",$E442&lt;&gt;"Tier 4",$H442="Zoning: Green Factor",OR($D442="",$D442&lt;6)),
Error!$B$11,
IF(AND(_xlpm.baseRow,$D442&lt;6,$E442="&lt;6in DSH for Tree Points",_xlpm.TreePoints_H=0),
Error!$B$21,
IF(AND(_xlpm.baseRow,$E442&lt;&gt;"",$D442&lt;&gt;"",$F442=""),
Error!$B$4,
IF(AND(_xlpm.baseRow,$F442="Remove",OR($E442="Tier 1",$E442="Tier 2",$E442="Tier 2 Grove"),COUNTBLANK(_xlpm.HRange)&lt;3,_xlpm.uniqueH&gt;=2),
Error!$B$48,
IF(AND(_xlpm.baseRow,$F442="Retain",OR($E442="Tier 1",$E442="Tier 2",$E442="Tier 2 Grove"),COUNTIF(_xlpm.HRange,"Tree Code: Required to Retain Tier 1-2 Tree")=0),
Error!$B$47,
IF(AND(_xlpm.baseRow,$E442&lt;&gt;"",$D442&lt;&gt;"",$F442&lt;&gt;"",COUNTBLANK(_xlpm.HRange)=4),
Error!$B$5,
IF(AND($F442="Remove",$H442&lt;&gt;"",$I442=""),
Error!$B$18,
IF(AND($E442="Tier 4",$F442="Remove",$H442="Tree Protection Code: Tier 3 or Tier 4 Allowance",$H442&lt;&gt;"",ISNA(MATCH($I442,Tables!$B$200,0))),
Error!$B$17,
IF(AND($E442="Tier 3",$F442="Remove",$H442&lt;&gt;"",$H442="Tree Protection Code: Tier 3 or Tier 4 Allowance",OR($I442="",ISNA(MATCH($I442,Tables!$B$193:$B$197,0)))),
Error!$B$17,
IF(AND(OR($E442="Tier 2",$E442="Tier 2 Grove"),$F442="Remove",$H442="Tree Protection Code: Other removal allowance or exemption",$I442&lt;&gt;"",ISNA(MATCH($I442,Tables!$B$215:$B$218,0))),
Error!$B$17,
IF(AND(OR($E442="Tier 2",$E442="Tier 2 Grove"),$F442="Remove",$H442="Tree Protection Code: Development Capacity",$I442&lt;&gt;"",ISNA(MATCH($I442,Tables!$B$193:$B$197,0))),
Error!$B$17,
IF(AND(OR($E442="Tier 2",$E442="Tier 2 Grove"),$F442="Remove",$H442="Tree Protection Code: Necessary for Construction",$I442&lt;&gt;"",ISNA(MATCH($I442,Tables!$B$193:$B$197,0))),
Error!$B$17,
IF(AND($E442="Tier 1",$F442="Remove",$H442="Tree Protection Code: Special Exception",$I442&lt;&gt;"",ISNA(MATCH($I442,Tables!$B$215:$B$218,0))),
Error!$B$17,
IF(AND($E442="Tier 1",$F442="Remove",$H442="Tree Protection Code: Other removal allowance or exemption",$I442&lt;&gt;"",ISNA(MATCH($I442,Tables!$B$215:$B$218,0))),
Error!$B$17,
IF(AND($E442="ECA / Shoreline Tree",$F442="Remove",$H442&lt;&gt;"",OR($H442="Shoreline",$H442="Environmental Critical Area (ECA)"),ISNA(MATCH($I442,Tables!$B$209:$B$212,0))),
Error!$B$17,
IF(AND(_xlpm.baseRow,$F442="Retain",$E442="ECA / Shoreline Tree",_xlpm.ECA_Short=0),
Error!$B$61,
IF(AND($F442="Remove",ISNUMBER(MATCH($E442,{"Tier 1","Tier 2","Tier 3","Tier 4","Tier 2 Grove"},0)),ISNUMBER(MATCH($I442,{"On-site replacement","Off-site replacement"},0)),$J442="",$H442&lt;&gt;""),
Error!$B$19,
IF(AND(_xlpm.baseRow,$E442&lt;&gt;"",$D442&lt;&gt;"",$F442&lt;&gt;"",COUNTBLANK($B442:$C442)&gt;0,COUNTBLANK(_xlpm.HRange)&lt;&gt;4),
Error!$B$22,
IF(AND($H442="Zoning: Tree Points",$K442&lt;&gt;"",ISNA(MATCH($K442,Tables!$B$242:$B$253,0))),
Error!$B$58,
IF(AND($H442="Zoning: Tree Points",$K442="Small",$L442&lt;&gt;"",ISNA(MATCH($L442,Tables!$C$243:$C$244,0))),
Error!$B$59,
IF(AND($H442="Zoning: Tree Points",$K442="Small/Medium",$L442&lt;&gt;"",ISNA(MATCH($L442,Tables!$C$246:$C$247,0))),
Error!$B$59,
IF(AND($H442="Zoning: Tree Points",$K442="Medium/Large",$L442&lt;&gt;"",ISNA(MATCH($L442,Tables!$C$249:$C$250,0))),
Error!$B$59,
IF(AND($H442="Zoning: Tree Points",$K442="Large",$L442&lt;&gt;"",ISNA(MATCH($L442,Tables!$C$252:$C$253,0))),
Error!$B$59,
IF(AND($F442="Retain",$H442="Zoning: Tree Points",$C442&lt;&gt;"",$D442&lt;&gt;"",OR($K442="",$L442="",$M442="")),
Error!$B$20,
""
)))))))))))))))))))))))))))))))))))))))))))))))))))))))),
Error!$B$23))</f>
        <v/>
      </c>
      <c r="O442" s="343" t="str" cm="1">
        <f t="array" aca="1" ref="O442" ca="1">IFERROR(_xlfn.LET(
    _xlpm.txt, $C442,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43" spans="1:15" ht="15" thickBot="1" x14ac:dyDescent="0.35">
      <c r="A443" s="311">
        <v>109</v>
      </c>
      <c r="B443" s="312"/>
      <c r="C443" s="313"/>
      <c r="D443" s="478"/>
      <c r="E443" s="314"/>
      <c r="F443" s="314"/>
      <c r="G443" s="315" t="str">
        <f>IF(Tree_Table1[[#This Row],[Tree Status  &amp;]]="Retain", Tables!$B$237, IF(Tree_Table1[[#This Row],[Tree Status  &amp;]]="Remove", Tables!$B$238, ""))</f>
        <v/>
      </c>
      <c r="H443" s="316"/>
      <c r="I443" s="317"/>
      <c r="J443" s="452"/>
      <c r="K443" s="318" t="str">
        <f>IFERROR(
    IF(
        AND($H443="Zoning: Tree Points", NOT(ISNUMBER(SEARCH("sp.", $C443)))),
        VLOOKUP($C443, 'Tree List'!$C$3:$F$601, 4, FALSE),
        ""
    ),
"")</f>
        <v/>
      </c>
      <c r="L443" s="319" t="str" cm="1">
        <f t="array" ref="L443">IFERROR(
IF(
    AND($H443="Zoning: Tree Points", NOT(ISNUMBER(SEARCH("sp.", $C443)))),
    _xlfn.IFS(
        (COUNTIFS('Tree List'!$C$3:$C$601,$C443,'Tree List'!$D$3:$D$601,"Coniferous")
        + COUNTIFS('Tree List'!$C$3:$C$601,$C443,'Tree List'!$D$3:$D$601,"Deciduous Conifer")) &gt; 0,
            _xlfn.IFS($K443="Small",0.5,$K443="Small/Medium",1,$K443="Medium/Large",1.4,$K443="Large",1.8),
        (COUNTIFS('Tree List'!$C$3:$C$601,$C443,'Tree List'!$D$3:$D$601,"Deciduous")
        + COUNTIFS('Tree List'!$C$3:$C$601,$C443,'Tree List'!$D$3:$D$601,"Broadleaf Evergreen")) &gt; 0,
            _xlfn.IFS($K443="Small",0.4,$K443="Small/Medium",0.8,$K443="Medium/Large",1.2,$K443="Large",1.6)
    ),
    ""
),
"")</f>
        <v/>
      </c>
      <c r="M443" s="474" t="str">
        <f t="shared" si="492"/>
        <v/>
      </c>
      <c r="N443" s="620" t="str" cm="1">
        <f t="array" aca="1" ref="N44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IF(AND(_xlpm.baseRow,ISNA(MATCH($C443,'Tree List'!$C$3:$C$601,0)),SUMPRODUCT(--ISNUMBER(SEARCH(Tables2!$C$677:$C$772,$O443)))&gt;0),
Error!$B$57,
IF(AND(_xlpm.hasDM,$F443="Remove",$H443&lt;&gt;"",OR($I443="On-site replacement",$I443="Off-site replacement",$I443="Payment In Lieu")),
Error!$B$56,
IF(AND(_xlpm.hasDM,$F443="Remove",$H443&lt;&gt;"",$I443="Relocation"),
Error!$B$66,
IF(AND(OR(_xlpm.hasCN,_xlpm.hasPH,_xlpm.hasGR),$H443&lt;&gt;"",COUNTIF(Tables!$B$132:$B$134,$H443)&gt;0,$I443="N/A (No replacement required)"),
Error!$B$62,
IF(AND(_xlpm.baseRow,$E443&lt;&gt;"",ISNA(MATCH($E443,Tables!$B$225:$B$232,0))),
Error!$B$2,
IF(AND(_xlpm.baseRow,$F443&lt;&gt;"",ISNA(MATCH($F443,Tables!$B$234:$B$235,0))),
Error!$B$24,
IF(AND(_xlpm.baseRow,_xlpm.ECA_H&gt;0,_xlpm.Shore_H&gt;0),
Error!$B$16,
IF(AND(_xlpm.baseRow,$E443&lt;&gt;"",$D443=""),
Error!$B$3,
IF(AND(_xlpm.baseRow,OR($E443="Tier 3",$E443="Tier 4"),$C443&lt;&gt;"",$D443&gt;=24,COUNTIF(Tables2!$B$166:$B$674,$C443)&gt;0),
Error!$B$44,
IF(AND(_xlpm.baseRow,OR($E443="Tier 3",$E443="Tier 4"),$C443&lt;&gt;"",$D443&lt;&gt;"",COUNTIF(Tables2!$B$73:$B$152,$C443)&gt;0,
$D443&gt;=IFERROR(INDEX(Tables2!$C$73:$C$152,MATCH($C443,Tables2!$B$73:$B$152,0)),-1)),
Error!$B$44,
IF(AND(_xlpm.baseRow,OR($E443="Tier 2",$E443="Tier 2 Grove"),$C443&lt;&gt;"",$D443&gt;=12,COUNTIF(Tables2!$B$153:$B$162,$C443)&gt;0),
Error!$B$45,
IF(AND(_xlpm.baseRow,$E443="Tier 2 Grove",$D443&lt;12),
Error!$B$41,
IF(AND(_xlpm.baseRow,$E443="Tier 2",$D443&lt;5.88),
Error!$B$40,
IF(AND(_xlpm.baseRow,OR($E443="Tier 2",$E443="Tier 2 Grove"),$C443&lt;&gt;"",$D443&lt;12,$D443&gt;=6,COUNTIF(Tables2!$B$153:$B$162,$C443)&gt;0),
Error!$B$54,
IF(AND(_xlpm.baseRow,$E443="Tier 2",COUNTIF(Tables2!$B$166:$B$674,$C443)&gt;0,$D443&lt;24),
Error!$B$54,
IF(AND(_xlpm.baseRow,$E443="Tier 3",ISNA(MATCH($C443,Tables2!$B$153:$B$162,0)),OR($D443&lt;12,$D443&gt;=24)),
Error!$B$9,
IF(AND(_xlpm.baseRow,$E443="Tier 3",COUNTIF(Tables2!$B$153:$B$162,$C443)&gt;0,$D443&lt;12),
Error!$B$46,
IF(AND(_xlpm.baseRow,$E443="Tier 4",OR($D443&lt;6,$D443&gt;=12)),
Error!$B$10,
IF(AND(_xlpm.baseRow,$E443="&lt;6in DSH for Tree Points",OR($D443&gt;=6,$D443="")),
Error!$B$8,
IF(AND(_xlpm.baseRow,$E443="Street Tree for Green Factor",$F443&lt;&gt;"",$F443&lt;&gt;"Retain"),
Error!$B$14,
IF(AND($E443="&lt;6in DSH for Tree Points",$F443="Retain",$H443&lt;&gt;"",ISNA(MATCH($H443,Tables!$B$174:$B$174,0))),
Error!$B$15,
IF(AND($E443="Street Tree for Green Factor",$F443="Retain",$H443&lt;&gt;"",$H443&lt;&gt;"Zoning: Green Factor"),
Error!$B$15,
IF(AND($E443="ECA / Shoreline Tree",$F443="Remove",$H443&lt;&gt;"",ISNA(MATCH($H443,Tables!$B$189:$B$190,0))),
Error!$B$15,
IF(AND($E443="ECA / Shoreline Tree",$F443="Retain",$H443&lt;&gt;"",ISNA(MATCH($H443,Tables!$B$184:$B$186,0))),
Error!$B$15,
IF(AND($E443="Tier 4",$F443="Remove",$H443&lt;&gt;"",ISNA(MATCH($H443,Tables!$B$171,0))),
Error!$B$15,
IF(AND($E443="Tier 4",$F443="Retain",$H443&lt;&gt;"",ISNA(MATCH($H443,Tables!$B$166:$B$168,0))),
Error!$B$15,
IF(AND($E443="Tier 3",$F443="Retain",$H443&lt;&gt;"",ISNA(MATCH($H443,Tables!$B$158:$B$160,0))),
Error!$B$15,
IF(AND($E443="Tier 3",$F443="Remove",$H443&lt;&gt;"",ISNA(MATCH($H443,Tables!$B$163,0))),
Error!$B$15,
IF(AND(OR($E443="Tier 2",$E443="Tier 2 Grove"),$F443="Remove",$H443&lt;&gt;"",ISNA(MATCH($H443,Tables!$B$153:$B$155,0))),
Error!$B$15,
IF(AND(OR($E443="Tier 2",$E443="Tier 2 Grove"),$F443="Retain",$H443&lt;&gt;"",ISNA(MATCH($H443,Tables!$B$147:$B$150,0))),
Error!$B$15,
IF(AND($E443="Tier 1",$F443="Remove",$H443&lt;&gt;"",ISNA(MATCH($H443,Tables!$B$143:$B$144,0))),
Error!$B$15,
IF(AND($E443="Tier 1",$F443="Retain",$H443&lt;&gt;"",ISNA(MATCH($H443,Tables!$B$137:$B$140,0))),
Error!$B$15,
IF(AND($E443&lt;&gt;"Tier 2",$E443&lt;&gt;"Tier 2 Grove",$E443&lt;&gt;"Tier 3",$E443&lt;&gt;"Tier 4",$H443="Zoning: Green Factor",OR($D443="",$D443&lt;6)),
Error!$B$11,
IF(AND(_xlpm.baseRow,$D443&lt;6,$E443="&lt;6in DSH for Tree Points",_xlpm.TreePoints_H=0),
Error!$B$21,
IF(AND(_xlpm.baseRow,$E443&lt;&gt;"",$D443&lt;&gt;"",$F443=""),
Error!$B$4,
IF(AND(_xlpm.baseRow,$F443="Remove",OR($E443="Tier 1",$E443="Tier 2",$E443="Tier 2 Grove"),COUNTBLANK(_xlpm.HRange)&lt;3,_xlpm.uniqueH&gt;=2),
Error!$B$48,
IF(AND(_xlpm.baseRow,$F443="Retain",OR($E443="Tier 1",$E443="Tier 2",$E443="Tier 2 Grove"),COUNTIF(_xlpm.HRange,"Tree Code: Required to Retain Tier 1-2 Tree")=0),
Error!$B$47,
IF(AND(_xlpm.baseRow,$E443&lt;&gt;"",$D443&lt;&gt;"",$F443&lt;&gt;"",COUNTBLANK(_xlpm.HRange)=4),
Error!$B$5,
IF(AND($F443="Remove",$H443&lt;&gt;"",$I443=""),
Error!$B$18,
IF(AND($E443="Tier 4",$F443="Remove",$H443="Tree Protection Code: Tier 3 or Tier 4 Allowance",$H443&lt;&gt;"",ISNA(MATCH($I443,Tables!$B$200,0))),
Error!$B$17,
IF(AND($E443="Tier 3",$F443="Remove",$H443&lt;&gt;"",$H443="Tree Protection Code: Tier 3 or Tier 4 Allowance",OR($I443="",ISNA(MATCH($I443,Tables!$B$193:$B$197,0)))),
Error!$B$17,
IF(AND(OR($E443="Tier 2",$E443="Tier 2 Grove"),$F443="Remove",$H443="Tree Protection Code: Other removal allowance or exemption",$I443&lt;&gt;"",ISNA(MATCH($I443,Tables!$B$215:$B$218,0))),
Error!$B$17,
IF(AND(OR($E443="Tier 2",$E443="Tier 2 Grove"),$F443="Remove",$H443="Tree Protection Code: Development Capacity",$I443&lt;&gt;"",ISNA(MATCH($I443,Tables!$B$193:$B$197,0))),
Error!$B$17,
IF(AND(OR($E443="Tier 2",$E443="Tier 2 Grove"),$F443="Remove",$H443="Tree Protection Code: Necessary for Construction",$I443&lt;&gt;"",ISNA(MATCH($I443,Tables!$B$193:$B$197,0))),
Error!$B$17,
IF(AND($E443="Tier 1",$F443="Remove",$H443="Tree Protection Code: Special Exception",$I443&lt;&gt;"",ISNA(MATCH($I443,Tables!$B$215:$B$218,0))),
Error!$B$17,
IF(AND($E443="Tier 1",$F443="Remove",$H443="Tree Protection Code: Other removal allowance or exemption",$I443&lt;&gt;"",ISNA(MATCH($I443,Tables!$B$215:$B$218,0))),
Error!$B$17,
IF(AND($E443="ECA / Shoreline Tree",$F443="Remove",$H443&lt;&gt;"",OR($H443="Shoreline",$H443="Environmental Critical Area (ECA)"),ISNA(MATCH($I443,Tables!$B$209:$B$212,0))),
Error!$B$17,
IF(AND(_xlpm.baseRow,$F443="Retain",$E443="ECA / Shoreline Tree",_xlpm.ECA_Short=0),
Error!$B$61,
IF(AND($F443="Remove",ISNUMBER(MATCH($E443,{"Tier 1","Tier 2","Tier 3","Tier 4","Tier 2 Grove"},0)),ISNUMBER(MATCH($I443,{"On-site replacement","Off-site replacement"},0)),$J443="",$H443&lt;&gt;""),
Error!$B$19,
IF(AND(_xlpm.baseRow,$E443&lt;&gt;"",$D443&lt;&gt;"",$F443&lt;&gt;"",COUNTBLANK($B443:$C443)&gt;0,COUNTBLANK(_xlpm.HRange)&lt;&gt;4),
Error!$B$22,
IF(AND($H443="Zoning: Tree Points",$K443&lt;&gt;"",ISNA(MATCH($K443,Tables!$B$242:$B$253,0))),
Error!$B$58,
IF(AND($H443="Zoning: Tree Points",$K443="Small",$L443&lt;&gt;"",ISNA(MATCH($L443,Tables!$C$243:$C$244,0))),
Error!$B$59,
IF(AND($H443="Zoning: Tree Points",$K443="Small/Medium",$L443&lt;&gt;"",ISNA(MATCH($L443,Tables!$C$246:$C$247,0))),
Error!$B$59,
IF(AND($H443="Zoning: Tree Points",$K443="Medium/Large",$L443&lt;&gt;"",ISNA(MATCH($L443,Tables!$C$249:$C$250,0))),
Error!$B$59,
IF(AND($H443="Zoning: Tree Points",$K443="Large",$L443&lt;&gt;"",ISNA(MATCH($L443,Tables!$C$252:$C$253,0))),
Error!$B$59,
IF(AND($F443="Retain",$H443="Zoning: Tree Points",$C443&lt;&gt;"",$D443&lt;&gt;"",OR($K443="",$L443="",$M443="")),
Error!$B$20,
""
)))))))))))))))))))))))))))))))))))))))))))))))))))))))),
Error!$B$23))</f>
        <v/>
      </c>
      <c r="O443" s="343" t="str" cm="1">
        <f t="array" aca="1" ref="O443" ca="1">IFERROR(_xlfn.LET(
    _xlpm.txt, $C443,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44" spans="1:15" x14ac:dyDescent="0.3">
      <c r="A444" s="320"/>
      <c r="B444" s="616" t="str">
        <f t="shared" ref="B444:B446" si="503">IF($B443="", "", $B443)</f>
        <v/>
      </c>
      <c r="C444" s="617" t="str">
        <f t="shared" ref="C444:C446" si="504">IF($C443="", "", $C443)</f>
        <v/>
      </c>
      <c r="D444" s="618" t="str">
        <f t="shared" ref="D444:D446" si="505">IF($D443="", "", $D443)</f>
        <v/>
      </c>
      <c r="E444" s="616" t="str">
        <f t="shared" ref="E444:E446" si="506">IF($E443="", "", $E443)</f>
        <v/>
      </c>
      <c r="F444" s="616" t="str">
        <f t="shared" ref="F444:F446" si="507">IF($F443="", "", $F443)</f>
        <v/>
      </c>
      <c r="G444" s="619" t="str">
        <f>IF(Tree_Table1[[#This Row],[Tree Status  &amp;]]="Retain", Tables!$B$237, IF(Tree_Table1[[#This Row],[Tree Status  &amp;]]="Remove", Tables!$B$238, ""))</f>
        <v/>
      </c>
      <c r="H444" s="321"/>
      <c r="I444" s="322"/>
      <c r="J444" s="453"/>
      <c r="K444" s="323" t="str">
        <f>IFERROR(
    IF(
        AND($H444="Zoning: Tree Points", NOT(ISNUMBER(SEARCH("sp.", $C444)))),
        VLOOKUP($C444, 'Tree List'!$C$3:$F$601, 4, FALSE),
        ""
    ),
"")</f>
        <v/>
      </c>
      <c r="L444" s="324" t="str" cm="1">
        <f t="array" ref="L444">IFERROR(
IF(
    AND($H444="Zoning: Tree Points", NOT(ISNUMBER(SEARCH("sp.", $C444)))),
    _xlfn.IFS(
        (COUNTIFS('Tree List'!$C$3:$C$601,$C444,'Tree List'!$D$3:$D$601,"Coniferous")
        + COUNTIFS('Tree List'!$C$3:$C$601,$C444,'Tree List'!$D$3:$D$601,"Deciduous Conifer")) &gt; 0,
            _xlfn.IFS($K444="Small",0.5,$K444="Small/Medium",1,$K444="Medium/Large",1.4,$K444="Large",1.8),
        (COUNTIFS('Tree List'!$C$3:$C$601,$C444,'Tree List'!$D$3:$D$601,"Deciduous")
        + COUNTIFS('Tree List'!$C$3:$C$601,$C444,'Tree List'!$D$3:$D$601,"Broadleaf Evergreen")) &gt; 0,
            _xlfn.IFS($K444="Small",0.4,$K444="Small/Medium",0.8,$K444="Medium/Large",1.2,$K444="Large",1.6)
    ),
    ""
),
"")</f>
        <v/>
      </c>
      <c r="M444" s="475" t="str">
        <f t="shared" si="492"/>
        <v/>
      </c>
      <c r="N444" s="346" t="str" cm="1">
        <f t="array" aca="1" ref="N44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IF(AND(_xlpm.baseRow,ISNA(MATCH($C444,'Tree List'!$C$3:$C$601,0)),SUMPRODUCT(--ISNUMBER(SEARCH(Tables2!$C$677:$C$772,$O444)))&gt;0),
Error!$B$57,
IF(AND(_xlpm.hasDM,$F444="Remove",$H444&lt;&gt;"",OR($I444="On-site replacement",$I444="Off-site replacement",$I444="Payment In Lieu")),
Error!$B$56,
IF(AND(_xlpm.hasDM,$F444="Remove",$H444&lt;&gt;"",$I444="Relocation"),
Error!$B$66,
IF(AND(OR(_xlpm.hasCN,_xlpm.hasPH,_xlpm.hasGR),$H444&lt;&gt;"",COUNTIF(Tables!$B$132:$B$134,$H444)&gt;0,$I444="N/A (No replacement required)"),
Error!$B$62,
IF(AND(_xlpm.baseRow,$E444&lt;&gt;"",ISNA(MATCH($E444,Tables!$B$225:$B$232,0))),
Error!$B$2,
IF(AND(_xlpm.baseRow,$F444&lt;&gt;"",ISNA(MATCH($F444,Tables!$B$234:$B$235,0))),
Error!$B$24,
IF(AND(_xlpm.baseRow,_xlpm.ECA_H&gt;0,_xlpm.Shore_H&gt;0),
Error!$B$16,
IF(AND(_xlpm.baseRow,$E444&lt;&gt;"",$D444=""),
Error!$B$3,
IF(AND(_xlpm.baseRow,OR($E444="Tier 3",$E444="Tier 4"),$C444&lt;&gt;"",$D444&gt;=24,COUNTIF(Tables2!$B$166:$B$674,$C444)&gt;0),
Error!$B$44,
IF(AND(_xlpm.baseRow,OR($E444="Tier 3",$E444="Tier 4"),$C444&lt;&gt;"",$D444&lt;&gt;"",COUNTIF(Tables2!$B$73:$B$152,$C444)&gt;0,
$D444&gt;=IFERROR(INDEX(Tables2!$C$73:$C$152,MATCH($C444,Tables2!$B$73:$B$152,0)),-1)),
Error!$B$44,
IF(AND(_xlpm.baseRow,OR($E444="Tier 2",$E444="Tier 2 Grove"),$C444&lt;&gt;"",$D444&gt;=12,COUNTIF(Tables2!$B$153:$B$162,$C444)&gt;0),
Error!$B$45,
IF(AND(_xlpm.baseRow,$E444="Tier 2 Grove",$D444&lt;12),
Error!$B$41,
IF(AND(_xlpm.baseRow,$E444="Tier 2",$D444&lt;5.88),
Error!$B$40,
IF(AND(_xlpm.baseRow,OR($E444="Tier 2",$E444="Tier 2 Grove"),$C444&lt;&gt;"",$D444&lt;12,$D444&gt;=6,COUNTIF(Tables2!$B$153:$B$162,$C444)&gt;0),
Error!$B$54,
IF(AND(_xlpm.baseRow,$E444="Tier 2",COUNTIF(Tables2!$B$166:$B$674,$C444)&gt;0,$D444&lt;24),
Error!$B$54,
IF(AND(_xlpm.baseRow,$E444="Tier 3",ISNA(MATCH($C444,Tables2!$B$153:$B$162,0)),OR($D444&lt;12,$D444&gt;=24)),
Error!$B$9,
IF(AND(_xlpm.baseRow,$E444="Tier 3",COUNTIF(Tables2!$B$153:$B$162,$C444)&gt;0,$D444&lt;12),
Error!$B$46,
IF(AND(_xlpm.baseRow,$E444="Tier 4",OR($D444&lt;6,$D444&gt;=12)),
Error!$B$10,
IF(AND(_xlpm.baseRow,$E444="&lt;6in DSH for Tree Points",OR($D444&gt;=6,$D444="")),
Error!$B$8,
IF(AND(_xlpm.baseRow,$E444="Street Tree for Green Factor",$F444&lt;&gt;"",$F444&lt;&gt;"Retain"),
Error!$B$14,
IF(AND($E444="&lt;6in DSH for Tree Points",$F444="Retain",$H444&lt;&gt;"",ISNA(MATCH($H444,Tables!$B$174:$B$174,0))),
Error!$B$15,
IF(AND($E444="Street Tree for Green Factor",$F444="Retain",$H444&lt;&gt;"",$H444&lt;&gt;"Zoning: Green Factor"),
Error!$B$15,
IF(AND($E444="ECA / Shoreline Tree",$F444="Remove",$H444&lt;&gt;"",ISNA(MATCH($H444,Tables!$B$189:$B$190,0))),
Error!$B$15,
IF(AND($E444="ECA / Shoreline Tree",$F444="Retain",$H444&lt;&gt;"",ISNA(MATCH($H444,Tables!$B$184:$B$186,0))),
Error!$B$15,
IF(AND($E444="Tier 4",$F444="Remove",$H444&lt;&gt;"",ISNA(MATCH($H444,Tables!$B$171,0))),
Error!$B$15,
IF(AND($E444="Tier 4",$F444="Retain",$H444&lt;&gt;"",ISNA(MATCH($H444,Tables!$B$166:$B$168,0))),
Error!$B$15,
IF(AND($E444="Tier 3",$F444="Retain",$H444&lt;&gt;"",ISNA(MATCH($H444,Tables!$B$158:$B$160,0))),
Error!$B$15,
IF(AND($E444="Tier 3",$F444="Remove",$H444&lt;&gt;"",ISNA(MATCH($H444,Tables!$B$163,0))),
Error!$B$15,
IF(AND(OR($E444="Tier 2",$E444="Tier 2 Grove"),$F444="Remove",$H444&lt;&gt;"",ISNA(MATCH($H444,Tables!$B$153:$B$155,0))),
Error!$B$15,
IF(AND(OR($E444="Tier 2",$E444="Tier 2 Grove"),$F444="Retain",$H444&lt;&gt;"",ISNA(MATCH($H444,Tables!$B$147:$B$150,0))),
Error!$B$15,
IF(AND($E444="Tier 1",$F444="Remove",$H444&lt;&gt;"",ISNA(MATCH($H444,Tables!$B$143:$B$144,0))),
Error!$B$15,
IF(AND($E444="Tier 1",$F444="Retain",$H444&lt;&gt;"",ISNA(MATCH($H444,Tables!$B$137:$B$140,0))),
Error!$B$15,
IF(AND($E444&lt;&gt;"Tier 2",$E444&lt;&gt;"Tier 2 Grove",$E444&lt;&gt;"Tier 3",$E444&lt;&gt;"Tier 4",$H444="Zoning: Green Factor",OR($D444="",$D444&lt;6)),
Error!$B$11,
IF(AND(_xlpm.baseRow,$D444&lt;6,$E444="&lt;6in DSH for Tree Points",_xlpm.TreePoints_H=0),
Error!$B$21,
IF(AND(_xlpm.baseRow,$E444&lt;&gt;"",$D444&lt;&gt;"",$F444=""),
Error!$B$4,
IF(AND(_xlpm.baseRow,$F444="Remove",OR($E444="Tier 1",$E444="Tier 2",$E444="Tier 2 Grove"),COUNTBLANK(_xlpm.HRange)&lt;3,_xlpm.uniqueH&gt;=2),
Error!$B$48,
IF(AND(_xlpm.baseRow,$F444="Retain",OR($E444="Tier 1",$E444="Tier 2",$E444="Tier 2 Grove"),COUNTIF(_xlpm.HRange,"Tree Code: Required to Retain Tier 1-2 Tree")=0),
Error!$B$47,
IF(AND(_xlpm.baseRow,$E444&lt;&gt;"",$D444&lt;&gt;"",$F444&lt;&gt;"",COUNTBLANK(_xlpm.HRange)=4),
Error!$B$5,
IF(AND($F444="Remove",$H444&lt;&gt;"",$I444=""),
Error!$B$18,
IF(AND($E444="Tier 4",$F444="Remove",$H444="Tree Protection Code: Tier 3 or Tier 4 Allowance",$H444&lt;&gt;"",ISNA(MATCH($I444,Tables!$B$200,0))),
Error!$B$17,
IF(AND($E444="Tier 3",$F444="Remove",$H444&lt;&gt;"",$H444="Tree Protection Code: Tier 3 or Tier 4 Allowance",OR($I444="",ISNA(MATCH($I444,Tables!$B$193:$B$197,0)))),
Error!$B$17,
IF(AND(OR($E444="Tier 2",$E444="Tier 2 Grove"),$F444="Remove",$H444="Tree Protection Code: Other removal allowance or exemption",$I444&lt;&gt;"",ISNA(MATCH($I444,Tables!$B$215:$B$218,0))),
Error!$B$17,
IF(AND(OR($E444="Tier 2",$E444="Tier 2 Grove"),$F444="Remove",$H444="Tree Protection Code: Development Capacity",$I444&lt;&gt;"",ISNA(MATCH($I444,Tables!$B$193:$B$197,0))),
Error!$B$17,
IF(AND(OR($E444="Tier 2",$E444="Tier 2 Grove"),$F444="Remove",$H444="Tree Protection Code: Necessary for Construction",$I444&lt;&gt;"",ISNA(MATCH($I444,Tables!$B$193:$B$197,0))),
Error!$B$17,
IF(AND($E444="Tier 1",$F444="Remove",$H444="Tree Protection Code: Special Exception",$I444&lt;&gt;"",ISNA(MATCH($I444,Tables!$B$215:$B$218,0))),
Error!$B$17,
IF(AND($E444="Tier 1",$F444="Remove",$H444="Tree Protection Code: Other removal allowance or exemption",$I444&lt;&gt;"",ISNA(MATCH($I444,Tables!$B$215:$B$218,0))),
Error!$B$17,
IF(AND($E444="ECA / Shoreline Tree",$F444="Remove",$H444&lt;&gt;"",OR($H444="Shoreline",$H444="Environmental Critical Area (ECA)"),ISNA(MATCH($I444,Tables!$B$209:$B$212,0))),
Error!$B$17,
IF(AND(_xlpm.baseRow,$F444="Retain",$E444="ECA / Shoreline Tree",_xlpm.ECA_Short=0),
Error!$B$61,
IF(AND($F444="Remove",ISNUMBER(MATCH($E444,{"Tier 1","Tier 2","Tier 3","Tier 4","Tier 2 Grove"},0)),ISNUMBER(MATCH($I444,{"On-site replacement","Off-site replacement"},0)),$J444="",$H444&lt;&gt;""),
Error!$B$19,
IF(AND(_xlpm.baseRow,$E444&lt;&gt;"",$D444&lt;&gt;"",$F444&lt;&gt;"",COUNTBLANK($B444:$C444)&gt;0,COUNTBLANK(_xlpm.HRange)&lt;&gt;4),
Error!$B$22,
IF(AND($H444="Zoning: Tree Points",$K444&lt;&gt;"",ISNA(MATCH($K444,Tables!$B$242:$B$253,0))),
Error!$B$58,
IF(AND($H444="Zoning: Tree Points",$K444="Small",$L444&lt;&gt;"",ISNA(MATCH($L444,Tables!$C$243:$C$244,0))),
Error!$B$59,
IF(AND($H444="Zoning: Tree Points",$K444="Small/Medium",$L444&lt;&gt;"",ISNA(MATCH($L444,Tables!$C$246:$C$247,0))),
Error!$B$59,
IF(AND($H444="Zoning: Tree Points",$K444="Medium/Large",$L444&lt;&gt;"",ISNA(MATCH($L444,Tables!$C$249:$C$250,0))),
Error!$B$59,
IF(AND($H444="Zoning: Tree Points",$K444="Large",$L444&lt;&gt;"",ISNA(MATCH($L444,Tables!$C$252:$C$253,0))),
Error!$B$59,
IF(AND($F444="Retain",$H444="Zoning: Tree Points",$C444&lt;&gt;"",$D444&lt;&gt;"",OR($K444="",$L444="",$M444="")),
Error!$B$20,
""
)))))))))))))))))))))))))))))))))))))))))))))))))))))))),
Error!$B$23))</f>
        <v/>
      </c>
      <c r="O444" s="343" t="str" cm="1">
        <f t="array" aca="1" ref="O444" ca="1">IFERROR(_xlfn.LET(
    _xlpm.txt, $C444,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45" spans="1:15" x14ac:dyDescent="0.3">
      <c r="A445" s="320"/>
      <c r="B445" s="616" t="str">
        <f t="shared" si="503"/>
        <v/>
      </c>
      <c r="C445" s="617" t="str">
        <f t="shared" si="504"/>
        <v/>
      </c>
      <c r="D445" s="618" t="str">
        <f t="shared" si="505"/>
        <v/>
      </c>
      <c r="E445" s="616" t="str">
        <f t="shared" si="506"/>
        <v/>
      </c>
      <c r="F445" s="616" t="str">
        <f t="shared" si="507"/>
        <v/>
      </c>
      <c r="G445" s="619" t="str">
        <f>IF(Tree_Table1[[#This Row],[Tree Status  &amp;]]="Retain", Tables!$B$237, IF(Tree_Table1[[#This Row],[Tree Status  &amp;]]="Remove", Tables!$B$238, ""))</f>
        <v/>
      </c>
      <c r="H445" s="321"/>
      <c r="I445" s="322"/>
      <c r="J445" s="453"/>
      <c r="K445" s="323" t="str">
        <f>IFERROR(
    IF(
        AND($H445="Zoning: Tree Points", NOT(ISNUMBER(SEARCH("sp.", $C445)))),
        VLOOKUP($C445, 'Tree List'!$C$3:$F$601, 4, FALSE),
        ""
    ),
"")</f>
        <v/>
      </c>
      <c r="L445" s="324" t="str" cm="1">
        <f t="array" ref="L445">IFERROR(
IF(
    AND($H445="Zoning: Tree Points", NOT(ISNUMBER(SEARCH("sp.", $C445)))),
    _xlfn.IFS(
        (COUNTIFS('Tree List'!$C$3:$C$601,$C445,'Tree List'!$D$3:$D$601,"Coniferous")
        + COUNTIFS('Tree List'!$C$3:$C$601,$C445,'Tree List'!$D$3:$D$601,"Deciduous Conifer")) &gt; 0,
            _xlfn.IFS($K445="Small",0.5,$K445="Small/Medium",1,$K445="Medium/Large",1.4,$K445="Large",1.8),
        (COUNTIFS('Tree List'!$C$3:$C$601,$C445,'Tree List'!$D$3:$D$601,"Deciduous")
        + COUNTIFS('Tree List'!$C$3:$C$601,$C445,'Tree List'!$D$3:$D$601,"Broadleaf Evergreen")) &gt; 0,
            _xlfn.IFS($K445="Small",0.4,$K445="Small/Medium",0.8,$K445="Medium/Large",1.2,$K445="Large",1.6)
    ),
    ""
),
"")</f>
        <v/>
      </c>
      <c r="M445" s="475" t="str">
        <f t="shared" si="492"/>
        <v/>
      </c>
      <c r="N445" s="346" t="str" cm="1">
        <f t="array" aca="1" ref="N44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IF(AND(_xlpm.baseRow,ISNA(MATCH($C445,'Tree List'!$C$3:$C$601,0)),SUMPRODUCT(--ISNUMBER(SEARCH(Tables2!$C$677:$C$772,$O445)))&gt;0),
Error!$B$57,
IF(AND(_xlpm.hasDM,$F445="Remove",$H445&lt;&gt;"",OR($I445="On-site replacement",$I445="Off-site replacement",$I445="Payment In Lieu")),
Error!$B$56,
IF(AND(_xlpm.hasDM,$F445="Remove",$H445&lt;&gt;"",$I445="Relocation"),
Error!$B$66,
IF(AND(OR(_xlpm.hasCN,_xlpm.hasPH,_xlpm.hasGR),$H445&lt;&gt;"",COUNTIF(Tables!$B$132:$B$134,$H445)&gt;0,$I445="N/A (No replacement required)"),
Error!$B$62,
IF(AND(_xlpm.baseRow,$E445&lt;&gt;"",ISNA(MATCH($E445,Tables!$B$225:$B$232,0))),
Error!$B$2,
IF(AND(_xlpm.baseRow,$F445&lt;&gt;"",ISNA(MATCH($F445,Tables!$B$234:$B$235,0))),
Error!$B$24,
IF(AND(_xlpm.baseRow,_xlpm.ECA_H&gt;0,_xlpm.Shore_H&gt;0),
Error!$B$16,
IF(AND(_xlpm.baseRow,$E445&lt;&gt;"",$D445=""),
Error!$B$3,
IF(AND(_xlpm.baseRow,OR($E445="Tier 3",$E445="Tier 4"),$C445&lt;&gt;"",$D445&gt;=24,COUNTIF(Tables2!$B$166:$B$674,$C445)&gt;0),
Error!$B$44,
IF(AND(_xlpm.baseRow,OR($E445="Tier 3",$E445="Tier 4"),$C445&lt;&gt;"",$D445&lt;&gt;"",COUNTIF(Tables2!$B$73:$B$152,$C445)&gt;0,
$D445&gt;=IFERROR(INDEX(Tables2!$C$73:$C$152,MATCH($C445,Tables2!$B$73:$B$152,0)),-1)),
Error!$B$44,
IF(AND(_xlpm.baseRow,OR($E445="Tier 2",$E445="Tier 2 Grove"),$C445&lt;&gt;"",$D445&gt;=12,COUNTIF(Tables2!$B$153:$B$162,$C445)&gt;0),
Error!$B$45,
IF(AND(_xlpm.baseRow,$E445="Tier 2 Grove",$D445&lt;12),
Error!$B$41,
IF(AND(_xlpm.baseRow,$E445="Tier 2",$D445&lt;5.88),
Error!$B$40,
IF(AND(_xlpm.baseRow,OR($E445="Tier 2",$E445="Tier 2 Grove"),$C445&lt;&gt;"",$D445&lt;12,$D445&gt;=6,COUNTIF(Tables2!$B$153:$B$162,$C445)&gt;0),
Error!$B$54,
IF(AND(_xlpm.baseRow,$E445="Tier 2",COUNTIF(Tables2!$B$166:$B$674,$C445)&gt;0,$D445&lt;24),
Error!$B$54,
IF(AND(_xlpm.baseRow,$E445="Tier 3",ISNA(MATCH($C445,Tables2!$B$153:$B$162,0)),OR($D445&lt;12,$D445&gt;=24)),
Error!$B$9,
IF(AND(_xlpm.baseRow,$E445="Tier 3",COUNTIF(Tables2!$B$153:$B$162,$C445)&gt;0,$D445&lt;12),
Error!$B$46,
IF(AND(_xlpm.baseRow,$E445="Tier 4",OR($D445&lt;6,$D445&gt;=12)),
Error!$B$10,
IF(AND(_xlpm.baseRow,$E445="&lt;6in DSH for Tree Points",OR($D445&gt;=6,$D445="")),
Error!$B$8,
IF(AND(_xlpm.baseRow,$E445="Street Tree for Green Factor",$F445&lt;&gt;"",$F445&lt;&gt;"Retain"),
Error!$B$14,
IF(AND($E445="&lt;6in DSH for Tree Points",$F445="Retain",$H445&lt;&gt;"",ISNA(MATCH($H445,Tables!$B$174:$B$174,0))),
Error!$B$15,
IF(AND($E445="Street Tree for Green Factor",$F445="Retain",$H445&lt;&gt;"",$H445&lt;&gt;"Zoning: Green Factor"),
Error!$B$15,
IF(AND($E445="ECA / Shoreline Tree",$F445="Remove",$H445&lt;&gt;"",ISNA(MATCH($H445,Tables!$B$189:$B$190,0))),
Error!$B$15,
IF(AND($E445="ECA / Shoreline Tree",$F445="Retain",$H445&lt;&gt;"",ISNA(MATCH($H445,Tables!$B$184:$B$186,0))),
Error!$B$15,
IF(AND($E445="Tier 4",$F445="Remove",$H445&lt;&gt;"",ISNA(MATCH($H445,Tables!$B$171,0))),
Error!$B$15,
IF(AND($E445="Tier 4",$F445="Retain",$H445&lt;&gt;"",ISNA(MATCH($H445,Tables!$B$166:$B$168,0))),
Error!$B$15,
IF(AND($E445="Tier 3",$F445="Retain",$H445&lt;&gt;"",ISNA(MATCH($H445,Tables!$B$158:$B$160,0))),
Error!$B$15,
IF(AND($E445="Tier 3",$F445="Remove",$H445&lt;&gt;"",ISNA(MATCH($H445,Tables!$B$163,0))),
Error!$B$15,
IF(AND(OR($E445="Tier 2",$E445="Tier 2 Grove"),$F445="Remove",$H445&lt;&gt;"",ISNA(MATCH($H445,Tables!$B$153:$B$155,0))),
Error!$B$15,
IF(AND(OR($E445="Tier 2",$E445="Tier 2 Grove"),$F445="Retain",$H445&lt;&gt;"",ISNA(MATCH($H445,Tables!$B$147:$B$150,0))),
Error!$B$15,
IF(AND($E445="Tier 1",$F445="Remove",$H445&lt;&gt;"",ISNA(MATCH($H445,Tables!$B$143:$B$144,0))),
Error!$B$15,
IF(AND($E445="Tier 1",$F445="Retain",$H445&lt;&gt;"",ISNA(MATCH($H445,Tables!$B$137:$B$140,0))),
Error!$B$15,
IF(AND($E445&lt;&gt;"Tier 2",$E445&lt;&gt;"Tier 2 Grove",$E445&lt;&gt;"Tier 3",$E445&lt;&gt;"Tier 4",$H445="Zoning: Green Factor",OR($D445="",$D445&lt;6)),
Error!$B$11,
IF(AND(_xlpm.baseRow,$D445&lt;6,$E445="&lt;6in DSH for Tree Points",_xlpm.TreePoints_H=0),
Error!$B$21,
IF(AND(_xlpm.baseRow,$E445&lt;&gt;"",$D445&lt;&gt;"",$F445=""),
Error!$B$4,
IF(AND(_xlpm.baseRow,$F445="Remove",OR($E445="Tier 1",$E445="Tier 2",$E445="Tier 2 Grove"),COUNTBLANK(_xlpm.HRange)&lt;3,_xlpm.uniqueH&gt;=2),
Error!$B$48,
IF(AND(_xlpm.baseRow,$F445="Retain",OR($E445="Tier 1",$E445="Tier 2",$E445="Tier 2 Grove"),COUNTIF(_xlpm.HRange,"Tree Code: Required to Retain Tier 1-2 Tree")=0),
Error!$B$47,
IF(AND(_xlpm.baseRow,$E445&lt;&gt;"",$D445&lt;&gt;"",$F445&lt;&gt;"",COUNTBLANK(_xlpm.HRange)=4),
Error!$B$5,
IF(AND($F445="Remove",$H445&lt;&gt;"",$I445=""),
Error!$B$18,
IF(AND($E445="Tier 4",$F445="Remove",$H445="Tree Protection Code: Tier 3 or Tier 4 Allowance",$H445&lt;&gt;"",ISNA(MATCH($I445,Tables!$B$200,0))),
Error!$B$17,
IF(AND($E445="Tier 3",$F445="Remove",$H445&lt;&gt;"",$H445="Tree Protection Code: Tier 3 or Tier 4 Allowance",OR($I445="",ISNA(MATCH($I445,Tables!$B$193:$B$197,0)))),
Error!$B$17,
IF(AND(OR($E445="Tier 2",$E445="Tier 2 Grove"),$F445="Remove",$H445="Tree Protection Code: Other removal allowance or exemption",$I445&lt;&gt;"",ISNA(MATCH($I445,Tables!$B$215:$B$218,0))),
Error!$B$17,
IF(AND(OR($E445="Tier 2",$E445="Tier 2 Grove"),$F445="Remove",$H445="Tree Protection Code: Development Capacity",$I445&lt;&gt;"",ISNA(MATCH($I445,Tables!$B$193:$B$197,0))),
Error!$B$17,
IF(AND(OR($E445="Tier 2",$E445="Tier 2 Grove"),$F445="Remove",$H445="Tree Protection Code: Necessary for Construction",$I445&lt;&gt;"",ISNA(MATCH($I445,Tables!$B$193:$B$197,0))),
Error!$B$17,
IF(AND($E445="Tier 1",$F445="Remove",$H445="Tree Protection Code: Special Exception",$I445&lt;&gt;"",ISNA(MATCH($I445,Tables!$B$215:$B$218,0))),
Error!$B$17,
IF(AND($E445="Tier 1",$F445="Remove",$H445="Tree Protection Code: Other removal allowance or exemption",$I445&lt;&gt;"",ISNA(MATCH($I445,Tables!$B$215:$B$218,0))),
Error!$B$17,
IF(AND($E445="ECA / Shoreline Tree",$F445="Remove",$H445&lt;&gt;"",OR($H445="Shoreline",$H445="Environmental Critical Area (ECA)"),ISNA(MATCH($I445,Tables!$B$209:$B$212,0))),
Error!$B$17,
IF(AND(_xlpm.baseRow,$F445="Retain",$E445="ECA / Shoreline Tree",_xlpm.ECA_Short=0),
Error!$B$61,
IF(AND($F445="Remove",ISNUMBER(MATCH($E445,{"Tier 1","Tier 2","Tier 3","Tier 4","Tier 2 Grove"},0)),ISNUMBER(MATCH($I445,{"On-site replacement","Off-site replacement"},0)),$J445="",$H445&lt;&gt;""),
Error!$B$19,
IF(AND(_xlpm.baseRow,$E445&lt;&gt;"",$D445&lt;&gt;"",$F445&lt;&gt;"",COUNTBLANK($B445:$C445)&gt;0,COUNTBLANK(_xlpm.HRange)&lt;&gt;4),
Error!$B$22,
IF(AND($H445="Zoning: Tree Points",$K445&lt;&gt;"",ISNA(MATCH($K445,Tables!$B$242:$B$253,0))),
Error!$B$58,
IF(AND($H445="Zoning: Tree Points",$K445="Small",$L445&lt;&gt;"",ISNA(MATCH($L445,Tables!$C$243:$C$244,0))),
Error!$B$59,
IF(AND($H445="Zoning: Tree Points",$K445="Small/Medium",$L445&lt;&gt;"",ISNA(MATCH($L445,Tables!$C$246:$C$247,0))),
Error!$B$59,
IF(AND($H445="Zoning: Tree Points",$K445="Medium/Large",$L445&lt;&gt;"",ISNA(MATCH($L445,Tables!$C$249:$C$250,0))),
Error!$B$59,
IF(AND($H445="Zoning: Tree Points",$K445="Large",$L445&lt;&gt;"",ISNA(MATCH($L445,Tables!$C$252:$C$253,0))),
Error!$B$59,
IF(AND($F445="Retain",$H445="Zoning: Tree Points",$C445&lt;&gt;"",$D445&lt;&gt;"",OR($K445="",$L445="",$M445="")),
Error!$B$20,
""
)))))))))))))))))))))))))))))))))))))))))))))))))))))))),
Error!$B$23))</f>
        <v/>
      </c>
      <c r="O445" s="343" t="str" cm="1">
        <f t="array" aca="1" ref="O445" ca="1">IFERROR(_xlfn.LET(
    _xlpm.txt, $C445,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46" spans="1:15" ht="15" thickBot="1" x14ac:dyDescent="0.35">
      <c r="A446" s="331"/>
      <c r="B446" s="616" t="str">
        <f t="shared" si="503"/>
        <v/>
      </c>
      <c r="C446" s="617" t="str">
        <f t="shared" si="504"/>
        <v/>
      </c>
      <c r="D446" s="618" t="str">
        <f t="shared" si="505"/>
        <v/>
      </c>
      <c r="E446" s="616" t="str">
        <f t="shared" si="506"/>
        <v/>
      </c>
      <c r="F446" s="616" t="str">
        <f t="shared" si="507"/>
        <v/>
      </c>
      <c r="G446" s="619" t="str">
        <f>IF(Tree_Table1[[#This Row],[Tree Status  &amp;]]="Retain", Tables!$B$237, IF(Tree_Table1[[#This Row],[Tree Status  &amp;]]="Remove", Tables!$B$238, ""))</f>
        <v/>
      </c>
      <c r="H446" s="329"/>
      <c r="I446" s="330"/>
      <c r="J446" s="455"/>
      <c r="K446" s="327" t="str">
        <f>IFERROR(
    IF(
        AND($H446="Zoning: Tree Points", NOT(ISNUMBER(SEARCH("sp.", $C446)))),
        VLOOKUP($C446, 'Tree List'!$C$3:$F$601, 4, FALSE),
        ""
    ),
"")</f>
        <v/>
      </c>
      <c r="L446" s="328" t="str" cm="1">
        <f t="array" ref="L446">IFERROR(
IF(
    AND($H446="Zoning: Tree Points", NOT(ISNUMBER(SEARCH("sp.", $C446)))),
    _xlfn.IFS(
        (COUNTIFS('Tree List'!$C$3:$C$601,$C446,'Tree List'!$D$3:$D$601,"Coniferous")
        + COUNTIFS('Tree List'!$C$3:$C$601,$C446,'Tree List'!$D$3:$D$601,"Deciduous Conifer")) &gt; 0,
            _xlfn.IFS($K446="Small",0.5,$K446="Small/Medium",1,$K446="Medium/Large",1.4,$K446="Large",1.8),
        (COUNTIFS('Tree List'!$C$3:$C$601,$C446,'Tree List'!$D$3:$D$601,"Deciduous")
        + COUNTIFS('Tree List'!$C$3:$C$601,$C446,'Tree List'!$D$3:$D$601,"Broadleaf Evergreen")) &gt; 0,
            _xlfn.IFS($K446="Small",0.4,$K446="Small/Medium",0.8,$K446="Medium/Large",1.2,$K446="Large",1.6)
    ),
    ""
),
"")</f>
        <v/>
      </c>
      <c r="M446" s="476" t="str">
        <f t="shared" si="492"/>
        <v/>
      </c>
      <c r="N446" s="347" t="str" cm="1">
        <f t="array" aca="1" ref="N44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IF(AND(_xlpm.baseRow,ISNA(MATCH($C446,'Tree List'!$C$3:$C$601,0)),SUMPRODUCT(--ISNUMBER(SEARCH(Tables2!$C$677:$C$772,$O446)))&gt;0),
Error!$B$57,
IF(AND(_xlpm.hasDM,$F446="Remove",$H446&lt;&gt;"",OR($I446="On-site replacement",$I446="Off-site replacement",$I446="Payment In Lieu")),
Error!$B$56,
IF(AND(_xlpm.hasDM,$F446="Remove",$H446&lt;&gt;"",$I446="Relocation"),
Error!$B$66,
IF(AND(OR(_xlpm.hasCN,_xlpm.hasPH,_xlpm.hasGR),$H446&lt;&gt;"",COUNTIF(Tables!$B$132:$B$134,$H446)&gt;0,$I446="N/A (No replacement required)"),
Error!$B$62,
IF(AND(_xlpm.baseRow,$E446&lt;&gt;"",ISNA(MATCH($E446,Tables!$B$225:$B$232,0))),
Error!$B$2,
IF(AND(_xlpm.baseRow,$F446&lt;&gt;"",ISNA(MATCH($F446,Tables!$B$234:$B$235,0))),
Error!$B$24,
IF(AND(_xlpm.baseRow,_xlpm.ECA_H&gt;0,_xlpm.Shore_H&gt;0),
Error!$B$16,
IF(AND(_xlpm.baseRow,$E446&lt;&gt;"",$D446=""),
Error!$B$3,
IF(AND(_xlpm.baseRow,OR($E446="Tier 3",$E446="Tier 4"),$C446&lt;&gt;"",$D446&gt;=24,COUNTIF(Tables2!$B$166:$B$674,$C446)&gt;0),
Error!$B$44,
IF(AND(_xlpm.baseRow,OR($E446="Tier 3",$E446="Tier 4"),$C446&lt;&gt;"",$D446&lt;&gt;"",COUNTIF(Tables2!$B$73:$B$152,$C446)&gt;0,
$D446&gt;=IFERROR(INDEX(Tables2!$C$73:$C$152,MATCH($C446,Tables2!$B$73:$B$152,0)),-1)),
Error!$B$44,
IF(AND(_xlpm.baseRow,OR($E446="Tier 2",$E446="Tier 2 Grove"),$C446&lt;&gt;"",$D446&gt;=12,COUNTIF(Tables2!$B$153:$B$162,$C446)&gt;0),
Error!$B$45,
IF(AND(_xlpm.baseRow,$E446="Tier 2 Grove",$D446&lt;12),
Error!$B$41,
IF(AND(_xlpm.baseRow,$E446="Tier 2",$D446&lt;5.88),
Error!$B$40,
IF(AND(_xlpm.baseRow,OR($E446="Tier 2",$E446="Tier 2 Grove"),$C446&lt;&gt;"",$D446&lt;12,$D446&gt;=6,COUNTIF(Tables2!$B$153:$B$162,$C446)&gt;0),
Error!$B$54,
IF(AND(_xlpm.baseRow,$E446="Tier 2",COUNTIF(Tables2!$B$166:$B$674,$C446)&gt;0,$D446&lt;24),
Error!$B$54,
IF(AND(_xlpm.baseRow,$E446="Tier 3",ISNA(MATCH($C446,Tables2!$B$153:$B$162,0)),OR($D446&lt;12,$D446&gt;=24)),
Error!$B$9,
IF(AND(_xlpm.baseRow,$E446="Tier 3",COUNTIF(Tables2!$B$153:$B$162,$C446)&gt;0,$D446&lt;12),
Error!$B$46,
IF(AND(_xlpm.baseRow,$E446="Tier 4",OR($D446&lt;6,$D446&gt;=12)),
Error!$B$10,
IF(AND(_xlpm.baseRow,$E446="&lt;6in DSH for Tree Points",OR($D446&gt;=6,$D446="")),
Error!$B$8,
IF(AND(_xlpm.baseRow,$E446="Street Tree for Green Factor",$F446&lt;&gt;"",$F446&lt;&gt;"Retain"),
Error!$B$14,
IF(AND($E446="&lt;6in DSH for Tree Points",$F446="Retain",$H446&lt;&gt;"",ISNA(MATCH($H446,Tables!$B$174:$B$174,0))),
Error!$B$15,
IF(AND($E446="Street Tree for Green Factor",$F446="Retain",$H446&lt;&gt;"",$H446&lt;&gt;"Zoning: Green Factor"),
Error!$B$15,
IF(AND($E446="ECA / Shoreline Tree",$F446="Remove",$H446&lt;&gt;"",ISNA(MATCH($H446,Tables!$B$189:$B$190,0))),
Error!$B$15,
IF(AND($E446="ECA / Shoreline Tree",$F446="Retain",$H446&lt;&gt;"",ISNA(MATCH($H446,Tables!$B$184:$B$186,0))),
Error!$B$15,
IF(AND($E446="Tier 4",$F446="Remove",$H446&lt;&gt;"",ISNA(MATCH($H446,Tables!$B$171,0))),
Error!$B$15,
IF(AND($E446="Tier 4",$F446="Retain",$H446&lt;&gt;"",ISNA(MATCH($H446,Tables!$B$166:$B$168,0))),
Error!$B$15,
IF(AND($E446="Tier 3",$F446="Retain",$H446&lt;&gt;"",ISNA(MATCH($H446,Tables!$B$158:$B$160,0))),
Error!$B$15,
IF(AND($E446="Tier 3",$F446="Remove",$H446&lt;&gt;"",ISNA(MATCH($H446,Tables!$B$163,0))),
Error!$B$15,
IF(AND(OR($E446="Tier 2",$E446="Tier 2 Grove"),$F446="Remove",$H446&lt;&gt;"",ISNA(MATCH($H446,Tables!$B$153:$B$155,0))),
Error!$B$15,
IF(AND(OR($E446="Tier 2",$E446="Tier 2 Grove"),$F446="Retain",$H446&lt;&gt;"",ISNA(MATCH($H446,Tables!$B$147:$B$150,0))),
Error!$B$15,
IF(AND($E446="Tier 1",$F446="Remove",$H446&lt;&gt;"",ISNA(MATCH($H446,Tables!$B$143:$B$144,0))),
Error!$B$15,
IF(AND($E446="Tier 1",$F446="Retain",$H446&lt;&gt;"",ISNA(MATCH($H446,Tables!$B$137:$B$140,0))),
Error!$B$15,
IF(AND($E446&lt;&gt;"Tier 2",$E446&lt;&gt;"Tier 2 Grove",$E446&lt;&gt;"Tier 3",$E446&lt;&gt;"Tier 4",$H446="Zoning: Green Factor",OR($D446="",$D446&lt;6)),
Error!$B$11,
IF(AND(_xlpm.baseRow,$D446&lt;6,$E446="&lt;6in DSH for Tree Points",_xlpm.TreePoints_H=0),
Error!$B$21,
IF(AND(_xlpm.baseRow,$E446&lt;&gt;"",$D446&lt;&gt;"",$F446=""),
Error!$B$4,
IF(AND(_xlpm.baseRow,$F446="Remove",OR($E446="Tier 1",$E446="Tier 2",$E446="Tier 2 Grove"),COUNTBLANK(_xlpm.HRange)&lt;3,_xlpm.uniqueH&gt;=2),
Error!$B$48,
IF(AND(_xlpm.baseRow,$F446="Retain",OR($E446="Tier 1",$E446="Tier 2",$E446="Tier 2 Grove"),COUNTIF(_xlpm.HRange,"Tree Code: Required to Retain Tier 1-2 Tree")=0),
Error!$B$47,
IF(AND(_xlpm.baseRow,$E446&lt;&gt;"",$D446&lt;&gt;"",$F446&lt;&gt;"",COUNTBLANK(_xlpm.HRange)=4),
Error!$B$5,
IF(AND($F446="Remove",$H446&lt;&gt;"",$I446=""),
Error!$B$18,
IF(AND($E446="Tier 4",$F446="Remove",$H446="Tree Protection Code: Tier 3 or Tier 4 Allowance",$H446&lt;&gt;"",ISNA(MATCH($I446,Tables!$B$200,0))),
Error!$B$17,
IF(AND($E446="Tier 3",$F446="Remove",$H446&lt;&gt;"",$H446="Tree Protection Code: Tier 3 or Tier 4 Allowance",OR($I446="",ISNA(MATCH($I446,Tables!$B$193:$B$197,0)))),
Error!$B$17,
IF(AND(OR($E446="Tier 2",$E446="Tier 2 Grove"),$F446="Remove",$H446="Tree Protection Code: Other removal allowance or exemption",$I446&lt;&gt;"",ISNA(MATCH($I446,Tables!$B$215:$B$218,0))),
Error!$B$17,
IF(AND(OR($E446="Tier 2",$E446="Tier 2 Grove"),$F446="Remove",$H446="Tree Protection Code: Development Capacity",$I446&lt;&gt;"",ISNA(MATCH($I446,Tables!$B$193:$B$197,0))),
Error!$B$17,
IF(AND(OR($E446="Tier 2",$E446="Tier 2 Grove"),$F446="Remove",$H446="Tree Protection Code: Necessary for Construction",$I446&lt;&gt;"",ISNA(MATCH($I446,Tables!$B$193:$B$197,0))),
Error!$B$17,
IF(AND($E446="Tier 1",$F446="Remove",$H446="Tree Protection Code: Special Exception",$I446&lt;&gt;"",ISNA(MATCH($I446,Tables!$B$215:$B$218,0))),
Error!$B$17,
IF(AND($E446="Tier 1",$F446="Remove",$H446="Tree Protection Code: Other removal allowance or exemption",$I446&lt;&gt;"",ISNA(MATCH($I446,Tables!$B$215:$B$218,0))),
Error!$B$17,
IF(AND($E446="ECA / Shoreline Tree",$F446="Remove",$H446&lt;&gt;"",OR($H446="Shoreline",$H446="Environmental Critical Area (ECA)"),ISNA(MATCH($I446,Tables!$B$209:$B$212,0))),
Error!$B$17,
IF(AND(_xlpm.baseRow,$F446="Retain",$E446="ECA / Shoreline Tree",_xlpm.ECA_Short=0),
Error!$B$61,
IF(AND($F446="Remove",ISNUMBER(MATCH($E446,{"Tier 1","Tier 2","Tier 3","Tier 4","Tier 2 Grove"},0)),ISNUMBER(MATCH($I446,{"On-site replacement","Off-site replacement"},0)),$J446="",$H446&lt;&gt;""),
Error!$B$19,
IF(AND(_xlpm.baseRow,$E446&lt;&gt;"",$D446&lt;&gt;"",$F446&lt;&gt;"",COUNTBLANK($B446:$C446)&gt;0,COUNTBLANK(_xlpm.HRange)&lt;&gt;4),
Error!$B$22,
IF(AND($H446="Zoning: Tree Points",$K446&lt;&gt;"",ISNA(MATCH($K446,Tables!$B$242:$B$253,0))),
Error!$B$58,
IF(AND($H446="Zoning: Tree Points",$K446="Small",$L446&lt;&gt;"",ISNA(MATCH($L446,Tables!$C$243:$C$244,0))),
Error!$B$59,
IF(AND($H446="Zoning: Tree Points",$K446="Small/Medium",$L446&lt;&gt;"",ISNA(MATCH($L446,Tables!$C$246:$C$247,0))),
Error!$B$59,
IF(AND($H446="Zoning: Tree Points",$K446="Medium/Large",$L446&lt;&gt;"",ISNA(MATCH($L446,Tables!$C$249:$C$250,0))),
Error!$B$59,
IF(AND($H446="Zoning: Tree Points",$K446="Large",$L446&lt;&gt;"",ISNA(MATCH($L446,Tables!$C$252:$C$253,0))),
Error!$B$59,
IF(AND($F446="Retain",$H446="Zoning: Tree Points",$C446&lt;&gt;"",$D446&lt;&gt;"",OR($K446="",$L446="",$M446="")),
Error!$B$20,
""
)))))))))))))))))))))))))))))))))))))))))))))))))))))))),
Error!$B$23))</f>
        <v/>
      </c>
      <c r="O446" s="343" t="str" cm="1">
        <f t="array" aca="1" ref="O446" ca="1">IFERROR(_xlfn.LET(
    _xlpm.txt, $C446,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47" spans="1:15" ht="15" thickBot="1" x14ac:dyDescent="0.35">
      <c r="A447" s="311">
        <v>110</v>
      </c>
      <c r="B447" s="312"/>
      <c r="C447" s="313"/>
      <c r="D447" s="478"/>
      <c r="E447" s="314"/>
      <c r="F447" s="314"/>
      <c r="G447" s="315" t="str">
        <f>IF(Tree_Table1[[#This Row],[Tree Status  &amp;]]="Retain", Tables!$B$237, IF(Tree_Table1[[#This Row],[Tree Status  &amp;]]="Remove", Tables!$B$238, ""))</f>
        <v/>
      </c>
      <c r="H447" s="316"/>
      <c r="I447" s="317"/>
      <c r="J447" s="452"/>
      <c r="K447" s="318" t="str">
        <f>IFERROR(
    IF(
        AND($H447="Zoning: Tree Points", NOT(ISNUMBER(SEARCH("sp.", $C447)))),
        VLOOKUP($C447, 'Tree List'!$C$3:$F$601, 4, FALSE),
        ""
    ),
"")</f>
        <v/>
      </c>
      <c r="L447" s="319" t="str" cm="1">
        <f t="array" ref="L447">IFERROR(
IF(
    AND($H447="Zoning: Tree Points", NOT(ISNUMBER(SEARCH("sp.", $C447)))),
    _xlfn.IFS(
        (COUNTIFS('Tree List'!$C$3:$C$601,$C447,'Tree List'!$D$3:$D$601,"Coniferous")
        + COUNTIFS('Tree List'!$C$3:$C$601,$C447,'Tree List'!$D$3:$D$601,"Deciduous Conifer")) &gt; 0,
            _xlfn.IFS($K447="Small",0.5,$K447="Small/Medium",1,$K447="Medium/Large",1.4,$K447="Large",1.8),
        (COUNTIFS('Tree List'!$C$3:$C$601,$C447,'Tree List'!$D$3:$D$601,"Deciduous")
        + COUNTIFS('Tree List'!$C$3:$C$601,$C447,'Tree List'!$D$3:$D$601,"Broadleaf Evergreen")) &gt; 0,
            _xlfn.IFS($K447="Small",0.4,$K447="Small/Medium",0.8,$K447="Medium/Large",1.2,$K447="Large",1.6)
    ),
    ""
),
"")</f>
        <v/>
      </c>
      <c r="M447" s="474" t="str">
        <f t="shared" si="492"/>
        <v/>
      </c>
      <c r="N447" s="620" t="str" cm="1">
        <f t="array" aca="1" ref="N44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IF(AND(_xlpm.baseRow,ISNA(MATCH($C447,'Tree List'!$C$3:$C$601,0)),SUMPRODUCT(--ISNUMBER(SEARCH(Tables2!$C$677:$C$772,$O447)))&gt;0),
Error!$B$57,
IF(AND(_xlpm.hasDM,$F447="Remove",$H447&lt;&gt;"",OR($I447="On-site replacement",$I447="Off-site replacement",$I447="Payment In Lieu")),
Error!$B$56,
IF(AND(_xlpm.hasDM,$F447="Remove",$H447&lt;&gt;"",$I447="Relocation"),
Error!$B$66,
IF(AND(OR(_xlpm.hasCN,_xlpm.hasPH,_xlpm.hasGR),$H447&lt;&gt;"",COUNTIF(Tables!$B$132:$B$134,$H447)&gt;0,$I447="N/A (No replacement required)"),
Error!$B$62,
IF(AND(_xlpm.baseRow,$E447&lt;&gt;"",ISNA(MATCH($E447,Tables!$B$225:$B$232,0))),
Error!$B$2,
IF(AND(_xlpm.baseRow,$F447&lt;&gt;"",ISNA(MATCH($F447,Tables!$B$234:$B$235,0))),
Error!$B$24,
IF(AND(_xlpm.baseRow,_xlpm.ECA_H&gt;0,_xlpm.Shore_H&gt;0),
Error!$B$16,
IF(AND(_xlpm.baseRow,$E447&lt;&gt;"",$D447=""),
Error!$B$3,
IF(AND(_xlpm.baseRow,OR($E447="Tier 3",$E447="Tier 4"),$C447&lt;&gt;"",$D447&gt;=24,COUNTIF(Tables2!$B$166:$B$674,$C447)&gt;0),
Error!$B$44,
IF(AND(_xlpm.baseRow,OR($E447="Tier 3",$E447="Tier 4"),$C447&lt;&gt;"",$D447&lt;&gt;"",COUNTIF(Tables2!$B$73:$B$152,$C447)&gt;0,
$D447&gt;=IFERROR(INDEX(Tables2!$C$73:$C$152,MATCH($C447,Tables2!$B$73:$B$152,0)),-1)),
Error!$B$44,
IF(AND(_xlpm.baseRow,OR($E447="Tier 2",$E447="Tier 2 Grove"),$C447&lt;&gt;"",$D447&gt;=12,COUNTIF(Tables2!$B$153:$B$162,$C447)&gt;0),
Error!$B$45,
IF(AND(_xlpm.baseRow,$E447="Tier 2 Grove",$D447&lt;12),
Error!$B$41,
IF(AND(_xlpm.baseRow,$E447="Tier 2",$D447&lt;5.88),
Error!$B$40,
IF(AND(_xlpm.baseRow,OR($E447="Tier 2",$E447="Tier 2 Grove"),$C447&lt;&gt;"",$D447&lt;12,$D447&gt;=6,COUNTIF(Tables2!$B$153:$B$162,$C447)&gt;0),
Error!$B$54,
IF(AND(_xlpm.baseRow,$E447="Tier 2",COUNTIF(Tables2!$B$166:$B$674,$C447)&gt;0,$D447&lt;24),
Error!$B$54,
IF(AND(_xlpm.baseRow,$E447="Tier 3",ISNA(MATCH($C447,Tables2!$B$153:$B$162,0)),OR($D447&lt;12,$D447&gt;=24)),
Error!$B$9,
IF(AND(_xlpm.baseRow,$E447="Tier 3",COUNTIF(Tables2!$B$153:$B$162,$C447)&gt;0,$D447&lt;12),
Error!$B$46,
IF(AND(_xlpm.baseRow,$E447="Tier 4",OR($D447&lt;6,$D447&gt;=12)),
Error!$B$10,
IF(AND(_xlpm.baseRow,$E447="&lt;6in DSH for Tree Points",OR($D447&gt;=6,$D447="")),
Error!$B$8,
IF(AND(_xlpm.baseRow,$E447="Street Tree for Green Factor",$F447&lt;&gt;"",$F447&lt;&gt;"Retain"),
Error!$B$14,
IF(AND($E447="&lt;6in DSH for Tree Points",$F447="Retain",$H447&lt;&gt;"",ISNA(MATCH($H447,Tables!$B$174:$B$174,0))),
Error!$B$15,
IF(AND($E447="Street Tree for Green Factor",$F447="Retain",$H447&lt;&gt;"",$H447&lt;&gt;"Zoning: Green Factor"),
Error!$B$15,
IF(AND($E447="ECA / Shoreline Tree",$F447="Remove",$H447&lt;&gt;"",ISNA(MATCH($H447,Tables!$B$189:$B$190,0))),
Error!$B$15,
IF(AND($E447="ECA / Shoreline Tree",$F447="Retain",$H447&lt;&gt;"",ISNA(MATCH($H447,Tables!$B$184:$B$186,0))),
Error!$B$15,
IF(AND($E447="Tier 4",$F447="Remove",$H447&lt;&gt;"",ISNA(MATCH($H447,Tables!$B$171,0))),
Error!$B$15,
IF(AND($E447="Tier 4",$F447="Retain",$H447&lt;&gt;"",ISNA(MATCH($H447,Tables!$B$166:$B$168,0))),
Error!$B$15,
IF(AND($E447="Tier 3",$F447="Retain",$H447&lt;&gt;"",ISNA(MATCH($H447,Tables!$B$158:$B$160,0))),
Error!$B$15,
IF(AND($E447="Tier 3",$F447="Remove",$H447&lt;&gt;"",ISNA(MATCH($H447,Tables!$B$163,0))),
Error!$B$15,
IF(AND(OR($E447="Tier 2",$E447="Tier 2 Grove"),$F447="Remove",$H447&lt;&gt;"",ISNA(MATCH($H447,Tables!$B$153:$B$155,0))),
Error!$B$15,
IF(AND(OR($E447="Tier 2",$E447="Tier 2 Grove"),$F447="Retain",$H447&lt;&gt;"",ISNA(MATCH($H447,Tables!$B$147:$B$150,0))),
Error!$B$15,
IF(AND($E447="Tier 1",$F447="Remove",$H447&lt;&gt;"",ISNA(MATCH($H447,Tables!$B$143:$B$144,0))),
Error!$B$15,
IF(AND($E447="Tier 1",$F447="Retain",$H447&lt;&gt;"",ISNA(MATCH($H447,Tables!$B$137:$B$140,0))),
Error!$B$15,
IF(AND($E447&lt;&gt;"Tier 2",$E447&lt;&gt;"Tier 2 Grove",$E447&lt;&gt;"Tier 3",$E447&lt;&gt;"Tier 4",$H447="Zoning: Green Factor",OR($D447="",$D447&lt;6)),
Error!$B$11,
IF(AND(_xlpm.baseRow,$D447&lt;6,$E447="&lt;6in DSH for Tree Points",_xlpm.TreePoints_H=0),
Error!$B$21,
IF(AND(_xlpm.baseRow,$E447&lt;&gt;"",$D447&lt;&gt;"",$F447=""),
Error!$B$4,
IF(AND(_xlpm.baseRow,$F447="Remove",OR($E447="Tier 1",$E447="Tier 2",$E447="Tier 2 Grove"),COUNTBLANK(_xlpm.HRange)&lt;3,_xlpm.uniqueH&gt;=2),
Error!$B$48,
IF(AND(_xlpm.baseRow,$F447="Retain",OR($E447="Tier 1",$E447="Tier 2",$E447="Tier 2 Grove"),COUNTIF(_xlpm.HRange,"Tree Code: Required to Retain Tier 1-2 Tree")=0),
Error!$B$47,
IF(AND(_xlpm.baseRow,$E447&lt;&gt;"",$D447&lt;&gt;"",$F447&lt;&gt;"",COUNTBLANK(_xlpm.HRange)=4),
Error!$B$5,
IF(AND($F447="Remove",$H447&lt;&gt;"",$I447=""),
Error!$B$18,
IF(AND($E447="Tier 4",$F447="Remove",$H447="Tree Protection Code: Tier 3 or Tier 4 Allowance",$H447&lt;&gt;"",ISNA(MATCH($I447,Tables!$B$200,0))),
Error!$B$17,
IF(AND($E447="Tier 3",$F447="Remove",$H447&lt;&gt;"",$H447="Tree Protection Code: Tier 3 or Tier 4 Allowance",OR($I447="",ISNA(MATCH($I447,Tables!$B$193:$B$197,0)))),
Error!$B$17,
IF(AND(OR($E447="Tier 2",$E447="Tier 2 Grove"),$F447="Remove",$H447="Tree Protection Code: Other removal allowance or exemption",$I447&lt;&gt;"",ISNA(MATCH($I447,Tables!$B$215:$B$218,0))),
Error!$B$17,
IF(AND(OR($E447="Tier 2",$E447="Tier 2 Grove"),$F447="Remove",$H447="Tree Protection Code: Development Capacity",$I447&lt;&gt;"",ISNA(MATCH($I447,Tables!$B$193:$B$197,0))),
Error!$B$17,
IF(AND(OR($E447="Tier 2",$E447="Tier 2 Grove"),$F447="Remove",$H447="Tree Protection Code: Necessary for Construction",$I447&lt;&gt;"",ISNA(MATCH($I447,Tables!$B$193:$B$197,0))),
Error!$B$17,
IF(AND($E447="Tier 1",$F447="Remove",$H447="Tree Protection Code: Special Exception",$I447&lt;&gt;"",ISNA(MATCH($I447,Tables!$B$215:$B$218,0))),
Error!$B$17,
IF(AND($E447="Tier 1",$F447="Remove",$H447="Tree Protection Code: Other removal allowance or exemption",$I447&lt;&gt;"",ISNA(MATCH($I447,Tables!$B$215:$B$218,0))),
Error!$B$17,
IF(AND($E447="ECA / Shoreline Tree",$F447="Remove",$H447&lt;&gt;"",OR($H447="Shoreline",$H447="Environmental Critical Area (ECA)"),ISNA(MATCH($I447,Tables!$B$209:$B$212,0))),
Error!$B$17,
IF(AND(_xlpm.baseRow,$F447="Retain",$E447="ECA / Shoreline Tree",_xlpm.ECA_Short=0),
Error!$B$61,
IF(AND($F447="Remove",ISNUMBER(MATCH($E447,{"Tier 1","Tier 2","Tier 3","Tier 4","Tier 2 Grove"},0)),ISNUMBER(MATCH($I447,{"On-site replacement","Off-site replacement"},0)),$J447="",$H447&lt;&gt;""),
Error!$B$19,
IF(AND(_xlpm.baseRow,$E447&lt;&gt;"",$D447&lt;&gt;"",$F447&lt;&gt;"",COUNTBLANK($B447:$C447)&gt;0,COUNTBLANK(_xlpm.HRange)&lt;&gt;4),
Error!$B$22,
IF(AND($H447="Zoning: Tree Points",$K447&lt;&gt;"",ISNA(MATCH($K447,Tables!$B$242:$B$253,0))),
Error!$B$58,
IF(AND($H447="Zoning: Tree Points",$K447="Small",$L447&lt;&gt;"",ISNA(MATCH($L447,Tables!$C$243:$C$244,0))),
Error!$B$59,
IF(AND($H447="Zoning: Tree Points",$K447="Small/Medium",$L447&lt;&gt;"",ISNA(MATCH($L447,Tables!$C$246:$C$247,0))),
Error!$B$59,
IF(AND($H447="Zoning: Tree Points",$K447="Medium/Large",$L447&lt;&gt;"",ISNA(MATCH($L447,Tables!$C$249:$C$250,0))),
Error!$B$59,
IF(AND($H447="Zoning: Tree Points",$K447="Large",$L447&lt;&gt;"",ISNA(MATCH($L447,Tables!$C$252:$C$253,0))),
Error!$B$59,
IF(AND($F447="Retain",$H447="Zoning: Tree Points",$C447&lt;&gt;"",$D447&lt;&gt;"",OR($K447="",$L447="",$M447="")),
Error!$B$20,
""
)))))))))))))))))))))))))))))))))))))))))))))))))))))))),
Error!$B$23))</f>
        <v/>
      </c>
      <c r="O447" s="343" t="str" cm="1">
        <f t="array" aca="1" ref="O447" ca="1">IFERROR(_xlfn.LET(
    _xlpm.txt, $C447,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48" spans="1:15" x14ac:dyDescent="0.3">
      <c r="A448" s="320"/>
      <c r="B448" s="616" t="str">
        <f t="shared" ref="B448:B450" si="508">IF($B447="", "", $B447)</f>
        <v/>
      </c>
      <c r="C448" s="617" t="str">
        <f t="shared" ref="C448:C450" si="509">IF($C447="", "", $C447)</f>
        <v/>
      </c>
      <c r="D448" s="618" t="str">
        <f t="shared" ref="D448:D450" si="510">IF($D447="", "", $D447)</f>
        <v/>
      </c>
      <c r="E448" s="616" t="str">
        <f t="shared" ref="E448:E450" si="511">IF($E447="", "", $E447)</f>
        <v/>
      </c>
      <c r="F448" s="616" t="str">
        <f t="shared" ref="F448:F450" si="512">IF($F447="", "", $F447)</f>
        <v/>
      </c>
      <c r="G448" s="619" t="str">
        <f>IF(Tree_Table1[[#This Row],[Tree Status  &amp;]]="Retain", Tables!$B$237, IF(Tree_Table1[[#This Row],[Tree Status  &amp;]]="Remove", Tables!$B$238, ""))</f>
        <v/>
      </c>
      <c r="H448" s="321"/>
      <c r="I448" s="322"/>
      <c r="J448" s="453"/>
      <c r="K448" s="323" t="str">
        <f>IFERROR(
    IF(
        AND($H448="Zoning: Tree Points", NOT(ISNUMBER(SEARCH("sp.", $C448)))),
        VLOOKUP($C448, 'Tree List'!$C$3:$F$601, 4, FALSE),
        ""
    ),
"")</f>
        <v/>
      </c>
      <c r="L448" s="324" t="str" cm="1">
        <f t="array" ref="L448">IFERROR(
IF(
    AND($H448="Zoning: Tree Points", NOT(ISNUMBER(SEARCH("sp.", $C448)))),
    _xlfn.IFS(
        (COUNTIFS('Tree List'!$C$3:$C$601,$C448,'Tree List'!$D$3:$D$601,"Coniferous")
        + COUNTIFS('Tree List'!$C$3:$C$601,$C448,'Tree List'!$D$3:$D$601,"Deciduous Conifer")) &gt; 0,
            _xlfn.IFS($K448="Small",0.5,$K448="Small/Medium",1,$K448="Medium/Large",1.4,$K448="Large",1.8),
        (COUNTIFS('Tree List'!$C$3:$C$601,$C448,'Tree List'!$D$3:$D$601,"Deciduous")
        + COUNTIFS('Tree List'!$C$3:$C$601,$C448,'Tree List'!$D$3:$D$601,"Broadleaf Evergreen")) &gt; 0,
            _xlfn.IFS($K448="Small",0.4,$K448="Small/Medium",0.8,$K448="Medium/Large",1.2,$K448="Large",1.6)
    ),
    ""
),
"")</f>
        <v/>
      </c>
      <c r="M448" s="475" t="str">
        <f t="shared" si="492"/>
        <v/>
      </c>
      <c r="N448" s="346" t="str" cm="1">
        <f t="array" aca="1" ref="N44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IF(AND(_xlpm.baseRow,ISNA(MATCH($C448,'Tree List'!$C$3:$C$601,0)),SUMPRODUCT(--ISNUMBER(SEARCH(Tables2!$C$677:$C$772,$O448)))&gt;0),
Error!$B$57,
IF(AND(_xlpm.hasDM,$F448="Remove",$H448&lt;&gt;"",OR($I448="On-site replacement",$I448="Off-site replacement",$I448="Payment In Lieu")),
Error!$B$56,
IF(AND(_xlpm.hasDM,$F448="Remove",$H448&lt;&gt;"",$I448="Relocation"),
Error!$B$66,
IF(AND(OR(_xlpm.hasCN,_xlpm.hasPH,_xlpm.hasGR),$H448&lt;&gt;"",COUNTIF(Tables!$B$132:$B$134,$H448)&gt;0,$I448="N/A (No replacement required)"),
Error!$B$62,
IF(AND(_xlpm.baseRow,$E448&lt;&gt;"",ISNA(MATCH($E448,Tables!$B$225:$B$232,0))),
Error!$B$2,
IF(AND(_xlpm.baseRow,$F448&lt;&gt;"",ISNA(MATCH($F448,Tables!$B$234:$B$235,0))),
Error!$B$24,
IF(AND(_xlpm.baseRow,_xlpm.ECA_H&gt;0,_xlpm.Shore_H&gt;0),
Error!$B$16,
IF(AND(_xlpm.baseRow,$E448&lt;&gt;"",$D448=""),
Error!$B$3,
IF(AND(_xlpm.baseRow,OR($E448="Tier 3",$E448="Tier 4"),$C448&lt;&gt;"",$D448&gt;=24,COUNTIF(Tables2!$B$166:$B$674,$C448)&gt;0),
Error!$B$44,
IF(AND(_xlpm.baseRow,OR($E448="Tier 3",$E448="Tier 4"),$C448&lt;&gt;"",$D448&lt;&gt;"",COUNTIF(Tables2!$B$73:$B$152,$C448)&gt;0,
$D448&gt;=IFERROR(INDEX(Tables2!$C$73:$C$152,MATCH($C448,Tables2!$B$73:$B$152,0)),-1)),
Error!$B$44,
IF(AND(_xlpm.baseRow,OR($E448="Tier 2",$E448="Tier 2 Grove"),$C448&lt;&gt;"",$D448&gt;=12,COUNTIF(Tables2!$B$153:$B$162,$C448)&gt;0),
Error!$B$45,
IF(AND(_xlpm.baseRow,$E448="Tier 2 Grove",$D448&lt;12),
Error!$B$41,
IF(AND(_xlpm.baseRow,$E448="Tier 2",$D448&lt;5.88),
Error!$B$40,
IF(AND(_xlpm.baseRow,OR($E448="Tier 2",$E448="Tier 2 Grove"),$C448&lt;&gt;"",$D448&lt;12,$D448&gt;=6,COUNTIF(Tables2!$B$153:$B$162,$C448)&gt;0),
Error!$B$54,
IF(AND(_xlpm.baseRow,$E448="Tier 2",COUNTIF(Tables2!$B$166:$B$674,$C448)&gt;0,$D448&lt;24),
Error!$B$54,
IF(AND(_xlpm.baseRow,$E448="Tier 3",ISNA(MATCH($C448,Tables2!$B$153:$B$162,0)),OR($D448&lt;12,$D448&gt;=24)),
Error!$B$9,
IF(AND(_xlpm.baseRow,$E448="Tier 3",COUNTIF(Tables2!$B$153:$B$162,$C448)&gt;0,$D448&lt;12),
Error!$B$46,
IF(AND(_xlpm.baseRow,$E448="Tier 4",OR($D448&lt;6,$D448&gt;=12)),
Error!$B$10,
IF(AND(_xlpm.baseRow,$E448="&lt;6in DSH for Tree Points",OR($D448&gt;=6,$D448="")),
Error!$B$8,
IF(AND(_xlpm.baseRow,$E448="Street Tree for Green Factor",$F448&lt;&gt;"",$F448&lt;&gt;"Retain"),
Error!$B$14,
IF(AND($E448="&lt;6in DSH for Tree Points",$F448="Retain",$H448&lt;&gt;"",ISNA(MATCH($H448,Tables!$B$174:$B$174,0))),
Error!$B$15,
IF(AND($E448="Street Tree for Green Factor",$F448="Retain",$H448&lt;&gt;"",$H448&lt;&gt;"Zoning: Green Factor"),
Error!$B$15,
IF(AND($E448="ECA / Shoreline Tree",$F448="Remove",$H448&lt;&gt;"",ISNA(MATCH($H448,Tables!$B$189:$B$190,0))),
Error!$B$15,
IF(AND($E448="ECA / Shoreline Tree",$F448="Retain",$H448&lt;&gt;"",ISNA(MATCH($H448,Tables!$B$184:$B$186,0))),
Error!$B$15,
IF(AND($E448="Tier 4",$F448="Remove",$H448&lt;&gt;"",ISNA(MATCH($H448,Tables!$B$171,0))),
Error!$B$15,
IF(AND($E448="Tier 4",$F448="Retain",$H448&lt;&gt;"",ISNA(MATCH($H448,Tables!$B$166:$B$168,0))),
Error!$B$15,
IF(AND($E448="Tier 3",$F448="Retain",$H448&lt;&gt;"",ISNA(MATCH($H448,Tables!$B$158:$B$160,0))),
Error!$B$15,
IF(AND($E448="Tier 3",$F448="Remove",$H448&lt;&gt;"",ISNA(MATCH($H448,Tables!$B$163,0))),
Error!$B$15,
IF(AND(OR($E448="Tier 2",$E448="Tier 2 Grove"),$F448="Remove",$H448&lt;&gt;"",ISNA(MATCH($H448,Tables!$B$153:$B$155,0))),
Error!$B$15,
IF(AND(OR($E448="Tier 2",$E448="Tier 2 Grove"),$F448="Retain",$H448&lt;&gt;"",ISNA(MATCH($H448,Tables!$B$147:$B$150,0))),
Error!$B$15,
IF(AND($E448="Tier 1",$F448="Remove",$H448&lt;&gt;"",ISNA(MATCH($H448,Tables!$B$143:$B$144,0))),
Error!$B$15,
IF(AND($E448="Tier 1",$F448="Retain",$H448&lt;&gt;"",ISNA(MATCH($H448,Tables!$B$137:$B$140,0))),
Error!$B$15,
IF(AND($E448&lt;&gt;"Tier 2",$E448&lt;&gt;"Tier 2 Grove",$E448&lt;&gt;"Tier 3",$E448&lt;&gt;"Tier 4",$H448="Zoning: Green Factor",OR($D448="",$D448&lt;6)),
Error!$B$11,
IF(AND(_xlpm.baseRow,$D448&lt;6,$E448="&lt;6in DSH for Tree Points",_xlpm.TreePoints_H=0),
Error!$B$21,
IF(AND(_xlpm.baseRow,$E448&lt;&gt;"",$D448&lt;&gt;"",$F448=""),
Error!$B$4,
IF(AND(_xlpm.baseRow,$F448="Remove",OR($E448="Tier 1",$E448="Tier 2",$E448="Tier 2 Grove"),COUNTBLANK(_xlpm.HRange)&lt;3,_xlpm.uniqueH&gt;=2),
Error!$B$48,
IF(AND(_xlpm.baseRow,$F448="Retain",OR($E448="Tier 1",$E448="Tier 2",$E448="Tier 2 Grove"),COUNTIF(_xlpm.HRange,"Tree Code: Required to Retain Tier 1-2 Tree")=0),
Error!$B$47,
IF(AND(_xlpm.baseRow,$E448&lt;&gt;"",$D448&lt;&gt;"",$F448&lt;&gt;"",COUNTBLANK(_xlpm.HRange)=4),
Error!$B$5,
IF(AND($F448="Remove",$H448&lt;&gt;"",$I448=""),
Error!$B$18,
IF(AND($E448="Tier 4",$F448="Remove",$H448="Tree Protection Code: Tier 3 or Tier 4 Allowance",$H448&lt;&gt;"",ISNA(MATCH($I448,Tables!$B$200,0))),
Error!$B$17,
IF(AND($E448="Tier 3",$F448="Remove",$H448&lt;&gt;"",$H448="Tree Protection Code: Tier 3 or Tier 4 Allowance",OR($I448="",ISNA(MATCH($I448,Tables!$B$193:$B$197,0)))),
Error!$B$17,
IF(AND(OR($E448="Tier 2",$E448="Tier 2 Grove"),$F448="Remove",$H448="Tree Protection Code: Other removal allowance or exemption",$I448&lt;&gt;"",ISNA(MATCH($I448,Tables!$B$215:$B$218,0))),
Error!$B$17,
IF(AND(OR($E448="Tier 2",$E448="Tier 2 Grove"),$F448="Remove",$H448="Tree Protection Code: Development Capacity",$I448&lt;&gt;"",ISNA(MATCH($I448,Tables!$B$193:$B$197,0))),
Error!$B$17,
IF(AND(OR($E448="Tier 2",$E448="Tier 2 Grove"),$F448="Remove",$H448="Tree Protection Code: Necessary for Construction",$I448&lt;&gt;"",ISNA(MATCH($I448,Tables!$B$193:$B$197,0))),
Error!$B$17,
IF(AND($E448="Tier 1",$F448="Remove",$H448="Tree Protection Code: Special Exception",$I448&lt;&gt;"",ISNA(MATCH($I448,Tables!$B$215:$B$218,0))),
Error!$B$17,
IF(AND($E448="Tier 1",$F448="Remove",$H448="Tree Protection Code: Other removal allowance or exemption",$I448&lt;&gt;"",ISNA(MATCH($I448,Tables!$B$215:$B$218,0))),
Error!$B$17,
IF(AND($E448="ECA / Shoreline Tree",$F448="Remove",$H448&lt;&gt;"",OR($H448="Shoreline",$H448="Environmental Critical Area (ECA)"),ISNA(MATCH($I448,Tables!$B$209:$B$212,0))),
Error!$B$17,
IF(AND(_xlpm.baseRow,$F448="Retain",$E448="ECA / Shoreline Tree",_xlpm.ECA_Short=0),
Error!$B$61,
IF(AND($F448="Remove",ISNUMBER(MATCH($E448,{"Tier 1","Tier 2","Tier 3","Tier 4","Tier 2 Grove"},0)),ISNUMBER(MATCH($I448,{"On-site replacement","Off-site replacement"},0)),$J448="",$H448&lt;&gt;""),
Error!$B$19,
IF(AND(_xlpm.baseRow,$E448&lt;&gt;"",$D448&lt;&gt;"",$F448&lt;&gt;"",COUNTBLANK($B448:$C448)&gt;0,COUNTBLANK(_xlpm.HRange)&lt;&gt;4),
Error!$B$22,
IF(AND($H448="Zoning: Tree Points",$K448&lt;&gt;"",ISNA(MATCH($K448,Tables!$B$242:$B$253,0))),
Error!$B$58,
IF(AND($H448="Zoning: Tree Points",$K448="Small",$L448&lt;&gt;"",ISNA(MATCH($L448,Tables!$C$243:$C$244,0))),
Error!$B$59,
IF(AND($H448="Zoning: Tree Points",$K448="Small/Medium",$L448&lt;&gt;"",ISNA(MATCH($L448,Tables!$C$246:$C$247,0))),
Error!$B$59,
IF(AND($H448="Zoning: Tree Points",$K448="Medium/Large",$L448&lt;&gt;"",ISNA(MATCH($L448,Tables!$C$249:$C$250,0))),
Error!$B$59,
IF(AND($H448="Zoning: Tree Points",$K448="Large",$L448&lt;&gt;"",ISNA(MATCH($L448,Tables!$C$252:$C$253,0))),
Error!$B$59,
IF(AND($F448="Retain",$H448="Zoning: Tree Points",$C448&lt;&gt;"",$D448&lt;&gt;"",OR($K448="",$L448="",$M448="")),
Error!$B$20,
""
)))))))))))))))))))))))))))))))))))))))))))))))))))))))),
Error!$B$23))</f>
        <v/>
      </c>
      <c r="O448" s="343" t="str" cm="1">
        <f t="array" aca="1" ref="O448" ca="1">IFERROR(_xlfn.LET(
    _xlpm.txt, $C448,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49" spans="1:15" x14ac:dyDescent="0.3">
      <c r="A449" s="320"/>
      <c r="B449" s="616" t="str">
        <f t="shared" si="508"/>
        <v/>
      </c>
      <c r="C449" s="617" t="str">
        <f t="shared" si="509"/>
        <v/>
      </c>
      <c r="D449" s="618" t="str">
        <f t="shared" si="510"/>
        <v/>
      </c>
      <c r="E449" s="616" t="str">
        <f t="shared" si="511"/>
        <v/>
      </c>
      <c r="F449" s="616" t="str">
        <f t="shared" si="512"/>
        <v/>
      </c>
      <c r="G449" s="619" t="str">
        <f>IF(Tree_Table1[[#This Row],[Tree Status  &amp;]]="Retain", Tables!$B$237, IF(Tree_Table1[[#This Row],[Tree Status  &amp;]]="Remove", Tables!$B$238, ""))</f>
        <v/>
      </c>
      <c r="H449" s="321"/>
      <c r="I449" s="322"/>
      <c r="J449" s="453"/>
      <c r="K449" s="323" t="str">
        <f>IFERROR(
    IF(
        AND($H449="Zoning: Tree Points", NOT(ISNUMBER(SEARCH("sp.", $C449)))),
        VLOOKUP($C449, 'Tree List'!$C$3:$F$601, 4, FALSE),
        ""
    ),
"")</f>
        <v/>
      </c>
      <c r="L449" s="324" t="str" cm="1">
        <f t="array" ref="L449">IFERROR(
IF(
    AND($H449="Zoning: Tree Points", NOT(ISNUMBER(SEARCH("sp.", $C449)))),
    _xlfn.IFS(
        (COUNTIFS('Tree List'!$C$3:$C$601,$C449,'Tree List'!$D$3:$D$601,"Coniferous")
        + COUNTIFS('Tree List'!$C$3:$C$601,$C449,'Tree List'!$D$3:$D$601,"Deciduous Conifer")) &gt; 0,
            _xlfn.IFS($K449="Small",0.5,$K449="Small/Medium",1,$K449="Medium/Large",1.4,$K449="Large",1.8),
        (COUNTIFS('Tree List'!$C$3:$C$601,$C449,'Tree List'!$D$3:$D$601,"Deciduous")
        + COUNTIFS('Tree List'!$C$3:$C$601,$C449,'Tree List'!$D$3:$D$601,"Broadleaf Evergreen")) &gt; 0,
            _xlfn.IFS($K449="Small",0.4,$K449="Small/Medium",0.8,$K449="Medium/Large",1.2,$K449="Large",1.6)
    ),
    ""
),
"")</f>
        <v/>
      </c>
      <c r="M449" s="475" t="str">
        <f t="shared" si="492"/>
        <v/>
      </c>
      <c r="N449" s="346" t="str" cm="1">
        <f t="array" aca="1" ref="N44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IF(AND(_xlpm.baseRow,ISNA(MATCH($C449,'Tree List'!$C$3:$C$601,0)),SUMPRODUCT(--ISNUMBER(SEARCH(Tables2!$C$677:$C$772,$O449)))&gt;0),
Error!$B$57,
IF(AND(_xlpm.hasDM,$F449="Remove",$H449&lt;&gt;"",OR($I449="On-site replacement",$I449="Off-site replacement",$I449="Payment In Lieu")),
Error!$B$56,
IF(AND(_xlpm.hasDM,$F449="Remove",$H449&lt;&gt;"",$I449="Relocation"),
Error!$B$66,
IF(AND(OR(_xlpm.hasCN,_xlpm.hasPH,_xlpm.hasGR),$H449&lt;&gt;"",COUNTIF(Tables!$B$132:$B$134,$H449)&gt;0,$I449="N/A (No replacement required)"),
Error!$B$62,
IF(AND(_xlpm.baseRow,$E449&lt;&gt;"",ISNA(MATCH($E449,Tables!$B$225:$B$232,0))),
Error!$B$2,
IF(AND(_xlpm.baseRow,$F449&lt;&gt;"",ISNA(MATCH($F449,Tables!$B$234:$B$235,0))),
Error!$B$24,
IF(AND(_xlpm.baseRow,_xlpm.ECA_H&gt;0,_xlpm.Shore_H&gt;0),
Error!$B$16,
IF(AND(_xlpm.baseRow,$E449&lt;&gt;"",$D449=""),
Error!$B$3,
IF(AND(_xlpm.baseRow,OR($E449="Tier 3",$E449="Tier 4"),$C449&lt;&gt;"",$D449&gt;=24,COUNTIF(Tables2!$B$166:$B$674,$C449)&gt;0),
Error!$B$44,
IF(AND(_xlpm.baseRow,OR($E449="Tier 3",$E449="Tier 4"),$C449&lt;&gt;"",$D449&lt;&gt;"",COUNTIF(Tables2!$B$73:$B$152,$C449)&gt;0,
$D449&gt;=IFERROR(INDEX(Tables2!$C$73:$C$152,MATCH($C449,Tables2!$B$73:$B$152,0)),-1)),
Error!$B$44,
IF(AND(_xlpm.baseRow,OR($E449="Tier 2",$E449="Tier 2 Grove"),$C449&lt;&gt;"",$D449&gt;=12,COUNTIF(Tables2!$B$153:$B$162,$C449)&gt;0),
Error!$B$45,
IF(AND(_xlpm.baseRow,$E449="Tier 2 Grove",$D449&lt;12),
Error!$B$41,
IF(AND(_xlpm.baseRow,$E449="Tier 2",$D449&lt;5.88),
Error!$B$40,
IF(AND(_xlpm.baseRow,OR($E449="Tier 2",$E449="Tier 2 Grove"),$C449&lt;&gt;"",$D449&lt;12,$D449&gt;=6,COUNTIF(Tables2!$B$153:$B$162,$C449)&gt;0),
Error!$B$54,
IF(AND(_xlpm.baseRow,$E449="Tier 2",COUNTIF(Tables2!$B$166:$B$674,$C449)&gt;0,$D449&lt;24),
Error!$B$54,
IF(AND(_xlpm.baseRow,$E449="Tier 3",ISNA(MATCH($C449,Tables2!$B$153:$B$162,0)),OR($D449&lt;12,$D449&gt;=24)),
Error!$B$9,
IF(AND(_xlpm.baseRow,$E449="Tier 3",COUNTIF(Tables2!$B$153:$B$162,$C449)&gt;0,$D449&lt;12),
Error!$B$46,
IF(AND(_xlpm.baseRow,$E449="Tier 4",OR($D449&lt;6,$D449&gt;=12)),
Error!$B$10,
IF(AND(_xlpm.baseRow,$E449="&lt;6in DSH for Tree Points",OR($D449&gt;=6,$D449="")),
Error!$B$8,
IF(AND(_xlpm.baseRow,$E449="Street Tree for Green Factor",$F449&lt;&gt;"",$F449&lt;&gt;"Retain"),
Error!$B$14,
IF(AND($E449="&lt;6in DSH for Tree Points",$F449="Retain",$H449&lt;&gt;"",ISNA(MATCH($H449,Tables!$B$174:$B$174,0))),
Error!$B$15,
IF(AND($E449="Street Tree for Green Factor",$F449="Retain",$H449&lt;&gt;"",$H449&lt;&gt;"Zoning: Green Factor"),
Error!$B$15,
IF(AND($E449="ECA / Shoreline Tree",$F449="Remove",$H449&lt;&gt;"",ISNA(MATCH($H449,Tables!$B$189:$B$190,0))),
Error!$B$15,
IF(AND($E449="ECA / Shoreline Tree",$F449="Retain",$H449&lt;&gt;"",ISNA(MATCH($H449,Tables!$B$184:$B$186,0))),
Error!$B$15,
IF(AND($E449="Tier 4",$F449="Remove",$H449&lt;&gt;"",ISNA(MATCH($H449,Tables!$B$171,0))),
Error!$B$15,
IF(AND($E449="Tier 4",$F449="Retain",$H449&lt;&gt;"",ISNA(MATCH($H449,Tables!$B$166:$B$168,0))),
Error!$B$15,
IF(AND($E449="Tier 3",$F449="Retain",$H449&lt;&gt;"",ISNA(MATCH($H449,Tables!$B$158:$B$160,0))),
Error!$B$15,
IF(AND($E449="Tier 3",$F449="Remove",$H449&lt;&gt;"",ISNA(MATCH($H449,Tables!$B$163,0))),
Error!$B$15,
IF(AND(OR($E449="Tier 2",$E449="Tier 2 Grove"),$F449="Remove",$H449&lt;&gt;"",ISNA(MATCH($H449,Tables!$B$153:$B$155,0))),
Error!$B$15,
IF(AND(OR($E449="Tier 2",$E449="Tier 2 Grove"),$F449="Retain",$H449&lt;&gt;"",ISNA(MATCH($H449,Tables!$B$147:$B$150,0))),
Error!$B$15,
IF(AND($E449="Tier 1",$F449="Remove",$H449&lt;&gt;"",ISNA(MATCH($H449,Tables!$B$143:$B$144,0))),
Error!$B$15,
IF(AND($E449="Tier 1",$F449="Retain",$H449&lt;&gt;"",ISNA(MATCH($H449,Tables!$B$137:$B$140,0))),
Error!$B$15,
IF(AND($E449&lt;&gt;"Tier 2",$E449&lt;&gt;"Tier 2 Grove",$E449&lt;&gt;"Tier 3",$E449&lt;&gt;"Tier 4",$H449="Zoning: Green Factor",OR($D449="",$D449&lt;6)),
Error!$B$11,
IF(AND(_xlpm.baseRow,$D449&lt;6,$E449="&lt;6in DSH for Tree Points",_xlpm.TreePoints_H=0),
Error!$B$21,
IF(AND(_xlpm.baseRow,$E449&lt;&gt;"",$D449&lt;&gt;"",$F449=""),
Error!$B$4,
IF(AND(_xlpm.baseRow,$F449="Remove",OR($E449="Tier 1",$E449="Tier 2",$E449="Tier 2 Grove"),COUNTBLANK(_xlpm.HRange)&lt;3,_xlpm.uniqueH&gt;=2),
Error!$B$48,
IF(AND(_xlpm.baseRow,$F449="Retain",OR($E449="Tier 1",$E449="Tier 2",$E449="Tier 2 Grove"),COUNTIF(_xlpm.HRange,"Tree Code: Required to Retain Tier 1-2 Tree")=0),
Error!$B$47,
IF(AND(_xlpm.baseRow,$E449&lt;&gt;"",$D449&lt;&gt;"",$F449&lt;&gt;"",COUNTBLANK(_xlpm.HRange)=4),
Error!$B$5,
IF(AND($F449="Remove",$H449&lt;&gt;"",$I449=""),
Error!$B$18,
IF(AND($E449="Tier 4",$F449="Remove",$H449="Tree Protection Code: Tier 3 or Tier 4 Allowance",$H449&lt;&gt;"",ISNA(MATCH($I449,Tables!$B$200,0))),
Error!$B$17,
IF(AND($E449="Tier 3",$F449="Remove",$H449&lt;&gt;"",$H449="Tree Protection Code: Tier 3 or Tier 4 Allowance",OR($I449="",ISNA(MATCH($I449,Tables!$B$193:$B$197,0)))),
Error!$B$17,
IF(AND(OR($E449="Tier 2",$E449="Tier 2 Grove"),$F449="Remove",$H449="Tree Protection Code: Other removal allowance or exemption",$I449&lt;&gt;"",ISNA(MATCH($I449,Tables!$B$215:$B$218,0))),
Error!$B$17,
IF(AND(OR($E449="Tier 2",$E449="Tier 2 Grove"),$F449="Remove",$H449="Tree Protection Code: Development Capacity",$I449&lt;&gt;"",ISNA(MATCH($I449,Tables!$B$193:$B$197,0))),
Error!$B$17,
IF(AND(OR($E449="Tier 2",$E449="Tier 2 Grove"),$F449="Remove",$H449="Tree Protection Code: Necessary for Construction",$I449&lt;&gt;"",ISNA(MATCH($I449,Tables!$B$193:$B$197,0))),
Error!$B$17,
IF(AND($E449="Tier 1",$F449="Remove",$H449="Tree Protection Code: Special Exception",$I449&lt;&gt;"",ISNA(MATCH($I449,Tables!$B$215:$B$218,0))),
Error!$B$17,
IF(AND($E449="Tier 1",$F449="Remove",$H449="Tree Protection Code: Other removal allowance or exemption",$I449&lt;&gt;"",ISNA(MATCH($I449,Tables!$B$215:$B$218,0))),
Error!$B$17,
IF(AND($E449="ECA / Shoreline Tree",$F449="Remove",$H449&lt;&gt;"",OR($H449="Shoreline",$H449="Environmental Critical Area (ECA)"),ISNA(MATCH($I449,Tables!$B$209:$B$212,0))),
Error!$B$17,
IF(AND(_xlpm.baseRow,$F449="Retain",$E449="ECA / Shoreline Tree",_xlpm.ECA_Short=0),
Error!$B$61,
IF(AND($F449="Remove",ISNUMBER(MATCH($E449,{"Tier 1","Tier 2","Tier 3","Tier 4","Tier 2 Grove"},0)),ISNUMBER(MATCH($I449,{"On-site replacement","Off-site replacement"},0)),$J449="",$H449&lt;&gt;""),
Error!$B$19,
IF(AND(_xlpm.baseRow,$E449&lt;&gt;"",$D449&lt;&gt;"",$F449&lt;&gt;"",COUNTBLANK($B449:$C449)&gt;0,COUNTBLANK(_xlpm.HRange)&lt;&gt;4),
Error!$B$22,
IF(AND($H449="Zoning: Tree Points",$K449&lt;&gt;"",ISNA(MATCH($K449,Tables!$B$242:$B$253,0))),
Error!$B$58,
IF(AND($H449="Zoning: Tree Points",$K449="Small",$L449&lt;&gt;"",ISNA(MATCH($L449,Tables!$C$243:$C$244,0))),
Error!$B$59,
IF(AND($H449="Zoning: Tree Points",$K449="Small/Medium",$L449&lt;&gt;"",ISNA(MATCH($L449,Tables!$C$246:$C$247,0))),
Error!$B$59,
IF(AND($H449="Zoning: Tree Points",$K449="Medium/Large",$L449&lt;&gt;"",ISNA(MATCH($L449,Tables!$C$249:$C$250,0))),
Error!$B$59,
IF(AND($H449="Zoning: Tree Points",$K449="Large",$L449&lt;&gt;"",ISNA(MATCH($L449,Tables!$C$252:$C$253,0))),
Error!$B$59,
IF(AND($F449="Retain",$H449="Zoning: Tree Points",$C449&lt;&gt;"",$D449&lt;&gt;"",OR($K449="",$L449="",$M449="")),
Error!$B$20,
""
)))))))))))))))))))))))))))))))))))))))))))))))))))))))),
Error!$B$23))</f>
        <v/>
      </c>
      <c r="O449" s="343" t="str" cm="1">
        <f t="array" aca="1" ref="O449" ca="1">IFERROR(_xlfn.LET(
    _xlpm.txt, $C449,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50" spans="1:15" ht="15" thickBot="1" x14ac:dyDescent="0.35">
      <c r="A450" s="331"/>
      <c r="B450" s="616" t="str">
        <f t="shared" si="508"/>
        <v/>
      </c>
      <c r="C450" s="617" t="str">
        <f t="shared" si="509"/>
        <v/>
      </c>
      <c r="D450" s="618" t="str">
        <f t="shared" si="510"/>
        <v/>
      </c>
      <c r="E450" s="616" t="str">
        <f t="shared" si="511"/>
        <v/>
      </c>
      <c r="F450" s="616" t="str">
        <f t="shared" si="512"/>
        <v/>
      </c>
      <c r="G450" s="619" t="str">
        <f>IF(Tree_Table1[[#This Row],[Tree Status  &amp;]]="Retain", Tables!$B$237, IF(Tree_Table1[[#This Row],[Tree Status  &amp;]]="Remove", Tables!$B$238, ""))</f>
        <v/>
      </c>
      <c r="H450" s="329"/>
      <c r="I450" s="330"/>
      <c r="J450" s="455"/>
      <c r="K450" s="327" t="str">
        <f>IFERROR(
    IF(
        AND($H450="Zoning: Tree Points", NOT(ISNUMBER(SEARCH("sp.", $C450)))),
        VLOOKUP($C450, 'Tree List'!$C$3:$F$601, 4, FALSE),
        ""
    ),
"")</f>
        <v/>
      </c>
      <c r="L450" s="328" t="str" cm="1">
        <f t="array" ref="L450">IFERROR(
IF(
    AND($H450="Zoning: Tree Points", NOT(ISNUMBER(SEARCH("sp.", $C450)))),
    _xlfn.IFS(
        (COUNTIFS('Tree List'!$C$3:$C$601,$C450,'Tree List'!$D$3:$D$601,"Coniferous")
        + COUNTIFS('Tree List'!$C$3:$C$601,$C450,'Tree List'!$D$3:$D$601,"Deciduous Conifer")) &gt; 0,
            _xlfn.IFS($K450="Small",0.5,$K450="Small/Medium",1,$K450="Medium/Large",1.4,$K450="Large",1.8),
        (COUNTIFS('Tree List'!$C$3:$C$601,$C450,'Tree List'!$D$3:$D$601,"Deciduous")
        + COUNTIFS('Tree List'!$C$3:$C$601,$C450,'Tree List'!$D$3:$D$601,"Broadleaf Evergreen")) &gt; 0,
            _xlfn.IFS($K450="Small",0.4,$K450="Small/Medium",0.8,$K450="Medium/Large",1.2,$K450="Large",1.6)
    ),
    ""
),
"")</f>
        <v/>
      </c>
      <c r="M450" s="476" t="str">
        <f t="shared" si="492"/>
        <v/>
      </c>
      <c r="N450" s="347" t="str" cm="1">
        <f t="array" aca="1" ref="N45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IF(AND(_xlpm.baseRow,ISNA(MATCH($C450,'Tree List'!$C$3:$C$601,0)),SUMPRODUCT(--ISNUMBER(SEARCH(Tables2!$C$677:$C$772,$O450)))&gt;0),
Error!$B$57,
IF(AND(_xlpm.hasDM,$F450="Remove",$H450&lt;&gt;"",OR($I450="On-site replacement",$I450="Off-site replacement",$I450="Payment In Lieu")),
Error!$B$56,
IF(AND(_xlpm.hasDM,$F450="Remove",$H450&lt;&gt;"",$I450="Relocation"),
Error!$B$66,
IF(AND(OR(_xlpm.hasCN,_xlpm.hasPH,_xlpm.hasGR),$H450&lt;&gt;"",COUNTIF(Tables!$B$132:$B$134,$H450)&gt;0,$I450="N/A (No replacement required)"),
Error!$B$62,
IF(AND(_xlpm.baseRow,$E450&lt;&gt;"",ISNA(MATCH($E450,Tables!$B$225:$B$232,0))),
Error!$B$2,
IF(AND(_xlpm.baseRow,$F450&lt;&gt;"",ISNA(MATCH($F450,Tables!$B$234:$B$235,0))),
Error!$B$24,
IF(AND(_xlpm.baseRow,_xlpm.ECA_H&gt;0,_xlpm.Shore_H&gt;0),
Error!$B$16,
IF(AND(_xlpm.baseRow,$E450&lt;&gt;"",$D450=""),
Error!$B$3,
IF(AND(_xlpm.baseRow,OR($E450="Tier 3",$E450="Tier 4"),$C450&lt;&gt;"",$D450&gt;=24,COUNTIF(Tables2!$B$166:$B$674,$C450)&gt;0),
Error!$B$44,
IF(AND(_xlpm.baseRow,OR($E450="Tier 3",$E450="Tier 4"),$C450&lt;&gt;"",$D450&lt;&gt;"",COUNTIF(Tables2!$B$73:$B$152,$C450)&gt;0,
$D450&gt;=IFERROR(INDEX(Tables2!$C$73:$C$152,MATCH($C450,Tables2!$B$73:$B$152,0)),-1)),
Error!$B$44,
IF(AND(_xlpm.baseRow,OR($E450="Tier 2",$E450="Tier 2 Grove"),$C450&lt;&gt;"",$D450&gt;=12,COUNTIF(Tables2!$B$153:$B$162,$C450)&gt;0),
Error!$B$45,
IF(AND(_xlpm.baseRow,$E450="Tier 2 Grove",$D450&lt;12),
Error!$B$41,
IF(AND(_xlpm.baseRow,$E450="Tier 2",$D450&lt;5.88),
Error!$B$40,
IF(AND(_xlpm.baseRow,OR($E450="Tier 2",$E450="Tier 2 Grove"),$C450&lt;&gt;"",$D450&lt;12,$D450&gt;=6,COUNTIF(Tables2!$B$153:$B$162,$C450)&gt;0),
Error!$B$54,
IF(AND(_xlpm.baseRow,$E450="Tier 2",COUNTIF(Tables2!$B$166:$B$674,$C450)&gt;0,$D450&lt;24),
Error!$B$54,
IF(AND(_xlpm.baseRow,$E450="Tier 3",ISNA(MATCH($C450,Tables2!$B$153:$B$162,0)),OR($D450&lt;12,$D450&gt;=24)),
Error!$B$9,
IF(AND(_xlpm.baseRow,$E450="Tier 3",COUNTIF(Tables2!$B$153:$B$162,$C450)&gt;0,$D450&lt;12),
Error!$B$46,
IF(AND(_xlpm.baseRow,$E450="Tier 4",OR($D450&lt;6,$D450&gt;=12)),
Error!$B$10,
IF(AND(_xlpm.baseRow,$E450="&lt;6in DSH for Tree Points",OR($D450&gt;=6,$D450="")),
Error!$B$8,
IF(AND(_xlpm.baseRow,$E450="Street Tree for Green Factor",$F450&lt;&gt;"",$F450&lt;&gt;"Retain"),
Error!$B$14,
IF(AND($E450="&lt;6in DSH for Tree Points",$F450="Retain",$H450&lt;&gt;"",ISNA(MATCH($H450,Tables!$B$174:$B$174,0))),
Error!$B$15,
IF(AND($E450="Street Tree for Green Factor",$F450="Retain",$H450&lt;&gt;"",$H450&lt;&gt;"Zoning: Green Factor"),
Error!$B$15,
IF(AND($E450="ECA / Shoreline Tree",$F450="Remove",$H450&lt;&gt;"",ISNA(MATCH($H450,Tables!$B$189:$B$190,0))),
Error!$B$15,
IF(AND($E450="ECA / Shoreline Tree",$F450="Retain",$H450&lt;&gt;"",ISNA(MATCH($H450,Tables!$B$184:$B$186,0))),
Error!$B$15,
IF(AND($E450="Tier 4",$F450="Remove",$H450&lt;&gt;"",ISNA(MATCH($H450,Tables!$B$171,0))),
Error!$B$15,
IF(AND($E450="Tier 4",$F450="Retain",$H450&lt;&gt;"",ISNA(MATCH($H450,Tables!$B$166:$B$168,0))),
Error!$B$15,
IF(AND($E450="Tier 3",$F450="Retain",$H450&lt;&gt;"",ISNA(MATCH($H450,Tables!$B$158:$B$160,0))),
Error!$B$15,
IF(AND($E450="Tier 3",$F450="Remove",$H450&lt;&gt;"",ISNA(MATCH($H450,Tables!$B$163,0))),
Error!$B$15,
IF(AND(OR($E450="Tier 2",$E450="Tier 2 Grove"),$F450="Remove",$H450&lt;&gt;"",ISNA(MATCH($H450,Tables!$B$153:$B$155,0))),
Error!$B$15,
IF(AND(OR($E450="Tier 2",$E450="Tier 2 Grove"),$F450="Retain",$H450&lt;&gt;"",ISNA(MATCH($H450,Tables!$B$147:$B$150,0))),
Error!$B$15,
IF(AND($E450="Tier 1",$F450="Remove",$H450&lt;&gt;"",ISNA(MATCH($H450,Tables!$B$143:$B$144,0))),
Error!$B$15,
IF(AND($E450="Tier 1",$F450="Retain",$H450&lt;&gt;"",ISNA(MATCH($H450,Tables!$B$137:$B$140,0))),
Error!$B$15,
IF(AND($E450&lt;&gt;"Tier 2",$E450&lt;&gt;"Tier 2 Grove",$E450&lt;&gt;"Tier 3",$E450&lt;&gt;"Tier 4",$H450="Zoning: Green Factor",OR($D450="",$D450&lt;6)),
Error!$B$11,
IF(AND(_xlpm.baseRow,$D450&lt;6,$E450="&lt;6in DSH for Tree Points",_xlpm.TreePoints_H=0),
Error!$B$21,
IF(AND(_xlpm.baseRow,$E450&lt;&gt;"",$D450&lt;&gt;"",$F450=""),
Error!$B$4,
IF(AND(_xlpm.baseRow,$F450="Remove",OR($E450="Tier 1",$E450="Tier 2",$E450="Tier 2 Grove"),COUNTBLANK(_xlpm.HRange)&lt;3,_xlpm.uniqueH&gt;=2),
Error!$B$48,
IF(AND(_xlpm.baseRow,$F450="Retain",OR($E450="Tier 1",$E450="Tier 2",$E450="Tier 2 Grove"),COUNTIF(_xlpm.HRange,"Tree Code: Required to Retain Tier 1-2 Tree")=0),
Error!$B$47,
IF(AND(_xlpm.baseRow,$E450&lt;&gt;"",$D450&lt;&gt;"",$F450&lt;&gt;"",COUNTBLANK(_xlpm.HRange)=4),
Error!$B$5,
IF(AND($F450="Remove",$H450&lt;&gt;"",$I450=""),
Error!$B$18,
IF(AND($E450="Tier 4",$F450="Remove",$H450="Tree Protection Code: Tier 3 or Tier 4 Allowance",$H450&lt;&gt;"",ISNA(MATCH($I450,Tables!$B$200,0))),
Error!$B$17,
IF(AND($E450="Tier 3",$F450="Remove",$H450&lt;&gt;"",$H450="Tree Protection Code: Tier 3 or Tier 4 Allowance",OR($I450="",ISNA(MATCH($I450,Tables!$B$193:$B$197,0)))),
Error!$B$17,
IF(AND(OR($E450="Tier 2",$E450="Tier 2 Grove"),$F450="Remove",$H450="Tree Protection Code: Other removal allowance or exemption",$I450&lt;&gt;"",ISNA(MATCH($I450,Tables!$B$215:$B$218,0))),
Error!$B$17,
IF(AND(OR($E450="Tier 2",$E450="Tier 2 Grove"),$F450="Remove",$H450="Tree Protection Code: Development Capacity",$I450&lt;&gt;"",ISNA(MATCH($I450,Tables!$B$193:$B$197,0))),
Error!$B$17,
IF(AND(OR($E450="Tier 2",$E450="Tier 2 Grove"),$F450="Remove",$H450="Tree Protection Code: Necessary for Construction",$I450&lt;&gt;"",ISNA(MATCH($I450,Tables!$B$193:$B$197,0))),
Error!$B$17,
IF(AND($E450="Tier 1",$F450="Remove",$H450="Tree Protection Code: Special Exception",$I450&lt;&gt;"",ISNA(MATCH($I450,Tables!$B$215:$B$218,0))),
Error!$B$17,
IF(AND($E450="Tier 1",$F450="Remove",$H450="Tree Protection Code: Other removal allowance or exemption",$I450&lt;&gt;"",ISNA(MATCH($I450,Tables!$B$215:$B$218,0))),
Error!$B$17,
IF(AND($E450="ECA / Shoreline Tree",$F450="Remove",$H450&lt;&gt;"",OR($H450="Shoreline",$H450="Environmental Critical Area (ECA)"),ISNA(MATCH($I450,Tables!$B$209:$B$212,0))),
Error!$B$17,
IF(AND(_xlpm.baseRow,$F450="Retain",$E450="ECA / Shoreline Tree",_xlpm.ECA_Short=0),
Error!$B$61,
IF(AND($F450="Remove",ISNUMBER(MATCH($E450,{"Tier 1","Tier 2","Tier 3","Tier 4","Tier 2 Grove"},0)),ISNUMBER(MATCH($I450,{"On-site replacement","Off-site replacement"},0)),$J450="",$H450&lt;&gt;""),
Error!$B$19,
IF(AND(_xlpm.baseRow,$E450&lt;&gt;"",$D450&lt;&gt;"",$F450&lt;&gt;"",COUNTBLANK($B450:$C450)&gt;0,COUNTBLANK(_xlpm.HRange)&lt;&gt;4),
Error!$B$22,
IF(AND($H450="Zoning: Tree Points",$K450&lt;&gt;"",ISNA(MATCH($K450,Tables!$B$242:$B$253,0))),
Error!$B$58,
IF(AND($H450="Zoning: Tree Points",$K450="Small",$L450&lt;&gt;"",ISNA(MATCH($L450,Tables!$C$243:$C$244,0))),
Error!$B$59,
IF(AND($H450="Zoning: Tree Points",$K450="Small/Medium",$L450&lt;&gt;"",ISNA(MATCH($L450,Tables!$C$246:$C$247,0))),
Error!$B$59,
IF(AND($H450="Zoning: Tree Points",$K450="Medium/Large",$L450&lt;&gt;"",ISNA(MATCH($L450,Tables!$C$249:$C$250,0))),
Error!$B$59,
IF(AND($H450="Zoning: Tree Points",$K450="Large",$L450&lt;&gt;"",ISNA(MATCH($L450,Tables!$C$252:$C$253,0))),
Error!$B$59,
IF(AND($F450="Retain",$H450="Zoning: Tree Points",$C450&lt;&gt;"",$D450&lt;&gt;"",OR($K450="",$L450="",$M450="")),
Error!$B$20,
""
)))))))))))))))))))))))))))))))))))))))))))))))))))))))),
Error!$B$23))</f>
        <v/>
      </c>
      <c r="O450" s="343" t="str" cm="1">
        <f t="array" aca="1" ref="O450" ca="1">IFERROR(_xlfn.LET(
    _xlpm.txt, $C450,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51" spans="1:15" ht="15" thickBot="1" x14ac:dyDescent="0.35">
      <c r="A451" s="311">
        <v>111</v>
      </c>
      <c r="B451" s="312"/>
      <c r="C451" s="313"/>
      <c r="D451" s="478"/>
      <c r="E451" s="314"/>
      <c r="F451" s="314"/>
      <c r="G451" s="315" t="str">
        <f>IF(Tree_Table1[[#This Row],[Tree Status  &amp;]]="Retain", Tables!$B$237, IF(Tree_Table1[[#This Row],[Tree Status  &amp;]]="Remove", Tables!$B$238, ""))</f>
        <v/>
      </c>
      <c r="H451" s="316"/>
      <c r="I451" s="317"/>
      <c r="J451" s="452"/>
      <c r="K451" s="318" t="str">
        <f>IFERROR(
    IF(
        AND($H451="Zoning: Tree Points", NOT(ISNUMBER(SEARCH("sp.", $C451)))),
        VLOOKUP($C451, 'Tree List'!$C$3:$F$601, 4, FALSE),
        ""
    ),
"")</f>
        <v/>
      </c>
      <c r="L451" s="319" t="str" cm="1">
        <f t="array" ref="L451">IFERROR(
IF(
    AND($H451="Zoning: Tree Points", NOT(ISNUMBER(SEARCH("sp.", $C451)))),
    _xlfn.IFS(
        (COUNTIFS('Tree List'!$C$3:$C$601,$C451,'Tree List'!$D$3:$D$601,"Coniferous")
        + COUNTIFS('Tree List'!$C$3:$C$601,$C451,'Tree List'!$D$3:$D$601,"Deciduous Conifer")) &gt; 0,
            _xlfn.IFS($K451="Small",0.5,$K451="Small/Medium",1,$K451="Medium/Large",1.4,$K451="Large",1.8),
        (COUNTIFS('Tree List'!$C$3:$C$601,$C451,'Tree List'!$D$3:$D$601,"Deciduous")
        + COUNTIFS('Tree List'!$C$3:$C$601,$C451,'Tree List'!$D$3:$D$601,"Broadleaf Evergreen")) &gt; 0,
            _xlfn.IFS($K451="Small",0.4,$K451="Small/Medium",0.8,$K451="Medium/Large",1.2,$K451="Large",1.6)
    ),
    ""
),
"")</f>
        <v/>
      </c>
      <c r="M451" s="474" t="str">
        <f t="shared" si="492"/>
        <v/>
      </c>
      <c r="N451" s="620" t="str" cm="1">
        <f t="array" aca="1" ref="N45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IF(AND(_xlpm.baseRow,ISNA(MATCH($C451,'Tree List'!$C$3:$C$601,0)),SUMPRODUCT(--ISNUMBER(SEARCH(Tables2!$C$677:$C$772,$O451)))&gt;0),
Error!$B$57,
IF(AND(_xlpm.hasDM,$F451="Remove",$H451&lt;&gt;"",OR($I451="On-site replacement",$I451="Off-site replacement",$I451="Payment In Lieu")),
Error!$B$56,
IF(AND(_xlpm.hasDM,$F451="Remove",$H451&lt;&gt;"",$I451="Relocation"),
Error!$B$66,
IF(AND(OR(_xlpm.hasCN,_xlpm.hasPH,_xlpm.hasGR),$H451&lt;&gt;"",COUNTIF(Tables!$B$132:$B$134,$H451)&gt;0,$I451="N/A (No replacement required)"),
Error!$B$62,
IF(AND(_xlpm.baseRow,$E451&lt;&gt;"",ISNA(MATCH($E451,Tables!$B$225:$B$232,0))),
Error!$B$2,
IF(AND(_xlpm.baseRow,$F451&lt;&gt;"",ISNA(MATCH($F451,Tables!$B$234:$B$235,0))),
Error!$B$24,
IF(AND(_xlpm.baseRow,_xlpm.ECA_H&gt;0,_xlpm.Shore_H&gt;0),
Error!$B$16,
IF(AND(_xlpm.baseRow,$E451&lt;&gt;"",$D451=""),
Error!$B$3,
IF(AND(_xlpm.baseRow,OR($E451="Tier 3",$E451="Tier 4"),$C451&lt;&gt;"",$D451&gt;=24,COUNTIF(Tables2!$B$166:$B$674,$C451)&gt;0),
Error!$B$44,
IF(AND(_xlpm.baseRow,OR($E451="Tier 3",$E451="Tier 4"),$C451&lt;&gt;"",$D451&lt;&gt;"",COUNTIF(Tables2!$B$73:$B$152,$C451)&gt;0,
$D451&gt;=IFERROR(INDEX(Tables2!$C$73:$C$152,MATCH($C451,Tables2!$B$73:$B$152,0)),-1)),
Error!$B$44,
IF(AND(_xlpm.baseRow,OR($E451="Tier 2",$E451="Tier 2 Grove"),$C451&lt;&gt;"",$D451&gt;=12,COUNTIF(Tables2!$B$153:$B$162,$C451)&gt;0),
Error!$B$45,
IF(AND(_xlpm.baseRow,$E451="Tier 2 Grove",$D451&lt;12),
Error!$B$41,
IF(AND(_xlpm.baseRow,$E451="Tier 2",$D451&lt;5.88),
Error!$B$40,
IF(AND(_xlpm.baseRow,OR($E451="Tier 2",$E451="Tier 2 Grove"),$C451&lt;&gt;"",$D451&lt;12,$D451&gt;=6,COUNTIF(Tables2!$B$153:$B$162,$C451)&gt;0),
Error!$B$54,
IF(AND(_xlpm.baseRow,$E451="Tier 2",COUNTIF(Tables2!$B$166:$B$674,$C451)&gt;0,$D451&lt;24),
Error!$B$54,
IF(AND(_xlpm.baseRow,$E451="Tier 3",ISNA(MATCH($C451,Tables2!$B$153:$B$162,0)),OR($D451&lt;12,$D451&gt;=24)),
Error!$B$9,
IF(AND(_xlpm.baseRow,$E451="Tier 3",COUNTIF(Tables2!$B$153:$B$162,$C451)&gt;0,$D451&lt;12),
Error!$B$46,
IF(AND(_xlpm.baseRow,$E451="Tier 4",OR($D451&lt;6,$D451&gt;=12)),
Error!$B$10,
IF(AND(_xlpm.baseRow,$E451="&lt;6in DSH for Tree Points",OR($D451&gt;=6,$D451="")),
Error!$B$8,
IF(AND(_xlpm.baseRow,$E451="Street Tree for Green Factor",$F451&lt;&gt;"",$F451&lt;&gt;"Retain"),
Error!$B$14,
IF(AND($E451="&lt;6in DSH for Tree Points",$F451="Retain",$H451&lt;&gt;"",ISNA(MATCH($H451,Tables!$B$174:$B$174,0))),
Error!$B$15,
IF(AND($E451="Street Tree for Green Factor",$F451="Retain",$H451&lt;&gt;"",$H451&lt;&gt;"Zoning: Green Factor"),
Error!$B$15,
IF(AND($E451="ECA / Shoreline Tree",$F451="Remove",$H451&lt;&gt;"",ISNA(MATCH($H451,Tables!$B$189:$B$190,0))),
Error!$B$15,
IF(AND($E451="ECA / Shoreline Tree",$F451="Retain",$H451&lt;&gt;"",ISNA(MATCH($H451,Tables!$B$184:$B$186,0))),
Error!$B$15,
IF(AND($E451="Tier 4",$F451="Remove",$H451&lt;&gt;"",ISNA(MATCH($H451,Tables!$B$171,0))),
Error!$B$15,
IF(AND($E451="Tier 4",$F451="Retain",$H451&lt;&gt;"",ISNA(MATCH($H451,Tables!$B$166:$B$168,0))),
Error!$B$15,
IF(AND($E451="Tier 3",$F451="Retain",$H451&lt;&gt;"",ISNA(MATCH($H451,Tables!$B$158:$B$160,0))),
Error!$B$15,
IF(AND($E451="Tier 3",$F451="Remove",$H451&lt;&gt;"",ISNA(MATCH($H451,Tables!$B$163,0))),
Error!$B$15,
IF(AND(OR($E451="Tier 2",$E451="Tier 2 Grove"),$F451="Remove",$H451&lt;&gt;"",ISNA(MATCH($H451,Tables!$B$153:$B$155,0))),
Error!$B$15,
IF(AND(OR($E451="Tier 2",$E451="Tier 2 Grove"),$F451="Retain",$H451&lt;&gt;"",ISNA(MATCH($H451,Tables!$B$147:$B$150,0))),
Error!$B$15,
IF(AND($E451="Tier 1",$F451="Remove",$H451&lt;&gt;"",ISNA(MATCH($H451,Tables!$B$143:$B$144,0))),
Error!$B$15,
IF(AND($E451="Tier 1",$F451="Retain",$H451&lt;&gt;"",ISNA(MATCH($H451,Tables!$B$137:$B$140,0))),
Error!$B$15,
IF(AND($E451&lt;&gt;"Tier 2",$E451&lt;&gt;"Tier 2 Grove",$E451&lt;&gt;"Tier 3",$E451&lt;&gt;"Tier 4",$H451="Zoning: Green Factor",OR($D451="",$D451&lt;6)),
Error!$B$11,
IF(AND(_xlpm.baseRow,$D451&lt;6,$E451="&lt;6in DSH for Tree Points",_xlpm.TreePoints_H=0),
Error!$B$21,
IF(AND(_xlpm.baseRow,$E451&lt;&gt;"",$D451&lt;&gt;"",$F451=""),
Error!$B$4,
IF(AND(_xlpm.baseRow,$F451="Remove",OR($E451="Tier 1",$E451="Tier 2",$E451="Tier 2 Grove"),COUNTBLANK(_xlpm.HRange)&lt;3,_xlpm.uniqueH&gt;=2),
Error!$B$48,
IF(AND(_xlpm.baseRow,$F451="Retain",OR($E451="Tier 1",$E451="Tier 2",$E451="Tier 2 Grove"),COUNTIF(_xlpm.HRange,"Tree Code: Required to Retain Tier 1-2 Tree")=0),
Error!$B$47,
IF(AND(_xlpm.baseRow,$E451&lt;&gt;"",$D451&lt;&gt;"",$F451&lt;&gt;"",COUNTBLANK(_xlpm.HRange)=4),
Error!$B$5,
IF(AND($F451="Remove",$H451&lt;&gt;"",$I451=""),
Error!$B$18,
IF(AND($E451="Tier 4",$F451="Remove",$H451="Tree Protection Code: Tier 3 or Tier 4 Allowance",$H451&lt;&gt;"",ISNA(MATCH($I451,Tables!$B$200,0))),
Error!$B$17,
IF(AND($E451="Tier 3",$F451="Remove",$H451&lt;&gt;"",$H451="Tree Protection Code: Tier 3 or Tier 4 Allowance",OR($I451="",ISNA(MATCH($I451,Tables!$B$193:$B$197,0)))),
Error!$B$17,
IF(AND(OR($E451="Tier 2",$E451="Tier 2 Grove"),$F451="Remove",$H451="Tree Protection Code: Other removal allowance or exemption",$I451&lt;&gt;"",ISNA(MATCH($I451,Tables!$B$215:$B$218,0))),
Error!$B$17,
IF(AND(OR($E451="Tier 2",$E451="Tier 2 Grove"),$F451="Remove",$H451="Tree Protection Code: Development Capacity",$I451&lt;&gt;"",ISNA(MATCH($I451,Tables!$B$193:$B$197,0))),
Error!$B$17,
IF(AND(OR($E451="Tier 2",$E451="Tier 2 Grove"),$F451="Remove",$H451="Tree Protection Code: Necessary for Construction",$I451&lt;&gt;"",ISNA(MATCH($I451,Tables!$B$193:$B$197,0))),
Error!$B$17,
IF(AND($E451="Tier 1",$F451="Remove",$H451="Tree Protection Code: Special Exception",$I451&lt;&gt;"",ISNA(MATCH($I451,Tables!$B$215:$B$218,0))),
Error!$B$17,
IF(AND($E451="Tier 1",$F451="Remove",$H451="Tree Protection Code: Other removal allowance or exemption",$I451&lt;&gt;"",ISNA(MATCH($I451,Tables!$B$215:$B$218,0))),
Error!$B$17,
IF(AND($E451="ECA / Shoreline Tree",$F451="Remove",$H451&lt;&gt;"",OR($H451="Shoreline",$H451="Environmental Critical Area (ECA)"),ISNA(MATCH($I451,Tables!$B$209:$B$212,0))),
Error!$B$17,
IF(AND(_xlpm.baseRow,$F451="Retain",$E451="ECA / Shoreline Tree",_xlpm.ECA_Short=0),
Error!$B$61,
IF(AND($F451="Remove",ISNUMBER(MATCH($E451,{"Tier 1","Tier 2","Tier 3","Tier 4","Tier 2 Grove"},0)),ISNUMBER(MATCH($I451,{"On-site replacement","Off-site replacement"},0)),$J451="",$H451&lt;&gt;""),
Error!$B$19,
IF(AND(_xlpm.baseRow,$E451&lt;&gt;"",$D451&lt;&gt;"",$F451&lt;&gt;"",COUNTBLANK($B451:$C451)&gt;0,COUNTBLANK(_xlpm.HRange)&lt;&gt;4),
Error!$B$22,
IF(AND($H451="Zoning: Tree Points",$K451&lt;&gt;"",ISNA(MATCH($K451,Tables!$B$242:$B$253,0))),
Error!$B$58,
IF(AND($H451="Zoning: Tree Points",$K451="Small",$L451&lt;&gt;"",ISNA(MATCH($L451,Tables!$C$243:$C$244,0))),
Error!$B$59,
IF(AND($H451="Zoning: Tree Points",$K451="Small/Medium",$L451&lt;&gt;"",ISNA(MATCH($L451,Tables!$C$246:$C$247,0))),
Error!$B$59,
IF(AND($H451="Zoning: Tree Points",$K451="Medium/Large",$L451&lt;&gt;"",ISNA(MATCH($L451,Tables!$C$249:$C$250,0))),
Error!$B$59,
IF(AND($H451="Zoning: Tree Points",$K451="Large",$L451&lt;&gt;"",ISNA(MATCH($L451,Tables!$C$252:$C$253,0))),
Error!$B$59,
IF(AND($F451="Retain",$H451="Zoning: Tree Points",$C451&lt;&gt;"",$D451&lt;&gt;"",OR($K451="",$L451="",$M451="")),
Error!$B$20,
""
)))))))))))))))))))))))))))))))))))))))))))))))))))))))),
Error!$B$23))</f>
        <v/>
      </c>
      <c r="O451" s="343" t="str" cm="1">
        <f t="array" aca="1" ref="O451" ca="1">IFERROR(_xlfn.LET(
    _xlpm.txt, $C451,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52" spans="1:15" x14ac:dyDescent="0.3">
      <c r="A452" s="320"/>
      <c r="B452" s="616" t="str">
        <f t="shared" ref="B452:B454" si="513">IF($B451="", "", $B451)</f>
        <v/>
      </c>
      <c r="C452" s="617" t="str">
        <f t="shared" ref="C452:C454" si="514">IF($C451="", "", $C451)</f>
        <v/>
      </c>
      <c r="D452" s="618" t="str">
        <f t="shared" ref="D452:D454" si="515">IF($D451="", "", $D451)</f>
        <v/>
      </c>
      <c r="E452" s="616" t="str">
        <f t="shared" ref="E452:E454" si="516">IF($E451="", "", $E451)</f>
        <v/>
      </c>
      <c r="F452" s="616" t="str">
        <f t="shared" ref="F452:F454" si="517">IF($F451="", "", $F451)</f>
        <v/>
      </c>
      <c r="G452" s="619" t="str">
        <f>IF(Tree_Table1[[#This Row],[Tree Status  &amp;]]="Retain", Tables!$B$237, IF(Tree_Table1[[#This Row],[Tree Status  &amp;]]="Remove", Tables!$B$238, ""))</f>
        <v/>
      </c>
      <c r="H452" s="321"/>
      <c r="I452" s="322"/>
      <c r="J452" s="453"/>
      <c r="K452" s="323" t="str">
        <f>IFERROR(
    IF(
        AND($H452="Zoning: Tree Points", NOT(ISNUMBER(SEARCH("sp.", $C452)))),
        VLOOKUP($C452, 'Tree List'!$C$3:$F$601, 4, FALSE),
        ""
    ),
"")</f>
        <v/>
      </c>
      <c r="L452" s="324" t="str" cm="1">
        <f t="array" ref="L452">IFERROR(
IF(
    AND($H452="Zoning: Tree Points", NOT(ISNUMBER(SEARCH("sp.", $C452)))),
    _xlfn.IFS(
        (COUNTIFS('Tree List'!$C$3:$C$601,$C452,'Tree List'!$D$3:$D$601,"Coniferous")
        + COUNTIFS('Tree List'!$C$3:$C$601,$C452,'Tree List'!$D$3:$D$601,"Deciduous Conifer")) &gt; 0,
            _xlfn.IFS($K452="Small",0.5,$K452="Small/Medium",1,$K452="Medium/Large",1.4,$K452="Large",1.8),
        (COUNTIFS('Tree List'!$C$3:$C$601,$C452,'Tree List'!$D$3:$D$601,"Deciduous")
        + COUNTIFS('Tree List'!$C$3:$C$601,$C452,'Tree List'!$D$3:$D$601,"Broadleaf Evergreen")) &gt; 0,
            _xlfn.IFS($K452="Small",0.4,$K452="Small/Medium",0.8,$K452="Medium/Large",1.2,$K452="Large",1.6)
    ),
    ""
),
"")</f>
        <v/>
      </c>
      <c r="M452" s="475" t="str">
        <f t="shared" si="492"/>
        <v/>
      </c>
      <c r="N452" s="346" t="str" cm="1">
        <f t="array" aca="1" ref="N45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IF(AND(_xlpm.baseRow,ISNA(MATCH($C452,'Tree List'!$C$3:$C$601,0)),SUMPRODUCT(--ISNUMBER(SEARCH(Tables2!$C$677:$C$772,$O452)))&gt;0),
Error!$B$57,
IF(AND(_xlpm.hasDM,$F452="Remove",$H452&lt;&gt;"",OR($I452="On-site replacement",$I452="Off-site replacement",$I452="Payment In Lieu")),
Error!$B$56,
IF(AND(_xlpm.hasDM,$F452="Remove",$H452&lt;&gt;"",$I452="Relocation"),
Error!$B$66,
IF(AND(OR(_xlpm.hasCN,_xlpm.hasPH,_xlpm.hasGR),$H452&lt;&gt;"",COUNTIF(Tables!$B$132:$B$134,$H452)&gt;0,$I452="N/A (No replacement required)"),
Error!$B$62,
IF(AND(_xlpm.baseRow,$E452&lt;&gt;"",ISNA(MATCH($E452,Tables!$B$225:$B$232,0))),
Error!$B$2,
IF(AND(_xlpm.baseRow,$F452&lt;&gt;"",ISNA(MATCH($F452,Tables!$B$234:$B$235,0))),
Error!$B$24,
IF(AND(_xlpm.baseRow,_xlpm.ECA_H&gt;0,_xlpm.Shore_H&gt;0),
Error!$B$16,
IF(AND(_xlpm.baseRow,$E452&lt;&gt;"",$D452=""),
Error!$B$3,
IF(AND(_xlpm.baseRow,OR($E452="Tier 3",$E452="Tier 4"),$C452&lt;&gt;"",$D452&gt;=24,COUNTIF(Tables2!$B$166:$B$674,$C452)&gt;0),
Error!$B$44,
IF(AND(_xlpm.baseRow,OR($E452="Tier 3",$E452="Tier 4"),$C452&lt;&gt;"",$D452&lt;&gt;"",COUNTIF(Tables2!$B$73:$B$152,$C452)&gt;0,
$D452&gt;=IFERROR(INDEX(Tables2!$C$73:$C$152,MATCH($C452,Tables2!$B$73:$B$152,0)),-1)),
Error!$B$44,
IF(AND(_xlpm.baseRow,OR($E452="Tier 2",$E452="Tier 2 Grove"),$C452&lt;&gt;"",$D452&gt;=12,COUNTIF(Tables2!$B$153:$B$162,$C452)&gt;0),
Error!$B$45,
IF(AND(_xlpm.baseRow,$E452="Tier 2 Grove",$D452&lt;12),
Error!$B$41,
IF(AND(_xlpm.baseRow,$E452="Tier 2",$D452&lt;5.88),
Error!$B$40,
IF(AND(_xlpm.baseRow,OR($E452="Tier 2",$E452="Tier 2 Grove"),$C452&lt;&gt;"",$D452&lt;12,$D452&gt;=6,COUNTIF(Tables2!$B$153:$B$162,$C452)&gt;0),
Error!$B$54,
IF(AND(_xlpm.baseRow,$E452="Tier 2",COUNTIF(Tables2!$B$166:$B$674,$C452)&gt;0,$D452&lt;24),
Error!$B$54,
IF(AND(_xlpm.baseRow,$E452="Tier 3",ISNA(MATCH($C452,Tables2!$B$153:$B$162,0)),OR($D452&lt;12,$D452&gt;=24)),
Error!$B$9,
IF(AND(_xlpm.baseRow,$E452="Tier 3",COUNTIF(Tables2!$B$153:$B$162,$C452)&gt;0,$D452&lt;12),
Error!$B$46,
IF(AND(_xlpm.baseRow,$E452="Tier 4",OR($D452&lt;6,$D452&gt;=12)),
Error!$B$10,
IF(AND(_xlpm.baseRow,$E452="&lt;6in DSH for Tree Points",OR($D452&gt;=6,$D452="")),
Error!$B$8,
IF(AND(_xlpm.baseRow,$E452="Street Tree for Green Factor",$F452&lt;&gt;"",$F452&lt;&gt;"Retain"),
Error!$B$14,
IF(AND($E452="&lt;6in DSH for Tree Points",$F452="Retain",$H452&lt;&gt;"",ISNA(MATCH($H452,Tables!$B$174:$B$174,0))),
Error!$B$15,
IF(AND($E452="Street Tree for Green Factor",$F452="Retain",$H452&lt;&gt;"",$H452&lt;&gt;"Zoning: Green Factor"),
Error!$B$15,
IF(AND($E452="ECA / Shoreline Tree",$F452="Remove",$H452&lt;&gt;"",ISNA(MATCH($H452,Tables!$B$189:$B$190,0))),
Error!$B$15,
IF(AND($E452="ECA / Shoreline Tree",$F452="Retain",$H452&lt;&gt;"",ISNA(MATCH($H452,Tables!$B$184:$B$186,0))),
Error!$B$15,
IF(AND($E452="Tier 4",$F452="Remove",$H452&lt;&gt;"",ISNA(MATCH($H452,Tables!$B$171,0))),
Error!$B$15,
IF(AND($E452="Tier 4",$F452="Retain",$H452&lt;&gt;"",ISNA(MATCH($H452,Tables!$B$166:$B$168,0))),
Error!$B$15,
IF(AND($E452="Tier 3",$F452="Retain",$H452&lt;&gt;"",ISNA(MATCH($H452,Tables!$B$158:$B$160,0))),
Error!$B$15,
IF(AND($E452="Tier 3",$F452="Remove",$H452&lt;&gt;"",ISNA(MATCH($H452,Tables!$B$163,0))),
Error!$B$15,
IF(AND(OR($E452="Tier 2",$E452="Tier 2 Grove"),$F452="Remove",$H452&lt;&gt;"",ISNA(MATCH($H452,Tables!$B$153:$B$155,0))),
Error!$B$15,
IF(AND(OR($E452="Tier 2",$E452="Tier 2 Grove"),$F452="Retain",$H452&lt;&gt;"",ISNA(MATCH($H452,Tables!$B$147:$B$150,0))),
Error!$B$15,
IF(AND($E452="Tier 1",$F452="Remove",$H452&lt;&gt;"",ISNA(MATCH($H452,Tables!$B$143:$B$144,0))),
Error!$B$15,
IF(AND($E452="Tier 1",$F452="Retain",$H452&lt;&gt;"",ISNA(MATCH($H452,Tables!$B$137:$B$140,0))),
Error!$B$15,
IF(AND($E452&lt;&gt;"Tier 2",$E452&lt;&gt;"Tier 2 Grove",$E452&lt;&gt;"Tier 3",$E452&lt;&gt;"Tier 4",$H452="Zoning: Green Factor",OR($D452="",$D452&lt;6)),
Error!$B$11,
IF(AND(_xlpm.baseRow,$D452&lt;6,$E452="&lt;6in DSH for Tree Points",_xlpm.TreePoints_H=0),
Error!$B$21,
IF(AND(_xlpm.baseRow,$E452&lt;&gt;"",$D452&lt;&gt;"",$F452=""),
Error!$B$4,
IF(AND(_xlpm.baseRow,$F452="Remove",OR($E452="Tier 1",$E452="Tier 2",$E452="Tier 2 Grove"),COUNTBLANK(_xlpm.HRange)&lt;3,_xlpm.uniqueH&gt;=2),
Error!$B$48,
IF(AND(_xlpm.baseRow,$F452="Retain",OR($E452="Tier 1",$E452="Tier 2",$E452="Tier 2 Grove"),COUNTIF(_xlpm.HRange,"Tree Code: Required to Retain Tier 1-2 Tree")=0),
Error!$B$47,
IF(AND(_xlpm.baseRow,$E452&lt;&gt;"",$D452&lt;&gt;"",$F452&lt;&gt;"",COUNTBLANK(_xlpm.HRange)=4),
Error!$B$5,
IF(AND($F452="Remove",$H452&lt;&gt;"",$I452=""),
Error!$B$18,
IF(AND($E452="Tier 4",$F452="Remove",$H452="Tree Protection Code: Tier 3 or Tier 4 Allowance",$H452&lt;&gt;"",ISNA(MATCH($I452,Tables!$B$200,0))),
Error!$B$17,
IF(AND($E452="Tier 3",$F452="Remove",$H452&lt;&gt;"",$H452="Tree Protection Code: Tier 3 or Tier 4 Allowance",OR($I452="",ISNA(MATCH($I452,Tables!$B$193:$B$197,0)))),
Error!$B$17,
IF(AND(OR($E452="Tier 2",$E452="Tier 2 Grove"),$F452="Remove",$H452="Tree Protection Code: Other removal allowance or exemption",$I452&lt;&gt;"",ISNA(MATCH($I452,Tables!$B$215:$B$218,0))),
Error!$B$17,
IF(AND(OR($E452="Tier 2",$E452="Tier 2 Grove"),$F452="Remove",$H452="Tree Protection Code: Development Capacity",$I452&lt;&gt;"",ISNA(MATCH($I452,Tables!$B$193:$B$197,0))),
Error!$B$17,
IF(AND(OR($E452="Tier 2",$E452="Tier 2 Grove"),$F452="Remove",$H452="Tree Protection Code: Necessary for Construction",$I452&lt;&gt;"",ISNA(MATCH($I452,Tables!$B$193:$B$197,0))),
Error!$B$17,
IF(AND($E452="Tier 1",$F452="Remove",$H452="Tree Protection Code: Special Exception",$I452&lt;&gt;"",ISNA(MATCH($I452,Tables!$B$215:$B$218,0))),
Error!$B$17,
IF(AND($E452="Tier 1",$F452="Remove",$H452="Tree Protection Code: Other removal allowance or exemption",$I452&lt;&gt;"",ISNA(MATCH($I452,Tables!$B$215:$B$218,0))),
Error!$B$17,
IF(AND($E452="ECA / Shoreline Tree",$F452="Remove",$H452&lt;&gt;"",OR($H452="Shoreline",$H452="Environmental Critical Area (ECA)"),ISNA(MATCH($I452,Tables!$B$209:$B$212,0))),
Error!$B$17,
IF(AND(_xlpm.baseRow,$F452="Retain",$E452="ECA / Shoreline Tree",_xlpm.ECA_Short=0),
Error!$B$61,
IF(AND($F452="Remove",ISNUMBER(MATCH($E452,{"Tier 1","Tier 2","Tier 3","Tier 4","Tier 2 Grove"},0)),ISNUMBER(MATCH($I452,{"On-site replacement","Off-site replacement"},0)),$J452="",$H452&lt;&gt;""),
Error!$B$19,
IF(AND(_xlpm.baseRow,$E452&lt;&gt;"",$D452&lt;&gt;"",$F452&lt;&gt;"",COUNTBLANK($B452:$C452)&gt;0,COUNTBLANK(_xlpm.HRange)&lt;&gt;4),
Error!$B$22,
IF(AND($H452="Zoning: Tree Points",$K452&lt;&gt;"",ISNA(MATCH($K452,Tables!$B$242:$B$253,0))),
Error!$B$58,
IF(AND($H452="Zoning: Tree Points",$K452="Small",$L452&lt;&gt;"",ISNA(MATCH($L452,Tables!$C$243:$C$244,0))),
Error!$B$59,
IF(AND($H452="Zoning: Tree Points",$K452="Small/Medium",$L452&lt;&gt;"",ISNA(MATCH($L452,Tables!$C$246:$C$247,0))),
Error!$B$59,
IF(AND($H452="Zoning: Tree Points",$K452="Medium/Large",$L452&lt;&gt;"",ISNA(MATCH($L452,Tables!$C$249:$C$250,0))),
Error!$B$59,
IF(AND($H452="Zoning: Tree Points",$K452="Large",$L452&lt;&gt;"",ISNA(MATCH($L452,Tables!$C$252:$C$253,0))),
Error!$B$59,
IF(AND($F452="Retain",$H452="Zoning: Tree Points",$C452&lt;&gt;"",$D452&lt;&gt;"",OR($K452="",$L452="",$M452="")),
Error!$B$20,
""
)))))))))))))))))))))))))))))))))))))))))))))))))))))))),
Error!$B$23))</f>
        <v/>
      </c>
      <c r="O452" s="343" t="str" cm="1">
        <f t="array" aca="1" ref="O452" ca="1">IFERROR(_xlfn.LET(
    _xlpm.txt, $C452,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53" spans="1:15" x14ac:dyDescent="0.3">
      <c r="A453" s="320"/>
      <c r="B453" s="616" t="str">
        <f t="shared" si="513"/>
        <v/>
      </c>
      <c r="C453" s="617" t="str">
        <f t="shared" si="514"/>
        <v/>
      </c>
      <c r="D453" s="618" t="str">
        <f t="shared" si="515"/>
        <v/>
      </c>
      <c r="E453" s="616" t="str">
        <f t="shared" si="516"/>
        <v/>
      </c>
      <c r="F453" s="616" t="str">
        <f t="shared" si="517"/>
        <v/>
      </c>
      <c r="G453" s="619" t="str">
        <f>IF(Tree_Table1[[#This Row],[Tree Status  &amp;]]="Retain", Tables!$B$237, IF(Tree_Table1[[#This Row],[Tree Status  &amp;]]="Remove", Tables!$B$238, ""))</f>
        <v/>
      </c>
      <c r="H453" s="321"/>
      <c r="I453" s="322"/>
      <c r="J453" s="453"/>
      <c r="K453" s="323" t="str">
        <f>IFERROR(
    IF(
        AND($H453="Zoning: Tree Points", NOT(ISNUMBER(SEARCH("sp.", $C453)))),
        VLOOKUP($C453, 'Tree List'!$C$3:$F$601, 4, FALSE),
        ""
    ),
"")</f>
        <v/>
      </c>
      <c r="L453" s="324" t="str" cm="1">
        <f t="array" ref="L453">IFERROR(
IF(
    AND($H453="Zoning: Tree Points", NOT(ISNUMBER(SEARCH("sp.", $C453)))),
    _xlfn.IFS(
        (COUNTIFS('Tree List'!$C$3:$C$601,$C453,'Tree List'!$D$3:$D$601,"Coniferous")
        + COUNTIFS('Tree List'!$C$3:$C$601,$C453,'Tree List'!$D$3:$D$601,"Deciduous Conifer")) &gt; 0,
            _xlfn.IFS($K453="Small",0.5,$K453="Small/Medium",1,$K453="Medium/Large",1.4,$K453="Large",1.8),
        (COUNTIFS('Tree List'!$C$3:$C$601,$C453,'Tree List'!$D$3:$D$601,"Deciduous")
        + COUNTIFS('Tree List'!$C$3:$C$601,$C453,'Tree List'!$D$3:$D$601,"Broadleaf Evergreen")) &gt; 0,
            _xlfn.IFS($K453="Small",0.4,$K453="Small/Medium",0.8,$K453="Medium/Large",1.2,$K453="Large",1.6)
    ),
    ""
),
"")</f>
        <v/>
      </c>
      <c r="M453" s="475" t="str">
        <f t="shared" si="492"/>
        <v/>
      </c>
      <c r="N453" s="346" t="str" cm="1">
        <f t="array" aca="1" ref="N45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IF(AND(_xlpm.baseRow,ISNA(MATCH($C453,'Tree List'!$C$3:$C$601,0)),SUMPRODUCT(--ISNUMBER(SEARCH(Tables2!$C$677:$C$772,$O453)))&gt;0),
Error!$B$57,
IF(AND(_xlpm.hasDM,$F453="Remove",$H453&lt;&gt;"",OR($I453="On-site replacement",$I453="Off-site replacement",$I453="Payment In Lieu")),
Error!$B$56,
IF(AND(_xlpm.hasDM,$F453="Remove",$H453&lt;&gt;"",$I453="Relocation"),
Error!$B$66,
IF(AND(OR(_xlpm.hasCN,_xlpm.hasPH,_xlpm.hasGR),$H453&lt;&gt;"",COUNTIF(Tables!$B$132:$B$134,$H453)&gt;0,$I453="N/A (No replacement required)"),
Error!$B$62,
IF(AND(_xlpm.baseRow,$E453&lt;&gt;"",ISNA(MATCH($E453,Tables!$B$225:$B$232,0))),
Error!$B$2,
IF(AND(_xlpm.baseRow,$F453&lt;&gt;"",ISNA(MATCH($F453,Tables!$B$234:$B$235,0))),
Error!$B$24,
IF(AND(_xlpm.baseRow,_xlpm.ECA_H&gt;0,_xlpm.Shore_H&gt;0),
Error!$B$16,
IF(AND(_xlpm.baseRow,$E453&lt;&gt;"",$D453=""),
Error!$B$3,
IF(AND(_xlpm.baseRow,OR($E453="Tier 3",$E453="Tier 4"),$C453&lt;&gt;"",$D453&gt;=24,COUNTIF(Tables2!$B$166:$B$674,$C453)&gt;0),
Error!$B$44,
IF(AND(_xlpm.baseRow,OR($E453="Tier 3",$E453="Tier 4"),$C453&lt;&gt;"",$D453&lt;&gt;"",COUNTIF(Tables2!$B$73:$B$152,$C453)&gt;0,
$D453&gt;=IFERROR(INDEX(Tables2!$C$73:$C$152,MATCH($C453,Tables2!$B$73:$B$152,0)),-1)),
Error!$B$44,
IF(AND(_xlpm.baseRow,OR($E453="Tier 2",$E453="Tier 2 Grove"),$C453&lt;&gt;"",$D453&gt;=12,COUNTIF(Tables2!$B$153:$B$162,$C453)&gt;0),
Error!$B$45,
IF(AND(_xlpm.baseRow,$E453="Tier 2 Grove",$D453&lt;12),
Error!$B$41,
IF(AND(_xlpm.baseRow,$E453="Tier 2",$D453&lt;5.88),
Error!$B$40,
IF(AND(_xlpm.baseRow,OR($E453="Tier 2",$E453="Tier 2 Grove"),$C453&lt;&gt;"",$D453&lt;12,$D453&gt;=6,COUNTIF(Tables2!$B$153:$B$162,$C453)&gt;0),
Error!$B$54,
IF(AND(_xlpm.baseRow,$E453="Tier 2",COUNTIF(Tables2!$B$166:$B$674,$C453)&gt;0,$D453&lt;24),
Error!$B$54,
IF(AND(_xlpm.baseRow,$E453="Tier 3",ISNA(MATCH($C453,Tables2!$B$153:$B$162,0)),OR($D453&lt;12,$D453&gt;=24)),
Error!$B$9,
IF(AND(_xlpm.baseRow,$E453="Tier 3",COUNTIF(Tables2!$B$153:$B$162,$C453)&gt;0,$D453&lt;12),
Error!$B$46,
IF(AND(_xlpm.baseRow,$E453="Tier 4",OR($D453&lt;6,$D453&gt;=12)),
Error!$B$10,
IF(AND(_xlpm.baseRow,$E453="&lt;6in DSH for Tree Points",OR($D453&gt;=6,$D453="")),
Error!$B$8,
IF(AND(_xlpm.baseRow,$E453="Street Tree for Green Factor",$F453&lt;&gt;"",$F453&lt;&gt;"Retain"),
Error!$B$14,
IF(AND($E453="&lt;6in DSH for Tree Points",$F453="Retain",$H453&lt;&gt;"",ISNA(MATCH($H453,Tables!$B$174:$B$174,0))),
Error!$B$15,
IF(AND($E453="Street Tree for Green Factor",$F453="Retain",$H453&lt;&gt;"",$H453&lt;&gt;"Zoning: Green Factor"),
Error!$B$15,
IF(AND($E453="ECA / Shoreline Tree",$F453="Remove",$H453&lt;&gt;"",ISNA(MATCH($H453,Tables!$B$189:$B$190,0))),
Error!$B$15,
IF(AND($E453="ECA / Shoreline Tree",$F453="Retain",$H453&lt;&gt;"",ISNA(MATCH($H453,Tables!$B$184:$B$186,0))),
Error!$B$15,
IF(AND($E453="Tier 4",$F453="Remove",$H453&lt;&gt;"",ISNA(MATCH($H453,Tables!$B$171,0))),
Error!$B$15,
IF(AND($E453="Tier 4",$F453="Retain",$H453&lt;&gt;"",ISNA(MATCH($H453,Tables!$B$166:$B$168,0))),
Error!$B$15,
IF(AND($E453="Tier 3",$F453="Retain",$H453&lt;&gt;"",ISNA(MATCH($H453,Tables!$B$158:$B$160,0))),
Error!$B$15,
IF(AND($E453="Tier 3",$F453="Remove",$H453&lt;&gt;"",ISNA(MATCH($H453,Tables!$B$163,0))),
Error!$B$15,
IF(AND(OR($E453="Tier 2",$E453="Tier 2 Grove"),$F453="Remove",$H453&lt;&gt;"",ISNA(MATCH($H453,Tables!$B$153:$B$155,0))),
Error!$B$15,
IF(AND(OR($E453="Tier 2",$E453="Tier 2 Grove"),$F453="Retain",$H453&lt;&gt;"",ISNA(MATCH($H453,Tables!$B$147:$B$150,0))),
Error!$B$15,
IF(AND($E453="Tier 1",$F453="Remove",$H453&lt;&gt;"",ISNA(MATCH($H453,Tables!$B$143:$B$144,0))),
Error!$B$15,
IF(AND($E453="Tier 1",$F453="Retain",$H453&lt;&gt;"",ISNA(MATCH($H453,Tables!$B$137:$B$140,0))),
Error!$B$15,
IF(AND($E453&lt;&gt;"Tier 2",$E453&lt;&gt;"Tier 2 Grove",$E453&lt;&gt;"Tier 3",$E453&lt;&gt;"Tier 4",$H453="Zoning: Green Factor",OR($D453="",$D453&lt;6)),
Error!$B$11,
IF(AND(_xlpm.baseRow,$D453&lt;6,$E453="&lt;6in DSH for Tree Points",_xlpm.TreePoints_H=0),
Error!$B$21,
IF(AND(_xlpm.baseRow,$E453&lt;&gt;"",$D453&lt;&gt;"",$F453=""),
Error!$B$4,
IF(AND(_xlpm.baseRow,$F453="Remove",OR($E453="Tier 1",$E453="Tier 2",$E453="Tier 2 Grove"),COUNTBLANK(_xlpm.HRange)&lt;3,_xlpm.uniqueH&gt;=2),
Error!$B$48,
IF(AND(_xlpm.baseRow,$F453="Retain",OR($E453="Tier 1",$E453="Tier 2",$E453="Tier 2 Grove"),COUNTIF(_xlpm.HRange,"Tree Code: Required to Retain Tier 1-2 Tree")=0),
Error!$B$47,
IF(AND(_xlpm.baseRow,$E453&lt;&gt;"",$D453&lt;&gt;"",$F453&lt;&gt;"",COUNTBLANK(_xlpm.HRange)=4),
Error!$B$5,
IF(AND($F453="Remove",$H453&lt;&gt;"",$I453=""),
Error!$B$18,
IF(AND($E453="Tier 4",$F453="Remove",$H453="Tree Protection Code: Tier 3 or Tier 4 Allowance",$H453&lt;&gt;"",ISNA(MATCH($I453,Tables!$B$200,0))),
Error!$B$17,
IF(AND($E453="Tier 3",$F453="Remove",$H453&lt;&gt;"",$H453="Tree Protection Code: Tier 3 or Tier 4 Allowance",OR($I453="",ISNA(MATCH($I453,Tables!$B$193:$B$197,0)))),
Error!$B$17,
IF(AND(OR($E453="Tier 2",$E453="Tier 2 Grove"),$F453="Remove",$H453="Tree Protection Code: Other removal allowance or exemption",$I453&lt;&gt;"",ISNA(MATCH($I453,Tables!$B$215:$B$218,0))),
Error!$B$17,
IF(AND(OR($E453="Tier 2",$E453="Tier 2 Grove"),$F453="Remove",$H453="Tree Protection Code: Development Capacity",$I453&lt;&gt;"",ISNA(MATCH($I453,Tables!$B$193:$B$197,0))),
Error!$B$17,
IF(AND(OR($E453="Tier 2",$E453="Tier 2 Grove"),$F453="Remove",$H453="Tree Protection Code: Necessary for Construction",$I453&lt;&gt;"",ISNA(MATCH($I453,Tables!$B$193:$B$197,0))),
Error!$B$17,
IF(AND($E453="Tier 1",$F453="Remove",$H453="Tree Protection Code: Special Exception",$I453&lt;&gt;"",ISNA(MATCH($I453,Tables!$B$215:$B$218,0))),
Error!$B$17,
IF(AND($E453="Tier 1",$F453="Remove",$H453="Tree Protection Code: Other removal allowance or exemption",$I453&lt;&gt;"",ISNA(MATCH($I453,Tables!$B$215:$B$218,0))),
Error!$B$17,
IF(AND($E453="ECA / Shoreline Tree",$F453="Remove",$H453&lt;&gt;"",OR($H453="Shoreline",$H453="Environmental Critical Area (ECA)"),ISNA(MATCH($I453,Tables!$B$209:$B$212,0))),
Error!$B$17,
IF(AND(_xlpm.baseRow,$F453="Retain",$E453="ECA / Shoreline Tree",_xlpm.ECA_Short=0),
Error!$B$61,
IF(AND($F453="Remove",ISNUMBER(MATCH($E453,{"Tier 1","Tier 2","Tier 3","Tier 4","Tier 2 Grove"},0)),ISNUMBER(MATCH($I453,{"On-site replacement","Off-site replacement"},0)),$J453="",$H453&lt;&gt;""),
Error!$B$19,
IF(AND(_xlpm.baseRow,$E453&lt;&gt;"",$D453&lt;&gt;"",$F453&lt;&gt;"",COUNTBLANK($B453:$C453)&gt;0,COUNTBLANK(_xlpm.HRange)&lt;&gt;4),
Error!$B$22,
IF(AND($H453="Zoning: Tree Points",$K453&lt;&gt;"",ISNA(MATCH($K453,Tables!$B$242:$B$253,0))),
Error!$B$58,
IF(AND($H453="Zoning: Tree Points",$K453="Small",$L453&lt;&gt;"",ISNA(MATCH($L453,Tables!$C$243:$C$244,0))),
Error!$B$59,
IF(AND($H453="Zoning: Tree Points",$K453="Small/Medium",$L453&lt;&gt;"",ISNA(MATCH($L453,Tables!$C$246:$C$247,0))),
Error!$B$59,
IF(AND($H453="Zoning: Tree Points",$K453="Medium/Large",$L453&lt;&gt;"",ISNA(MATCH($L453,Tables!$C$249:$C$250,0))),
Error!$B$59,
IF(AND($H453="Zoning: Tree Points",$K453="Large",$L453&lt;&gt;"",ISNA(MATCH($L453,Tables!$C$252:$C$253,0))),
Error!$B$59,
IF(AND($F453="Retain",$H453="Zoning: Tree Points",$C453&lt;&gt;"",$D453&lt;&gt;"",OR($K453="",$L453="",$M453="")),
Error!$B$20,
""
)))))))))))))))))))))))))))))))))))))))))))))))))))))))),
Error!$B$23))</f>
        <v/>
      </c>
      <c r="O453" s="343" t="str" cm="1">
        <f t="array" aca="1" ref="O453" ca="1">IFERROR(_xlfn.LET(
    _xlpm.txt, $C453,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54" spans="1:15" ht="15" thickBot="1" x14ac:dyDescent="0.35">
      <c r="A454" s="331"/>
      <c r="B454" s="616" t="str">
        <f t="shared" si="513"/>
        <v/>
      </c>
      <c r="C454" s="617" t="str">
        <f t="shared" si="514"/>
        <v/>
      </c>
      <c r="D454" s="618" t="str">
        <f t="shared" si="515"/>
        <v/>
      </c>
      <c r="E454" s="616" t="str">
        <f t="shared" si="516"/>
        <v/>
      </c>
      <c r="F454" s="616" t="str">
        <f t="shared" si="517"/>
        <v/>
      </c>
      <c r="G454" s="619" t="str">
        <f>IF(Tree_Table1[[#This Row],[Tree Status  &amp;]]="Retain", Tables!$B$237, IF(Tree_Table1[[#This Row],[Tree Status  &amp;]]="Remove", Tables!$B$238, ""))</f>
        <v/>
      </c>
      <c r="H454" s="329"/>
      <c r="I454" s="330"/>
      <c r="J454" s="455"/>
      <c r="K454" s="327" t="str">
        <f>IFERROR(
    IF(
        AND($H454="Zoning: Tree Points", NOT(ISNUMBER(SEARCH("sp.", $C454)))),
        VLOOKUP($C454, 'Tree List'!$C$3:$F$601, 4, FALSE),
        ""
    ),
"")</f>
        <v/>
      </c>
      <c r="L454" s="328" t="str" cm="1">
        <f t="array" ref="L454">IFERROR(
IF(
    AND($H454="Zoning: Tree Points", NOT(ISNUMBER(SEARCH("sp.", $C454)))),
    _xlfn.IFS(
        (COUNTIFS('Tree List'!$C$3:$C$601,$C454,'Tree List'!$D$3:$D$601,"Coniferous")
        + COUNTIFS('Tree List'!$C$3:$C$601,$C454,'Tree List'!$D$3:$D$601,"Deciduous Conifer")) &gt; 0,
            _xlfn.IFS($K454="Small",0.5,$K454="Small/Medium",1,$K454="Medium/Large",1.4,$K454="Large",1.8),
        (COUNTIFS('Tree List'!$C$3:$C$601,$C454,'Tree List'!$D$3:$D$601,"Deciduous")
        + COUNTIFS('Tree List'!$C$3:$C$601,$C454,'Tree List'!$D$3:$D$601,"Broadleaf Evergreen")) &gt; 0,
            _xlfn.IFS($K454="Small",0.4,$K454="Small/Medium",0.8,$K454="Medium/Large",1.2,$K454="Large",1.6)
    ),
    ""
),
"")</f>
        <v/>
      </c>
      <c r="M454" s="476" t="str">
        <f t="shared" si="492"/>
        <v/>
      </c>
      <c r="N454" s="347" t="str" cm="1">
        <f t="array" aca="1" ref="N45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IF(AND(_xlpm.baseRow,ISNA(MATCH($C454,'Tree List'!$C$3:$C$601,0)),SUMPRODUCT(--ISNUMBER(SEARCH(Tables2!$C$677:$C$772,$O454)))&gt;0),
Error!$B$57,
IF(AND(_xlpm.hasDM,$F454="Remove",$H454&lt;&gt;"",OR($I454="On-site replacement",$I454="Off-site replacement",$I454="Payment In Lieu")),
Error!$B$56,
IF(AND(_xlpm.hasDM,$F454="Remove",$H454&lt;&gt;"",$I454="Relocation"),
Error!$B$66,
IF(AND(OR(_xlpm.hasCN,_xlpm.hasPH,_xlpm.hasGR),$H454&lt;&gt;"",COUNTIF(Tables!$B$132:$B$134,$H454)&gt;0,$I454="N/A (No replacement required)"),
Error!$B$62,
IF(AND(_xlpm.baseRow,$E454&lt;&gt;"",ISNA(MATCH($E454,Tables!$B$225:$B$232,0))),
Error!$B$2,
IF(AND(_xlpm.baseRow,$F454&lt;&gt;"",ISNA(MATCH($F454,Tables!$B$234:$B$235,0))),
Error!$B$24,
IF(AND(_xlpm.baseRow,_xlpm.ECA_H&gt;0,_xlpm.Shore_H&gt;0),
Error!$B$16,
IF(AND(_xlpm.baseRow,$E454&lt;&gt;"",$D454=""),
Error!$B$3,
IF(AND(_xlpm.baseRow,OR($E454="Tier 3",$E454="Tier 4"),$C454&lt;&gt;"",$D454&gt;=24,COUNTIF(Tables2!$B$166:$B$674,$C454)&gt;0),
Error!$B$44,
IF(AND(_xlpm.baseRow,OR($E454="Tier 3",$E454="Tier 4"),$C454&lt;&gt;"",$D454&lt;&gt;"",COUNTIF(Tables2!$B$73:$B$152,$C454)&gt;0,
$D454&gt;=IFERROR(INDEX(Tables2!$C$73:$C$152,MATCH($C454,Tables2!$B$73:$B$152,0)),-1)),
Error!$B$44,
IF(AND(_xlpm.baseRow,OR($E454="Tier 2",$E454="Tier 2 Grove"),$C454&lt;&gt;"",$D454&gt;=12,COUNTIF(Tables2!$B$153:$B$162,$C454)&gt;0),
Error!$B$45,
IF(AND(_xlpm.baseRow,$E454="Tier 2 Grove",$D454&lt;12),
Error!$B$41,
IF(AND(_xlpm.baseRow,$E454="Tier 2",$D454&lt;5.88),
Error!$B$40,
IF(AND(_xlpm.baseRow,OR($E454="Tier 2",$E454="Tier 2 Grove"),$C454&lt;&gt;"",$D454&lt;12,$D454&gt;=6,COUNTIF(Tables2!$B$153:$B$162,$C454)&gt;0),
Error!$B$54,
IF(AND(_xlpm.baseRow,$E454="Tier 2",COUNTIF(Tables2!$B$166:$B$674,$C454)&gt;0,$D454&lt;24),
Error!$B$54,
IF(AND(_xlpm.baseRow,$E454="Tier 3",ISNA(MATCH($C454,Tables2!$B$153:$B$162,0)),OR($D454&lt;12,$D454&gt;=24)),
Error!$B$9,
IF(AND(_xlpm.baseRow,$E454="Tier 3",COUNTIF(Tables2!$B$153:$B$162,$C454)&gt;0,$D454&lt;12),
Error!$B$46,
IF(AND(_xlpm.baseRow,$E454="Tier 4",OR($D454&lt;6,$D454&gt;=12)),
Error!$B$10,
IF(AND(_xlpm.baseRow,$E454="&lt;6in DSH for Tree Points",OR($D454&gt;=6,$D454="")),
Error!$B$8,
IF(AND(_xlpm.baseRow,$E454="Street Tree for Green Factor",$F454&lt;&gt;"",$F454&lt;&gt;"Retain"),
Error!$B$14,
IF(AND($E454="&lt;6in DSH for Tree Points",$F454="Retain",$H454&lt;&gt;"",ISNA(MATCH($H454,Tables!$B$174:$B$174,0))),
Error!$B$15,
IF(AND($E454="Street Tree for Green Factor",$F454="Retain",$H454&lt;&gt;"",$H454&lt;&gt;"Zoning: Green Factor"),
Error!$B$15,
IF(AND($E454="ECA / Shoreline Tree",$F454="Remove",$H454&lt;&gt;"",ISNA(MATCH($H454,Tables!$B$189:$B$190,0))),
Error!$B$15,
IF(AND($E454="ECA / Shoreline Tree",$F454="Retain",$H454&lt;&gt;"",ISNA(MATCH($H454,Tables!$B$184:$B$186,0))),
Error!$B$15,
IF(AND($E454="Tier 4",$F454="Remove",$H454&lt;&gt;"",ISNA(MATCH($H454,Tables!$B$171,0))),
Error!$B$15,
IF(AND($E454="Tier 4",$F454="Retain",$H454&lt;&gt;"",ISNA(MATCH($H454,Tables!$B$166:$B$168,0))),
Error!$B$15,
IF(AND($E454="Tier 3",$F454="Retain",$H454&lt;&gt;"",ISNA(MATCH($H454,Tables!$B$158:$B$160,0))),
Error!$B$15,
IF(AND($E454="Tier 3",$F454="Remove",$H454&lt;&gt;"",ISNA(MATCH($H454,Tables!$B$163,0))),
Error!$B$15,
IF(AND(OR($E454="Tier 2",$E454="Tier 2 Grove"),$F454="Remove",$H454&lt;&gt;"",ISNA(MATCH($H454,Tables!$B$153:$B$155,0))),
Error!$B$15,
IF(AND(OR($E454="Tier 2",$E454="Tier 2 Grove"),$F454="Retain",$H454&lt;&gt;"",ISNA(MATCH($H454,Tables!$B$147:$B$150,0))),
Error!$B$15,
IF(AND($E454="Tier 1",$F454="Remove",$H454&lt;&gt;"",ISNA(MATCH($H454,Tables!$B$143:$B$144,0))),
Error!$B$15,
IF(AND($E454="Tier 1",$F454="Retain",$H454&lt;&gt;"",ISNA(MATCH($H454,Tables!$B$137:$B$140,0))),
Error!$B$15,
IF(AND($E454&lt;&gt;"Tier 2",$E454&lt;&gt;"Tier 2 Grove",$E454&lt;&gt;"Tier 3",$E454&lt;&gt;"Tier 4",$H454="Zoning: Green Factor",OR($D454="",$D454&lt;6)),
Error!$B$11,
IF(AND(_xlpm.baseRow,$D454&lt;6,$E454="&lt;6in DSH for Tree Points",_xlpm.TreePoints_H=0),
Error!$B$21,
IF(AND(_xlpm.baseRow,$E454&lt;&gt;"",$D454&lt;&gt;"",$F454=""),
Error!$B$4,
IF(AND(_xlpm.baseRow,$F454="Remove",OR($E454="Tier 1",$E454="Tier 2",$E454="Tier 2 Grove"),COUNTBLANK(_xlpm.HRange)&lt;3,_xlpm.uniqueH&gt;=2),
Error!$B$48,
IF(AND(_xlpm.baseRow,$F454="Retain",OR($E454="Tier 1",$E454="Tier 2",$E454="Tier 2 Grove"),COUNTIF(_xlpm.HRange,"Tree Code: Required to Retain Tier 1-2 Tree")=0),
Error!$B$47,
IF(AND(_xlpm.baseRow,$E454&lt;&gt;"",$D454&lt;&gt;"",$F454&lt;&gt;"",COUNTBLANK(_xlpm.HRange)=4),
Error!$B$5,
IF(AND($F454="Remove",$H454&lt;&gt;"",$I454=""),
Error!$B$18,
IF(AND($E454="Tier 4",$F454="Remove",$H454="Tree Protection Code: Tier 3 or Tier 4 Allowance",$H454&lt;&gt;"",ISNA(MATCH($I454,Tables!$B$200,0))),
Error!$B$17,
IF(AND($E454="Tier 3",$F454="Remove",$H454&lt;&gt;"",$H454="Tree Protection Code: Tier 3 or Tier 4 Allowance",OR($I454="",ISNA(MATCH($I454,Tables!$B$193:$B$197,0)))),
Error!$B$17,
IF(AND(OR($E454="Tier 2",$E454="Tier 2 Grove"),$F454="Remove",$H454="Tree Protection Code: Other removal allowance or exemption",$I454&lt;&gt;"",ISNA(MATCH($I454,Tables!$B$215:$B$218,0))),
Error!$B$17,
IF(AND(OR($E454="Tier 2",$E454="Tier 2 Grove"),$F454="Remove",$H454="Tree Protection Code: Development Capacity",$I454&lt;&gt;"",ISNA(MATCH($I454,Tables!$B$193:$B$197,0))),
Error!$B$17,
IF(AND(OR($E454="Tier 2",$E454="Tier 2 Grove"),$F454="Remove",$H454="Tree Protection Code: Necessary for Construction",$I454&lt;&gt;"",ISNA(MATCH($I454,Tables!$B$193:$B$197,0))),
Error!$B$17,
IF(AND($E454="Tier 1",$F454="Remove",$H454="Tree Protection Code: Special Exception",$I454&lt;&gt;"",ISNA(MATCH($I454,Tables!$B$215:$B$218,0))),
Error!$B$17,
IF(AND($E454="Tier 1",$F454="Remove",$H454="Tree Protection Code: Other removal allowance or exemption",$I454&lt;&gt;"",ISNA(MATCH($I454,Tables!$B$215:$B$218,0))),
Error!$B$17,
IF(AND($E454="ECA / Shoreline Tree",$F454="Remove",$H454&lt;&gt;"",OR($H454="Shoreline",$H454="Environmental Critical Area (ECA)"),ISNA(MATCH($I454,Tables!$B$209:$B$212,0))),
Error!$B$17,
IF(AND(_xlpm.baseRow,$F454="Retain",$E454="ECA / Shoreline Tree",_xlpm.ECA_Short=0),
Error!$B$61,
IF(AND($F454="Remove",ISNUMBER(MATCH($E454,{"Tier 1","Tier 2","Tier 3","Tier 4","Tier 2 Grove"},0)),ISNUMBER(MATCH($I454,{"On-site replacement","Off-site replacement"},0)),$J454="",$H454&lt;&gt;""),
Error!$B$19,
IF(AND(_xlpm.baseRow,$E454&lt;&gt;"",$D454&lt;&gt;"",$F454&lt;&gt;"",COUNTBLANK($B454:$C454)&gt;0,COUNTBLANK(_xlpm.HRange)&lt;&gt;4),
Error!$B$22,
IF(AND($H454="Zoning: Tree Points",$K454&lt;&gt;"",ISNA(MATCH($K454,Tables!$B$242:$B$253,0))),
Error!$B$58,
IF(AND($H454="Zoning: Tree Points",$K454="Small",$L454&lt;&gt;"",ISNA(MATCH($L454,Tables!$C$243:$C$244,0))),
Error!$B$59,
IF(AND($H454="Zoning: Tree Points",$K454="Small/Medium",$L454&lt;&gt;"",ISNA(MATCH($L454,Tables!$C$246:$C$247,0))),
Error!$B$59,
IF(AND($H454="Zoning: Tree Points",$K454="Medium/Large",$L454&lt;&gt;"",ISNA(MATCH($L454,Tables!$C$249:$C$250,0))),
Error!$B$59,
IF(AND($H454="Zoning: Tree Points",$K454="Large",$L454&lt;&gt;"",ISNA(MATCH($L454,Tables!$C$252:$C$253,0))),
Error!$B$59,
IF(AND($F454="Retain",$H454="Zoning: Tree Points",$C454&lt;&gt;"",$D454&lt;&gt;"",OR($K454="",$L454="",$M454="")),
Error!$B$20,
""
)))))))))))))))))))))))))))))))))))))))))))))))))))))))),
Error!$B$23))</f>
        <v/>
      </c>
      <c r="O454" s="343" t="str" cm="1">
        <f t="array" aca="1" ref="O454" ca="1">IFERROR(_xlfn.LET(
    _xlpm.txt, $C454,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55" spans="1:15" ht="15" thickBot="1" x14ac:dyDescent="0.35">
      <c r="A455" s="311">
        <v>112</v>
      </c>
      <c r="B455" s="312"/>
      <c r="C455" s="313"/>
      <c r="D455" s="478"/>
      <c r="E455" s="314"/>
      <c r="F455" s="314"/>
      <c r="G455" s="315" t="str">
        <f>IF(Tree_Table1[[#This Row],[Tree Status  &amp;]]="Retain", Tables!$B$237, IF(Tree_Table1[[#This Row],[Tree Status  &amp;]]="Remove", Tables!$B$238, ""))</f>
        <v/>
      </c>
      <c r="H455" s="316"/>
      <c r="I455" s="317"/>
      <c r="J455" s="452"/>
      <c r="K455" s="318" t="str">
        <f>IFERROR(
    IF(
        AND($H455="Zoning: Tree Points", NOT(ISNUMBER(SEARCH("sp.", $C455)))),
        VLOOKUP($C455, 'Tree List'!$C$3:$F$601, 4, FALSE),
        ""
    ),
"")</f>
        <v/>
      </c>
      <c r="L455" s="319" t="str" cm="1">
        <f t="array" ref="L455">IFERROR(
IF(
    AND($H455="Zoning: Tree Points", NOT(ISNUMBER(SEARCH("sp.", $C455)))),
    _xlfn.IFS(
        (COUNTIFS('Tree List'!$C$3:$C$601,$C455,'Tree List'!$D$3:$D$601,"Coniferous")
        + COUNTIFS('Tree List'!$C$3:$C$601,$C455,'Tree List'!$D$3:$D$601,"Deciduous Conifer")) &gt; 0,
            _xlfn.IFS($K455="Small",0.5,$K455="Small/Medium",1,$K455="Medium/Large",1.4,$K455="Large",1.8),
        (COUNTIFS('Tree List'!$C$3:$C$601,$C455,'Tree List'!$D$3:$D$601,"Deciduous")
        + COUNTIFS('Tree List'!$C$3:$C$601,$C455,'Tree List'!$D$3:$D$601,"Broadleaf Evergreen")) &gt; 0,
            _xlfn.IFS($K455="Small",0.4,$K455="Small/Medium",0.8,$K455="Medium/Large",1.2,$K455="Large",1.6)
    ),
    ""
),
"")</f>
        <v/>
      </c>
      <c r="M455" s="474" t="str">
        <f t="shared" si="492"/>
        <v/>
      </c>
      <c r="N455" s="620" t="str" cm="1">
        <f t="array" aca="1" ref="N45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IF(AND(_xlpm.baseRow,ISNA(MATCH($C455,'Tree List'!$C$3:$C$601,0)),SUMPRODUCT(--ISNUMBER(SEARCH(Tables2!$C$677:$C$772,$O455)))&gt;0),
Error!$B$57,
IF(AND(_xlpm.hasDM,$F455="Remove",$H455&lt;&gt;"",OR($I455="On-site replacement",$I455="Off-site replacement",$I455="Payment In Lieu")),
Error!$B$56,
IF(AND(_xlpm.hasDM,$F455="Remove",$H455&lt;&gt;"",$I455="Relocation"),
Error!$B$66,
IF(AND(OR(_xlpm.hasCN,_xlpm.hasPH,_xlpm.hasGR),$H455&lt;&gt;"",COUNTIF(Tables!$B$132:$B$134,$H455)&gt;0,$I455="N/A (No replacement required)"),
Error!$B$62,
IF(AND(_xlpm.baseRow,$E455&lt;&gt;"",ISNA(MATCH($E455,Tables!$B$225:$B$232,0))),
Error!$B$2,
IF(AND(_xlpm.baseRow,$F455&lt;&gt;"",ISNA(MATCH($F455,Tables!$B$234:$B$235,0))),
Error!$B$24,
IF(AND(_xlpm.baseRow,_xlpm.ECA_H&gt;0,_xlpm.Shore_H&gt;0),
Error!$B$16,
IF(AND(_xlpm.baseRow,$E455&lt;&gt;"",$D455=""),
Error!$B$3,
IF(AND(_xlpm.baseRow,OR($E455="Tier 3",$E455="Tier 4"),$C455&lt;&gt;"",$D455&gt;=24,COUNTIF(Tables2!$B$166:$B$674,$C455)&gt;0),
Error!$B$44,
IF(AND(_xlpm.baseRow,OR($E455="Tier 3",$E455="Tier 4"),$C455&lt;&gt;"",$D455&lt;&gt;"",COUNTIF(Tables2!$B$73:$B$152,$C455)&gt;0,
$D455&gt;=IFERROR(INDEX(Tables2!$C$73:$C$152,MATCH($C455,Tables2!$B$73:$B$152,0)),-1)),
Error!$B$44,
IF(AND(_xlpm.baseRow,OR($E455="Tier 2",$E455="Tier 2 Grove"),$C455&lt;&gt;"",$D455&gt;=12,COUNTIF(Tables2!$B$153:$B$162,$C455)&gt;0),
Error!$B$45,
IF(AND(_xlpm.baseRow,$E455="Tier 2 Grove",$D455&lt;12),
Error!$B$41,
IF(AND(_xlpm.baseRow,$E455="Tier 2",$D455&lt;5.88),
Error!$B$40,
IF(AND(_xlpm.baseRow,OR($E455="Tier 2",$E455="Tier 2 Grove"),$C455&lt;&gt;"",$D455&lt;12,$D455&gt;=6,COUNTIF(Tables2!$B$153:$B$162,$C455)&gt;0),
Error!$B$54,
IF(AND(_xlpm.baseRow,$E455="Tier 2",COUNTIF(Tables2!$B$166:$B$674,$C455)&gt;0,$D455&lt;24),
Error!$B$54,
IF(AND(_xlpm.baseRow,$E455="Tier 3",ISNA(MATCH($C455,Tables2!$B$153:$B$162,0)),OR($D455&lt;12,$D455&gt;=24)),
Error!$B$9,
IF(AND(_xlpm.baseRow,$E455="Tier 3",COUNTIF(Tables2!$B$153:$B$162,$C455)&gt;0,$D455&lt;12),
Error!$B$46,
IF(AND(_xlpm.baseRow,$E455="Tier 4",OR($D455&lt;6,$D455&gt;=12)),
Error!$B$10,
IF(AND(_xlpm.baseRow,$E455="&lt;6in DSH for Tree Points",OR($D455&gt;=6,$D455="")),
Error!$B$8,
IF(AND(_xlpm.baseRow,$E455="Street Tree for Green Factor",$F455&lt;&gt;"",$F455&lt;&gt;"Retain"),
Error!$B$14,
IF(AND($E455="&lt;6in DSH for Tree Points",$F455="Retain",$H455&lt;&gt;"",ISNA(MATCH($H455,Tables!$B$174:$B$174,0))),
Error!$B$15,
IF(AND($E455="Street Tree for Green Factor",$F455="Retain",$H455&lt;&gt;"",$H455&lt;&gt;"Zoning: Green Factor"),
Error!$B$15,
IF(AND($E455="ECA / Shoreline Tree",$F455="Remove",$H455&lt;&gt;"",ISNA(MATCH($H455,Tables!$B$189:$B$190,0))),
Error!$B$15,
IF(AND($E455="ECA / Shoreline Tree",$F455="Retain",$H455&lt;&gt;"",ISNA(MATCH($H455,Tables!$B$184:$B$186,0))),
Error!$B$15,
IF(AND($E455="Tier 4",$F455="Remove",$H455&lt;&gt;"",ISNA(MATCH($H455,Tables!$B$171,0))),
Error!$B$15,
IF(AND($E455="Tier 4",$F455="Retain",$H455&lt;&gt;"",ISNA(MATCH($H455,Tables!$B$166:$B$168,0))),
Error!$B$15,
IF(AND($E455="Tier 3",$F455="Retain",$H455&lt;&gt;"",ISNA(MATCH($H455,Tables!$B$158:$B$160,0))),
Error!$B$15,
IF(AND($E455="Tier 3",$F455="Remove",$H455&lt;&gt;"",ISNA(MATCH($H455,Tables!$B$163,0))),
Error!$B$15,
IF(AND(OR($E455="Tier 2",$E455="Tier 2 Grove"),$F455="Remove",$H455&lt;&gt;"",ISNA(MATCH($H455,Tables!$B$153:$B$155,0))),
Error!$B$15,
IF(AND(OR($E455="Tier 2",$E455="Tier 2 Grove"),$F455="Retain",$H455&lt;&gt;"",ISNA(MATCH($H455,Tables!$B$147:$B$150,0))),
Error!$B$15,
IF(AND($E455="Tier 1",$F455="Remove",$H455&lt;&gt;"",ISNA(MATCH($H455,Tables!$B$143:$B$144,0))),
Error!$B$15,
IF(AND($E455="Tier 1",$F455="Retain",$H455&lt;&gt;"",ISNA(MATCH($H455,Tables!$B$137:$B$140,0))),
Error!$B$15,
IF(AND($E455&lt;&gt;"Tier 2",$E455&lt;&gt;"Tier 2 Grove",$E455&lt;&gt;"Tier 3",$E455&lt;&gt;"Tier 4",$H455="Zoning: Green Factor",OR($D455="",$D455&lt;6)),
Error!$B$11,
IF(AND(_xlpm.baseRow,$D455&lt;6,$E455="&lt;6in DSH for Tree Points",_xlpm.TreePoints_H=0),
Error!$B$21,
IF(AND(_xlpm.baseRow,$E455&lt;&gt;"",$D455&lt;&gt;"",$F455=""),
Error!$B$4,
IF(AND(_xlpm.baseRow,$F455="Remove",OR($E455="Tier 1",$E455="Tier 2",$E455="Tier 2 Grove"),COUNTBLANK(_xlpm.HRange)&lt;3,_xlpm.uniqueH&gt;=2),
Error!$B$48,
IF(AND(_xlpm.baseRow,$F455="Retain",OR($E455="Tier 1",$E455="Tier 2",$E455="Tier 2 Grove"),COUNTIF(_xlpm.HRange,"Tree Code: Required to Retain Tier 1-2 Tree")=0),
Error!$B$47,
IF(AND(_xlpm.baseRow,$E455&lt;&gt;"",$D455&lt;&gt;"",$F455&lt;&gt;"",COUNTBLANK(_xlpm.HRange)=4),
Error!$B$5,
IF(AND($F455="Remove",$H455&lt;&gt;"",$I455=""),
Error!$B$18,
IF(AND($E455="Tier 4",$F455="Remove",$H455="Tree Protection Code: Tier 3 or Tier 4 Allowance",$H455&lt;&gt;"",ISNA(MATCH($I455,Tables!$B$200,0))),
Error!$B$17,
IF(AND($E455="Tier 3",$F455="Remove",$H455&lt;&gt;"",$H455="Tree Protection Code: Tier 3 or Tier 4 Allowance",OR($I455="",ISNA(MATCH($I455,Tables!$B$193:$B$197,0)))),
Error!$B$17,
IF(AND(OR($E455="Tier 2",$E455="Tier 2 Grove"),$F455="Remove",$H455="Tree Protection Code: Other removal allowance or exemption",$I455&lt;&gt;"",ISNA(MATCH($I455,Tables!$B$215:$B$218,0))),
Error!$B$17,
IF(AND(OR($E455="Tier 2",$E455="Tier 2 Grove"),$F455="Remove",$H455="Tree Protection Code: Development Capacity",$I455&lt;&gt;"",ISNA(MATCH($I455,Tables!$B$193:$B$197,0))),
Error!$B$17,
IF(AND(OR($E455="Tier 2",$E455="Tier 2 Grove"),$F455="Remove",$H455="Tree Protection Code: Necessary for Construction",$I455&lt;&gt;"",ISNA(MATCH($I455,Tables!$B$193:$B$197,0))),
Error!$B$17,
IF(AND($E455="Tier 1",$F455="Remove",$H455="Tree Protection Code: Special Exception",$I455&lt;&gt;"",ISNA(MATCH($I455,Tables!$B$215:$B$218,0))),
Error!$B$17,
IF(AND($E455="Tier 1",$F455="Remove",$H455="Tree Protection Code: Other removal allowance or exemption",$I455&lt;&gt;"",ISNA(MATCH($I455,Tables!$B$215:$B$218,0))),
Error!$B$17,
IF(AND($E455="ECA / Shoreline Tree",$F455="Remove",$H455&lt;&gt;"",OR($H455="Shoreline",$H455="Environmental Critical Area (ECA)"),ISNA(MATCH($I455,Tables!$B$209:$B$212,0))),
Error!$B$17,
IF(AND(_xlpm.baseRow,$F455="Retain",$E455="ECA / Shoreline Tree",_xlpm.ECA_Short=0),
Error!$B$61,
IF(AND($F455="Remove",ISNUMBER(MATCH($E455,{"Tier 1","Tier 2","Tier 3","Tier 4","Tier 2 Grove"},0)),ISNUMBER(MATCH($I455,{"On-site replacement","Off-site replacement"},0)),$J455="",$H455&lt;&gt;""),
Error!$B$19,
IF(AND(_xlpm.baseRow,$E455&lt;&gt;"",$D455&lt;&gt;"",$F455&lt;&gt;"",COUNTBLANK($B455:$C455)&gt;0,COUNTBLANK(_xlpm.HRange)&lt;&gt;4),
Error!$B$22,
IF(AND($H455="Zoning: Tree Points",$K455&lt;&gt;"",ISNA(MATCH($K455,Tables!$B$242:$B$253,0))),
Error!$B$58,
IF(AND($H455="Zoning: Tree Points",$K455="Small",$L455&lt;&gt;"",ISNA(MATCH($L455,Tables!$C$243:$C$244,0))),
Error!$B$59,
IF(AND($H455="Zoning: Tree Points",$K455="Small/Medium",$L455&lt;&gt;"",ISNA(MATCH($L455,Tables!$C$246:$C$247,0))),
Error!$B$59,
IF(AND($H455="Zoning: Tree Points",$K455="Medium/Large",$L455&lt;&gt;"",ISNA(MATCH($L455,Tables!$C$249:$C$250,0))),
Error!$B$59,
IF(AND($H455="Zoning: Tree Points",$K455="Large",$L455&lt;&gt;"",ISNA(MATCH($L455,Tables!$C$252:$C$253,0))),
Error!$B$59,
IF(AND($F455="Retain",$H455="Zoning: Tree Points",$C455&lt;&gt;"",$D455&lt;&gt;"",OR($K455="",$L455="",$M455="")),
Error!$B$20,
""
)))))))))))))))))))))))))))))))))))))))))))))))))))))))),
Error!$B$23))</f>
        <v/>
      </c>
      <c r="O455" s="343" t="str" cm="1">
        <f t="array" aca="1" ref="O455" ca="1">IFERROR(_xlfn.LET(
    _xlpm.txt, $C455,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56" spans="1:15" x14ac:dyDescent="0.3">
      <c r="A456" s="320"/>
      <c r="B456" s="616" t="str">
        <f t="shared" ref="B456:B458" si="518">IF($B455="", "", $B455)</f>
        <v/>
      </c>
      <c r="C456" s="617" t="str">
        <f t="shared" ref="C456:C458" si="519">IF($C455="", "", $C455)</f>
        <v/>
      </c>
      <c r="D456" s="618" t="str">
        <f t="shared" ref="D456:D458" si="520">IF($D455="", "", $D455)</f>
        <v/>
      </c>
      <c r="E456" s="616" t="str">
        <f t="shared" ref="E456:E458" si="521">IF($E455="", "", $E455)</f>
        <v/>
      </c>
      <c r="F456" s="616" t="str">
        <f t="shared" ref="F456:F458" si="522">IF($F455="", "", $F455)</f>
        <v/>
      </c>
      <c r="G456" s="619" t="str">
        <f>IF(Tree_Table1[[#This Row],[Tree Status  &amp;]]="Retain", Tables!$B$237, IF(Tree_Table1[[#This Row],[Tree Status  &amp;]]="Remove", Tables!$B$238, ""))</f>
        <v/>
      </c>
      <c r="H456" s="321"/>
      <c r="I456" s="322"/>
      <c r="J456" s="453"/>
      <c r="K456" s="323" t="str">
        <f>IFERROR(
    IF(
        AND($H456="Zoning: Tree Points", NOT(ISNUMBER(SEARCH("sp.", $C456)))),
        VLOOKUP($C456, 'Tree List'!$C$3:$F$601, 4, FALSE),
        ""
    ),
"")</f>
        <v/>
      </c>
      <c r="L456" s="324" t="str" cm="1">
        <f t="array" ref="L456">IFERROR(
IF(
    AND($H456="Zoning: Tree Points", NOT(ISNUMBER(SEARCH("sp.", $C456)))),
    _xlfn.IFS(
        (COUNTIFS('Tree List'!$C$3:$C$601,$C456,'Tree List'!$D$3:$D$601,"Coniferous")
        + COUNTIFS('Tree List'!$C$3:$C$601,$C456,'Tree List'!$D$3:$D$601,"Deciduous Conifer")) &gt; 0,
            _xlfn.IFS($K456="Small",0.5,$K456="Small/Medium",1,$K456="Medium/Large",1.4,$K456="Large",1.8),
        (COUNTIFS('Tree List'!$C$3:$C$601,$C456,'Tree List'!$D$3:$D$601,"Deciduous")
        + COUNTIFS('Tree List'!$C$3:$C$601,$C456,'Tree List'!$D$3:$D$601,"Broadleaf Evergreen")) &gt; 0,
            _xlfn.IFS($K456="Small",0.4,$K456="Small/Medium",0.8,$K456="Medium/Large",1.2,$K456="Large",1.6)
    ),
    ""
),
"")</f>
        <v/>
      </c>
      <c r="M456" s="475" t="str">
        <f t="shared" si="492"/>
        <v/>
      </c>
      <c r="N456" s="346" t="str" cm="1">
        <f t="array" aca="1" ref="N45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IF(AND(_xlpm.baseRow,ISNA(MATCH($C456,'Tree List'!$C$3:$C$601,0)),SUMPRODUCT(--ISNUMBER(SEARCH(Tables2!$C$677:$C$772,$O456)))&gt;0),
Error!$B$57,
IF(AND(_xlpm.hasDM,$F456="Remove",$H456&lt;&gt;"",OR($I456="On-site replacement",$I456="Off-site replacement",$I456="Payment In Lieu")),
Error!$B$56,
IF(AND(_xlpm.hasDM,$F456="Remove",$H456&lt;&gt;"",$I456="Relocation"),
Error!$B$66,
IF(AND(OR(_xlpm.hasCN,_xlpm.hasPH,_xlpm.hasGR),$H456&lt;&gt;"",COUNTIF(Tables!$B$132:$B$134,$H456)&gt;0,$I456="N/A (No replacement required)"),
Error!$B$62,
IF(AND(_xlpm.baseRow,$E456&lt;&gt;"",ISNA(MATCH($E456,Tables!$B$225:$B$232,0))),
Error!$B$2,
IF(AND(_xlpm.baseRow,$F456&lt;&gt;"",ISNA(MATCH($F456,Tables!$B$234:$B$235,0))),
Error!$B$24,
IF(AND(_xlpm.baseRow,_xlpm.ECA_H&gt;0,_xlpm.Shore_H&gt;0),
Error!$B$16,
IF(AND(_xlpm.baseRow,$E456&lt;&gt;"",$D456=""),
Error!$B$3,
IF(AND(_xlpm.baseRow,OR($E456="Tier 3",$E456="Tier 4"),$C456&lt;&gt;"",$D456&gt;=24,COUNTIF(Tables2!$B$166:$B$674,$C456)&gt;0),
Error!$B$44,
IF(AND(_xlpm.baseRow,OR($E456="Tier 3",$E456="Tier 4"),$C456&lt;&gt;"",$D456&lt;&gt;"",COUNTIF(Tables2!$B$73:$B$152,$C456)&gt;0,
$D456&gt;=IFERROR(INDEX(Tables2!$C$73:$C$152,MATCH($C456,Tables2!$B$73:$B$152,0)),-1)),
Error!$B$44,
IF(AND(_xlpm.baseRow,OR($E456="Tier 2",$E456="Tier 2 Grove"),$C456&lt;&gt;"",$D456&gt;=12,COUNTIF(Tables2!$B$153:$B$162,$C456)&gt;0),
Error!$B$45,
IF(AND(_xlpm.baseRow,$E456="Tier 2 Grove",$D456&lt;12),
Error!$B$41,
IF(AND(_xlpm.baseRow,$E456="Tier 2",$D456&lt;5.88),
Error!$B$40,
IF(AND(_xlpm.baseRow,OR($E456="Tier 2",$E456="Tier 2 Grove"),$C456&lt;&gt;"",$D456&lt;12,$D456&gt;=6,COUNTIF(Tables2!$B$153:$B$162,$C456)&gt;0),
Error!$B$54,
IF(AND(_xlpm.baseRow,$E456="Tier 2",COUNTIF(Tables2!$B$166:$B$674,$C456)&gt;0,$D456&lt;24),
Error!$B$54,
IF(AND(_xlpm.baseRow,$E456="Tier 3",ISNA(MATCH($C456,Tables2!$B$153:$B$162,0)),OR($D456&lt;12,$D456&gt;=24)),
Error!$B$9,
IF(AND(_xlpm.baseRow,$E456="Tier 3",COUNTIF(Tables2!$B$153:$B$162,$C456)&gt;0,$D456&lt;12),
Error!$B$46,
IF(AND(_xlpm.baseRow,$E456="Tier 4",OR($D456&lt;6,$D456&gt;=12)),
Error!$B$10,
IF(AND(_xlpm.baseRow,$E456="&lt;6in DSH for Tree Points",OR($D456&gt;=6,$D456="")),
Error!$B$8,
IF(AND(_xlpm.baseRow,$E456="Street Tree for Green Factor",$F456&lt;&gt;"",$F456&lt;&gt;"Retain"),
Error!$B$14,
IF(AND($E456="&lt;6in DSH for Tree Points",$F456="Retain",$H456&lt;&gt;"",ISNA(MATCH($H456,Tables!$B$174:$B$174,0))),
Error!$B$15,
IF(AND($E456="Street Tree for Green Factor",$F456="Retain",$H456&lt;&gt;"",$H456&lt;&gt;"Zoning: Green Factor"),
Error!$B$15,
IF(AND($E456="ECA / Shoreline Tree",$F456="Remove",$H456&lt;&gt;"",ISNA(MATCH($H456,Tables!$B$189:$B$190,0))),
Error!$B$15,
IF(AND($E456="ECA / Shoreline Tree",$F456="Retain",$H456&lt;&gt;"",ISNA(MATCH($H456,Tables!$B$184:$B$186,0))),
Error!$B$15,
IF(AND($E456="Tier 4",$F456="Remove",$H456&lt;&gt;"",ISNA(MATCH($H456,Tables!$B$171,0))),
Error!$B$15,
IF(AND($E456="Tier 4",$F456="Retain",$H456&lt;&gt;"",ISNA(MATCH($H456,Tables!$B$166:$B$168,0))),
Error!$B$15,
IF(AND($E456="Tier 3",$F456="Retain",$H456&lt;&gt;"",ISNA(MATCH($H456,Tables!$B$158:$B$160,0))),
Error!$B$15,
IF(AND($E456="Tier 3",$F456="Remove",$H456&lt;&gt;"",ISNA(MATCH($H456,Tables!$B$163,0))),
Error!$B$15,
IF(AND(OR($E456="Tier 2",$E456="Tier 2 Grove"),$F456="Remove",$H456&lt;&gt;"",ISNA(MATCH($H456,Tables!$B$153:$B$155,0))),
Error!$B$15,
IF(AND(OR($E456="Tier 2",$E456="Tier 2 Grove"),$F456="Retain",$H456&lt;&gt;"",ISNA(MATCH($H456,Tables!$B$147:$B$150,0))),
Error!$B$15,
IF(AND($E456="Tier 1",$F456="Remove",$H456&lt;&gt;"",ISNA(MATCH($H456,Tables!$B$143:$B$144,0))),
Error!$B$15,
IF(AND($E456="Tier 1",$F456="Retain",$H456&lt;&gt;"",ISNA(MATCH($H456,Tables!$B$137:$B$140,0))),
Error!$B$15,
IF(AND($E456&lt;&gt;"Tier 2",$E456&lt;&gt;"Tier 2 Grove",$E456&lt;&gt;"Tier 3",$E456&lt;&gt;"Tier 4",$H456="Zoning: Green Factor",OR($D456="",$D456&lt;6)),
Error!$B$11,
IF(AND(_xlpm.baseRow,$D456&lt;6,$E456="&lt;6in DSH for Tree Points",_xlpm.TreePoints_H=0),
Error!$B$21,
IF(AND(_xlpm.baseRow,$E456&lt;&gt;"",$D456&lt;&gt;"",$F456=""),
Error!$B$4,
IF(AND(_xlpm.baseRow,$F456="Remove",OR($E456="Tier 1",$E456="Tier 2",$E456="Tier 2 Grove"),COUNTBLANK(_xlpm.HRange)&lt;3,_xlpm.uniqueH&gt;=2),
Error!$B$48,
IF(AND(_xlpm.baseRow,$F456="Retain",OR($E456="Tier 1",$E456="Tier 2",$E456="Tier 2 Grove"),COUNTIF(_xlpm.HRange,"Tree Code: Required to Retain Tier 1-2 Tree")=0),
Error!$B$47,
IF(AND(_xlpm.baseRow,$E456&lt;&gt;"",$D456&lt;&gt;"",$F456&lt;&gt;"",COUNTBLANK(_xlpm.HRange)=4),
Error!$B$5,
IF(AND($F456="Remove",$H456&lt;&gt;"",$I456=""),
Error!$B$18,
IF(AND($E456="Tier 4",$F456="Remove",$H456="Tree Protection Code: Tier 3 or Tier 4 Allowance",$H456&lt;&gt;"",ISNA(MATCH($I456,Tables!$B$200,0))),
Error!$B$17,
IF(AND($E456="Tier 3",$F456="Remove",$H456&lt;&gt;"",$H456="Tree Protection Code: Tier 3 or Tier 4 Allowance",OR($I456="",ISNA(MATCH($I456,Tables!$B$193:$B$197,0)))),
Error!$B$17,
IF(AND(OR($E456="Tier 2",$E456="Tier 2 Grove"),$F456="Remove",$H456="Tree Protection Code: Other removal allowance or exemption",$I456&lt;&gt;"",ISNA(MATCH($I456,Tables!$B$215:$B$218,0))),
Error!$B$17,
IF(AND(OR($E456="Tier 2",$E456="Tier 2 Grove"),$F456="Remove",$H456="Tree Protection Code: Development Capacity",$I456&lt;&gt;"",ISNA(MATCH($I456,Tables!$B$193:$B$197,0))),
Error!$B$17,
IF(AND(OR($E456="Tier 2",$E456="Tier 2 Grove"),$F456="Remove",$H456="Tree Protection Code: Necessary for Construction",$I456&lt;&gt;"",ISNA(MATCH($I456,Tables!$B$193:$B$197,0))),
Error!$B$17,
IF(AND($E456="Tier 1",$F456="Remove",$H456="Tree Protection Code: Special Exception",$I456&lt;&gt;"",ISNA(MATCH($I456,Tables!$B$215:$B$218,0))),
Error!$B$17,
IF(AND($E456="Tier 1",$F456="Remove",$H456="Tree Protection Code: Other removal allowance or exemption",$I456&lt;&gt;"",ISNA(MATCH($I456,Tables!$B$215:$B$218,0))),
Error!$B$17,
IF(AND($E456="ECA / Shoreline Tree",$F456="Remove",$H456&lt;&gt;"",OR($H456="Shoreline",$H456="Environmental Critical Area (ECA)"),ISNA(MATCH($I456,Tables!$B$209:$B$212,0))),
Error!$B$17,
IF(AND(_xlpm.baseRow,$F456="Retain",$E456="ECA / Shoreline Tree",_xlpm.ECA_Short=0),
Error!$B$61,
IF(AND($F456="Remove",ISNUMBER(MATCH($E456,{"Tier 1","Tier 2","Tier 3","Tier 4","Tier 2 Grove"},0)),ISNUMBER(MATCH($I456,{"On-site replacement","Off-site replacement"},0)),$J456="",$H456&lt;&gt;""),
Error!$B$19,
IF(AND(_xlpm.baseRow,$E456&lt;&gt;"",$D456&lt;&gt;"",$F456&lt;&gt;"",COUNTBLANK($B456:$C456)&gt;0,COUNTBLANK(_xlpm.HRange)&lt;&gt;4),
Error!$B$22,
IF(AND($H456="Zoning: Tree Points",$K456&lt;&gt;"",ISNA(MATCH($K456,Tables!$B$242:$B$253,0))),
Error!$B$58,
IF(AND($H456="Zoning: Tree Points",$K456="Small",$L456&lt;&gt;"",ISNA(MATCH($L456,Tables!$C$243:$C$244,0))),
Error!$B$59,
IF(AND($H456="Zoning: Tree Points",$K456="Small/Medium",$L456&lt;&gt;"",ISNA(MATCH($L456,Tables!$C$246:$C$247,0))),
Error!$B$59,
IF(AND($H456="Zoning: Tree Points",$K456="Medium/Large",$L456&lt;&gt;"",ISNA(MATCH($L456,Tables!$C$249:$C$250,0))),
Error!$B$59,
IF(AND($H456="Zoning: Tree Points",$K456="Large",$L456&lt;&gt;"",ISNA(MATCH($L456,Tables!$C$252:$C$253,0))),
Error!$B$59,
IF(AND($F456="Retain",$H456="Zoning: Tree Points",$C456&lt;&gt;"",$D456&lt;&gt;"",OR($K456="",$L456="",$M456="")),
Error!$B$20,
""
)))))))))))))))))))))))))))))))))))))))))))))))))))))))),
Error!$B$23))</f>
        <v/>
      </c>
      <c r="O456" s="343" t="str" cm="1">
        <f t="array" aca="1" ref="O456" ca="1">IFERROR(_xlfn.LET(
    _xlpm.txt, $C456,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57" spans="1:15" x14ac:dyDescent="0.3">
      <c r="A457" s="320"/>
      <c r="B457" s="616" t="str">
        <f t="shared" si="518"/>
        <v/>
      </c>
      <c r="C457" s="617" t="str">
        <f t="shared" si="519"/>
        <v/>
      </c>
      <c r="D457" s="618" t="str">
        <f t="shared" si="520"/>
        <v/>
      </c>
      <c r="E457" s="616" t="str">
        <f t="shared" si="521"/>
        <v/>
      </c>
      <c r="F457" s="616" t="str">
        <f t="shared" si="522"/>
        <v/>
      </c>
      <c r="G457" s="619" t="str">
        <f>IF(Tree_Table1[[#This Row],[Tree Status  &amp;]]="Retain", Tables!$B$237, IF(Tree_Table1[[#This Row],[Tree Status  &amp;]]="Remove", Tables!$B$238, ""))</f>
        <v/>
      </c>
      <c r="H457" s="321"/>
      <c r="I457" s="322"/>
      <c r="J457" s="453"/>
      <c r="K457" s="323" t="str">
        <f>IFERROR(
    IF(
        AND($H457="Zoning: Tree Points", NOT(ISNUMBER(SEARCH("sp.", $C457)))),
        VLOOKUP($C457, 'Tree List'!$C$3:$F$601, 4, FALSE),
        ""
    ),
"")</f>
        <v/>
      </c>
      <c r="L457" s="324" t="str" cm="1">
        <f t="array" ref="L457">IFERROR(
IF(
    AND($H457="Zoning: Tree Points", NOT(ISNUMBER(SEARCH("sp.", $C457)))),
    _xlfn.IFS(
        (COUNTIFS('Tree List'!$C$3:$C$601,$C457,'Tree List'!$D$3:$D$601,"Coniferous")
        + COUNTIFS('Tree List'!$C$3:$C$601,$C457,'Tree List'!$D$3:$D$601,"Deciduous Conifer")) &gt; 0,
            _xlfn.IFS($K457="Small",0.5,$K457="Small/Medium",1,$K457="Medium/Large",1.4,$K457="Large",1.8),
        (COUNTIFS('Tree List'!$C$3:$C$601,$C457,'Tree List'!$D$3:$D$601,"Deciduous")
        + COUNTIFS('Tree List'!$C$3:$C$601,$C457,'Tree List'!$D$3:$D$601,"Broadleaf Evergreen")) &gt; 0,
            _xlfn.IFS($K457="Small",0.4,$K457="Small/Medium",0.8,$K457="Medium/Large",1.2,$K457="Large",1.6)
    ),
    ""
),
"")</f>
        <v/>
      </c>
      <c r="M457" s="475" t="str">
        <f t="shared" si="492"/>
        <v/>
      </c>
      <c r="N457" s="346" t="str" cm="1">
        <f t="array" aca="1" ref="N45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IF(AND(_xlpm.baseRow,ISNA(MATCH($C457,'Tree List'!$C$3:$C$601,0)),SUMPRODUCT(--ISNUMBER(SEARCH(Tables2!$C$677:$C$772,$O457)))&gt;0),
Error!$B$57,
IF(AND(_xlpm.hasDM,$F457="Remove",$H457&lt;&gt;"",OR($I457="On-site replacement",$I457="Off-site replacement",$I457="Payment In Lieu")),
Error!$B$56,
IF(AND(_xlpm.hasDM,$F457="Remove",$H457&lt;&gt;"",$I457="Relocation"),
Error!$B$66,
IF(AND(OR(_xlpm.hasCN,_xlpm.hasPH,_xlpm.hasGR),$H457&lt;&gt;"",COUNTIF(Tables!$B$132:$B$134,$H457)&gt;0,$I457="N/A (No replacement required)"),
Error!$B$62,
IF(AND(_xlpm.baseRow,$E457&lt;&gt;"",ISNA(MATCH($E457,Tables!$B$225:$B$232,0))),
Error!$B$2,
IF(AND(_xlpm.baseRow,$F457&lt;&gt;"",ISNA(MATCH($F457,Tables!$B$234:$B$235,0))),
Error!$B$24,
IF(AND(_xlpm.baseRow,_xlpm.ECA_H&gt;0,_xlpm.Shore_H&gt;0),
Error!$B$16,
IF(AND(_xlpm.baseRow,$E457&lt;&gt;"",$D457=""),
Error!$B$3,
IF(AND(_xlpm.baseRow,OR($E457="Tier 3",$E457="Tier 4"),$C457&lt;&gt;"",$D457&gt;=24,COUNTIF(Tables2!$B$166:$B$674,$C457)&gt;0),
Error!$B$44,
IF(AND(_xlpm.baseRow,OR($E457="Tier 3",$E457="Tier 4"),$C457&lt;&gt;"",$D457&lt;&gt;"",COUNTIF(Tables2!$B$73:$B$152,$C457)&gt;0,
$D457&gt;=IFERROR(INDEX(Tables2!$C$73:$C$152,MATCH($C457,Tables2!$B$73:$B$152,0)),-1)),
Error!$B$44,
IF(AND(_xlpm.baseRow,OR($E457="Tier 2",$E457="Tier 2 Grove"),$C457&lt;&gt;"",$D457&gt;=12,COUNTIF(Tables2!$B$153:$B$162,$C457)&gt;0),
Error!$B$45,
IF(AND(_xlpm.baseRow,$E457="Tier 2 Grove",$D457&lt;12),
Error!$B$41,
IF(AND(_xlpm.baseRow,$E457="Tier 2",$D457&lt;5.88),
Error!$B$40,
IF(AND(_xlpm.baseRow,OR($E457="Tier 2",$E457="Tier 2 Grove"),$C457&lt;&gt;"",$D457&lt;12,$D457&gt;=6,COUNTIF(Tables2!$B$153:$B$162,$C457)&gt;0),
Error!$B$54,
IF(AND(_xlpm.baseRow,$E457="Tier 2",COUNTIF(Tables2!$B$166:$B$674,$C457)&gt;0,$D457&lt;24),
Error!$B$54,
IF(AND(_xlpm.baseRow,$E457="Tier 3",ISNA(MATCH($C457,Tables2!$B$153:$B$162,0)),OR($D457&lt;12,$D457&gt;=24)),
Error!$B$9,
IF(AND(_xlpm.baseRow,$E457="Tier 3",COUNTIF(Tables2!$B$153:$B$162,$C457)&gt;0,$D457&lt;12),
Error!$B$46,
IF(AND(_xlpm.baseRow,$E457="Tier 4",OR($D457&lt;6,$D457&gt;=12)),
Error!$B$10,
IF(AND(_xlpm.baseRow,$E457="&lt;6in DSH for Tree Points",OR($D457&gt;=6,$D457="")),
Error!$B$8,
IF(AND(_xlpm.baseRow,$E457="Street Tree for Green Factor",$F457&lt;&gt;"",$F457&lt;&gt;"Retain"),
Error!$B$14,
IF(AND($E457="&lt;6in DSH for Tree Points",$F457="Retain",$H457&lt;&gt;"",ISNA(MATCH($H457,Tables!$B$174:$B$174,0))),
Error!$B$15,
IF(AND($E457="Street Tree for Green Factor",$F457="Retain",$H457&lt;&gt;"",$H457&lt;&gt;"Zoning: Green Factor"),
Error!$B$15,
IF(AND($E457="ECA / Shoreline Tree",$F457="Remove",$H457&lt;&gt;"",ISNA(MATCH($H457,Tables!$B$189:$B$190,0))),
Error!$B$15,
IF(AND($E457="ECA / Shoreline Tree",$F457="Retain",$H457&lt;&gt;"",ISNA(MATCH($H457,Tables!$B$184:$B$186,0))),
Error!$B$15,
IF(AND($E457="Tier 4",$F457="Remove",$H457&lt;&gt;"",ISNA(MATCH($H457,Tables!$B$171,0))),
Error!$B$15,
IF(AND($E457="Tier 4",$F457="Retain",$H457&lt;&gt;"",ISNA(MATCH($H457,Tables!$B$166:$B$168,0))),
Error!$B$15,
IF(AND($E457="Tier 3",$F457="Retain",$H457&lt;&gt;"",ISNA(MATCH($H457,Tables!$B$158:$B$160,0))),
Error!$B$15,
IF(AND($E457="Tier 3",$F457="Remove",$H457&lt;&gt;"",ISNA(MATCH($H457,Tables!$B$163,0))),
Error!$B$15,
IF(AND(OR($E457="Tier 2",$E457="Tier 2 Grove"),$F457="Remove",$H457&lt;&gt;"",ISNA(MATCH($H457,Tables!$B$153:$B$155,0))),
Error!$B$15,
IF(AND(OR($E457="Tier 2",$E457="Tier 2 Grove"),$F457="Retain",$H457&lt;&gt;"",ISNA(MATCH($H457,Tables!$B$147:$B$150,0))),
Error!$B$15,
IF(AND($E457="Tier 1",$F457="Remove",$H457&lt;&gt;"",ISNA(MATCH($H457,Tables!$B$143:$B$144,0))),
Error!$B$15,
IF(AND($E457="Tier 1",$F457="Retain",$H457&lt;&gt;"",ISNA(MATCH($H457,Tables!$B$137:$B$140,0))),
Error!$B$15,
IF(AND($E457&lt;&gt;"Tier 2",$E457&lt;&gt;"Tier 2 Grove",$E457&lt;&gt;"Tier 3",$E457&lt;&gt;"Tier 4",$H457="Zoning: Green Factor",OR($D457="",$D457&lt;6)),
Error!$B$11,
IF(AND(_xlpm.baseRow,$D457&lt;6,$E457="&lt;6in DSH for Tree Points",_xlpm.TreePoints_H=0),
Error!$B$21,
IF(AND(_xlpm.baseRow,$E457&lt;&gt;"",$D457&lt;&gt;"",$F457=""),
Error!$B$4,
IF(AND(_xlpm.baseRow,$F457="Remove",OR($E457="Tier 1",$E457="Tier 2",$E457="Tier 2 Grove"),COUNTBLANK(_xlpm.HRange)&lt;3,_xlpm.uniqueH&gt;=2),
Error!$B$48,
IF(AND(_xlpm.baseRow,$F457="Retain",OR($E457="Tier 1",$E457="Tier 2",$E457="Tier 2 Grove"),COUNTIF(_xlpm.HRange,"Tree Code: Required to Retain Tier 1-2 Tree")=0),
Error!$B$47,
IF(AND(_xlpm.baseRow,$E457&lt;&gt;"",$D457&lt;&gt;"",$F457&lt;&gt;"",COUNTBLANK(_xlpm.HRange)=4),
Error!$B$5,
IF(AND($F457="Remove",$H457&lt;&gt;"",$I457=""),
Error!$B$18,
IF(AND($E457="Tier 4",$F457="Remove",$H457="Tree Protection Code: Tier 3 or Tier 4 Allowance",$H457&lt;&gt;"",ISNA(MATCH($I457,Tables!$B$200,0))),
Error!$B$17,
IF(AND($E457="Tier 3",$F457="Remove",$H457&lt;&gt;"",$H457="Tree Protection Code: Tier 3 or Tier 4 Allowance",OR($I457="",ISNA(MATCH($I457,Tables!$B$193:$B$197,0)))),
Error!$B$17,
IF(AND(OR($E457="Tier 2",$E457="Tier 2 Grove"),$F457="Remove",$H457="Tree Protection Code: Other removal allowance or exemption",$I457&lt;&gt;"",ISNA(MATCH($I457,Tables!$B$215:$B$218,0))),
Error!$B$17,
IF(AND(OR($E457="Tier 2",$E457="Tier 2 Grove"),$F457="Remove",$H457="Tree Protection Code: Development Capacity",$I457&lt;&gt;"",ISNA(MATCH($I457,Tables!$B$193:$B$197,0))),
Error!$B$17,
IF(AND(OR($E457="Tier 2",$E457="Tier 2 Grove"),$F457="Remove",$H457="Tree Protection Code: Necessary for Construction",$I457&lt;&gt;"",ISNA(MATCH($I457,Tables!$B$193:$B$197,0))),
Error!$B$17,
IF(AND($E457="Tier 1",$F457="Remove",$H457="Tree Protection Code: Special Exception",$I457&lt;&gt;"",ISNA(MATCH($I457,Tables!$B$215:$B$218,0))),
Error!$B$17,
IF(AND($E457="Tier 1",$F457="Remove",$H457="Tree Protection Code: Other removal allowance or exemption",$I457&lt;&gt;"",ISNA(MATCH($I457,Tables!$B$215:$B$218,0))),
Error!$B$17,
IF(AND($E457="ECA / Shoreline Tree",$F457="Remove",$H457&lt;&gt;"",OR($H457="Shoreline",$H457="Environmental Critical Area (ECA)"),ISNA(MATCH($I457,Tables!$B$209:$B$212,0))),
Error!$B$17,
IF(AND(_xlpm.baseRow,$F457="Retain",$E457="ECA / Shoreline Tree",_xlpm.ECA_Short=0),
Error!$B$61,
IF(AND($F457="Remove",ISNUMBER(MATCH($E457,{"Tier 1","Tier 2","Tier 3","Tier 4","Tier 2 Grove"},0)),ISNUMBER(MATCH($I457,{"On-site replacement","Off-site replacement"},0)),$J457="",$H457&lt;&gt;""),
Error!$B$19,
IF(AND(_xlpm.baseRow,$E457&lt;&gt;"",$D457&lt;&gt;"",$F457&lt;&gt;"",COUNTBLANK($B457:$C457)&gt;0,COUNTBLANK(_xlpm.HRange)&lt;&gt;4),
Error!$B$22,
IF(AND($H457="Zoning: Tree Points",$K457&lt;&gt;"",ISNA(MATCH($K457,Tables!$B$242:$B$253,0))),
Error!$B$58,
IF(AND($H457="Zoning: Tree Points",$K457="Small",$L457&lt;&gt;"",ISNA(MATCH($L457,Tables!$C$243:$C$244,0))),
Error!$B$59,
IF(AND($H457="Zoning: Tree Points",$K457="Small/Medium",$L457&lt;&gt;"",ISNA(MATCH($L457,Tables!$C$246:$C$247,0))),
Error!$B$59,
IF(AND($H457="Zoning: Tree Points",$K457="Medium/Large",$L457&lt;&gt;"",ISNA(MATCH($L457,Tables!$C$249:$C$250,0))),
Error!$B$59,
IF(AND($H457="Zoning: Tree Points",$K457="Large",$L457&lt;&gt;"",ISNA(MATCH($L457,Tables!$C$252:$C$253,0))),
Error!$B$59,
IF(AND($F457="Retain",$H457="Zoning: Tree Points",$C457&lt;&gt;"",$D457&lt;&gt;"",OR($K457="",$L457="",$M457="")),
Error!$B$20,
""
)))))))))))))))))))))))))))))))))))))))))))))))))))))))),
Error!$B$23))</f>
        <v/>
      </c>
      <c r="O457" s="343" t="str" cm="1">
        <f t="array" aca="1" ref="O457" ca="1">IFERROR(_xlfn.LET(
    _xlpm.txt, $C457,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58" spans="1:15" ht="15" thickBot="1" x14ac:dyDescent="0.35">
      <c r="A458" s="331"/>
      <c r="B458" s="616" t="str">
        <f t="shared" si="518"/>
        <v/>
      </c>
      <c r="C458" s="617" t="str">
        <f t="shared" si="519"/>
        <v/>
      </c>
      <c r="D458" s="618" t="str">
        <f t="shared" si="520"/>
        <v/>
      </c>
      <c r="E458" s="616" t="str">
        <f t="shared" si="521"/>
        <v/>
      </c>
      <c r="F458" s="616" t="str">
        <f t="shared" si="522"/>
        <v/>
      </c>
      <c r="G458" s="619" t="str">
        <f>IF(Tree_Table1[[#This Row],[Tree Status  &amp;]]="Retain", Tables!$B$237, IF(Tree_Table1[[#This Row],[Tree Status  &amp;]]="Remove", Tables!$B$238, ""))</f>
        <v/>
      </c>
      <c r="H458" s="329"/>
      <c r="I458" s="330"/>
      <c r="J458" s="455"/>
      <c r="K458" s="327" t="str">
        <f>IFERROR(
    IF(
        AND($H458="Zoning: Tree Points", NOT(ISNUMBER(SEARCH("sp.", $C458)))),
        VLOOKUP($C458, 'Tree List'!$C$3:$F$601, 4, FALSE),
        ""
    ),
"")</f>
        <v/>
      </c>
      <c r="L458" s="328" t="str" cm="1">
        <f t="array" ref="L458">IFERROR(
IF(
    AND($H458="Zoning: Tree Points", NOT(ISNUMBER(SEARCH("sp.", $C458)))),
    _xlfn.IFS(
        (COUNTIFS('Tree List'!$C$3:$C$601,$C458,'Tree List'!$D$3:$D$601,"Coniferous")
        + COUNTIFS('Tree List'!$C$3:$C$601,$C458,'Tree List'!$D$3:$D$601,"Deciduous Conifer")) &gt; 0,
            _xlfn.IFS($K458="Small",0.5,$K458="Small/Medium",1,$K458="Medium/Large",1.4,$K458="Large",1.8),
        (COUNTIFS('Tree List'!$C$3:$C$601,$C458,'Tree List'!$D$3:$D$601,"Deciduous")
        + COUNTIFS('Tree List'!$C$3:$C$601,$C458,'Tree List'!$D$3:$D$601,"Broadleaf Evergreen")) &gt; 0,
            _xlfn.IFS($K458="Small",0.4,$K458="Small/Medium",0.8,$K458="Medium/Large",1.2,$K458="Large",1.6)
    ),
    ""
),
"")</f>
        <v/>
      </c>
      <c r="M458" s="476" t="str">
        <f t="shared" si="492"/>
        <v/>
      </c>
      <c r="N458" s="347" t="str" cm="1">
        <f t="array" aca="1" ref="N45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IF(AND(_xlpm.baseRow,ISNA(MATCH($C458,'Tree List'!$C$3:$C$601,0)),SUMPRODUCT(--ISNUMBER(SEARCH(Tables2!$C$677:$C$772,$O458)))&gt;0),
Error!$B$57,
IF(AND(_xlpm.hasDM,$F458="Remove",$H458&lt;&gt;"",OR($I458="On-site replacement",$I458="Off-site replacement",$I458="Payment In Lieu")),
Error!$B$56,
IF(AND(_xlpm.hasDM,$F458="Remove",$H458&lt;&gt;"",$I458="Relocation"),
Error!$B$66,
IF(AND(OR(_xlpm.hasCN,_xlpm.hasPH,_xlpm.hasGR),$H458&lt;&gt;"",COUNTIF(Tables!$B$132:$B$134,$H458)&gt;0,$I458="N/A (No replacement required)"),
Error!$B$62,
IF(AND(_xlpm.baseRow,$E458&lt;&gt;"",ISNA(MATCH($E458,Tables!$B$225:$B$232,0))),
Error!$B$2,
IF(AND(_xlpm.baseRow,$F458&lt;&gt;"",ISNA(MATCH($F458,Tables!$B$234:$B$235,0))),
Error!$B$24,
IF(AND(_xlpm.baseRow,_xlpm.ECA_H&gt;0,_xlpm.Shore_H&gt;0),
Error!$B$16,
IF(AND(_xlpm.baseRow,$E458&lt;&gt;"",$D458=""),
Error!$B$3,
IF(AND(_xlpm.baseRow,OR($E458="Tier 3",$E458="Tier 4"),$C458&lt;&gt;"",$D458&gt;=24,COUNTIF(Tables2!$B$166:$B$674,$C458)&gt;0),
Error!$B$44,
IF(AND(_xlpm.baseRow,OR($E458="Tier 3",$E458="Tier 4"),$C458&lt;&gt;"",$D458&lt;&gt;"",COUNTIF(Tables2!$B$73:$B$152,$C458)&gt;0,
$D458&gt;=IFERROR(INDEX(Tables2!$C$73:$C$152,MATCH($C458,Tables2!$B$73:$B$152,0)),-1)),
Error!$B$44,
IF(AND(_xlpm.baseRow,OR($E458="Tier 2",$E458="Tier 2 Grove"),$C458&lt;&gt;"",$D458&gt;=12,COUNTIF(Tables2!$B$153:$B$162,$C458)&gt;0),
Error!$B$45,
IF(AND(_xlpm.baseRow,$E458="Tier 2 Grove",$D458&lt;12),
Error!$B$41,
IF(AND(_xlpm.baseRow,$E458="Tier 2",$D458&lt;5.88),
Error!$B$40,
IF(AND(_xlpm.baseRow,OR($E458="Tier 2",$E458="Tier 2 Grove"),$C458&lt;&gt;"",$D458&lt;12,$D458&gt;=6,COUNTIF(Tables2!$B$153:$B$162,$C458)&gt;0),
Error!$B$54,
IF(AND(_xlpm.baseRow,$E458="Tier 2",COUNTIF(Tables2!$B$166:$B$674,$C458)&gt;0,$D458&lt;24),
Error!$B$54,
IF(AND(_xlpm.baseRow,$E458="Tier 3",ISNA(MATCH($C458,Tables2!$B$153:$B$162,0)),OR($D458&lt;12,$D458&gt;=24)),
Error!$B$9,
IF(AND(_xlpm.baseRow,$E458="Tier 3",COUNTIF(Tables2!$B$153:$B$162,$C458)&gt;0,$D458&lt;12),
Error!$B$46,
IF(AND(_xlpm.baseRow,$E458="Tier 4",OR($D458&lt;6,$D458&gt;=12)),
Error!$B$10,
IF(AND(_xlpm.baseRow,$E458="&lt;6in DSH for Tree Points",OR($D458&gt;=6,$D458="")),
Error!$B$8,
IF(AND(_xlpm.baseRow,$E458="Street Tree for Green Factor",$F458&lt;&gt;"",$F458&lt;&gt;"Retain"),
Error!$B$14,
IF(AND($E458="&lt;6in DSH for Tree Points",$F458="Retain",$H458&lt;&gt;"",ISNA(MATCH($H458,Tables!$B$174:$B$174,0))),
Error!$B$15,
IF(AND($E458="Street Tree for Green Factor",$F458="Retain",$H458&lt;&gt;"",$H458&lt;&gt;"Zoning: Green Factor"),
Error!$B$15,
IF(AND($E458="ECA / Shoreline Tree",$F458="Remove",$H458&lt;&gt;"",ISNA(MATCH($H458,Tables!$B$189:$B$190,0))),
Error!$B$15,
IF(AND($E458="ECA / Shoreline Tree",$F458="Retain",$H458&lt;&gt;"",ISNA(MATCH($H458,Tables!$B$184:$B$186,0))),
Error!$B$15,
IF(AND($E458="Tier 4",$F458="Remove",$H458&lt;&gt;"",ISNA(MATCH($H458,Tables!$B$171,0))),
Error!$B$15,
IF(AND($E458="Tier 4",$F458="Retain",$H458&lt;&gt;"",ISNA(MATCH($H458,Tables!$B$166:$B$168,0))),
Error!$B$15,
IF(AND($E458="Tier 3",$F458="Retain",$H458&lt;&gt;"",ISNA(MATCH($H458,Tables!$B$158:$B$160,0))),
Error!$B$15,
IF(AND($E458="Tier 3",$F458="Remove",$H458&lt;&gt;"",ISNA(MATCH($H458,Tables!$B$163,0))),
Error!$B$15,
IF(AND(OR($E458="Tier 2",$E458="Tier 2 Grove"),$F458="Remove",$H458&lt;&gt;"",ISNA(MATCH($H458,Tables!$B$153:$B$155,0))),
Error!$B$15,
IF(AND(OR($E458="Tier 2",$E458="Tier 2 Grove"),$F458="Retain",$H458&lt;&gt;"",ISNA(MATCH($H458,Tables!$B$147:$B$150,0))),
Error!$B$15,
IF(AND($E458="Tier 1",$F458="Remove",$H458&lt;&gt;"",ISNA(MATCH($H458,Tables!$B$143:$B$144,0))),
Error!$B$15,
IF(AND($E458="Tier 1",$F458="Retain",$H458&lt;&gt;"",ISNA(MATCH($H458,Tables!$B$137:$B$140,0))),
Error!$B$15,
IF(AND($E458&lt;&gt;"Tier 2",$E458&lt;&gt;"Tier 2 Grove",$E458&lt;&gt;"Tier 3",$E458&lt;&gt;"Tier 4",$H458="Zoning: Green Factor",OR($D458="",$D458&lt;6)),
Error!$B$11,
IF(AND(_xlpm.baseRow,$D458&lt;6,$E458="&lt;6in DSH for Tree Points",_xlpm.TreePoints_H=0),
Error!$B$21,
IF(AND(_xlpm.baseRow,$E458&lt;&gt;"",$D458&lt;&gt;"",$F458=""),
Error!$B$4,
IF(AND(_xlpm.baseRow,$F458="Remove",OR($E458="Tier 1",$E458="Tier 2",$E458="Tier 2 Grove"),COUNTBLANK(_xlpm.HRange)&lt;3,_xlpm.uniqueH&gt;=2),
Error!$B$48,
IF(AND(_xlpm.baseRow,$F458="Retain",OR($E458="Tier 1",$E458="Tier 2",$E458="Tier 2 Grove"),COUNTIF(_xlpm.HRange,"Tree Code: Required to Retain Tier 1-2 Tree")=0),
Error!$B$47,
IF(AND(_xlpm.baseRow,$E458&lt;&gt;"",$D458&lt;&gt;"",$F458&lt;&gt;"",COUNTBLANK(_xlpm.HRange)=4),
Error!$B$5,
IF(AND($F458="Remove",$H458&lt;&gt;"",$I458=""),
Error!$B$18,
IF(AND($E458="Tier 4",$F458="Remove",$H458="Tree Protection Code: Tier 3 or Tier 4 Allowance",$H458&lt;&gt;"",ISNA(MATCH($I458,Tables!$B$200,0))),
Error!$B$17,
IF(AND($E458="Tier 3",$F458="Remove",$H458&lt;&gt;"",$H458="Tree Protection Code: Tier 3 or Tier 4 Allowance",OR($I458="",ISNA(MATCH($I458,Tables!$B$193:$B$197,0)))),
Error!$B$17,
IF(AND(OR($E458="Tier 2",$E458="Tier 2 Grove"),$F458="Remove",$H458="Tree Protection Code: Other removal allowance or exemption",$I458&lt;&gt;"",ISNA(MATCH($I458,Tables!$B$215:$B$218,0))),
Error!$B$17,
IF(AND(OR($E458="Tier 2",$E458="Tier 2 Grove"),$F458="Remove",$H458="Tree Protection Code: Development Capacity",$I458&lt;&gt;"",ISNA(MATCH($I458,Tables!$B$193:$B$197,0))),
Error!$B$17,
IF(AND(OR($E458="Tier 2",$E458="Tier 2 Grove"),$F458="Remove",$H458="Tree Protection Code: Necessary for Construction",$I458&lt;&gt;"",ISNA(MATCH($I458,Tables!$B$193:$B$197,0))),
Error!$B$17,
IF(AND($E458="Tier 1",$F458="Remove",$H458="Tree Protection Code: Special Exception",$I458&lt;&gt;"",ISNA(MATCH($I458,Tables!$B$215:$B$218,0))),
Error!$B$17,
IF(AND($E458="Tier 1",$F458="Remove",$H458="Tree Protection Code: Other removal allowance or exemption",$I458&lt;&gt;"",ISNA(MATCH($I458,Tables!$B$215:$B$218,0))),
Error!$B$17,
IF(AND($E458="ECA / Shoreline Tree",$F458="Remove",$H458&lt;&gt;"",OR($H458="Shoreline",$H458="Environmental Critical Area (ECA)"),ISNA(MATCH($I458,Tables!$B$209:$B$212,0))),
Error!$B$17,
IF(AND(_xlpm.baseRow,$F458="Retain",$E458="ECA / Shoreline Tree",_xlpm.ECA_Short=0),
Error!$B$61,
IF(AND($F458="Remove",ISNUMBER(MATCH($E458,{"Tier 1","Tier 2","Tier 3","Tier 4","Tier 2 Grove"},0)),ISNUMBER(MATCH($I458,{"On-site replacement","Off-site replacement"},0)),$J458="",$H458&lt;&gt;""),
Error!$B$19,
IF(AND(_xlpm.baseRow,$E458&lt;&gt;"",$D458&lt;&gt;"",$F458&lt;&gt;"",COUNTBLANK($B458:$C458)&gt;0,COUNTBLANK(_xlpm.HRange)&lt;&gt;4),
Error!$B$22,
IF(AND($H458="Zoning: Tree Points",$K458&lt;&gt;"",ISNA(MATCH($K458,Tables!$B$242:$B$253,0))),
Error!$B$58,
IF(AND($H458="Zoning: Tree Points",$K458="Small",$L458&lt;&gt;"",ISNA(MATCH($L458,Tables!$C$243:$C$244,0))),
Error!$B$59,
IF(AND($H458="Zoning: Tree Points",$K458="Small/Medium",$L458&lt;&gt;"",ISNA(MATCH($L458,Tables!$C$246:$C$247,0))),
Error!$B$59,
IF(AND($H458="Zoning: Tree Points",$K458="Medium/Large",$L458&lt;&gt;"",ISNA(MATCH($L458,Tables!$C$249:$C$250,0))),
Error!$B$59,
IF(AND($H458="Zoning: Tree Points",$K458="Large",$L458&lt;&gt;"",ISNA(MATCH($L458,Tables!$C$252:$C$253,0))),
Error!$B$59,
IF(AND($F458="Retain",$H458="Zoning: Tree Points",$C458&lt;&gt;"",$D458&lt;&gt;"",OR($K458="",$L458="",$M458="")),
Error!$B$20,
""
)))))))))))))))))))))))))))))))))))))))))))))))))))))))),
Error!$B$23))</f>
        <v/>
      </c>
      <c r="O458" s="343" t="str" cm="1">
        <f t="array" aca="1" ref="O458" ca="1">IFERROR(_xlfn.LET(
    _xlpm.txt, $C458,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59" spans="1:15" ht="15" thickBot="1" x14ac:dyDescent="0.35">
      <c r="A459" s="311">
        <v>113</v>
      </c>
      <c r="B459" s="312"/>
      <c r="C459" s="313"/>
      <c r="D459" s="478"/>
      <c r="E459" s="314"/>
      <c r="F459" s="314"/>
      <c r="G459" s="315" t="str">
        <f>IF(Tree_Table1[[#This Row],[Tree Status  &amp;]]="Retain", Tables!$B$237, IF(Tree_Table1[[#This Row],[Tree Status  &amp;]]="Remove", Tables!$B$238, ""))</f>
        <v/>
      </c>
      <c r="H459" s="316"/>
      <c r="I459" s="317"/>
      <c r="J459" s="452"/>
      <c r="K459" s="318" t="str">
        <f>IFERROR(
    IF(
        AND($H459="Zoning: Tree Points", NOT(ISNUMBER(SEARCH("sp.", $C459)))),
        VLOOKUP($C459, 'Tree List'!$C$3:$F$601, 4, FALSE),
        ""
    ),
"")</f>
        <v/>
      </c>
      <c r="L459" s="319" t="str" cm="1">
        <f t="array" ref="L459">IFERROR(
IF(
    AND($H459="Zoning: Tree Points", NOT(ISNUMBER(SEARCH("sp.", $C459)))),
    _xlfn.IFS(
        (COUNTIFS('Tree List'!$C$3:$C$601,$C459,'Tree List'!$D$3:$D$601,"Coniferous")
        + COUNTIFS('Tree List'!$C$3:$C$601,$C459,'Tree List'!$D$3:$D$601,"Deciduous Conifer")) &gt; 0,
            _xlfn.IFS($K459="Small",0.5,$K459="Small/Medium",1,$K459="Medium/Large",1.4,$K459="Large",1.8),
        (COUNTIFS('Tree List'!$C$3:$C$601,$C459,'Tree List'!$D$3:$D$601,"Deciduous")
        + COUNTIFS('Tree List'!$C$3:$C$601,$C459,'Tree List'!$D$3:$D$601,"Broadleaf Evergreen")) &gt; 0,
            _xlfn.IFS($K459="Small",0.4,$K459="Small/Medium",0.8,$K459="Medium/Large",1.2,$K459="Large",1.6)
    ),
    ""
),
"")</f>
        <v/>
      </c>
      <c r="M459" s="474" t="str">
        <f t="shared" si="492"/>
        <v/>
      </c>
      <c r="N459" s="620" t="str" cm="1">
        <f t="array" aca="1" ref="N45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IF(AND(_xlpm.baseRow,ISNA(MATCH($C459,'Tree List'!$C$3:$C$601,0)),SUMPRODUCT(--ISNUMBER(SEARCH(Tables2!$C$677:$C$772,$O459)))&gt;0),
Error!$B$57,
IF(AND(_xlpm.hasDM,$F459="Remove",$H459&lt;&gt;"",OR($I459="On-site replacement",$I459="Off-site replacement",$I459="Payment In Lieu")),
Error!$B$56,
IF(AND(_xlpm.hasDM,$F459="Remove",$H459&lt;&gt;"",$I459="Relocation"),
Error!$B$66,
IF(AND(OR(_xlpm.hasCN,_xlpm.hasPH,_xlpm.hasGR),$H459&lt;&gt;"",COUNTIF(Tables!$B$132:$B$134,$H459)&gt;0,$I459="N/A (No replacement required)"),
Error!$B$62,
IF(AND(_xlpm.baseRow,$E459&lt;&gt;"",ISNA(MATCH($E459,Tables!$B$225:$B$232,0))),
Error!$B$2,
IF(AND(_xlpm.baseRow,$F459&lt;&gt;"",ISNA(MATCH($F459,Tables!$B$234:$B$235,0))),
Error!$B$24,
IF(AND(_xlpm.baseRow,_xlpm.ECA_H&gt;0,_xlpm.Shore_H&gt;0),
Error!$B$16,
IF(AND(_xlpm.baseRow,$E459&lt;&gt;"",$D459=""),
Error!$B$3,
IF(AND(_xlpm.baseRow,OR($E459="Tier 3",$E459="Tier 4"),$C459&lt;&gt;"",$D459&gt;=24,COUNTIF(Tables2!$B$166:$B$674,$C459)&gt;0),
Error!$B$44,
IF(AND(_xlpm.baseRow,OR($E459="Tier 3",$E459="Tier 4"),$C459&lt;&gt;"",$D459&lt;&gt;"",COUNTIF(Tables2!$B$73:$B$152,$C459)&gt;0,
$D459&gt;=IFERROR(INDEX(Tables2!$C$73:$C$152,MATCH($C459,Tables2!$B$73:$B$152,0)),-1)),
Error!$B$44,
IF(AND(_xlpm.baseRow,OR($E459="Tier 2",$E459="Tier 2 Grove"),$C459&lt;&gt;"",$D459&gt;=12,COUNTIF(Tables2!$B$153:$B$162,$C459)&gt;0),
Error!$B$45,
IF(AND(_xlpm.baseRow,$E459="Tier 2 Grove",$D459&lt;12),
Error!$B$41,
IF(AND(_xlpm.baseRow,$E459="Tier 2",$D459&lt;5.88),
Error!$B$40,
IF(AND(_xlpm.baseRow,OR($E459="Tier 2",$E459="Tier 2 Grove"),$C459&lt;&gt;"",$D459&lt;12,$D459&gt;=6,COUNTIF(Tables2!$B$153:$B$162,$C459)&gt;0),
Error!$B$54,
IF(AND(_xlpm.baseRow,$E459="Tier 2",COUNTIF(Tables2!$B$166:$B$674,$C459)&gt;0,$D459&lt;24),
Error!$B$54,
IF(AND(_xlpm.baseRow,$E459="Tier 3",ISNA(MATCH($C459,Tables2!$B$153:$B$162,0)),OR($D459&lt;12,$D459&gt;=24)),
Error!$B$9,
IF(AND(_xlpm.baseRow,$E459="Tier 3",COUNTIF(Tables2!$B$153:$B$162,$C459)&gt;0,$D459&lt;12),
Error!$B$46,
IF(AND(_xlpm.baseRow,$E459="Tier 4",OR($D459&lt;6,$D459&gt;=12)),
Error!$B$10,
IF(AND(_xlpm.baseRow,$E459="&lt;6in DSH for Tree Points",OR($D459&gt;=6,$D459="")),
Error!$B$8,
IF(AND(_xlpm.baseRow,$E459="Street Tree for Green Factor",$F459&lt;&gt;"",$F459&lt;&gt;"Retain"),
Error!$B$14,
IF(AND($E459="&lt;6in DSH for Tree Points",$F459="Retain",$H459&lt;&gt;"",ISNA(MATCH($H459,Tables!$B$174:$B$174,0))),
Error!$B$15,
IF(AND($E459="Street Tree for Green Factor",$F459="Retain",$H459&lt;&gt;"",$H459&lt;&gt;"Zoning: Green Factor"),
Error!$B$15,
IF(AND($E459="ECA / Shoreline Tree",$F459="Remove",$H459&lt;&gt;"",ISNA(MATCH($H459,Tables!$B$189:$B$190,0))),
Error!$B$15,
IF(AND($E459="ECA / Shoreline Tree",$F459="Retain",$H459&lt;&gt;"",ISNA(MATCH($H459,Tables!$B$184:$B$186,0))),
Error!$B$15,
IF(AND($E459="Tier 4",$F459="Remove",$H459&lt;&gt;"",ISNA(MATCH($H459,Tables!$B$171,0))),
Error!$B$15,
IF(AND($E459="Tier 4",$F459="Retain",$H459&lt;&gt;"",ISNA(MATCH($H459,Tables!$B$166:$B$168,0))),
Error!$B$15,
IF(AND($E459="Tier 3",$F459="Retain",$H459&lt;&gt;"",ISNA(MATCH($H459,Tables!$B$158:$B$160,0))),
Error!$B$15,
IF(AND($E459="Tier 3",$F459="Remove",$H459&lt;&gt;"",ISNA(MATCH($H459,Tables!$B$163,0))),
Error!$B$15,
IF(AND(OR($E459="Tier 2",$E459="Tier 2 Grove"),$F459="Remove",$H459&lt;&gt;"",ISNA(MATCH($H459,Tables!$B$153:$B$155,0))),
Error!$B$15,
IF(AND(OR($E459="Tier 2",$E459="Tier 2 Grove"),$F459="Retain",$H459&lt;&gt;"",ISNA(MATCH($H459,Tables!$B$147:$B$150,0))),
Error!$B$15,
IF(AND($E459="Tier 1",$F459="Remove",$H459&lt;&gt;"",ISNA(MATCH($H459,Tables!$B$143:$B$144,0))),
Error!$B$15,
IF(AND($E459="Tier 1",$F459="Retain",$H459&lt;&gt;"",ISNA(MATCH($H459,Tables!$B$137:$B$140,0))),
Error!$B$15,
IF(AND($E459&lt;&gt;"Tier 2",$E459&lt;&gt;"Tier 2 Grove",$E459&lt;&gt;"Tier 3",$E459&lt;&gt;"Tier 4",$H459="Zoning: Green Factor",OR($D459="",$D459&lt;6)),
Error!$B$11,
IF(AND(_xlpm.baseRow,$D459&lt;6,$E459="&lt;6in DSH for Tree Points",_xlpm.TreePoints_H=0),
Error!$B$21,
IF(AND(_xlpm.baseRow,$E459&lt;&gt;"",$D459&lt;&gt;"",$F459=""),
Error!$B$4,
IF(AND(_xlpm.baseRow,$F459="Remove",OR($E459="Tier 1",$E459="Tier 2",$E459="Tier 2 Grove"),COUNTBLANK(_xlpm.HRange)&lt;3,_xlpm.uniqueH&gt;=2),
Error!$B$48,
IF(AND(_xlpm.baseRow,$F459="Retain",OR($E459="Tier 1",$E459="Tier 2",$E459="Tier 2 Grove"),COUNTIF(_xlpm.HRange,"Tree Code: Required to Retain Tier 1-2 Tree")=0),
Error!$B$47,
IF(AND(_xlpm.baseRow,$E459&lt;&gt;"",$D459&lt;&gt;"",$F459&lt;&gt;"",COUNTBLANK(_xlpm.HRange)=4),
Error!$B$5,
IF(AND($F459="Remove",$H459&lt;&gt;"",$I459=""),
Error!$B$18,
IF(AND($E459="Tier 4",$F459="Remove",$H459="Tree Protection Code: Tier 3 or Tier 4 Allowance",$H459&lt;&gt;"",ISNA(MATCH($I459,Tables!$B$200,0))),
Error!$B$17,
IF(AND($E459="Tier 3",$F459="Remove",$H459&lt;&gt;"",$H459="Tree Protection Code: Tier 3 or Tier 4 Allowance",OR($I459="",ISNA(MATCH($I459,Tables!$B$193:$B$197,0)))),
Error!$B$17,
IF(AND(OR($E459="Tier 2",$E459="Tier 2 Grove"),$F459="Remove",$H459="Tree Protection Code: Other removal allowance or exemption",$I459&lt;&gt;"",ISNA(MATCH($I459,Tables!$B$215:$B$218,0))),
Error!$B$17,
IF(AND(OR($E459="Tier 2",$E459="Tier 2 Grove"),$F459="Remove",$H459="Tree Protection Code: Development Capacity",$I459&lt;&gt;"",ISNA(MATCH($I459,Tables!$B$193:$B$197,0))),
Error!$B$17,
IF(AND(OR($E459="Tier 2",$E459="Tier 2 Grove"),$F459="Remove",$H459="Tree Protection Code: Necessary for Construction",$I459&lt;&gt;"",ISNA(MATCH($I459,Tables!$B$193:$B$197,0))),
Error!$B$17,
IF(AND($E459="Tier 1",$F459="Remove",$H459="Tree Protection Code: Special Exception",$I459&lt;&gt;"",ISNA(MATCH($I459,Tables!$B$215:$B$218,0))),
Error!$B$17,
IF(AND($E459="Tier 1",$F459="Remove",$H459="Tree Protection Code: Other removal allowance or exemption",$I459&lt;&gt;"",ISNA(MATCH($I459,Tables!$B$215:$B$218,0))),
Error!$B$17,
IF(AND($E459="ECA / Shoreline Tree",$F459="Remove",$H459&lt;&gt;"",OR($H459="Shoreline",$H459="Environmental Critical Area (ECA)"),ISNA(MATCH($I459,Tables!$B$209:$B$212,0))),
Error!$B$17,
IF(AND(_xlpm.baseRow,$F459="Retain",$E459="ECA / Shoreline Tree",_xlpm.ECA_Short=0),
Error!$B$61,
IF(AND($F459="Remove",ISNUMBER(MATCH($E459,{"Tier 1","Tier 2","Tier 3","Tier 4","Tier 2 Grove"},0)),ISNUMBER(MATCH($I459,{"On-site replacement","Off-site replacement"},0)),$J459="",$H459&lt;&gt;""),
Error!$B$19,
IF(AND(_xlpm.baseRow,$E459&lt;&gt;"",$D459&lt;&gt;"",$F459&lt;&gt;"",COUNTBLANK($B459:$C459)&gt;0,COUNTBLANK(_xlpm.HRange)&lt;&gt;4),
Error!$B$22,
IF(AND($H459="Zoning: Tree Points",$K459&lt;&gt;"",ISNA(MATCH($K459,Tables!$B$242:$B$253,0))),
Error!$B$58,
IF(AND($H459="Zoning: Tree Points",$K459="Small",$L459&lt;&gt;"",ISNA(MATCH($L459,Tables!$C$243:$C$244,0))),
Error!$B$59,
IF(AND($H459="Zoning: Tree Points",$K459="Small/Medium",$L459&lt;&gt;"",ISNA(MATCH($L459,Tables!$C$246:$C$247,0))),
Error!$B$59,
IF(AND($H459="Zoning: Tree Points",$K459="Medium/Large",$L459&lt;&gt;"",ISNA(MATCH($L459,Tables!$C$249:$C$250,0))),
Error!$B$59,
IF(AND($H459="Zoning: Tree Points",$K459="Large",$L459&lt;&gt;"",ISNA(MATCH($L459,Tables!$C$252:$C$253,0))),
Error!$B$59,
IF(AND($F459="Retain",$H459="Zoning: Tree Points",$C459&lt;&gt;"",$D459&lt;&gt;"",OR($K459="",$L459="",$M459="")),
Error!$B$20,
""
)))))))))))))))))))))))))))))))))))))))))))))))))))))))),
Error!$B$23))</f>
        <v/>
      </c>
      <c r="O459" s="343" t="str" cm="1">
        <f t="array" aca="1" ref="O459" ca="1">IFERROR(_xlfn.LET(
    _xlpm.txt, $C459,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60" spans="1:15" x14ac:dyDescent="0.3">
      <c r="A460" s="320"/>
      <c r="B460" s="616" t="str">
        <f t="shared" ref="B460:B462" si="523">IF($B459="", "", $B459)</f>
        <v/>
      </c>
      <c r="C460" s="617" t="str">
        <f t="shared" ref="C460:C462" si="524">IF($C459="", "", $C459)</f>
        <v/>
      </c>
      <c r="D460" s="618" t="str">
        <f t="shared" ref="D460:D462" si="525">IF($D459="", "", $D459)</f>
        <v/>
      </c>
      <c r="E460" s="616" t="str">
        <f t="shared" ref="E460:E462" si="526">IF($E459="", "", $E459)</f>
        <v/>
      </c>
      <c r="F460" s="616" t="str">
        <f t="shared" ref="F460:F462" si="527">IF($F459="", "", $F459)</f>
        <v/>
      </c>
      <c r="G460" s="619" t="str">
        <f>IF(Tree_Table1[[#This Row],[Tree Status  &amp;]]="Retain", Tables!$B$237, IF(Tree_Table1[[#This Row],[Tree Status  &amp;]]="Remove", Tables!$B$238, ""))</f>
        <v/>
      </c>
      <c r="H460" s="321"/>
      <c r="I460" s="322"/>
      <c r="J460" s="453"/>
      <c r="K460" s="323" t="str">
        <f>IFERROR(
    IF(
        AND($H460="Zoning: Tree Points", NOT(ISNUMBER(SEARCH("sp.", $C460)))),
        VLOOKUP($C460, 'Tree List'!$C$3:$F$601, 4, FALSE),
        ""
    ),
"")</f>
        <v/>
      </c>
      <c r="L460" s="324" t="str" cm="1">
        <f t="array" ref="L460">IFERROR(
IF(
    AND($H460="Zoning: Tree Points", NOT(ISNUMBER(SEARCH("sp.", $C460)))),
    _xlfn.IFS(
        (COUNTIFS('Tree List'!$C$3:$C$601,$C460,'Tree List'!$D$3:$D$601,"Coniferous")
        + COUNTIFS('Tree List'!$C$3:$C$601,$C460,'Tree List'!$D$3:$D$601,"Deciduous Conifer")) &gt; 0,
            _xlfn.IFS($K460="Small",0.5,$K460="Small/Medium",1,$K460="Medium/Large",1.4,$K460="Large",1.8),
        (COUNTIFS('Tree List'!$C$3:$C$601,$C460,'Tree List'!$D$3:$D$601,"Deciduous")
        + COUNTIFS('Tree List'!$C$3:$C$601,$C460,'Tree List'!$D$3:$D$601,"Broadleaf Evergreen")) &gt; 0,
            _xlfn.IFS($K460="Small",0.4,$K460="Small/Medium",0.8,$K460="Medium/Large",1.2,$K460="Large",1.6)
    ),
    ""
),
"")</f>
        <v/>
      </c>
      <c r="M460" s="475" t="str">
        <f t="shared" si="492"/>
        <v/>
      </c>
      <c r="N460" s="346" t="str" cm="1">
        <f t="array" aca="1" ref="N46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IF(AND(_xlpm.baseRow,ISNA(MATCH($C460,'Tree List'!$C$3:$C$601,0)),SUMPRODUCT(--ISNUMBER(SEARCH(Tables2!$C$677:$C$772,$O460)))&gt;0),
Error!$B$57,
IF(AND(_xlpm.hasDM,$F460="Remove",$H460&lt;&gt;"",OR($I460="On-site replacement",$I460="Off-site replacement",$I460="Payment In Lieu")),
Error!$B$56,
IF(AND(_xlpm.hasDM,$F460="Remove",$H460&lt;&gt;"",$I460="Relocation"),
Error!$B$66,
IF(AND(OR(_xlpm.hasCN,_xlpm.hasPH,_xlpm.hasGR),$H460&lt;&gt;"",COUNTIF(Tables!$B$132:$B$134,$H460)&gt;0,$I460="N/A (No replacement required)"),
Error!$B$62,
IF(AND(_xlpm.baseRow,$E460&lt;&gt;"",ISNA(MATCH($E460,Tables!$B$225:$B$232,0))),
Error!$B$2,
IF(AND(_xlpm.baseRow,$F460&lt;&gt;"",ISNA(MATCH($F460,Tables!$B$234:$B$235,0))),
Error!$B$24,
IF(AND(_xlpm.baseRow,_xlpm.ECA_H&gt;0,_xlpm.Shore_H&gt;0),
Error!$B$16,
IF(AND(_xlpm.baseRow,$E460&lt;&gt;"",$D460=""),
Error!$B$3,
IF(AND(_xlpm.baseRow,OR($E460="Tier 3",$E460="Tier 4"),$C460&lt;&gt;"",$D460&gt;=24,COUNTIF(Tables2!$B$166:$B$674,$C460)&gt;0),
Error!$B$44,
IF(AND(_xlpm.baseRow,OR($E460="Tier 3",$E460="Tier 4"),$C460&lt;&gt;"",$D460&lt;&gt;"",COUNTIF(Tables2!$B$73:$B$152,$C460)&gt;0,
$D460&gt;=IFERROR(INDEX(Tables2!$C$73:$C$152,MATCH($C460,Tables2!$B$73:$B$152,0)),-1)),
Error!$B$44,
IF(AND(_xlpm.baseRow,OR($E460="Tier 2",$E460="Tier 2 Grove"),$C460&lt;&gt;"",$D460&gt;=12,COUNTIF(Tables2!$B$153:$B$162,$C460)&gt;0),
Error!$B$45,
IF(AND(_xlpm.baseRow,$E460="Tier 2 Grove",$D460&lt;12),
Error!$B$41,
IF(AND(_xlpm.baseRow,$E460="Tier 2",$D460&lt;5.88),
Error!$B$40,
IF(AND(_xlpm.baseRow,OR($E460="Tier 2",$E460="Tier 2 Grove"),$C460&lt;&gt;"",$D460&lt;12,$D460&gt;=6,COUNTIF(Tables2!$B$153:$B$162,$C460)&gt;0),
Error!$B$54,
IF(AND(_xlpm.baseRow,$E460="Tier 2",COUNTIF(Tables2!$B$166:$B$674,$C460)&gt;0,$D460&lt;24),
Error!$B$54,
IF(AND(_xlpm.baseRow,$E460="Tier 3",ISNA(MATCH($C460,Tables2!$B$153:$B$162,0)),OR($D460&lt;12,$D460&gt;=24)),
Error!$B$9,
IF(AND(_xlpm.baseRow,$E460="Tier 3",COUNTIF(Tables2!$B$153:$B$162,$C460)&gt;0,$D460&lt;12),
Error!$B$46,
IF(AND(_xlpm.baseRow,$E460="Tier 4",OR($D460&lt;6,$D460&gt;=12)),
Error!$B$10,
IF(AND(_xlpm.baseRow,$E460="&lt;6in DSH for Tree Points",OR($D460&gt;=6,$D460="")),
Error!$B$8,
IF(AND(_xlpm.baseRow,$E460="Street Tree for Green Factor",$F460&lt;&gt;"",$F460&lt;&gt;"Retain"),
Error!$B$14,
IF(AND($E460="&lt;6in DSH for Tree Points",$F460="Retain",$H460&lt;&gt;"",ISNA(MATCH($H460,Tables!$B$174:$B$174,0))),
Error!$B$15,
IF(AND($E460="Street Tree for Green Factor",$F460="Retain",$H460&lt;&gt;"",$H460&lt;&gt;"Zoning: Green Factor"),
Error!$B$15,
IF(AND($E460="ECA / Shoreline Tree",$F460="Remove",$H460&lt;&gt;"",ISNA(MATCH($H460,Tables!$B$189:$B$190,0))),
Error!$B$15,
IF(AND($E460="ECA / Shoreline Tree",$F460="Retain",$H460&lt;&gt;"",ISNA(MATCH($H460,Tables!$B$184:$B$186,0))),
Error!$B$15,
IF(AND($E460="Tier 4",$F460="Remove",$H460&lt;&gt;"",ISNA(MATCH($H460,Tables!$B$171,0))),
Error!$B$15,
IF(AND($E460="Tier 4",$F460="Retain",$H460&lt;&gt;"",ISNA(MATCH($H460,Tables!$B$166:$B$168,0))),
Error!$B$15,
IF(AND($E460="Tier 3",$F460="Retain",$H460&lt;&gt;"",ISNA(MATCH($H460,Tables!$B$158:$B$160,0))),
Error!$B$15,
IF(AND($E460="Tier 3",$F460="Remove",$H460&lt;&gt;"",ISNA(MATCH($H460,Tables!$B$163,0))),
Error!$B$15,
IF(AND(OR($E460="Tier 2",$E460="Tier 2 Grove"),$F460="Remove",$H460&lt;&gt;"",ISNA(MATCH($H460,Tables!$B$153:$B$155,0))),
Error!$B$15,
IF(AND(OR($E460="Tier 2",$E460="Tier 2 Grove"),$F460="Retain",$H460&lt;&gt;"",ISNA(MATCH($H460,Tables!$B$147:$B$150,0))),
Error!$B$15,
IF(AND($E460="Tier 1",$F460="Remove",$H460&lt;&gt;"",ISNA(MATCH($H460,Tables!$B$143:$B$144,0))),
Error!$B$15,
IF(AND($E460="Tier 1",$F460="Retain",$H460&lt;&gt;"",ISNA(MATCH($H460,Tables!$B$137:$B$140,0))),
Error!$B$15,
IF(AND($E460&lt;&gt;"Tier 2",$E460&lt;&gt;"Tier 2 Grove",$E460&lt;&gt;"Tier 3",$E460&lt;&gt;"Tier 4",$H460="Zoning: Green Factor",OR($D460="",$D460&lt;6)),
Error!$B$11,
IF(AND(_xlpm.baseRow,$D460&lt;6,$E460="&lt;6in DSH for Tree Points",_xlpm.TreePoints_H=0),
Error!$B$21,
IF(AND(_xlpm.baseRow,$E460&lt;&gt;"",$D460&lt;&gt;"",$F460=""),
Error!$B$4,
IF(AND(_xlpm.baseRow,$F460="Remove",OR($E460="Tier 1",$E460="Tier 2",$E460="Tier 2 Grove"),COUNTBLANK(_xlpm.HRange)&lt;3,_xlpm.uniqueH&gt;=2),
Error!$B$48,
IF(AND(_xlpm.baseRow,$F460="Retain",OR($E460="Tier 1",$E460="Tier 2",$E460="Tier 2 Grove"),COUNTIF(_xlpm.HRange,"Tree Code: Required to Retain Tier 1-2 Tree")=0),
Error!$B$47,
IF(AND(_xlpm.baseRow,$E460&lt;&gt;"",$D460&lt;&gt;"",$F460&lt;&gt;"",COUNTBLANK(_xlpm.HRange)=4),
Error!$B$5,
IF(AND($F460="Remove",$H460&lt;&gt;"",$I460=""),
Error!$B$18,
IF(AND($E460="Tier 4",$F460="Remove",$H460="Tree Protection Code: Tier 3 or Tier 4 Allowance",$H460&lt;&gt;"",ISNA(MATCH($I460,Tables!$B$200,0))),
Error!$B$17,
IF(AND($E460="Tier 3",$F460="Remove",$H460&lt;&gt;"",$H460="Tree Protection Code: Tier 3 or Tier 4 Allowance",OR($I460="",ISNA(MATCH($I460,Tables!$B$193:$B$197,0)))),
Error!$B$17,
IF(AND(OR($E460="Tier 2",$E460="Tier 2 Grove"),$F460="Remove",$H460="Tree Protection Code: Other removal allowance or exemption",$I460&lt;&gt;"",ISNA(MATCH($I460,Tables!$B$215:$B$218,0))),
Error!$B$17,
IF(AND(OR($E460="Tier 2",$E460="Tier 2 Grove"),$F460="Remove",$H460="Tree Protection Code: Development Capacity",$I460&lt;&gt;"",ISNA(MATCH($I460,Tables!$B$193:$B$197,0))),
Error!$B$17,
IF(AND(OR($E460="Tier 2",$E460="Tier 2 Grove"),$F460="Remove",$H460="Tree Protection Code: Necessary for Construction",$I460&lt;&gt;"",ISNA(MATCH($I460,Tables!$B$193:$B$197,0))),
Error!$B$17,
IF(AND($E460="Tier 1",$F460="Remove",$H460="Tree Protection Code: Special Exception",$I460&lt;&gt;"",ISNA(MATCH($I460,Tables!$B$215:$B$218,0))),
Error!$B$17,
IF(AND($E460="Tier 1",$F460="Remove",$H460="Tree Protection Code: Other removal allowance or exemption",$I460&lt;&gt;"",ISNA(MATCH($I460,Tables!$B$215:$B$218,0))),
Error!$B$17,
IF(AND($E460="ECA / Shoreline Tree",$F460="Remove",$H460&lt;&gt;"",OR($H460="Shoreline",$H460="Environmental Critical Area (ECA)"),ISNA(MATCH($I460,Tables!$B$209:$B$212,0))),
Error!$B$17,
IF(AND(_xlpm.baseRow,$F460="Retain",$E460="ECA / Shoreline Tree",_xlpm.ECA_Short=0),
Error!$B$61,
IF(AND($F460="Remove",ISNUMBER(MATCH($E460,{"Tier 1","Tier 2","Tier 3","Tier 4","Tier 2 Grove"},0)),ISNUMBER(MATCH($I460,{"On-site replacement","Off-site replacement"},0)),$J460="",$H460&lt;&gt;""),
Error!$B$19,
IF(AND(_xlpm.baseRow,$E460&lt;&gt;"",$D460&lt;&gt;"",$F460&lt;&gt;"",COUNTBLANK($B460:$C460)&gt;0,COUNTBLANK(_xlpm.HRange)&lt;&gt;4),
Error!$B$22,
IF(AND($H460="Zoning: Tree Points",$K460&lt;&gt;"",ISNA(MATCH($K460,Tables!$B$242:$B$253,0))),
Error!$B$58,
IF(AND($H460="Zoning: Tree Points",$K460="Small",$L460&lt;&gt;"",ISNA(MATCH($L460,Tables!$C$243:$C$244,0))),
Error!$B$59,
IF(AND($H460="Zoning: Tree Points",$K460="Small/Medium",$L460&lt;&gt;"",ISNA(MATCH($L460,Tables!$C$246:$C$247,0))),
Error!$B$59,
IF(AND($H460="Zoning: Tree Points",$K460="Medium/Large",$L460&lt;&gt;"",ISNA(MATCH($L460,Tables!$C$249:$C$250,0))),
Error!$B$59,
IF(AND($H460="Zoning: Tree Points",$K460="Large",$L460&lt;&gt;"",ISNA(MATCH($L460,Tables!$C$252:$C$253,0))),
Error!$B$59,
IF(AND($F460="Retain",$H460="Zoning: Tree Points",$C460&lt;&gt;"",$D460&lt;&gt;"",OR($K460="",$L460="",$M460="")),
Error!$B$20,
""
)))))))))))))))))))))))))))))))))))))))))))))))))))))))),
Error!$B$23))</f>
        <v/>
      </c>
      <c r="O460" s="343" t="str" cm="1">
        <f t="array" aca="1" ref="O460" ca="1">IFERROR(_xlfn.LET(
    _xlpm.txt, $C460,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61" spans="1:15" x14ac:dyDescent="0.3">
      <c r="A461" s="320"/>
      <c r="B461" s="616" t="str">
        <f t="shared" si="523"/>
        <v/>
      </c>
      <c r="C461" s="617" t="str">
        <f t="shared" si="524"/>
        <v/>
      </c>
      <c r="D461" s="618" t="str">
        <f t="shared" si="525"/>
        <v/>
      </c>
      <c r="E461" s="616" t="str">
        <f t="shared" si="526"/>
        <v/>
      </c>
      <c r="F461" s="616" t="str">
        <f t="shared" si="527"/>
        <v/>
      </c>
      <c r="G461" s="619" t="str">
        <f>IF(Tree_Table1[[#This Row],[Tree Status  &amp;]]="Retain", Tables!$B$237, IF(Tree_Table1[[#This Row],[Tree Status  &amp;]]="Remove", Tables!$B$238, ""))</f>
        <v/>
      </c>
      <c r="H461" s="321"/>
      <c r="I461" s="322"/>
      <c r="J461" s="453"/>
      <c r="K461" s="323" t="str">
        <f>IFERROR(
    IF(
        AND($H461="Zoning: Tree Points", NOT(ISNUMBER(SEARCH("sp.", $C461)))),
        VLOOKUP($C461, 'Tree List'!$C$3:$F$601, 4, FALSE),
        ""
    ),
"")</f>
        <v/>
      </c>
      <c r="L461" s="324" t="str" cm="1">
        <f t="array" ref="L461">IFERROR(
IF(
    AND($H461="Zoning: Tree Points", NOT(ISNUMBER(SEARCH("sp.", $C461)))),
    _xlfn.IFS(
        (COUNTIFS('Tree List'!$C$3:$C$601,$C461,'Tree List'!$D$3:$D$601,"Coniferous")
        + COUNTIFS('Tree List'!$C$3:$C$601,$C461,'Tree List'!$D$3:$D$601,"Deciduous Conifer")) &gt; 0,
            _xlfn.IFS($K461="Small",0.5,$K461="Small/Medium",1,$K461="Medium/Large",1.4,$K461="Large",1.8),
        (COUNTIFS('Tree List'!$C$3:$C$601,$C461,'Tree List'!$D$3:$D$601,"Deciduous")
        + COUNTIFS('Tree List'!$C$3:$C$601,$C461,'Tree List'!$D$3:$D$601,"Broadleaf Evergreen")) &gt; 0,
            _xlfn.IFS($K461="Small",0.4,$K461="Small/Medium",0.8,$K461="Medium/Large",1.2,$K461="Large",1.6)
    ),
    ""
),
"")</f>
        <v/>
      </c>
      <c r="M461" s="475" t="str">
        <f t="shared" si="492"/>
        <v/>
      </c>
      <c r="N461" s="346" t="str" cm="1">
        <f t="array" aca="1" ref="N46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IF(AND(_xlpm.baseRow,ISNA(MATCH($C461,'Tree List'!$C$3:$C$601,0)),SUMPRODUCT(--ISNUMBER(SEARCH(Tables2!$C$677:$C$772,$O461)))&gt;0),
Error!$B$57,
IF(AND(_xlpm.hasDM,$F461="Remove",$H461&lt;&gt;"",OR($I461="On-site replacement",$I461="Off-site replacement",$I461="Payment In Lieu")),
Error!$B$56,
IF(AND(_xlpm.hasDM,$F461="Remove",$H461&lt;&gt;"",$I461="Relocation"),
Error!$B$66,
IF(AND(OR(_xlpm.hasCN,_xlpm.hasPH,_xlpm.hasGR),$H461&lt;&gt;"",COUNTIF(Tables!$B$132:$B$134,$H461)&gt;0,$I461="N/A (No replacement required)"),
Error!$B$62,
IF(AND(_xlpm.baseRow,$E461&lt;&gt;"",ISNA(MATCH($E461,Tables!$B$225:$B$232,0))),
Error!$B$2,
IF(AND(_xlpm.baseRow,$F461&lt;&gt;"",ISNA(MATCH($F461,Tables!$B$234:$B$235,0))),
Error!$B$24,
IF(AND(_xlpm.baseRow,_xlpm.ECA_H&gt;0,_xlpm.Shore_H&gt;0),
Error!$B$16,
IF(AND(_xlpm.baseRow,$E461&lt;&gt;"",$D461=""),
Error!$B$3,
IF(AND(_xlpm.baseRow,OR($E461="Tier 3",$E461="Tier 4"),$C461&lt;&gt;"",$D461&gt;=24,COUNTIF(Tables2!$B$166:$B$674,$C461)&gt;0),
Error!$B$44,
IF(AND(_xlpm.baseRow,OR($E461="Tier 3",$E461="Tier 4"),$C461&lt;&gt;"",$D461&lt;&gt;"",COUNTIF(Tables2!$B$73:$B$152,$C461)&gt;0,
$D461&gt;=IFERROR(INDEX(Tables2!$C$73:$C$152,MATCH($C461,Tables2!$B$73:$B$152,0)),-1)),
Error!$B$44,
IF(AND(_xlpm.baseRow,OR($E461="Tier 2",$E461="Tier 2 Grove"),$C461&lt;&gt;"",$D461&gt;=12,COUNTIF(Tables2!$B$153:$B$162,$C461)&gt;0),
Error!$B$45,
IF(AND(_xlpm.baseRow,$E461="Tier 2 Grove",$D461&lt;12),
Error!$B$41,
IF(AND(_xlpm.baseRow,$E461="Tier 2",$D461&lt;5.88),
Error!$B$40,
IF(AND(_xlpm.baseRow,OR($E461="Tier 2",$E461="Tier 2 Grove"),$C461&lt;&gt;"",$D461&lt;12,$D461&gt;=6,COUNTIF(Tables2!$B$153:$B$162,$C461)&gt;0),
Error!$B$54,
IF(AND(_xlpm.baseRow,$E461="Tier 2",COUNTIF(Tables2!$B$166:$B$674,$C461)&gt;0,$D461&lt;24),
Error!$B$54,
IF(AND(_xlpm.baseRow,$E461="Tier 3",ISNA(MATCH($C461,Tables2!$B$153:$B$162,0)),OR($D461&lt;12,$D461&gt;=24)),
Error!$B$9,
IF(AND(_xlpm.baseRow,$E461="Tier 3",COUNTIF(Tables2!$B$153:$B$162,$C461)&gt;0,$D461&lt;12),
Error!$B$46,
IF(AND(_xlpm.baseRow,$E461="Tier 4",OR($D461&lt;6,$D461&gt;=12)),
Error!$B$10,
IF(AND(_xlpm.baseRow,$E461="&lt;6in DSH for Tree Points",OR($D461&gt;=6,$D461="")),
Error!$B$8,
IF(AND(_xlpm.baseRow,$E461="Street Tree for Green Factor",$F461&lt;&gt;"",$F461&lt;&gt;"Retain"),
Error!$B$14,
IF(AND($E461="&lt;6in DSH for Tree Points",$F461="Retain",$H461&lt;&gt;"",ISNA(MATCH($H461,Tables!$B$174:$B$174,0))),
Error!$B$15,
IF(AND($E461="Street Tree for Green Factor",$F461="Retain",$H461&lt;&gt;"",$H461&lt;&gt;"Zoning: Green Factor"),
Error!$B$15,
IF(AND($E461="ECA / Shoreline Tree",$F461="Remove",$H461&lt;&gt;"",ISNA(MATCH($H461,Tables!$B$189:$B$190,0))),
Error!$B$15,
IF(AND($E461="ECA / Shoreline Tree",$F461="Retain",$H461&lt;&gt;"",ISNA(MATCH($H461,Tables!$B$184:$B$186,0))),
Error!$B$15,
IF(AND($E461="Tier 4",$F461="Remove",$H461&lt;&gt;"",ISNA(MATCH($H461,Tables!$B$171,0))),
Error!$B$15,
IF(AND($E461="Tier 4",$F461="Retain",$H461&lt;&gt;"",ISNA(MATCH($H461,Tables!$B$166:$B$168,0))),
Error!$B$15,
IF(AND($E461="Tier 3",$F461="Retain",$H461&lt;&gt;"",ISNA(MATCH($H461,Tables!$B$158:$B$160,0))),
Error!$B$15,
IF(AND($E461="Tier 3",$F461="Remove",$H461&lt;&gt;"",ISNA(MATCH($H461,Tables!$B$163,0))),
Error!$B$15,
IF(AND(OR($E461="Tier 2",$E461="Tier 2 Grove"),$F461="Remove",$H461&lt;&gt;"",ISNA(MATCH($H461,Tables!$B$153:$B$155,0))),
Error!$B$15,
IF(AND(OR($E461="Tier 2",$E461="Tier 2 Grove"),$F461="Retain",$H461&lt;&gt;"",ISNA(MATCH($H461,Tables!$B$147:$B$150,0))),
Error!$B$15,
IF(AND($E461="Tier 1",$F461="Remove",$H461&lt;&gt;"",ISNA(MATCH($H461,Tables!$B$143:$B$144,0))),
Error!$B$15,
IF(AND($E461="Tier 1",$F461="Retain",$H461&lt;&gt;"",ISNA(MATCH($H461,Tables!$B$137:$B$140,0))),
Error!$B$15,
IF(AND($E461&lt;&gt;"Tier 2",$E461&lt;&gt;"Tier 2 Grove",$E461&lt;&gt;"Tier 3",$E461&lt;&gt;"Tier 4",$H461="Zoning: Green Factor",OR($D461="",$D461&lt;6)),
Error!$B$11,
IF(AND(_xlpm.baseRow,$D461&lt;6,$E461="&lt;6in DSH for Tree Points",_xlpm.TreePoints_H=0),
Error!$B$21,
IF(AND(_xlpm.baseRow,$E461&lt;&gt;"",$D461&lt;&gt;"",$F461=""),
Error!$B$4,
IF(AND(_xlpm.baseRow,$F461="Remove",OR($E461="Tier 1",$E461="Tier 2",$E461="Tier 2 Grove"),COUNTBLANK(_xlpm.HRange)&lt;3,_xlpm.uniqueH&gt;=2),
Error!$B$48,
IF(AND(_xlpm.baseRow,$F461="Retain",OR($E461="Tier 1",$E461="Tier 2",$E461="Tier 2 Grove"),COUNTIF(_xlpm.HRange,"Tree Code: Required to Retain Tier 1-2 Tree")=0),
Error!$B$47,
IF(AND(_xlpm.baseRow,$E461&lt;&gt;"",$D461&lt;&gt;"",$F461&lt;&gt;"",COUNTBLANK(_xlpm.HRange)=4),
Error!$B$5,
IF(AND($F461="Remove",$H461&lt;&gt;"",$I461=""),
Error!$B$18,
IF(AND($E461="Tier 4",$F461="Remove",$H461="Tree Protection Code: Tier 3 or Tier 4 Allowance",$H461&lt;&gt;"",ISNA(MATCH($I461,Tables!$B$200,0))),
Error!$B$17,
IF(AND($E461="Tier 3",$F461="Remove",$H461&lt;&gt;"",$H461="Tree Protection Code: Tier 3 or Tier 4 Allowance",OR($I461="",ISNA(MATCH($I461,Tables!$B$193:$B$197,0)))),
Error!$B$17,
IF(AND(OR($E461="Tier 2",$E461="Tier 2 Grove"),$F461="Remove",$H461="Tree Protection Code: Other removal allowance or exemption",$I461&lt;&gt;"",ISNA(MATCH($I461,Tables!$B$215:$B$218,0))),
Error!$B$17,
IF(AND(OR($E461="Tier 2",$E461="Tier 2 Grove"),$F461="Remove",$H461="Tree Protection Code: Development Capacity",$I461&lt;&gt;"",ISNA(MATCH($I461,Tables!$B$193:$B$197,0))),
Error!$B$17,
IF(AND(OR($E461="Tier 2",$E461="Tier 2 Grove"),$F461="Remove",$H461="Tree Protection Code: Necessary for Construction",$I461&lt;&gt;"",ISNA(MATCH($I461,Tables!$B$193:$B$197,0))),
Error!$B$17,
IF(AND($E461="Tier 1",$F461="Remove",$H461="Tree Protection Code: Special Exception",$I461&lt;&gt;"",ISNA(MATCH($I461,Tables!$B$215:$B$218,0))),
Error!$B$17,
IF(AND($E461="Tier 1",$F461="Remove",$H461="Tree Protection Code: Other removal allowance or exemption",$I461&lt;&gt;"",ISNA(MATCH($I461,Tables!$B$215:$B$218,0))),
Error!$B$17,
IF(AND($E461="ECA / Shoreline Tree",$F461="Remove",$H461&lt;&gt;"",OR($H461="Shoreline",$H461="Environmental Critical Area (ECA)"),ISNA(MATCH($I461,Tables!$B$209:$B$212,0))),
Error!$B$17,
IF(AND(_xlpm.baseRow,$F461="Retain",$E461="ECA / Shoreline Tree",_xlpm.ECA_Short=0),
Error!$B$61,
IF(AND($F461="Remove",ISNUMBER(MATCH($E461,{"Tier 1","Tier 2","Tier 3","Tier 4","Tier 2 Grove"},0)),ISNUMBER(MATCH($I461,{"On-site replacement","Off-site replacement"},0)),$J461="",$H461&lt;&gt;""),
Error!$B$19,
IF(AND(_xlpm.baseRow,$E461&lt;&gt;"",$D461&lt;&gt;"",$F461&lt;&gt;"",COUNTBLANK($B461:$C461)&gt;0,COUNTBLANK(_xlpm.HRange)&lt;&gt;4),
Error!$B$22,
IF(AND($H461="Zoning: Tree Points",$K461&lt;&gt;"",ISNA(MATCH($K461,Tables!$B$242:$B$253,0))),
Error!$B$58,
IF(AND($H461="Zoning: Tree Points",$K461="Small",$L461&lt;&gt;"",ISNA(MATCH($L461,Tables!$C$243:$C$244,0))),
Error!$B$59,
IF(AND($H461="Zoning: Tree Points",$K461="Small/Medium",$L461&lt;&gt;"",ISNA(MATCH($L461,Tables!$C$246:$C$247,0))),
Error!$B$59,
IF(AND($H461="Zoning: Tree Points",$K461="Medium/Large",$L461&lt;&gt;"",ISNA(MATCH($L461,Tables!$C$249:$C$250,0))),
Error!$B$59,
IF(AND($H461="Zoning: Tree Points",$K461="Large",$L461&lt;&gt;"",ISNA(MATCH($L461,Tables!$C$252:$C$253,0))),
Error!$B$59,
IF(AND($F461="Retain",$H461="Zoning: Tree Points",$C461&lt;&gt;"",$D461&lt;&gt;"",OR($K461="",$L461="",$M461="")),
Error!$B$20,
""
)))))))))))))))))))))))))))))))))))))))))))))))))))))))),
Error!$B$23))</f>
        <v/>
      </c>
      <c r="O461" s="343" t="str" cm="1">
        <f t="array" aca="1" ref="O461" ca="1">IFERROR(_xlfn.LET(
    _xlpm.txt, $C461,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62" spans="1:15" ht="15" thickBot="1" x14ac:dyDescent="0.35">
      <c r="A462" s="331"/>
      <c r="B462" s="616" t="str">
        <f t="shared" si="523"/>
        <v/>
      </c>
      <c r="C462" s="617" t="str">
        <f t="shared" si="524"/>
        <v/>
      </c>
      <c r="D462" s="618" t="str">
        <f t="shared" si="525"/>
        <v/>
      </c>
      <c r="E462" s="616" t="str">
        <f t="shared" si="526"/>
        <v/>
      </c>
      <c r="F462" s="616" t="str">
        <f t="shared" si="527"/>
        <v/>
      </c>
      <c r="G462" s="619" t="str">
        <f>IF(Tree_Table1[[#This Row],[Tree Status  &amp;]]="Retain", Tables!$B$237, IF(Tree_Table1[[#This Row],[Tree Status  &amp;]]="Remove", Tables!$B$238, ""))</f>
        <v/>
      </c>
      <c r="H462" s="329"/>
      <c r="I462" s="330"/>
      <c r="J462" s="455"/>
      <c r="K462" s="327" t="str">
        <f>IFERROR(
    IF(
        AND($H462="Zoning: Tree Points", NOT(ISNUMBER(SEARCH("sp.", $C462)))),
        VLOOKUP($C462, 'Tree List'!$C$3:$F$601, 4, FALSE),
        ""
    ),
"")</f>
        <v/>
      </c>
      <c r="L462" s="328" t="str" cm="1">
        <f t="array" ref="L462">IFERROR(
IF(
    AND($H462="Zoning: Tree Points", NOT(ISNUMBER(SEARCH("sp.", $C462)))),
    _xlfn.IFS(
        (COUNTIFS('Tree List'!$C$3:$C$601,$C462,'Tree List'!$D$3:$D$601,"Coniferous")
        + COUNTIFS('Tree List'!$C$3:$C$601,$C462,'Tree List'!$D$3:$D$601,"Deciduous Conifer")) &gt; 0,
            _xlfn.IFS($K462="Small",0.5,$K462="Small/Medium",1,$K462="Medium/Large",1.4,$K462="Large",1.8),
        (COUNTIFS('Tree List'!$C$3:$C$601,$C462,'Tree List'!$D$3:$D$601,"Deciduous")
        + COUNTIFS('Tree List'!$C$3:$C$601,$C462,'Tree List'!$D$3:$D$601,"Broadleaf Evergreen")) &gt; 0,
            _xlfn.IFS($K462="Small",0.4,$K462="Small/Medium",0.8,$K462="Medium/Large",1.2,$K462="Large",1.6)
    ),
    ""
),
"")</f>
        <v/>
      </c>
      <c r="M462" s="476" t="str">
        <f t="shared" si="492"/>
        <v/>
      </c>
      <c r="N462" s="347" t="str" cm="1">
        <f t="array" aca="1" ref="N46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IF(AND(_xlpm.baseRow,ISNA(MATCH($C462,'Tree List'!$C$3:$C$601,0)),SUMPRODUCT(--ISNUMBER(SEARCH(Tables2!$C$677:$C$772,$O462)))&gt;0),
Error!$B$57,
IF(AND(_xlpm.hasDM,$F462="Remove",$H462&lt;&gt;"",OR($I462="On-site replacement",$I462="Off-site replacement",$I462="Payment In Lieu")),
Error!$B$56,
IF(AND(_xlpm.hasDM,$F462="Remove",$H462&lt;&gt;"",$I462="Relocation"),
Error!$B$66,
IF(AND(OR(_xlpm.hasCN,_xlpm.hasPH,_xlpm.hasGR),$H462&lt;&gt;"",COUNTIF(Tables!$B$132:$B$134,$H462)&gt;0,$I462="N/A (No replacement required)"),
Error!$B$62,
IF(AND(_xlpm.baseRow,$E462&lt;&gt;"",ISNA(MATCH($E462,Tables!$B$225:$B$232,0))),
Error!$B$2,
IF(AND(_xlpm.baseRow,$F462&lt;&gt;"",ISNA(MATCH($F462,Tables!$B$234:$B$235,0))),
Error!$B$24,
IF(AND(_xlpm.baseRow,_xlpm.ECA_H&gt;0,_xlpm.Shore_H&gt;0),
Error!$B$16,
IF(AND(_xlpm.baseRow,$E462&lt;&gt;"",$D462=""),
Error!$B$3,
IF(AND(_xlpm.baseRow,OR($E462="Tier 3",$E462="Tier 4"),$C462&lt;&gt;"",$D462&gt;=24,COUNTIF(Tables2!$B$166:$B$674,$C462)&gt;0),
Error!$B$44,
IF(AND(_xlpm.baseRow,OR($E462="Tier 3",$E462="Tier 4"),$C462&lt;&gt;"",$D462&lt;&gt;"",COUNTIF(Tables2!$B$73:$B$152,$C462)&gt;0,
$D462&gt;=IFERROR(INDEX(Tables2!$C$73:$C$152,MATCH($C462,Tables2!$B$73:$B$152,0)),-1)),
Error!$B$44,
IF(AND(_xlpm.baseRow,OR($E462="Tier 2",$E462="Tier 2 Grove"),$C462&lt;&gt;"",$D462&gt;=12,COUNTIF(Tables2!$B$153:$B$162,$C462)&gt;0),
Error!$B$45,
IF(AND(_xlpm.baseRow,$E462="Tier 2 Grove",$D462&lt;12),
Error!$B$41,
IF(AND(_xlpm.baseRow,$E462="Tier 2",$D462&lt;5.88),
Error!$B$40,
IF(AND(_xlpm.baseRow,OR($E462="Tier 2",$E462="Tier 2 Grove"),$C462&lt;&gt;"",$D462&lt;12,$D462&gt;=6,COUNTIF(Tables2!$B$153:$B$162,$C462)&gt;0),
Error!$B$54,
IF(AND(_xlpm.baseRow,$E462="Tier 2",COUNTIF(Tables2!$B$166:$B$674,$C462)&gt;0,$D462&lt;24),
Error!$B$54,
IF(AND(_xlpm.baseRow,$E462="Tier 3",ISNA(MATCH($C462,Tables2!$B$153:$B$162,0)),OR($D462&lt;12,$D462&gt;=24)),
Error!$B$9,
IF(AND(_xlpm.baseRow,$E462="Tier 3",COUNTIF(Tables2!$B$153:$B$162,$C462)&gt;0,$D462&lt;12),
Error!$B$46,
IF(AND(_xlpm.baseRow,$E462="Tier 4",OR($D462&lt;6,$D462&gt;=12)),
Error!$B$10,
IF(AND(_xlpm.baseRow,$E462="&lt;6in DSH for Tree Points",OR($D462&gt;=6,$D462="")),
Error!$B$8,
IF(AND(_xlpm.baseRow,$E462="Street Tree for Green Factor",$F462&lt;&gt;"",$F462&lt;&gt;"Retain"),
Error!$B$14,
IF(AND($E462="&lt;6in DSH for Tree Points",$F462="Retain",$H462&lt;&gt;"",ISNA(MATCH($H462,Tables!$B$174:$B$174,0))),
Error!$B$15,
IF(AND($E462="Street Tree for Green Factor",$F462="Retain",$H462&lt;&gt;"",$H462&lt;&gt;"Zoning: Green Factor"),
Error!$B$15,
IF(AND($E462="ECA / Shoreline Tree",$F462="Remove",$H462&lt;&gt;"",ISNA(MATCH($H462,Tables!$B$189:$B$190,0))),
Error!$B$15,
IF(AND($E462="ECA / Shoreline Tree",$F462="Retain",$H462&lt;&gt;"",ISNA(MATCH($H462,Tables!$B$184:$B$186,0))),
Error!$B$15,
IF(AND($E462="Tier 4",$F462="Remove",$H462&lt;&gt;"",ISNA(MATCH($H462,Tables!$B$171,0))),
Error!$B$15,
IF(AND($E462="Tier 4",$F462="Retain",$H462&lt;&gt;"",ISNA(MATCH($H462,Tables!$B$166:$B$168,0))),
Error!$B$15,
IF(AND($E462="Tier 3",$F462="Retain",$H462&lt;&gt;"",ISNA(MATCH($H462,Tables!$B$158:$B$160,0))),
Error!$B$15,
IF(AND($E462="Tier 3",$F462="Remove",$H462&lt;&gt;"",ISNA(MATCH($H462,Tables!$B$163,0))),
Error!$B$15,
IF(AND(OR($E462="Tier 2",$E462="Tier 2 Grove"),$F462="Remove",$H462&lt;&gt;"",ISNA(MATCH($H462,Tables!$B$153:$B$155,0))),
Error!$B$15,
IF(AND(OR($E462="Tier 2",$E462="Tier 2 Grove"),$F462="Retain",$H462&lt;&gt;"",ISNA(MATCH($H462,Tables!$B$147:$B$150,0))),
Error!$B$15,
IF(AND($E462="Tier 1",$F462="Remove",$H462&lt;&gt;"",ISNA(MATCH($H462,Tables!$B$143:$B$144,0))),
Error!$B$15,
IF(AND($E462="Tier 1",$F462="Retain",$H462&lt;&gt;"",ISNA(MATCH($H462,Tables!$B$137:$B$140,0))),
Error!$B$15,
IF(AND($E462&lt;&gt;"Tier 2",$E462&lt;&gt;"Tier 2 Grove",$E462&lt;&gt;"Tier 3",$E462&lt;&gt;"Tier 4",$H462="Zoning: Green Factor",OR($D462="",$D462&lt;6)),
Error!$B$11,
IF(AND(_xlpm.baseRow,$D462&lt;6,$E462="&lt;6in DSH for Tree Points",_xlpm.TreePoints_H=0),
Error!$B$21,
IF(AND(_xlpm.baseRow,$E462&lt;&gt;"",$D462&lt;&gt;"",$F462=""),
Error!$B$4,
IF(AND(_xlpm.baseRow,$F462="Remove",OR($E462="Tier 1",$E462="Tier 2",$E462="Tier 2 Grove"),COUNTBLANK(_xlpm.HRange)&lt;3,_xlpm.uniqueH&gt;=2),
Error!$B$48,
IF(AND(_xlpm.baseRow,$F462="Retain",OR($E462="Tier 1",$E462="Tier 2",$E462="Tier 2 Grove"),COUNTIF(_xlpm.HRange,"Tree Code: Required to Retain Tier 1-2 Tree")=0),
Error!$B$47,
IF(AND(_xlpm.baseRow,$E462&lt;&gt;"",$D462&lt;&gt;"",$F462&lt;&gt;"",COUNTBLANK(_xlpm.HRange)=4),
Error!$B$5,
IF(AND($F462="Remove",$H462&lt;&gt;"",$I462=""),
Error!$B$18,
IF(AND($E462="Tier 4",$F462="Remove",$H462="Tree Protection Code: Tier 3 or Tier 4 Allowance",$H462&lt;&gt;"",ISNA(MATCH($I462,Tables!$B$200,0))),
Error!$B$17,
IF(AND($E462="Tier 3",$F462="Remove",$H462&lt;&gt;"",$H462="Tree Protection Code: Tier 3 or Tier 4 Allowance",OR($I462="",ISNA(MATCH($I462,Tables!$B$193:$B$197,0)))),
Error!$B$17,
IF(AND(OR($E462="Tier 2",$E462="Tier 2 Grove"),$F462="Remove",$H462="Tree Protection Code: Other removal allowance or exemption",$I462&lt;&gt;"",ISNA(MATCH($I462,Tables!$B$215:$B$218,0))),
Error!$B$17,
IF(AND(OR($E462="Tier 2",$E462="Tier 2 Grove"),$F462="Remove",$H462="Tree Protection Code: Development Capacity",$I462&lt;&gt;"",ISNA(MATCH($I462,Tables!$B$193:$B$197,0))),
Error!$B$17,
IF(AND(OR($E462="Tier 2",$E462="Tier 2 Grove"),$F462="Remove",$H462="Tree Protection Code: Necessary for Construction",$I462&lt;&gt;"",ISNA(MATCH($I462,Tables!$B$193:$B$197,0))),
Error!$B$17,
IF(AND($E462="Tier 1",$F462="Remove",$H462="Tree Protection Code: Special Exception",$I462&lt;&gt;"",ISNA(MATCH($I462,Tables!$B$215:$B$218,0))),
Error!$B$17,
IF(AND($E462="Tier 1",$F462="Remove",$H462="Tree Protection Code: Other removal allowance or exemption",$I462&lt;&gt;"",ISNA(MATCH($I462,Tables!$B$215:$B$218,0))),
Error!$B$17,
IF(AND($E462="ECA / Shoreline Tree",$F462="Remove",$H462&lt;&gt;"",OR($H462="Shoreline",$H462="Environmental Critical Area (ECA)"),ISNA(MATCH($I462,Tables!$B$209:$B$212,0))),
Error!$B$17,
IF(AND(_xlpm.baseRow,$F462="Retain",$E462="ECA / Shoreline Tree",_xlpm.ECA_Short=0),
Error!$B$61,
IF(AND($F462="Remove",ISNUMBER(MATCH($E462,{"Tier 1","Tier 2","Tier 3","Tier 4","Tier 2 Grove"},0)),ISNUMBER(MATCH($I462,{"On-site replacement","Off-site replacement"},0)),$J462="",$H462&lt;&gt;""),
Error!$B$19,
IF(AND(_xlpm.baseRow,$E462&lt;&gt;"",$D462&lt;&gt;"",$F462&lt;&gt;"",COUNTBLANK($B462:$C462)&gt;0,COUNTBLANK(_xlpm.HRange)&lt;&gt;4),
Error!$B$22,
IF(AND($H462="Zoning: Tree Points",$K462&lt;&gt;"",ISNA(MATCH($K462,Tables!$B$242:$B$253,0))),
Error!$B$58,
IF(AND($H462="Zoning: Tree Points",$K462="Small",$L462&lt;&gt;"",ISNA(MATCH($L462,Tables!$C$243:$C$244,0))),
Error!$B$59,
IF(AND($H462="Zoning: Tree Points",$K462="Small/Medium",$L462&lt;&gt;"",ISNA(MATCH($L462,Tables!$C$246:$C$247,0))),
Error!$B$59,
IF(AND($H462="Zoning: Tree Points",$K462="Medium/Large",$L462&lt;&gt;"",ISNA(MATCH($L462,Tables!$C$249:$C$250,0))),
Error!$B$59,
IF(AND($H462="Zoning: Tree Points",$K462="Large",$L462&lt;&gt;"",ISNA(MATCH($L462,Tables!$C$252:$C$253,0))),
Error!$B$59,
IF(AND($F462="Retain",$H462="Zoning: Tree Points",$C462&lt;&gt;"",$D462&lt;&gt;"",OR($K462="",$L462="",$M462="")),
Error!$B$20,
""
)))))))))))))))))))))))))))))))))))))))))))))))))))))))),
Error!$B$23))</f>
        <v/>
      </c>
      <c r="O462" s="343" t="str" cm="1">
        <f t="array" aca="1" ref="O462" ca="1">IFERROR(_xlfn.LET(
    _xlpm.txt, $C462,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63" spans="1:15" ht="15" thickBot="1" x14ac:dyDescent="0.35">
      <c r="A463" s="311">
        <v>114</v>
      </c>
      <c r="B463" s="312"/>
      <c r="C463" s="313"/>
      <c r="D463" s="478"/>
      <c r="E463" s="314"/>
      <c r="F463" s="314"/>
      <c r="G463" s="315" t="str">
        <f>IF(Tree_Table1[[#This Row],[Tree Status  &amp;]]="Retain", Tables!$B$237, IF(Tree_Table1[[#This Row],[Tree Status  &amp;]]="Remove", Tables!$B$238, ""))</f>
        <v/>
      </c>
      <c r="H463" s="316"/>
      <c r="I463" s="317"/>
      <c r="J463" s="452"/>
      <c r="K463" s="318" t="str">
        <f>IFERROR(
    IF(
        AND($H463="Zoning: Tree Points", NOT(ISNUMBER(SEARCH("sp.", $C463)))),
        VLOOKUP($C463, 'Tree List'!$C$3:$F$601, 4, FALSE),
        ""
    ),
"")</f>
        <v/>
      </c>
      <c r="L463" s="319" t="str" cm="1">
        <f t="array" ref="L463">IFERROR(
IF(
    AND($H463="Zoning: Tree Points", NOT(ISNUMBER(SEARCH("sp.", $C463)))),
    _xlfn.IFS(
        (COUNTIFS('Tree List'!$C$3:$C$601,$C463,'Tree List'!$D$3:$D$601,"Coniferous")
        + COUNTIFS('Tree List'!$C$3:$C$601,$C463,'Tree List'!$D$3:$D$601,"Deciduous Conifer")) &gt; 0,
            _xlfn.IFS($K463="Small",0.5,$K463="Small/Medium",1,$K463="Medium/Large",1.4,$K463="Large",1.8),
        (COUNTIFS('Tree List'!$C$3:$C$601,$C463,'Tree List'!$D$3:$D$601,"Deciduous")
        + COUNTIFS('Tree List'!$C$3:$C$601,$C463,'Tree List'!$D$3:$D$601,"Broadleaf Evergreen")) &gt; 0,
            _xlfn.IFS($K463="Small",0.4,$K463="Small/Medium",0.8,$K463="Medium/Large",1.2,$K463="Large",1.6)
    ),
    ""
),
"")</f>
        <v/>
      </c>
      <c r="M463" s="474" t="str">
        <f t="shared" si="492"/>
        <v/>
      </c>
      <c r="N463" s="620" t="str" cm="1">
        <f t="array" aca="1" ref="N46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IF(AND(_xlpm.baseRow,ISNA(MATCH($C463,'Tree List'!$C$3:$C$601,0)),SUMPRODUCT(--ISNUMBER(SEARCH(Tables2!$C$677:$C$772,$O463)))&gt;0),
Error!$B$57,
IF(AND(_xlpm.hasDM,$F463="Remove",$H463&lt;&gt;"",OR($I463="On-site replacement",$I463="Off-site replacement",$I463="Payment In Lieu")),
Error!$B$56,
IF(AND(_xlpm.hasDM,$F463="Remove",$H463&lt;&gt;"",$I463="Relocation"),
Error!$B$66,
IF(AND(OR(_xlpm.hasCN,_xlpm.hasPH,_xlpm.hasGR),$H463&lt;&gt;"",COUNTIF(Tables!$B$132:$B$134,$H463)&gt;0,$I463="N/A (No replacement required)"),
Error!$B$62,
IF(AND(_xlpm.baseRow,$E463&lt;&gt;"",ISNA(MATCH($E463,Tables!$B$225:$B$232,0))),
Error!$B$2,
IF(AND(_xlpm.baseRow,$F463&lt;&gt;"",ISNA(MATCH($F463,Tables!$B$234:$B$235,0))),
Error!$B$24,
IF(AND(_xlpm.baseRow,_xlpm.ECA_H&gt;0,_xlpm.Shore_H&gt;0),
Error!$B$16,
IF(AND(_xlpm.baseRow,$E463&lt;&gt;"",$D463=""),
Error!$B$3,
IF(AND(_xlpm.baseRow,OR($E463="Tier 3",$E463="Tier 4"),$C463&lt;&gt;"",$D463&gt;=24,COUNTIF(Tables2!$B$166:$B$674,$C463)&gt;0),
Error!$B$44,
IF(AND(_xlpm.baseRow,OR($E463="Tier 3",$E463="Tier 4"),$C463&lt;&gt;"",$D463&lt;&gt;"",COUNTIF(Tables2!$B$73:$B$152,$C463)&gt;0,
$D463&gt;=IFERROR(INDEX(Tables2!$C$73:$C$152,MATCH($C463,Tables2!$B$73:$B$152,0)),-1)),
Error!$B$44,
IF(AND(_xlpm.baseRow,OR($E463="Tier 2",$E463="Tier 2 Grove"),$C463&lt;&gt;"",$D463&gt;=12,COUNTIF(Tables2!$B$153:$B$162,$C463)&gt;0),
Error!$B$45,
IF(AND(_xlpm.baseRow,$E463="Tier 2 Grove",$D463&lt;12),
Error!$B$41,
IF(AND(_xlpm.baseRow,$E463="Tier 2",$D463&lt;5.88),
Error!$B$40,
IF(AND(_xlpm.baseRow,OR($E463="Tier 2",$E463="Tier 2 Grove"),$C463&lt;&gt;"",$D463&lt;12,$D463&gt;=6,COUNTIF(Tables2!$B$153:$B$162,$C463)&gt;0),
Error!$B$54,
IF(AND(_xlpm.baseRow,$E463="Tier 2",COUNTIF(Tables2!$B$166:$B$674,$C463)&gt;0,$D463&lt;24),
Error!$B$54,
IF(AND(_xlpm.baseRow,$E463="Tier 3",ISNA(MATCH($C463,Tables2!$B$153:$B$162,0)),OR($D463&lt;12,$D463&gt;=24)),
Error!$B$9,
IF(AND(_xlpm.baseRow,$E463="Tier 3",COUNTIF(Tables2!$B$153:$B$162,$C463)&gt;0,$D463&lt;12),
Error!$B$46,
IF(AND(_xlpm.baseRow,$E463="Tier 4",OR($D463&lt;6,$D463&gt;=12)),
Error!$B$10,
IF(AND(_xlpm.baseRow,$E463="&lt;6in DSH for Tree Points",OR($D463&gt;=6,$D463="")),
Error!$B$8,
IF(AND(_xlpm.baseRow,$E463="Street Tree for Green Factor",$F463&lt;&gt;"",$F463&lt;&gt;"Retain"),
Error!$B$14,
IF(AND($E463="&lt;6in DSH for Tree Points",$F463="Retain",$H463&lt;&gt;"",ISNA(MATCH($H463,Tables!$B$174:$B$174,0))),
Error!$B$15,
IF(AND($E463="Street Tree for Green Factor",$F463="Retain",$H463&lt;&gt;"",$H463&lt;&gt;"Zoning: Green Factor"),
Error!$B$15,
IF(AND($E463="ECA / Shoreline Tree",$F463="Remove",$H463&lt;&gt;"",ISNA(MATCH($H463,Tables!$B$189:$B$190,0))),
Error!$B$15,
IF(AND($E463="ECA / Shoreline Tree",$F463="Retain",$H463&lt;&gt;"",ISNA(MATCH($H463,Tables!$B$184:$B$186,0))),
Error!$B$15,
IF(AND($E463="Tier 4",$F463="Remove",$H463&lt;&gt;"",ISNA(MATCH($H463,Tables!$B$171,0))),
Error!$B$15,
IF(AND($E463="Tier 4",$F463="Retain",$H463&lt;&gt;"",ISNA(MATCH($H463,Tables!$B$166:$B$168,0))),
Error!$B$15,
IF(AND($E463="Tier 3",$F463="Retain",$H463&lt;&gt;"",ISNA(MATCH($H463,Tables!$B$158:$B$160,0))),
Error!$B$15,
IF(AND($E463="Tier 3",$F463="Remove",$H463&lt;&gt;"",ISNA(MATCH($H463,Tables!$B$163,0))),
Error!$B$15,
IF(AND(OR($E463="Tier 2",$E463="Tier 2 Grove"),$F463="Remove",$H463&lt;&gt;"",ISNA(MATCH($H463,Tables!$B$153:$B$155,0))),
Error!$B$15,
IF(AND(OR($E463="Tier 2",$E463="Tier 2 Grove"),$F463="Retain",$H463&lt;&gt;"",ISNA(MATCH($H463,Tables!$B$147:$B$150,0))),
Error!$B$15,
IF(AND($E463="Tier 1",$F463="Remove",$H463&lt;&gt;"",ISNA(MATCH($H463,Tables!$B$143:$B$144,0))),
Error!$B$15,
IF(AND($E463="Tier 1",$F463="Retain",$H463&lt;&gt;"",ISNA(MATCH($H463,Tables!$B$137:$B$140,0))),
Error!$B$15,
IF(AND($E463&lt;&gt;"Tier 2",$E463&lt;&gt;"Tier 2 Grove",$E463&lt;&gt;"Tier 3",$E463&lt;&gt;"Tier 4",$H463="Zoning: Green Factor",OR($D463="",$D463&lt;6)),
Error!$B$11,
IF(AND(_xlpm.baseRow,$D463&lt;6,$E463="&lt;6in DSH for Tree Points",_xlpm.TreePoints_H=0),
Error!$B$21,
IF(AND(_xlpm.baseRow,$E463&lt;&gt;"",$D463&lt;&gt;"",$F463=""),
Error!$B$4,
IF(AND(_xlpm.baseRow,$F463="Remove",OR($E463="Tier 1",$E463="Tier 2",$E463="Tier 2 Grove"),COUNTBLANK(_xlpm.HRange)&lt;3,_xlpm.uniqueH&gt;=2),
Error!$B$48,
IF(AND(_xlpm.baseRow,$F463="Retain",OR($E463="Tier 1",$E463="Tier 2",$E463="Tier 2 Grove"),COUNTIF(_xlpm.HRange,"Tree Code: Required to Retain Tier 1-2 Tree")=0),
Error!$B$47,
IF(AND(_xlpm.baseRow,$E463&lt;&gt;"",$D463&lt;&gt;"",$F463&lt;&gt;"",COUNTBLANK(_xlpm.HRange)=4),
Error!$B$5,
IF(AND($F463="Remove",$H463&lt;&gt;"",$I463=""),
Error!$B$18,
IF(AND($E463="Tier 4",$F463="Remove",$H463="Tree Protection Code: Tier 3 or Tier 4 Allowance",$H463&lt;&gt;"",ISNA(MATCH($I463,Tables!$B$200,0))),
Error!$B$17,
IF(AND($E463="Tier 3",$F463="Remove",$H463&lt;&gt;"",$H463="Tree Protection Code: Tier 3 or Tier 4 Allowance",OR($I463="",ISNA(MATCH($I463,Tables!$B$193:$B$197,0)))),
Error!$B$17,
IF(AND(OR($E463="Tier 2",$E463="Tier 2 Grove"),$F463="Remove",$H463="Tree Protection Code: Other removal allowance or exemption",$I463&lt;&gt;"",ISNA(MATCH($I463,Tables!$B$215:$B$218,0))),
Error!$B$17,
IF(AND(OR($E463="Tier 2",$E463="Tier 2 Grove"),$F463="Remove",$H463="Tree Protection Code: Development Capacity",$I463&lt;&gt;"",ISNA(MATCH($I463,Tables!$B$193:$B$197,0))),
Error!$B$17,
IF(AND(OR($E463="Tier 2",$E463="Tier 2 Grove"),$F463="Remove",$H463="Tree Protection Code: Necessary for Construction",$I463&lt;&gt;"",ISNA(MATCH($I463,Tables!$B$193:$B$197,0))),
Error!$B$17,
IF(AND($E463="Tier 1",$F463="Remove",$H463="Tree Protection Code: Special Exception",$I463&lt;&gt;"",ISNA(MATCH($I463,Tables!$B$215:$B$218,0))),
Error!$B$17,
IF(AND($E463="Tier 1",$F463="Remove",$H463="Tree Protection Code: Other removal allowance or exemption",$I463&lt;&gt;"",ISNA(MATCH($I463,Tables!$B$215:$B$218,0))),
Error!$B$17,
IF(AND($E463="ECA / Shoreline Tree",$F463="Remove",$H463&lt;&gt;"",OR($H463="Shoreline",$H463="Environmental Critical Area (ECA)"),ISNA(MATCH($I463,Tables!$B$209:$B$212,0))),
Error!$B$17,
IF(AND(_xlpm.baseRow,$F463="Retain",$E463="ECA / Shoreline Tree",_xlpm.ECA_Short=0),
Error!$B$61,
IF(AND($F463="Remove",ISNUMBER(MATCH($E463,{"Tier 1","Tier 2","Tier 3","Tier 4","Tier 2 Grove"},0)),ISNUMBER(MATCH($I463,{"On-site replacement","Off-site replacement"},0)),$J463="",$H463&lt;&gt;""),
Error!$B$19,
IF(AND(_xlpm.baseRow,$E463&lt;&gt;"",$D463&lt;&gt;"",$F463&lt;&gt;"",COUNTBLANK($B463:$C463)&gt;0,COUNTBLANK(_xlpm.HRange)&lt;&gt;4),
Error!$B$22,
IF(AND($H463="Zoning: Tree Points",$K463&lt;&gt;"",ISNA(MATCH($K463,Tables!$B$242:$B$253,0))),
Error!$B$58,
IF(AND($H463="Zoning: Tree Points",$K463="Small",$L463&lt;&gt;"",ISNA(MATCH($L463,Tables!$C$243:$C$244,0))),
Error!$B$59,
IF(AND($H463="Zoning: Tree Points",$K463="Small/Medium",$L463&lt;&gt;"",ISNA(MATCH($L463,Tables!$C$246:$C$247,0))),
Error!$B$59,
IF(AND($H463="Zoning: Tree Points",$K463="Medium/Large",$L463&lt;&gt;"",ISNA(MATCH($L463,Tables!$C$249:$C$250,0))),
Error!$B$59,
IF(AND($H463="Zoning: Tree Points",$K463="Large",$L463&lt;&gt;"",ISNA(MATCH($L463,Tables!$C$252:$C$253,0))),
Error!$B$59,
IF(AND($F463="Retain",$H463="Zoning: Tree Points",$C463&lt;&gt;"",$D463&lt;&gt;"",OR($K463="",$L463="",$M463="")),
Error!$B$20,
""
)))))))))))))))))))))))))))))))))))))))))))))))))))))))),
Error!$B$23))</f>
        <v/>
      </c>
      <c r="O463" s="343" t="str" cm="1">
        <f t="array" aca="1" ref="O463" ca="1">IFERROR(_xlfn.LET(
    _xlpm.txt, $C463,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64" spans="1:15" x14ac:dyDescent="0.3">
      <c r="A464" s="320"/>
      <c r="B464" s="616" t="str">
        <f t="shared" ref="B464:B466" si="528">IF($B463="", "", $B463)</f>
        <v/>
      </c>
      <c r="C464" s="617" t="str">
        <f t="shared" ref="C464:C466" si="529">IF($C463="", "", $C463)</f>
        <v/>
      </c>
      <c r="D464" s="618" t="str">
        <f t="shared" ref="D464:D466" si="530">IF($D463="", "", $D463)</f>
        <v/>
      </c>
      <c r="E464" s="616" t="str">
        <f t="shared" ref="E464:E466" si="531">IF($E463="", "", $E463)</f>
        <v/>
      </c>
      <c r="F464" s="616" t="str">
        <f t="shared" ref="F464:F466" si="532">IF($F463="", "", $F463)</f>
        <v/>
      </c>
      <c r="G464" s="619" t="str">
        <f>IF(Tree_Table1[[#This Row],[Tree Status  &amp;]]="Retain", Tables!$B$237, IF(Tree_Table1[[#This Row],[Tree Status  &amp;]]="Remove", Tables!$B$238, ""))</f>
        <v/>
      </c>
      <c r="H464" s="321"/>
      <c r="I464" s="322"/>
      <c r="J464" s="453"/>
      <c r="K464" s="323" t="str">
        <f>IFERROR(
    IF(
        AND($H464="Zoning: Tree Points", NOT(ISNUMBER(SEARCH("sp.", $C464)))),
        VLOOKUP($C464, 'Tree List'!$C$3:$F$601, 4, FALSE),
        ""
    ),
"")</f>
        <v/>
      </c>
      <c r="L464" s="324" t="str" cm="1">
        <f t="array" ref="L464">IFERROR(
IF(
    AND($H464="Zoning: Tree Points", NOT(ISNUMBER(SEARCH("sp.", $C464)))),
    _xlfn.IFS(
        (COUNTIFS('Tree List'!$C$3:$C$601,$C464,'Tree List'!$D$3:$D$601,"Coniferous")
        + COUNTIFS('Tree List'!$C$3:$C$601,$C464,'Tree List'!$D$3:$D$601,"Deciduous Conifer")) &gt; 0,
            _xlfn.IFS($K464="Small",0.5,$K464="Small/Medium",1,$K464="Medium/Large",1.4,$K464="Large",1.8),
        (COUNTIFS('Tree List'!$C$3:$C$601,$C464,'Tree List'!$D$3:$D$601,"Deciduous")
        + COUNTIFS('Tree List'!$C$3:$C$601,$C464,'Tree List'!$D$3:$D$601,"Broadleaf Evergreen")) &gt; 0,
            _xlfn.IFS($K464="Small",0.4,$K464="Small/Medium",0.8,$K464="Medium/Large",1.2,$K464="Large",1.6)
    ),
    ""
),
"")</f>
        <v/>
      </c>
      <c r="M464" s="475" t="str">
        <f t="shared" si="492"/>
        <v/>
      </c>
      <c r="N464" s="346" t="str" cm="1">
        <f t="array" aca="1" ref="N46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IF(AND(_xlpm.baseRow,ISNA(MATCH($C464,'Tree List'!$C$3:$C$601,0)),SUMPRODUCT(--ISNUMBER(SEARCH(Tables2!$C$677:$C$772,$O464)))&gt;0),
Error!$B$57,
IF(AND(_xlpm.hasDM,$F464="Remove",$H464&lt;&gt;"",OR($I464="On-site replacement",$I464="Off-site replacement",$I464="Payment In Lieu")),
Error!$B$56,
IF(AND(_xlpm.hasDM,$F464="Remove",$H464&lt;&gt;"",$I464="Relocation"),
Error!$B$66,
IF(AND(OR(_xlpm.hasCN,_xlpm.hasPH,_xlpm.hasGR),$H464&lt;&gt;"",COUNTIF(Tables!$B$132:$B$134,$H464)&gt;0,$I464="N/A (No replacement required)"),
Error!$B$62,
IF(AND(_xlpm.baseRow,$E464&lt;&gt;"",ISNA(MATCH($E464,Tables!$B$225:$B$232,0))),
Error!$B$2,
IF(AND(_xlpm.baseRow,$F464&lt;&gt;"",ISNA(MATCH($F464,Tables!$B$234:$B$235,0))),
Error!$B$24,
IF(AND(_xlpm.baseRow,_xlpm.ECA_H&gt;0,_xlpm.Shore_H&gt;0),
Error!$B$16,
IF(AND(_xlpm.baseRow,$E464&lt;&gt;"",$D464=""),
Error!$B$3,
IF(AND(_xlpm.baseRow,OR($E464="Tier 3",$E464="Tier 4"),$C464&lt;&gt;"",$D464&gt;=24,COUNTIF(Tables2!$B$166:$B$674,$C464)&gt;0),
Error!$B$44,
IF(AND(_xlpm.baseRow,OR($E464="Tier 3",$E464="Tier 4"),$C464&lt;&gt;"",$D464&lt;&gt;"",COUNTIF(Tables2!$B$73:$B$152,$C464)&gt;0,
$D464&gt;=IFERROR(INDEX(Tables2!$C$73:$C$152,MATCH($C464,Tables2!$B$73:$B$152,0)),-1)),
Error!$B$44,
IF(AND(_xlpm.baseRow,OR($E464="Tier 2",$E464="Tier 2 Grove"),$C464&lt;&gt;"",$D464&gt;=12,COUNTIF(Tables2!$B$153:$B$162,$C464)&gt;0),
Error!$B$45,
IF(AND(_xlpm.baseRow,$E464="Tier 2 Grove",$D464&lt;12),
Error!$B$41,
IF(AND(_xlpm.baseRow,$E464="Tier 2",$D464&lt;5.88),
Error!$B$40,
IF(AND(_xlpm.baseRow,OR($E464="Tier 2",$E464="Tier 2 Grove"),$C464&lt;&gt;"",$D464&lt;12,$D464&gt;=6,COUNTIF(Tables2!$B$153:$B$162,$C464)&gt;0),
Error!$B$54,
IF(AND(_xlpm.baseRow,$E464="Tier 2",COUNTIF(Tables2!$B$166:$B$674,$C464)&gt;0,$D464&lt;24),
Error!$B$54,
IF(AND(_xlpm.baseRow,$E464="Tier 3",ISNA(MATCH($C464,Tables2!$B$153:$B$162,0)),OR($D464&lt;12,$D464&gt;=24)),
Error!$B$9,
IF(AND(_xlpm.baseRow,$E464="Tier 3",COUNTIF(Tables2!$B$153:$B$162,$C464)&gt;0,$D464&lt;12),
Error!$B$46,
IF(AND(_xlpm.baseRow,$E464="Tier 4",OR($D464&lt;6,$D464&gt;=12)),
Error!$B$10,
IF(AND(_xlpm.baseRow,$E464="&lt;6in DSH for Tree Points",OR($D464&gt;=6,$D464="")),
Error!$B$8,
IF(AND(_xlpm.baseRow,$E464="Street Tree for Green Factor",$F464&lt;&gt;"",$F464&lt;&gt;"Retain"),
Error!$B$14,
IF(AND($E464="&lt;6in DSH for Tree Points",$F464="Retain",$H464&lt;&gt;"",ISNA(MATCH($H464,Tables!$B$174:$B$174,0))),
Error!$B$15,
IF(AND($E464="Street Tree for Green Factor",$F464="Retain",$H464&lt;&gt;"",$H464&lt;&gt;"Zoning: Green Factor"),
Error!$B$15,
IF(AND($E464="ECA / Shoreline Tree",$F464="Remove",$H464&lt;&gt;"",ISNA(MATCH($H464,Tables!$B$189:$B$190,0))),
Error!$B$15,
IF(AND($E464="ECA / Shoreline Tree",$F464="Retain",$H464&lt;&gt;"",ISNA(MATCH($H464,Tables!$B$184:$B$186,0))),
Error!$B$15,
IF(AND($E464="Tier 4",$F464="Remove",$H464&lt;&gt;"",ISNA(MATCH($H464,Tables!$B$171,0))),
Error!$B$15,
IF(AND($E464="Tier 4",$F464="Retain",$H464&lt;&gt;"",ISNA(MATCH($H464,Tables!$B$166:$B$168,0))),
Error!$B$15,
IF(AND($E464="Tier 3",$F464="Retain",$H464&lt;&gt;"",ISNA(MATCH($H464,Tables!$B$158:$B$160,0))),
Error!$B$15,
IF(AND($E464="Tier 3",$F464="Remove",$H464&lt;&gt;"",ISNA(MATCH($H464,Tables!$B$163,0))),
Error!$B$15,
IF(AND(OR($E464="Tier 2",$E464="Tier 2 Grove"),$F464="Remove",$H464&lt;&gt;"",ISNA(MATCH($H464,Tables!$B$153:$B$155,0))),
Error!$B$15,
IF(AND(OR($E464="Tier 2",$E464="Tier 2 Grove"),$F464="Retain",$H464&lt;&gt;"",ISNA(MATCH($H464,Tables!$B$147:$B$150,0))),
Error!$B$15,
IF(AND($E464="Tier 1",$F464="Remove",$H464&lt;&gt;"",ISNA(MATCH($H464,Tables!$B$143:$B$144,0))),
Error!$B$15,
IF(AND($E464="Tier 1",$F464="Retain",$H464&lt;&gt;"",ISNA(MATCH($H464,Tables!$B$137:$B$140,0))),
Error!$B$15,
IF(AND($E464&lt;&gt;"Tier 2",$E464&lt;&gt;"Tier 2 Grove",$E464&lt;&gt;"Tier 3",$E464&lt;&gt;"Tier 4",$H464="Zoning: Green Factor",OR($D464="",$D464&lt;6)),
Error!$B$11,
IF(AND(_xlpm.baseRow,$D464&lt;6,$E464="&lt;6in DSH for Tree Points",_xlpm.TreePoints_H=0),
Error!$B$21,
IF(AND(_xlpm.baseRow,$E464&lt;&gt;"",$D464&lt;&gt;"",$F464=""),
Error!$B$4,
IF(AND(_xlpm.baseRow,$F464="Remove",OR($E464="Tier 1",$E464="Tier 2",$E464="Tier 2 Grove"),COUNTBLANK(_xlpm.HRange)&lt;3,_xlpm.uniqueH&gt;=2),
Error!$B$48,
IF(AND(_xlpm.baseRow,$F464="Retain",OR($E464="Tier 1",$E464="Tier 2",$E464="Tier 2 Grove"),COUNTIF(_xlpm.HRange,"Tree Code: Required to Retain Tier 1-2 Tree")=0),
Error!$B$47,
IF(AND(_xlpm.baseRow,$E464&lt;&gt;"",$D464&lt;&gt;"",$F464&lt;&gt;"",COUNTBLANK(_xlpm.HRange)=4),
Error!$B$5,
IF(AND($F464="Remove",$H464&lt;&gt;"",$I464=""),
Error!$B$18,
IF(AND($E464="Tier 4",$F464="Remove",$H464="Tree Protection Code: Tier 3 or Tier 4 Allowance",$H464&lt;&gt;"",ISNA(MATCH($I464,Tables!$B$200,0))),
Error!$B$17,
IF(AND($E464="Tier 3",$F464="Remove",$H464&lt;&gt;"",$H464="Tree Protection Code: Tier 3 or Tier 4 Allowance",OR($I464="",ISNA(MATCH($I464,Tables!$B$193:$B$197,0)))),
Error!$B$17,
IF(AND(OR($E464="Tier 2",$E464="Tier 2 Grove"),$F464="Remove",$H464="Tree Protection Code: Other removal allowance or exemption",$I464&lt;&gt;"",ISNA(MATCH($I464,Tables!$B$215:$B$218,0))),
Error!$B$17,
IF(AND(OR($E464="Tier 2",$E464="Tier 2 Grove"),$F464="Remove",$H464="Tree Protection Code: Development Capacity",$I464&lt;&gt;"",ISNA(MATCH($I464,Tables!$B$193:$B$197,0))),
Error!$B$17,
IF(AND(OR($E464="Tier 2",$E464="Tier 2 Grove"),$F464="Remove",$H464="Tree Protection Code: Necessary for Construction",$I464&lt;&gt;"",ISNA(MATCH($I464,Tables!$B$193:$B$197,0))),
Error!$B$17,
IF(AND($E464="Tier 1",$F464="Remove",$H464="Tree Protection Code: Special Exception",$I464&lt;&gt;"",ISNA(MATCH($I464,Tables!$B$215:$B$218,0))),
Error!$B$17,
IF(AND($E464="Tier 1",$F464="Remove",$H464="Tree Protection Code: Other removal allowance or exemption",$I464&lt;&gt;"",ISNA(MATCH($I464,Tables!$B$215:$B$218,0))),
Error!$B$17,
IF(AND($E464="ECA / Shoreline Tree",$F464="Remove",$H464&lt;&gt;"",OR($H464="Shoreline",$H464="Environmental Critical Area (ECA)"),ISNA(MATCH($I464,Tables!$B$209:$B$212,0))),
Error!$B$17,
IF(AND(_xlpm.baseRow,$F464="Retain",$E464="ECA / Shoreline Tree",_xlpm.ECA_Short=0),
Error!$B$61,
IF(AND($F464="Remove",ISNUMBER(MATCH($E464,{"Tier 1","Tier 2","Tier 3","Tier 4","Tier 2 Grove"},0)),ISNUMBER(MATCH($I464,{"On-site replacement","Off-site replacement"},0)),$J464="",$H464&lt;&gt;""),
Error!$B$19,
IF(AND(_xlpm.baseRow,$E464&lt;&gt;"",$D464&lt;&gt;"",$F464&lt;&gt;"",COUNTBLANK($B464:$C464)&gt;0,COUNTBLANK(_xlpm.HRange)&lt;&gt;4),
Error!$B$22,
IF(AND($H464="Zoning: Tree Points",$K464&lt;&gt;"",ISNA(MATCH($K464,Tables!$B$242:$B$253,0))),
Error!$B$58,
IF(AND($H464="Zoning: Tree Points",$K464="Small",$L464&lt;&gt;"",ISNA(MATCH($L464,Tables!$C$243:$C$244,0))),
Error!$B$59,
IF(AND($H464="Zoning: Tree Points",$K464="Small/Medium",$L464&lt;&gt;"",ISNA(MATCH($L464,Tables!$C$246:$C$247,0))),
Error!$B$59,
IF(AND($H464="Zoning: Tree Points",$K464="Medium/Large",$L464&lt;&gt;"",ISNA(MATCH($L464,Tables!$C$249:$C$250,0))),
Error!$B$59,
IF(AND($H464="Zoning: Tree Points",$K464="Large",$L464&lt;&gt;"",ISNA(MATCH($L464,Tables!$C$252:$C$253,0))),
Error!$B$59,
IF(AND($F464="Retain",$H464="Zoning: Tree Points",$C464&lt;&gt;"",$D464&lt;&gt;"",OR($K464="",$L464="",$M464="")),
Error!$B$20,
""
)))))))))))))))))))))))))))))))))))))))))))))))))))))))),
Error!$B$23))</f>
        <v/>
      </c>
      <c r="O464" s="343" t="str" cm="1">
        <f t="array" aca="1" ref="O464" ca="1">IFERROR(_xlfn.LET(
    _xlpm.txt, $C464,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65" spans="1:15" x14ac:dyDescent="0.3">
      <c r="A465" s="320"/>
      <c r="B465" s="616" t="str">
        <f t="shared" si="528"/>
        <v/>
      </c>
      <c r="C465" s="617" t="str">
        <f t="shared" si="529"/>
        <v/>
      </c>
      <c r="D465" s="618" t="str">
        <f t="shared" si="530"/>
        <v/>
      </c>
      <c r="E465" s="616" t="str">
        <f t="shared" si="531"/>
        <v/>
      </c>
      <c r="F465" s="616" t="str">
        <f t="shared" si="532"/>
        <v/>
      </c>
      <c r="G465" s="619" t="str">
        <f>IF(Tree_Table1[[#This Row],[Tree Status  &amp;]]="Retain", Tables!$B$237, IF(Tree_Table1[[#This Row],[Tree Status  &amp;]]="Remove", Tables!$B$238, ""))</f>
        <v/>
      </c>
      <c r="H465" s="321"/>
      <c r="I465" s="322"/>
      <c r="J465" s="453"/>
      <c r="K465" s="323" t="str">
        <f>IFERROR(
    IF(
        AND($H465="Zoning: Tree Points", NOT(ISNUMBER(SEARCH("sp.", $C465)))),
        VLOOKUP($C465, 'Tree List'!$C$3:$F$601, 4, FALSE),
        ""
    ),
"")</f>
        <v/>
      </c>
      <c r="L465" s="324" t="str" cm="1">
        <f t="array" ref="L465">IFERROR(
IF(
    AND($H465="Zoning: Tree Points", NOT(ISNUMBER(SEARCH("sp.", $C465)))),
    _xlfn.IFS(
        (COUNTIFS('Tree List'!$C$3:$C$601,$C465,'Tree List'!$D$3:$D$601,"Coniferous")
        + COUNTIFS('Tree List'!$C$3:$C$601,$C465,'Tree List'!$D$3:$D$601,"Deciduous Conifer")) &gt; 0,
            _xlfn.IFS($K465="Small",0.5,$K465="Small/Medium",1,$K465="Medium/Large",1.4,$K465="Large",1.8),
        (COUNTIFS('Tree List'!$C$3:$C$601,$C465,'Tree List'!$D$3:$D$601,"Deciduous")
        + COUNTIFS('Tree List'!$C$3:$C$601,$C465,'Tree List'!$D$3:$D$601,"Broadleaf Evergreen")) &gt; 0,
            _xlfn.IFS($K465="Small",0.4,$K465="Small/Medium",0.8,$K465="Medium/Large",1.2,$K465="Large",1.6)
    ),
    ""
),
"")</f>
        <v/>
      </c>
      <c r="M465" s="475" t="str">
        <f t="shared" si="492"/>
        <v/>
      </c>
      <c r="N465" s="346" t="str" cm="1">
        <f t="array" aca="1" ref="N46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IF(AND(_xlpm.baseRow,ISNA(MATCH($C465,'Tree List'!$C$3:$C$601,0)),SUMPRODUCT(--ISNUMBER(SEARCH(Tables2!$C$677:$C$772,$O465)))&gt;0),
Error!$B$57,
IF(AND(_xlpm.hasDM,$F465="Remove",$H465&lt;&gt;"",OR($I465="On-site replacement",$I465="Off-site replacement",$I465="Payment In Lieu")),
Error!$B$56,
IF(AND(_xlpm.hasDM,$F465="Remove",$H465&lt;&gt;"",$I465="Relocation"),
Error!$B$66,
IF(AND(OR(_xlpm.hasCN,_xlpm.hasPH,_xlpm.hasGR),$H465&lt;&gt;"",COUNTIF(Tables!$B$132:$B$134,$H465)&gt;0,$I465="N/A (No replacement required)"),
Error!$B$62,
IF(AND(_xlpm.baseRow,$E465&lt;&gt;"",ISNA(MATCH($E465,Tables!$B$225:$B$232,0))),
Error!$B$2,
IF(AND(_xlpm.baseRow,$F465&lt;&gt;"",ISNA(MATCH($F465,Tables!$B$234:$B$235,0))),
Error!$B$24,
IF(AND(_xlpm.baseRow,_xlpm.ECA_H&gt;0,_xlpm.Shore_H&gt;0),
Error!$B$16,
IF(AND(_xlpm.baseRow,$E465&lt;&gt;"",$D465=""),
Error!$B$3,
IF(AND(_xlpm.baseRow,OR($E465="Tier 3",$E465="Tier 4"),$C465&lt;&gt;"",$D465&gt;=24,COUNTIF(Tables2!$B$166:$B$674,$C465)&gt;0),
Error!$B$44,
IF(AND(_xlpm.baseRow,OR($E465="Tier 3",$E465="Tier 4"),$C465&lt;&gt;"",$D465&lt;&gt;"",COUNTIF(Tables2!$B$73:$B$152,$C465)&gt;0,
$D465&gt;=IFERROR(INDEX(Tables2!$C$73:$C$152,MATCH($C465,Tables2!$B$73:$B$152,0)),-1)),
Error!$B$44,
IF(AND(_xlpm.baseRow,OR($E465="Tier 2",$E465="Tier 2 Grove"),$C465&lt;&gt;"",$D465&gt;=12,COUNTIF(Tables2!$B$153:$B$162,$C465)&gt;0),
Error!$B$45,
IF(AND(_xlpm.baseRow,$E465="Tier 2 Grove",$D465&lt;12),
Error!$B$41,
IF(AND(_xlpm.baseRow,$E465="Tier 2",$D465&lt;5.88),
Error!$B$40,
IF(AND(_xlpm.baseRow,OR($E465="Tier 2",$E465="Tier 2 Grove"),$C465&lt;&gt;"",$D465&lt;12,$D465&gt;=6,COUNTIF(Tables2!$B$153:$B$162,$C465)&gt;0),
Error!$B$54,
IF(AND(_xlpm.baseRow,$E465="Tier 2",COUNTIF(Tables2!$B$166:$B$674,$C465)&gt;0,$D465&lt;24),
Error!$B$54,
IF(AND(_xlpm.baseRow,$E465="Tier 3",ISNA(MATCH($C465,Tables2!$B$153:$B$162,0)),OR($D465&lt;12,$D465&gt;=24)),
Error!$B$9,
IF(AND(_xlpm.baseRow,$E465="Tier 3",COUNTIF(Tables2!$B$153:$B$162,$C465)&gt;0,$D465&lt;12),
Error!$B$46,
IF(AND(_xlpm.baseRow,$E465="Tier 4",OR($D465&lt;6,$D465&gt;=12)),
Error!$B$10,
IF(AND(_xlpm.baseRow,$E465="&lt;6in DSH for Tree Points",OR($D465&gt;=6,$D465="")),
Error!$B$8,
IF(AND(_xlpm.baseRow,$E465="Street Tree for Green Factor",$F465&lt;&gt;"",$F465&lt;&gt;"Retain"),
Error!$B$14,
IF(AND($E465="&lt;6in DSH for Tree Points",$F465="Retain",$H465&lt;&gt;"",ISNA(MATCH($H465,Tables!$B$174:$B$174,0))),
Error!$B$15,
IF(AND($E465="Street Tree for Green Factor",$F465="Retain",$H465&lt;&gt;"",$H465&lt;&gt;"Zoning: Green Factor"),
Error!$B$15,
IF(AND($E465="ECA / Shoreline Tree",$F465="Remove",$H465&lt;&gt;"",ISNA(MATCH($H465,Tables!$B$189:$B$190,0))),
Error!$B$15,
IF(AND($E465="ECA / Shoreline Tree",$F465="Retain",$H465&lt;&gt;"",ISNA(MATCH($H465,Tables!$B$184:$B$186,0))),
Error!$B$15,
IF(AND($E465="Tier 4",$F465="Remove",$H465&lt;&gt;"",ISNA(MATCH($H465,Tables!$B$171,0))),
Error!$B$15,
IF(AND($E465="Tier 4",$F465="Retain",$H465&lt;&gt;"",ISNA(MATCH($H465,Tables!$B$166:$B$168,0))),
Error!$B$15,
IF(AND($E465="Tier 3",$F465="Retain",$H465&lt;&gt;"",ISNA(MATCH($H465,Tables!$B$158:$B$160,0))),
Error!$B$15,
IF(AND($E465="Tier 3",$F465="Remove",$H465&lt;&gt;"",ISNA(MATCH($H465,Tables!$B$163,0))),
Error!$B$15,
IF(AND(OR($E465="Tier 2",$E465="Tier 2 Grove"),$F465="Remove",$H465&lt;&gt;"",ISNA(MATCH($H465,Tables!$B$153:$B$155,0))),
Error!$B$15,
IF(AND(OR($E465="Tier 2",$E465="Tier 2 Grove"),$F465="Retain",$H465&lt;&gt;"",ISNA(MATCH($H465,Tables!$B$147:$B$150,0))),
Error!$B$15,
IF(AND($E465="Tier 1",$F465="Remove",$H465&lt;&gt;"",ISNA(MATCH($H465,Tables!$B$143:$B$144,0))),
Error!$B$15,
IF(AND($E465="Tier 1",$F465="Retain",$H465&lt;&gt;"",ISNA(MATCH($H465,Tables!$B$137:$B$140,0))),
Error!$B$15,
IF(AND($E465&lt;&gt;"Tier 2",$E465&lt;&gt;"Tier 2 Grove",$E465&lt;&gt;"Tier 3",$E465&lt;&gt;"Tier 4",$H465="Zoning: Green Factor",OR($D465="",$D465&lt;6)),
Error!$B$11,
IF(AND(_xlpm.baseRow,$D465&lt;6,$E465="&lt;6in DSH for Tree Points",_xlpm.TreePoints_H=0),
Error!$B$21,
IF(AND(_xlpm.baseRow,$E465&lt;&gt;"",$D465&lt;&gt;"",$F465=""),
Error!$B$4,
IF(AND(_xlpm.baseRow,$F465="Remove",OR($E465="Tier 1",$E465="Tier 2",$E465="Tier 2 Grove"),COUNTBLANK(_xlpm.HRange)&lt;3,_xlpm.uniqueH&gt;=2),
Error!$B$48,
IF(AND(_xlpm.baseRow,$F465="Retain",OR($E465="Tier 1",$E465="Tier 2",$E465="Tier 2 Grove"),COUNTIF(_xlpm.HRange,"Tree Code: Required to Retain Tier 1-2 Tree")=0),
Error!$B$47,
IF(AND(_xlpm.baseRow,$E465&lt;&gt;"",$D465&lt;&gt;"",$F465&lt;&gt;"",COUNTBLANK(_xlpm.HRange)=4),
Error!$B$5,
IF(AND($F465="Remove",$H465&lt;&gt;"",$I465=""),
Error!$B$18,
IF(AND($E465="Tier 4",$F465="Remove",$H465="Tree Protection Code: Tier 3 or Tier 4 Allowance",$H465&lt;&gt;"",ISNA(MATCH($I465,Tables!$B$200,0))),
Error!$B$17,
IF(AND($E465="Tier 3",$F465="Remove",$H465&lt;&gt;"",$H465="Tree Protection Code: Tier 3 or Tier 4 Allowance",OR($I465="",ISNA(MATCH($I465,Tables!$B$193:$B$197,0)))),
Error!$B$17,
IF(AND(OR($E465="Tier 2",$E465="Tier 2 Grove"),$F465="Remove",$H465="Tree Protection Code: Other removal allowance or exemption",$I465&lt;&gt;"",ISNA(MATCH($I465,Tables!$B$215:$B$218,0))),
Error!$B$17,
IF(AND(OR($E465="Tier 2",$E465="Tier 2 Grove"),$F465="Remove",$H465="Tree Protection Code: Development Capacity",$I465&lt;&gt;"",ISNA(MATCH($I465,Tables!$B$193:$B$197,0))),
Error!$B$17,
IF(AND(OR($E465="Tier 2",$E465="Tier 2 Grove"),$F465="Remove",$H465="Tree Protection Code: Necessary for Construction",$I465&lt;&gt;"",ISNA(MATCH($I465,Tables!$B$193:$B$197,0))),
Error!$B$17,
IF(AND($E465="Tier 1",$F465="Remove",$H465="Tree Protection Code: Special Exception",$I465&lt;&gt;"",ISNA(MATCH($I465,Tables!$B$215:$B$218,0))),
Error!$B$17,
IF(AND($E465="Tier 1",$F465="Remove",$H465="Tree Protection Code: Other removal allowance or exemption",$I465&lt;&gt;"",ISNA(MATCH($I465,Tables!$B$215:$B$218,0))),
Error!$B$17,
IF(AND($E465="ECA / Shoreline Tree",$F465="Remove",$H465&lt;&gt;"",OR($H465="Shoreline",$H465="Environmental Critical Area (ECA)"),ISNA(MATCH($I465,Tables!$B$209:$B$212,0))),
Error!$B$17,
IF(AND(_xlpm.baseRow,$F465="Retain",$E465="ECA / Shoreline Tree",_xlpm.ECA_Short=0),
Error!$B$61,
IF(AND($F465="Remove",ISNUMBER(MATCH($E465,{"Tier 1","Tier 2","Tier 3","Tier 4","Tier 2 Grove"},0)),ISNUMBER(MATCH($I465,{"On-site replacement","Off-site replacement"},0)),$J465="",$H465&lt;&gt;""),
Error!$B$19,
IF(AND(_xlpm.baseRow,$E465&lt;&gt;"",$D465&lt;&gt;"",$F465&lt;&gt;"",COUNTBLANK($B465:$C465)&gt;0,COUNTBLANK(_xlpm.HRange)&lt;&gt;4),
Error!$B$22,
IF(AND($H465="Zoning: Tree Points",$K465&lt;&gt;"",ISNA(MATCH($K465,Tables!$B$242:$B$253,0))),
Error!$B$58,
IF(AND($H465="Zoning: Tree Points",$K465="Small",$L465&lt;&gt;"",ISNA(MATCH($L465,Tables!$C$243:$C$244,0))),
Error!$B$59,
IF(AND($H465="Zoning: Tree Points",$K465="Small/Medium",$L465&lt;&gt;"",ISNA(MATCH($L465,Tables!$C$246:$C$247,0))),
Error!$B$59,
IF(AND($H465="Zoning: Tree Points",$K465="Medium/Large",$L465&lt;&gt;"",ISNA(MATCH($L465,Tables!$C$249:$C$250,0))),
Error!$B$59,
IF(AND($H465="Zoning: Tree Points",$K465="Large",$L465&lt;&gt;"",ISNA(MATCH($L465,Tables!$C$252:$C$253,0))),
Error!$B$59,
IF(AND($F465="Retain",$H465="Zoning: Tree Points",$C465&lt;&gt;"",$D465&lt;&gt;"",OR($K465="",$L465="",$M465="")),
Error!$B$20,
""
)))))))))))))))))))))))))))))))))))))))))))))))))))))))),
Error!$B$23))</f>
        <v/>
      </c>
      <c r="O465" s="343" t="str" cm="1">
        <f t="array" aca="1" ref="O465" ca="1">IFERROR(_xlfn.LET(
    _xlpm.txt, $C465,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66" spans="1:15" ht="15" thickBot="1" x14ac:dyDescent="0.35">
      <c r="A466" s="331"/>
      <c r="B466" s="616" t="str">
        <f t="shared" si="528"/>
        <v/>
      </c>
      <c r="C466" s="617" t="str">
        <f t="shared" si="529"/>
        <v/>
      </c>
      <c r="D466" s="618" t="str">
        <f t="shared" si="530"/>
        <v/>
      </c>
      <c r="E466" s="616" t="str">
        <f t="shared" si="531"/>
        <v/>
      </c>
      <c r="F466" s="616" t="str">
        <f t="shared" si="532"/>
        <v/>
      </c>
      <c r="G466" s="619" t="str">
        <f>IF(Tree_Table1[[#This Row],[Tree Status  &amp;]]="Retain", Tables!$B$237, IF(Tree_Table1[[#This Row],[Tree Status  &amp;]]="Remove", Tables!$B$238, ""))</f>
        <v/>
      </c>
      <c r="H466" s="329"/>
      <c r="I466" s="330"/>
      <c r="J466" s="455"/>
      <c r="K466" s="327" t="str">
        <f>IFERROR(
    IF(
        AND($H466="Zoning: Tree Points", NOT(ISNUMBER(SEARCH("sp.", $C466)))),
        VLOOKUP($C466, 'Tree List'!$C$3:$F$601, 4, FALSE),
        ""
    ),
"")</f>
        <v/>
      </c>
      <c r="L466" s="328" t="str" cm="1">
        <f t="array" ref="L466">IFERROR(
IF(
    AND($H466="Zoning: Tree Points", NOT(ISNUMBER(SEARCH("sp.", $C466)))),
    _xlfn.IFS(
        (COUNTIFS('Tree List'!$C$3:$C$601,$C466,'Tree List'!$D$3:$D$601,"Coniferous")
        + COUNTIFS('Tree List'!$C$3:$C$601,$C466,'Tree List'!$D$3:$D$601,"Deciduous Conifer")) &gt; 0,
            _xlfn.IFS($K466="Small",0.5,$K466="Small/Medium",1,$K466="Medium/Large",1.4,$K466="Large",1.8),
        (COUNTIFS('Tree List'!$C$3:$C$601,$C466,'Tree List'!$D$3:$D$601,"Deciduous")
        + COUNTIFS('Tree List'!$C$3:$C$601,$C466,'Tree List'!$D$3:$D$601,"Broadleaf Evergreen")) &gt; 0,
            _xlfn.IFS($K466="Small",0.4,$K466="Small/Medium",0.8,$K466="Medium/Large",1.2,$K466="Large",1.6)
    ),
    ""
),
"")</f>
        <v/>
      </c>
      <c r="M466" s="476" t="str">
        <f t="shared" si="492"/>
        <v/>
      </c>
      <c r="N466" s="347" t="str" cm="1">
        <f t="array" aca="1" ref="N46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IF(AND(_xlpm.baseRow,ISNA(MATCH($C466,'Tree List'!$C$3:$C$601,0)),SUMPRODUCT(--ISNUMBER(SEARCH(Tables2!$C$677:$C$772,$O466)))&gt;0),
Error!$B$57,
IF(AND(_xlpm.hasDM,$F466="Remove",$H466&lt;&gt;"",OR($I466="On-site replacement",$I466="Off-site replacement",$I466="Payment In Lieu")),
Error!$B$56,
IF(AND(_xlpm.hasDM,$F466="Remove",$H466&lt;&gt;"",$I466="Relocation"),
Error!$B$66,
IF(AND(OR(_xlpm.hasCN,_xlpm.hasPH,_xlpm.hasGR),$H466&lt;&gt;"",COUNTIF(Tables!$B$132:$B$134,$H466)&gt;0,$I466="N/A (No replacement required)"),
Error!$B$62,
IF(AND(_xlpm.baseRow,$E466&lt;&gt;"",ISNA(MATCH($E466,Tables!$B$225:$B$232,0))),
Error!$B$2,
IF(AND(_xlpm.baseRow,$F466&lt;&gt;"",ISNA(MATCH($F466,Tables!$B$234:$B$235,0))),
Error!$B$24,
IF(AND(_xlpm.baseRow,_xlpm.ECA_H&gt;0,_xlpm.Shore_H&gt;0),
Error!$B$16,
IF(AND(_xlpm.baseRow,$E466&lt;&gt;"",$D466=""),
Error!$B$3,
IF(AND(_xlpm.baseRow,OR($E466="Tier 3",$E466="Tier 4"),$C466&lt;&gt;"",$D466&gt;=24,COUNTIF(Tables2!$B$166:$B$674,$C466)&gt;0),
Error!$B$44,
IF(AND(_xlpm.baseRow,OR($E466="Tier 3",$E466="Tier 4"),$C466&lt;&gt;"",$D466&lt;&gt;"",COUNTIF(Tables2!$B$73:$B$152,$C466)&gt;0,
$D466&gt;=IFERROR(INDEX(Tables2!$C$73:$C$152,MATCH($C466,Tables2!$B$73:$B$152,0)),-1)),
Error!$B$44,
IF(AND(_xlpm.baseRow,OR($E466="Tier 2",$E466="Tier 2 Grove"),$C466&lt;&gt;"",$D466&gt;=12,COUNTIF(Tables2!$B$153:$B$162,$C466)&gt;0),
Error!$B$45,
IF(AND(_xlpm.baseRow,$E466="Tier 2 Grove",$D466&lt;12),
Error!$B$41,
IF(AND(_xlpm.baseRow,$E466="Tier 2",$D466&lt;5.88),
Error!$B$40,
IF(AND(_xlpm.baseRow,OR($E466="Tier 2",$E466="Tier 2 Grove"),$C466&lt;&gt;"",$D466&lt;12,$D466&gt;=6,COUNTIF(Tables2!$B$153:$B$162,$C466)&gt;0),
Error!$B$54,
IF(AND(_xlpm.baseRow,$E466="Tier 2",COUNTIF(Tables2!$B$166:$B$674,$C466)&gt;0,$D466&lt;24),
Error!$B$54,
IF(AND(_xlpm.baseRow,$E466="Tier 3",ISNA(MATCH($C466,Tables2!$B$153:$B$162,0)),OR($D466&lt;12,$D466&gt;=24)),
Error!$B$9,
IF(AND(_xlpm.baseRow,$E466="Tier 3",COUNTIF(Tables2!$B$153:$B$162,$C466)&gt;0,$D466&lt;12),
Error!$B$46,
IF(AND(_xlpm.baseRow,$E466="Tier 4",OR($D466&lt;6,$D466&gt;=12)),
Error!$B$10,
IF(AND(_xlpm.baseRow,$E466="&lt;6in DSH for Tree Points",OR($D466&gt;=6,$D466="")),
Error!$B$8,
IF(AND(_xlpm.baseRow,$E466="Street Tree for Green Factor",$F466&lt;&gt;"",$F466&lt;&gt;"Retain"),
Error!$B$14,
IF(AND($E466="&lt;6in DSH for Tree Points",$F466="Retain",$H466&lt;&gt;"",ISNA(MATCH($H466,Tables!$B$174:$B$174,0))),
Error!$B$15,
IF(AND($E466="Street Tree for Green Factor",$F466="Retain",$H466&lt;&gt;"",$H466&lt;&gt;"Zoning: Green Factor"),
Error!$B$15,
IF(AND($E466="ECA / Shoreline Tree",$F466="Remove",$H466&lt;&gt;"",ISNA(MATCH($H466,Tables!$B$189:$B$190,0))),
Error!$B$15,
IF(AND($E466="ECA / Shoreline Tree",$F466="Retain",$H466&lt;&gt;"",ISNA(MATCH($H466,Tables!$B$184:$B$186,0))),
Error!$B$15,
IF(AND($E466="Tier 4",$F466="Remove",$H466&lt;&gt;"",ISNA(MATCH($H466,Tables!$B$171,0))),
Error!$B$15,
IF(AND($E466="Tier 4",$F466="Retain",$H466&lt;&gt;"",ISNA(MATCH($H466,Tables!$B$166:$B$168,0))),
Error!$B$15,
IF(AND($E466="Tier 3",$F466="Retain",$H466&lt;&gt;"",ISNA(MATCH($H466,Tables!$B$158:$B$160,0))),
Error!$B$15,
IF(AND($E466="Tier 3",$F466="Remove",$H466&lt;&gt;"",ISNA(MATCH($H466,Tables!$B$163,0))),
Error!$B$15,
IF(AND(OR($E466="Tier 2",$E466="Tier 2 Grove"),$F466="Remove",$H466&lt;&gt;"",ISNA(MATCH($H466,Tables!$B$153:$B$155,0))),
Error!$B$15,
IF(AND(OR($E466="Tier 2",$E466="Tier 2 Grove"),$F466="Retain",$H466&lt;&gt;"",ISNA(MATCH($H466,Tables!$B$147:$B$150,0))),
Error!$B$15,
IF(AND($E466="Tier 1",$F466="Remove",$H466&lt;&gt;"",ISNA(MATCH($H466,Tables!$B$143:$B$144,0))),
Error!$B$15,
IF(AND($E466="Tier 1",$F466="Retain",$H466&lt;&gt;"",ISNA(MATCH($H466,Tables!$B$137:$B$140,0))),
Error!$B$15,
IF(AND($E466&lt;&gt;"Tier 2",$E466&lt;&gt;"Tier 2 Grove",$E466&lt;&gt;"Tier 3",$E466&lt;&gt;"Tier 4",$H466="Zoning: Green Factor",OR($D466="",$D466&lt;6)),
Error!$B$11,
IF(AND(_xlpm.baseRow,$D466&lt;6,$E466="&lt;6in DSH for Tree Points",_xlpm.TreePoints_H=0),
Error!$B$21,
IF(AND(_xlpm.baseRow,$E466&lt;&gt;"",$D466&lt;&gt;"",$F466=""),
Error!$B$4,
IF(AND(_xlpm.baseRow,$F466="Remove",OR($E466="Tier 1",$E466="Tier 2",$E466="Tier 2 Grove"),COUNTBLANK(_xlpm.HRange)&lt;3,_xlpm.uniqueH&gt;=2),
Error!$B$48,
IF(AND(_xlpm.baseRow,$F466="Retain",OR($E466="Tier 1",$E466="Tier 2",$E466="Tier 2 Grove"),COUNTIF(_xlpm.HRange,"Tree Code: Required to Retain Tier 1-2 Tree")=0),
Error!$B$47,
IF(AND(_xlpm.baseRow,$E466&lt;&gt;"",$D466&lt;&gt;"",$F466&lt;&gt;"",COUNTBLANK(_xlpm.HRange)=4),
Error!$B$5,
IF(AND($F466="Remove",$H466&lt;&gt;"",$I466=""),
Error!$B$18,
IF(AND($E466="Tier 4",$F466="Remove",$H466="Tree Protection Code: Tier 3 or Tier 4 Allowance",$H466&lt;&gt;"",ISNA(MATCH($I466,Tables!$B$200,0))),
Error!$B$17,
IF(AND($E466="Tier 3",$F466="Remove",$H466&lt;&gt;"",$H466="Tree Protection Code: Tier 3 or Tier 4 Allowance",OR($I466="",ISNA(MATCH($I466,Tables!$B$193:$B$197,0)))),
Error!$B$17,
IF(AND(OR($E466="Tier 2",$E466="Tier 2 Grove"),$F466="Remove",$H466="Tree Protection Code: Other removal allowance or exemption",$I466&lt;&gt;"",ISNA(MATCH($I466,Tables!$B$215:$B$218,0))),
Error!$B$17,
IF(AND(OR($E466="Tier 2",$E466="Tier 2 Grove"),$F466="Remove",$H466="Tree Protection Code: Development Capacity",$I466&lt;&gt;"",ISNA(MATCH($I466,Tables!$B$193:$B$197,0))),
Error!$B$17,
IF(AND(OR($E466="Tier 2",$E466="Tier 2 Grove"),$F466="Remove",$H466="Tree Protection Code: Necessary for Construction",$I466&lt;&gt;"",ISNA(MATCH($I466,Tables!$B$193:$B$197,0))),
Error!$B$17,
IF(AND($E466="Tier 1",$F466="Remove",$H466="Tree Protection Code: Special Exception",$I466&lt;&gt;"",ISNA(MATCH($I466,Tables!$B$215:$B$218,0))),
Error!$B$17,
IF(AND($E466="Tier 1",$F466="Remove",$H466="Tree Protection Code: Other removal allowance or exemption",$I466&lt;&gt;"",ISNA(MATCH($I466,Tables!$B$215:$B$218,0))),
Error!$B$17,
IF(AND($E466="ECA / Shoreline Tree",$F466="Remove",$H466&lt;&gt;"",OR($H466="Shoreline",$H466="Environmental Critical Area (ECA)"),ISNA(MATCH($I466,Tables!$B$209:$B$212,0))),
Error!$B$17,
IF(AND(_xlpm.baseRow,$F466="Retain",$E466="ECA / Shoreline Tree",_xlpm.ECA_Short=0),
Error!$B$61,
IF(AND($F466="Remove",ISNUMBER(MATCH($E466,{"Tier 1","Tier 2","Tier 3","Tier 4","Tier 2 Grove"},0)),ISNUMBER(MATCH($I466,{"On-site replacement","Off-site replacement"},0)),$J466="",$H466&lt;&gt;""),
Error!$B$19,
IF(AND(_xlpm.baseRow,$E466&lt;&gt;"",$D466&lt;&gt;"",$F466&lt;&gt;"",COUNTBLANK($B466:$C466)&gt;0,COUNTBLANK(_xlpm.HRange)&lt;&gt;4),
Error!$B$22,
IF(AND($H466="Zoning: Tree Points",$K466&lt;&gt;"",ISNA(MATCH($K466,Tables!$B$242:$B$253,0))),
Error!$B$58,
IF(AND($H466="Zoning: Tree Points",$K466="Small",$L466&lt;&gt;"",ISNA(MATCH($L466,Tables!$C$243:$C$244,0))),
Error!$B$59,
IF(AND($H466="Zoning: Tree Points",$K466="Small/Medium",$L466&lt;&gt;"",ISNA(MATCH($L466,Tables!$C$246:$C$247,0))),
Error!$B$59,
IF(AND($H466="Zoning: Tree Points",$K466="Medium/Large",$L466&lt;&gt;"",ISNA(MATCH($L466,Tables!$C$249:$C$250,0))),
Error!$B$59,
IF(AND($H466="Zoning: Tree Points",$K466="Large",$L466&lt;&gt;"",ISNA(MATCH($L466,Tables!$C$252:$C$253,0))),
Error!$B$59,
IF(AND($F466="Retain",$H466="Zoning: Tree Points",$C466&lt;&gt;"",$D466&lt;&gt;"",OR($K466="",$L466="",$M466="")),
Error!$B$20,
""
)))))))))))))))))))))))))))))))))))))))))))))))))))))))),
Error!$B$23))</f>
        <v/>
      </c>
      <c r="O466" s="343" t="str" cm="1">
        <f t="array" aca="1" ref="O466" ca="1">IFERROR(_xlfn.LET(
    _xlpm.txt, $C466,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67" spans="1:15" ht="15" thickBot="1" x14ac:dyDescent="0.35">
      <c r="A467" s="311">
        <v>115</v>
      </c>
      <c r="B467" s="312"/>
      <c r="C467" s="313"/>
      <c r="D467" s="478"/>
      <c r="E467" s="314"/>
      <c r="F467" s="314"/>
      <c r="G467" s="315" t="str">
        <f>IF(Tree_Table1[[#This Row],[Tree Status  &amp;]]="Retain", Tables!$B$237, IF(Tree_Table1[[#This Row],[Tree Status  &amp;]]="Remove", Tables!$B$238, ""))</f>
        <v/>
      </c>
      <c r="H467" s="316"/>
      <c r="I467" s="317"/>
      <c r="J467" s="452"/>
      <c r="K467" s="318" t="str">
        <f>IFERROR(
    IF(
        AND($H467="Zoning: Tree Points", NOT(ISNUMBER(SEARCH("sp.", $C467)))),
        VLOOKUP($C467, 'Tree List'!$C$3:$F$601, 4, FALSE),
        ""
    ),
"")</f>
        <v/>
      </c>
      <c r="L467" s="319" t="str" cm="1">
        <f t="array" ref="L467">IFERROR(
IF(
    AND($H467="Zoning: Tree Points", NOT(ISNUMBER(SEARCH("sp.", $C467)))),
    _xlfn.IFS(
        (COUNTIFS('Tree List'!$C$3:$C$601,$C467,'Tree List'!$D$3:$D$601,"Coniferous")
        + COUNTIFS('Tree List'!$C$3:$C$601,$C467,'Tree List'!$D$3:$D$601,"Deciduous Conifer")) &gt; 0,
            _xlfn.IFS($K467="Small",0.5,$K467="Small/Medium",1,$K467="Medium/Large",1.4,$K467="Large",1.8),
        (COUNTIFS('Tree List'!$C$3:$C$601,$C467,'Tree List'!$D$3:$D$601,"Deciduous")
        + COUNTIFS('Tree List'!$C$3:$C$601,$C467,'Tree List'!$D$3:$D$601,"Broadleaf Evergreen")) &gt; 0,
            _xlfn.IFS($K467="Small",0.4,$K467="Small/Medium",0.8,$K467="Medium/Large",1.2,$K467="Large",1.6)
    ),
    ""
),
"")</f>
        <v/>
      </c>
      <c r="M467" s="474" t="str">
        <f t="shared" si="492"/>
        <v/>
      </c>
      <c r="N467" s="620" t="str" cm="1">
        <f t="array" aca="1" ref="N46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IF(AND(_xlpm.baseRow,ISNA(MATCH($C467,'Tree List'!$C$3:$C$601,0)),SUMPRODUCT(--ISNUMBER(SEARCH(Tables2!$C$677:$C$772,$O467)))&gt;0),
Error!$B$57,
IF(AND(_xlpm.hasDM,$F467="Remove",$H467&lt;&gt;"",OR($I467="On-site replacement",$I467="Off-site replacement",$I467="Payment In Lieu")),
Error!$B$56,
IF(AND(_xlpm.hasDM,$F467="Remove",$H467&lt;&gt;"",$I467="Relocation"),
Error!$B$66,
IF(AND(OR(_xlpm.hasCN,_xlpm.hasPH,_xlpm.hasGR),$H467&lt;&gt;"",COUNTIF(Tables!$B$132:$B$134,$H467)&gt;0,$I467="N/A (No replacement required)"),
Error!$B$62,
IF(AND(_xlpm.baseRow,$E467&lt;&gt;"",ISNA(MATCH($E467,Tables!$B$225:$B$232,0))),
Error!$B$2,
IF(AND(_xlpm.baseRow,$F467&lt;&gt;"",ISNA(MATCH($F467,Tables!$B$234:$B$235,0))),
Error!$B$24,
IF(AND(_xlpm.baseRow,_xlpm.ECA_H&gt;0,_xlpm.Shore_H&gt;0),
Error!$B$16,
IF(AND(_xlpm.baseRow,$E467&lt;&gt;"",$D467=""),
Error!$B$3,
IF(AND(_xlpm.baseRow,OR($E467="Tier 3",$E467="Tier 4"),$C467&lt;&gt;"",$D467&gt;=24,COUNTIF(Tables2!$B$166:$B$674,$C467)&gt;0),
Error!$B$44,
IF(AND(_xlpm.baseRow,OR($E467="Tier 3",$E467="Tier 4"),$C467&lt;&gt;"",$D467&lt;&gt;"",COUNTIF(Tables2!$B$73:$B$152,$C467)&gt;0,
$D467&gt;=IFERROR(INDEX(Tables2!$C$73:$C$152,MATCH($C467,Tables2!$B$73:$B$152,0)),-1)),
Error!$B$44,
IF(AND(_xlpm.baseRow,OR($E467="Tier 2",$E467="Tier 2 Grove"),$C467&lt;&gt;"",$D467&gt;=12,COUNTIF(Tables2!$B$153:$B$162,$C467)&gt;0),
Error!$B$45,
IF(AND(_xlpm.baseRow,$E467="Tier 2 Grove",$D467&lt;12),
Error!$B$41,
IF(AND(_xlpm.baseRow,$E467="Tier 2",$D467&lt;5.88),
Error!$B$40,
IF(AND(_xlpm.baseRow,OR($E467="Tier 2",$E467="Tier 2 Grove"),$C467&lt;&gt;"",$D467&lt;12,$D467&gt;=6,COUNTIF(Tables2!$B$153:$B$162,$C467)&gt;0),
Error!$B$54,
IF(AND(_xlpm.baseRow,$E467="Tier 2",COUNTIF(Tables2!$B$166:$B$674,$C467)&gt;0,$D467&lt;24),
Error!$B$54,
IF(AND(_xlpm.baseRow,$E467="Tier 3",ISNA(MATCH($C467,Tables2!$B$153:$B$162,0)),OR($D467&lt;12,$D467&gt;=24)),
Error!$B$9,
IF(AND(_xlpm.baseRow,$E467="Tier 3",COUNTIF(Tables2!$B$153:$B$162,$C467)&gt;0,$D467&lt;12),
Error!$B$46,
IF(AND(_xlpm.baseRow,$E467="Tier 4",OR($D467&lt;6,$D467&gt;=12)),
Error!$B$10,
IF(AND(_xlpm.baseRow,$E467="&lt;6in DSH for Tree Points",OR($D467&gt;=6,$D467="")),
Error!$B$8,
IF(AND(_xlpm.baseRow,$E467="Street Tree for Green Factor",$F467&lt;&gt;"",$F467&lt;&gt;"Retain"),
Error!$B$14,
IF(AND($E467="&lt;6in DSH for Tree Points",$F467="Retain",$H467&lt;&gt;"",ISNA(MATCH($H467,Tables!$B$174:$B$174,0))),
Error!$B$15,
IF(AND($E467="Street Tree for Green Factor",$F467="Retain",$H467&lt;&gt;"",$H467&lt;&gt;"Zoning: Green Factor"),
Error!$B$15,
IF(AND($E467="ECA / Shoreline Tree",$F467="Remove",$H467&lt;&gt;"",ISNA(MATCH($H467,Tables!$B$189:$B$190,0))),
Error!$B$15,
IF(AND($E467="ECA / Shoreline Tree",$F467="Retain",$H467&lt;&gt;"",ISNA(MATCH($H467,Tables!$B$184:$B$186,0))),
Error!$B$15,
IF(AND($E467="Tier 4",$F467="Remove",$H467&lt;&gt;"",ISNA(MATCH($H467,Tables!$B$171,0))),
Error!$B$15,
IF(AND($E467="Tier 4",$F467="Retain",$H467&lt;&gt;"",ISNA(MATCH($H467,Tables!$B$166:$B$168,0))),
Error!$B$15,
IF(AND($E467="Tier 3",$F467="Retain",$H467&lt;&gt;"",ISNA(MATCH($H467,Tables!$B$158:$B$160,0))),
Error!$B$15,
IF(AND($E467="Tier 3",$F467="Remove",$H467&lt;&gt;"",ISNA(MATCH($H467,Tables!$B$163,0))),
Error!$B$15,
IF(AND(OR($E467="Tier 2",$E467="Tier 2 Grove"),$F467="Remove",$H467&lt;&gt;"",ISNA(MATCH($H467,Tables!$B$153:$B$155,0))),
Error!$B$15,
IF(AND(OR($E467="Tier 2",$E467="Tier 2 Grove"),$F467="Retain",$H467&lt;&gt;"",ISNA(MATCH($H467,Tables!$B$147:$B$150,0))),
Error!$B$15,
IF(AND($E467="Tier 1",$F467="Remove",$H467&lt;&gt;"",ISNA(MATCH($H467,Tables!$B$143:$B$144,0))),
Error!$B$15,
IF(AND($E467="Tier 1",$F467="Retain",$H467&lt;&gt;"",ISNA(MATCH($H467,Tables!$B$137:$B$140,0))),
Error!$B$15,
IF(AND($E467&lt;&gt;"Tier 2",$E467&lt;&gt;"Tier 2 Grove",$E467&lt;&gt;"Tier 3",$E467&lt;&gt;"Tier 4",$H467="Zoning: Green Factor",OR($D467="",$D467&lt;6)),
Error!$B$11,
IF(AND(_xlpm.baseRow,$D467&lt;6,$E467="&lt;6in DSH for Tree Points",_xlpm.TreePoints_H=0),
Error!$B$21,
IF(AND(_xlpm.baseRow,$E467&lt;&gt;"",$D467&lt;&gt;"",$F467=""),
Error!$B$4,
IF(AND(_xlpm.baseRow,$F467="Remove",OR($E467="Tier 1",$E467="Tier 2",$E467="Tier 2 Grove"),COUNTBLANK(_xlpm.HRange)&lt;3,_xlpm.uniqueH&gt;=2),
Error!$B$48,
IF(AND(_xlpm.baseRow,$F467="Retain",OR($E467="Tier 1",$E467="Tier 2",$E467="Tier 2 Grove"),COUNTIF(_xlpm.HRange,"Tree Code: Required to Retain Tier 1-2 Tree")=0),
Error!$B$47,
IF(AND(_xlpm.baseRow,$E467&lt;&gt;"",$D467&lt;&gt;"",$F467&lt;&gt;"",COUNTBLANK(_xlpm.HRange)=4),
Error!$B$5,
IF(AND($F467="Remove",$H467&lt;&gt;"",$I467=""),
Error!$B$18,
IF(AND($E467="Tier 4",$F467="Remove",$H467="Tree Protection Code: Tier 3 or Tier 4 Allowance",$H467&lt;&gt;"",ISNA(MATCH($I467,Tables!$B$200,0))),
Error!$B$17,
IF(AND($E467="Tier 3",$F467="Remove",$H467&lt;&gt;"",$H467="Tree Protection Code: Tier 3 or Tier 4 Allowance",OR($I467="",ISNA(MATCH($I467,Tables!$B$193:$B$197,0)))),
Error!$B$17,
IF(AND(OR($E467="Tier 2",$E467="Tier 2 Grove"),$F467="Remove",$H467="Tree Protection Code: Other removal allowance or exemption",$I467&lt;&gt;"",ISNA(MATCH($I467,Tables!$B$215:$B$218,0))),
Error!$B$17,
IF(AND(OR($E467="Tier 2",$E467="Tier 2 Grove"),$F467="Remove",$H467="Tree Protection Code: Development Capacity",$I467&lt;&gt;"",ISNA(MATCH($I467,Tables!$B$193:$B$197,0))),
Error!$B$17,
IF(AND(OR($E467="Tier 2",$E467="Tier 2 Grove"),$F467="Remove",$H467="Tree Protection Code: Necessary for Construction",$I467&lt;&gt;"",ISNA(MATCH($I467,Tables!$B$193:$B$197,0))),
Error!$B$17,
IF(AND($E467="Tier 1",$F467="Remove",$H467="Tree Protection Code: Special Exception",$I467&lt;&gt;"",ISNA(MATCH($I467,Tables!$B$215:$B$218,0))),
Error!$B$17,
IF(AND($E467="Tier 1",$F467="Remove",$H467="Tree Protection Code: Other removal allowance or exemption",$I467&lt;&gt;"",ISNA(MATCH($I467,Tables!$B$215:$B$218,0))),
Error!$B$17,
IF(AND($E467="ECA / Shoreline Tree",$F467="Remove",$H467&lt;&gt;"",OR($H467="Shoreline",$H467="Environmental Critical Area (ECA)"),ISNA(MATCH($I467,Tables!$B$209:$B$212,0))),
Error!$B$17,
IF(AND(_xlpm.baseRow,$F467="Retain",$E467="ECA / Shoreline Tree",_xlpm.ECA_Short=0),
Error!$B$61,
IF(AND($F467="Remove",ISNUMBER(MATCH($E467,{"Tier 1","Tier 2","Tier 3","Tier 4","Tier 2 Grove"},0)),ISNUMBER(MATCH($I467,{"On-site replacement","Off-site replacement"},0)),$J467="",$H467&lt;&gt;""),
Error!$B$19,
IF(AND(_xlpm.baseRow,$E467&lt;&gt;"",$D467&lt;&gt;"",$F467&lt;&gt;"",COUNTBLANK($B467:$C467)&gt;0,COUNTBLANK(_xlpm.HRange)&lt;&gt;4),
Error!$B$22,
IF(AND($H467="Zoning: Tree Points",$K467&lt;&gt;"",ISNA(MATCH($K467,Tables!$B$242:$B$253,0))),
Error!$B$58,
IF(AND($H467="Zoning: Tree Points",$K467="Small",$L467&lt;&gt;"",ISNA(MATCH($L467,Tables!$C$243:$C$244,0))),
Error!$B$59,
IF(AND($H467="Zoning: Tree Points",$K467="Small/Medium",$L467&lt;&gt;"",ISNA(MATCH($L467,Tables!$C$246:$C$247,0))),
Error!$B$59,
IF(AND($H467="Zoning: Tree Points",$K467="Medium/Large",$L467&lt;&gt;"",ISNA(MATCH($L467,Tables!$C$249:$C$250,0))),
Error!$B$59,
IF(AND($H467="Zoning: Tree Points",$K467="Large",$L467&lt;&gt;"",ISNA(MATCH($L467,Tables!$C$252:$C$253,0))),
Error!$B$59,
IF(AND($F467="Retain",$H467="Zoning: Tree Points",$C467&lt;&gt;"",$D467&lt;&gt;"",OR($K467="",$L467="",$M467="")),
Error!$B$20,
""
)))))))))))))))))))))))))))))))))))))))))))))))))))))))),
Error!$B$23))</f>
        <v/>
      </c>
      <c r="O467" s="343" t="str" cm="1">
        <f t="array" aca="1" ref="O467" ca="1">IFERROR(_xlfn.LET(
    _xlpm.txt, $C467,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68" spans="1:15" x14ac:dyDescent="0.3">
      <c r="A468" s="320"/>
      <c r="B468" s="616" t="str">
        <f t="shared" ref="B468:B470" si="533">IF($B467="", "", $B467)</f>
        <v/>
      </c>
      <c r="C468" s="617" t="str">
        <f t="shared" ref="C468:C470" si="534">IF($C467="", "", $C467)</f>
        <v/>
      </c>
      <c r="D468" s="618" t="str">
        <f t="shared" ref="D468:D470" si="535">IF($D467="", "", $D467)</f>
        <v/>
      </c>
      <c r="E468" s="616" t="str">
        <f t="shared" ref="E468:E470" si="536">IF($E467="", "", $E467)</f>
        <v/>
      </c>
      <c r="F468" s="616" t="str">
        <f t="shared" ref="F468:F470" si="537">IF($F467="", "", $F467)</f>
        <v/>
      </c>
      <c r="G468" s="619" t="str">
        <f>IF(Tree_Table1[[#This Row],[Tree Status  &amp;]]="Retain", Tables!$B$237, IF(Tree_Table1[[#This Row],[Tree Status  &amp;]]="Remove", Tables!$B$238, ""))</f>
        <v/>
      </c>
      <c r="H468" s="321"/>
      <c r="I468" s="322"/>
      <c r="J468" s="453"/>
      <c r="K468" s="323" t="str">
        <f>IFERROR(
    IF(
        AND($H468="Zoning: Tree Points", NOT(ISNUMBER(SEARCH("sp.", $C468)))),
        VLOOKUP($C468, 'Tree List'!$C$3:$F$601, 4, FALSE),
        ""
    ),
"")</f>
        <v/>
      </c>
      <c r="L468" s="324" t="str" cm="1">
        <f t="array" ref="L468">IFERROR(
IF(
    AND($H468="Zoning: Tree Points", NOT(ISNUMBER(SEARCH("sp.", $C468)))),
    _xlfn.IFS(
        (COUNTIFS('Tree List'!$C$3:$C$601,$C468,'Tree List'!$D$3:$D$601,"Coniferous")
        + COUNTIFS('Tree List'!$C$3:$C$601,$C468,'Tree List'!$D$3:$D$601,"Deciduous Conifer")) &gt; 0,
            _xlfn.IFS($K468="Small",0.5,$K468="Small/Medium",1,$K468="Medium/Large",1.4,$K468="Large",1.8),
        (COUNTIFS('Tree List'!$C$3:$C$601,$C468,'Tree List'!$D$3:$D$601,"Deciduous")
        + COUNTIFS('Tree List'!$C$3:$C$601,$C468,'Tree List'!$D$3:$D$601,"Broadleaf Evergreen")) &gt; 0,
            _xlfn.IFS($K468="Small",0.4,$K468="Small/Medium",0.8,$K468="Medium/Large",1.2,$K468="Large",1.6)
    ),
    ""
),
"")</f>
        <v/>
      </c>
      <c r="M468" s="475" t="str">
        <f t="shared" si="492"/>
        <v/>
      </c>
      <c r="N468" s="346" t="str" cm="1">
        <f t="array" aca="1" ref="N46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IF(AND(_xlpm.baseRow,ISNA(MATCH($C468,'Tree List'!$C$3:$C$601,0)),SUMPRODUCT(--ISNUMBER(SEARCH(Tables2!$C$677:$C$772,$O468)))&gt;0),
Error!$B$57,
IF(AND(_xlpm.hasDM,$F468="Remove",$H468&lt;&gt;"",OR($I468="On-site replacement",$I468="Off-site replacement",$I468="Payment In Lieu")),
Error!$B$56,
IF(AND(_xlpm.hasDM,$F468="Remove",$H468&lt;&gt;"",$I468="Relocation"),
Error!$B$66,
IF(AND(OR(_xlpm.hasCN,_xlpm.hasPH,_xlpm.hasGR),$H468&lt;&gt;"",COUNTIF(Tables!$B$132:$B$134,$H468)&gt;0,$I468="N/A (No replacement required)"),
Error!$B$62,
IF(AND(_xlpm.baseRow,$E468&lt;&gt;"",ISNA(MATCH($E468,Tables!$B$225:$B$232,0))),
Error!$B$2,
IF(AND(_xlpm.baseRow,$F468&lt;&gt;"",ISNA(MATCH($F468,Tables!$B$234:$B$235,0))),
Error!$B$24,
IF(AND(_xlpm.baseRow,_xlpm.ECA_H&gt;0,_xlpm.Shore_H&gt;0),
Error!$B$16,
IF(AND(_xlpm.baseRow,$E468&lt;&gt;"",$D468=""),
Error!$B$3,
IF(AND(_xlpm.baseRow,OR($E468="Tier 3",$E468="Tier 4"),$C468&lt;&gt;"",$D468&gt;=24,COUNTIF(Tables2!$B$166:$B$674,$C468)&gt;0),
Error!$B$44,
IF(AND(_xlpm.baseRow,OR($E468="Tier 3",$E468="Tier 4"),$C468&lt;&gt;"",$D468&lt;&gt;"",COUNTIF(Tables2!$B$73:$B$152,$C468)&gt;0,
$D468&gt;=IFERROR(INDEX(Tables2!$C$73:$C$152,MATCH($C468,Tables2!$B$73:$B$152,0)),-1)),
Error!$B$44,
IF(AND(_xlpm.baseRow,OR($E468="Tier 2",$E468="Tier 2 Grove"),$C468&lt;&gt;"",$D468&gt;=12,COUNTIF(Tables2!$B$153:$B$162,$C468)&gt;0),
Error!$B$45,
IF(AND(_xlpm.baseRow,$E468="Tier 2 Grove",$D468&lt;12),
Error!$B$41,
IF(AND(_xlpm.baseRow,$E468="Tier 2",$D468&lt;5.88),
Error!$B$40,
IF(AND(_xlpm.baseRow,OR($E468="Tier 2",$E468="Tier 2 Grove"),$C468&lt;&gt;"",$D468&lt;12,$D468&gt;=6,COUNTIF(Tables2!$B$153:$B$162,$C468)&gt;0),
Error!$B$54,
IF(AND(_xlpm.baseRow,$E468="Tier 2",COUNTIF(Tables2!$B$166:$B$674,$C468)&gt;0,$D468&lt;24),
Error!$B$54,
IF(AND(_xlpm.baseRow,$E468="Tier 3",ISNA(MATCH($C468,Tables2!$B$153:$B$162,0)),OR($D468&lt;12,$D468&gt;=24)),
Error!$B$9,
IF(AND(_xlpm.baseRow,$E468="Tier 3",COUNTIF(Tables2!$B$153:$B$162,$C468)&gt;0,$D468&lt;12),
Error!$B$46,
IF(AND(_xlpm.baseRow,$E468="Tier 4",OR($D468&lt;6,$D468&gt;=12)),
Error!$B$10,
IF(AND(_xlpm.baseRow,$E468="&lt;6in DSH for Tree Points",OR($D468&gt;=6,$D468="")),
Error!$B$8,
IF(AND(_xlpm.baseRow,$E468="Street Tree for Green Factor",$F468&lt;&gt;"",$F468&lt;&gt;"Retain"),
Error!$B$14,
IF(AND($E468="&lt;6in DSH for Tree Points",$F468="Retain",$H468&lt;&gt;"",ISNA(MATCH($H468,Tables!$B$174:$B$174,0))),
Error!$B$15,
IF(AND($E468="Street Tree for Green Factor",$F468="Retain",$H468&lt;&gt;"",$H468&lt;&gt;"Zoning: Green Factor"),
Error!$B$15,
IF(AND($E468="ECA / Shoreline Tree",$F468="Remove",$H468&lt;&gt;"",ISNA(MATCH($H468,Tables!$B$189:$B$190,0))),
Error!$B$15,
IF(AND($E468="ECA / Shoreline Tree",$F468="Retain",$H468&lt;&gt;"",ISNA(MATCH($H468,Tables!$B$184:$B$186,0))),
Error!$B$15,
IF(AND($E468="Tier 4",$F468="Remove",$H468&lt;&gt;"",ISNA(MATCH($H468,Tables!$B$171,0))),
Error!$B$15,
IF(AND($E468="Tier 4",$F468="Retain",$H468&lt;&gt;"",ISNA(MATCH($H468,Tables!$B$166:$B$168,0))),
Error!$B$15,
IF(AND($E468="Tier 3",$F468="Retain",$H468&lt;&gt;"",ISNA(MATCH($H468,Tables!$B$158:$B$160,0))),
Error!$B$15,
IF(AND($E468="Tier 3",$F468="Remove",$H468&lt;&gt;"",ISNA(MATCH($H468,Tables!$B$163,0))),
Error!$B$15,
IF(AND(OR($E468="Tier 2",$E468="Tier 2 Grove"),$F468="Remove",$H468&lt;&gt;"",ISNA(MATCH($H468,Tables!$B$153:$B$155,0))),
Error!$B$15,
IF(AND(OR($E468="Tier 2",$E468="Tier 2 Grove"),$F468="Retain",$H468&lt;&gt;"",ISNA(MATCH($H468,Tables!$B$147:$B$150,0))),
Error!$B$15,
IF(AND($E468="Tier 1",$F468="Remove",$H468&lt;&gt;"",ISNA(MATCH($H468,Tables!$B$143:$B$144,0))),
Error!$B$15,
IF(AND($E468="Tier 1",$F468="Retain",$H468&lt;&gt;"",ISNA(MATCH($H468,Tables!$B$137:$B$140,0))),
Error!$B$15,
IF(AND($E468&lt;&gt;"Tier 2",$E468&lt;&gt;"Tier 2 Grove",$E468&lt;&gt;"Tier 3",$E468&lt;&gt;"Tier 4",$H468="Zoning: Green Factor",OR($D468="",$D468&lt;6)),
Error!$B$11,
IF(AND(_xlpm.baseRow,$D468&lt;6,$E468="&lt;6in DSH for Tree Points",_xlpm.TreePoints_H=0),
Error!$B$21,
IF(AND(_xlpm.baseRow,$E468&lt;&gt;"",$D468&lt;&gt;"",$F468=""),
Error!$B$4,
IF(AND(_xlpm.baseRow,$F468="Remove",OR($E468="Tier 1",$E468="Tier 2",$E468="Tier 2 Grove"),COUNTBLANK(_xlpm.HRange)&lt;3,_xlpm.uniqueH&gt;=2),
Error!$B$48,
IF(AND(_xlpm.baseRow,$F468="Retain",OR($E468="Tier 1",$E468="Tier 2",$E468="Tier 2 Grove"),COUNTIF(_xlpm.HRange,"Tree Code: Required to Retain Tier 1-2 Tree")=0),
Error!$B$47,
IF(AND(_xlpm.baseRow,$E468&lt;&gt;"",$D468&lt;&gt;"",$F468&lt;&gt;"",COUNTBLANK(_xlpm.HRange)=4),
Error!$B$5,
IF(AND($F468="Remove",$H468&lt;&gt;"",$I468=""),
Error!$B$18,
IF(AND($E468="Tier 4",$F468="Remove",$H468="Tree Protection Code: Tier 3 or Tier 4 Allowance",$H468&lt;&gt;"",ISNA(MATCH($I468,Tables!$B$200,0))),
Error!$B$17,
IF(AND($E468="Tier 3",$F468="Remove",$H468&lt;&gt;"",$H468="Tree Protection Code: Tier 3 or Tier 4 Allowance",OR($I468="",ISNA(MATCH($I468,Tables!$B$193:$B$197,0)))),
Error!$B$17,
IF(AND(OR($E468="Tier 2",$E468="Tier 2 Grove"),$F468="Remove",$H468="Tree Protection Code: Other removal allowance or exemption",$I468&lt;&gt;"",ISNA(MATCH($I468,Tables!$B$215:$B$218,0))),
Error!$B$17,
IF(AND(OR($E468="Tier 2",$E468="Tier 2 Grove"),$F468="Remove",$H468="Tree Protection Code: Development Capacity",$I468&lt;&gt;"",ISNA(MATCH($I468,Tables!$B$193:$B$197,0))),
Error!$B$17,
IF(AND(OR($E468="Tier 2",$E468="Tier 2 Grove"),$F468="Remove",$H468="Tree Protection Code: Necessary for Construction",$I468&lt;&gt;"",ISNA(MATCH($I468,Tables!$B$193:$B$197,0))),
Error!$B$17,
IF(AND($E468="Tier 1",$F468="Remove",$H468="Tree Protection Code: Special Exception",$I468&lt;&gt;"",ISNA(MATCH($I468,Tables!$B$215:$B$218,0))),
Error!$B$17,
IF(AND($E468="Tier 1",$F468="Remove",$H468="Tree Protection Code: Other removal allowance or exemption",$I468&lt;&gt;"",ISNA(MATCH($I468,Tables!$B$215:$B$218,0))),
Error!$B$17,
IF(AND($E468="ECA / Shoreline Tree",$F468="Remove",$H468&lt;&gt;"",OR($H468="Shoreline",$H468="Environmental Critical Area (ECA)"),ISNA(MATCH($I468,Tables!$B$209:$B$212,0))),
Error!$B$17,
IF(AND(_xlpm.baseRow,$F468="Retain",$E468="ECA / Shoreline Tree",_xlpm.ECA_Short=0),
Error!$B$61,
IF(AND($F468="Remove",ISNUMBER(MATCH($E468,{"Tier 1","Tier 2","Tier 3","Tier 4","Tier 2 Grove"},0)),ISNUMBER(MATCH($I468,{"On-site replacement","Off-site replacement"},0)),$J468="",$H468&lt;&gt;""),
Error!$B$19,
IF(AND(_xlpm.baseRow,$E468&lt;&gt;"",$D468&lt;&gt;"",$F468&lt;&gt;"",COUNTBLANK($B468:$C468)&gt;0,COUNTBLANK(_xlpm.HRange)&lt;&gt;4),
Error!$B$22,
IF(AND($H468="Zoning: Tree Points",$K468&lt;&gt;"",ISNA(MATCH($K468,Tables!$B$242:$B$253,0))),
Error!$B$58,
IF(AND($H468="Zoning: Tree Points",$K468="Small",$L468&lt;&gt;"",ISNA(MATCH($L468,Tables!$C$243:$C$244,0))),
Error!$B$59,
IF(AND($H468="Zoning: Tree Points",$K468="Small/Medium",$L468&lt;&gt;"",ISNA(MATCH($L468,Tables!$C$246:$C$247,0))),
Error!$B$59,
IF(AND($H468="Zoning: Tree Points",$K468="Medium/Large",$L468&lt;&gt;"",ISNA(MATCH($L468,Tables!$C$249:$C$250,0))),
Error!$B$59,
IF(AND($H468="Zoning: Tree Points",$K468="Large",$L468&lt;&gt;"",ISNA(MATCH($L468,Tables!$C$252:$C$253,0))),
Error!$B$59,
IF(AND($F468="Retain",$H468="Zoning: Tree Points",$C468&lt;&gt;"",$D468&lt;&gt;"",OR($K468="",$L468="",$M468="")),
Error!$B$20,
""
)))))))))))))))))))))))))))))))))))))))))))))))))))))))),
Error!$B$23))</f>
        <v/>
      </c>
      <c r="O468" s="343" t="str" cm="1">
        <f t="array" aca="1" ref="O468" ca="1">IFERROR(_xlfn.LET(
    _xlpm.txt, $C468,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69" spans="1:15" x14ac:dyDescent="0.3">
      <c r="A469" s="320"/>
      <c r="B469" s="616" t="str">
        <f t="shared" si="533"/>
        <v/>
      </c>
      <c r="C469" s="617" t="str">
        <f t="shared" si="534"/>
        <v/>
      </c>
      <c r="D469" s="618" t="str">
        <f t="shared" si="535"/>
        <v/>
      </c>
      <c r="E469" s="616" t="str">
        <f t="shared" si="536"/>
        <v/>
      </c>
      <c r="F469" s="616" t="str">
        <f t="shared" si="537"/>
        <v/>
      </c>
      <c r="G469" s="619" t="str">
        <f>IF(Tree_Table1[[#This Row],[Tree Status  &amp;]]="Retain", Tables!$B$237, IF(Tree_Table1[[#This Row],[Tree Status  &amp;]]="Remove", Tables!$B$238, ""))</f>
        <v/>
      </c>
      <c r="H469" s="321"/>
      <c r="I469" s="322"/>
      <c r="J469" s="453"/>
      <c r="K469" s="323" t="str">
        <f>IFERROR(
    IF(
        AND($H469="Zoning: Tree Points", NOT(ISNUMBER(SEARCH("sp.", $C469)))),
        VLOOKUP($C469, 'Tree List'!$C$3:$F$601, 4, FALSE),
        ""
    ),
"")</f>
        <v/>
      </c>
      <c r="L469" s="324" t="str" cm="1">
        <f t="array" ref="L469">IFERROR(
IF(
    AND($H469="Zoning: Tree Points", NOT(ISNUMBER(SEARCH("sp.", $C469)))),
    _xlfn.IFS(
        (COUNTIFS('Tree List'!$C$3:$C$601,$C469,'Tree List'!$D$3:$D$601,"Coniferous")
        + COUNTIFS('Tree List'!$C$3:$C$601,$C469,'Tree List'!$D$3:$D$601,"Deciduous Conifer")) &gt; 0,
            _xlfn.IFS($K469="Small",0.5,$K469="Small/Medium",1,$K469="Medium/Large",1.4,$K469="Large",1.8),
        (COUNTIFS('Tree List'!$C$3:$C$601,$C469,'Tree List'!$D$3:$D$601,"Deciduous")
        + COUNTIFS('Tree List'!$C$3:$C$601,$C469,'Tree List'!$D$3:$D$601,"Broadleaf Evergreen")) &gt; 0,
            _xlfn.IFS($K469="Small",0.4,$K469="Small/Medium",0.8,$K469="Medium/Large",1.2,$K469="Large",1.6)
    ),
    ""
),
"")</f>
        <v/>
      </c>
      <c r="M469" s="475" t="str">
        <f t="shared" si="492"/>
        <v/>
      </c>
      <c r="N469" s="346" t="str" cm="1">
        <f t="array" aca="1" ref="N46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IF(AND(_xlpm.baseRow,ISNA(MATCH($C469,'Tree List'!$C$3:$C$601,0)),SUMPRODUCT(--ISNUMBER(SEARCH(Tables2!$C$677:$C$772,$O469)))&gt;0),
Error!$B$57,
IF(AND(_xlpm.hasDM,$F469="Remove",$H469&lt;&gt;"",OR($I469="On-site replacement",$I469="Off-site replacement",$I469="Payment In Lieu")),
Error!$B$56,
IF(AND(_xlpm.hasDM,$F469="Remove",$H469&lt;&gt;"",$I469="Relocation"),
Error!$B$66,
IF(AND(OR(_xlpm.hasCN,_xlpm.hasPH,_xlpm.hasGR),$H469&lt;&gt;"",COUNTIF(Tables!$B$132:$B$134,$H469)&gt;0,$I469="N/A (No replacement required)"),
Error!$B$62,
IF(AND(_xlpm.baseRow,$E469&lt;&gt;"",ISNA(MATCH($E469,Tables!$B$225:$B$232,0))),
Error!$B$2,
IF(AND(_xlpm.baseRow,$F469&lt;&gt;"",ISNA(MATCH($F469,Tables!$B$234:$B$235,0))),
Error!$B$24,
IF(AND(_xlpm.baseRow,_xlpm.ECA_H&gt;0,_xlpm.Shore_H&gt;0),
Error!$B$16,
IF(AND(_xlpm.baseRow,$E469&lt;&gt;"",$D469=""),
Error!$B$3,
IF(AND(_xlpm.baseRow,OR($E469="Tier 3",$E469="Tier 4"),$C469&lt;&gt;"",$D469&gt;=24,COUNTIF(Tables2!$B$166:$B$674,$C469)&gt;0),
Error!$B$44,
IF(AND(_xlpm.baseRow,OR($E469="Tier 3",$E469="Tier 4"),$C469&lt;&gt;"",$D469&lt;&gt;"",COUNTIF(Tables2!$B$73:$B$152,$C469)&gt;0,
$D469&gt;=IFERROR(INDEX(Tables2!$C$73:$C$152,MATCH($C469,Tables2!$B$73:$B$152,0)),-1)),
Error!$B$44,
IF(AND(_xlpm.baseRow,OR($E469="Tier 2",$E469="Tier 2 Grove"),$C469&lt;&gt;"",$D469&gt;=12,COUNTIF(Tables2!$B$153:$B$162,$C469)&gt;0),
Error!$B$45,
IF(AND(_xlpm.baseRow,$E469="Tier 2 Grove",$D469&lt;12),
Error!$B$41,
IF(AND(_xlpm.baseRow,$E469="Tier 2",$D469&lt;5.88),
Error!$B$40,
IF(AND(_xlpm.baseRow,OR($E469="Tier 2",$E469="Tier 2 Grove"),$C469&lt;&gt;"",$D469&lt;12,$D469&gt;=6,COUNTIF(Tables2!$B$153:$B$162,$C469)&gt;0),
Error!$B$54,
IF(AND(_xlpm.baseRow,$E469="Tier 2",COUNTIF(Tables2!$B$166:$B$674,$C469)&gt;0,$D469&lt;24),
Error!$B$54,
IF(AND(_xlpm.baseRow,$E469="Tier 3",ISNA(MATCH($C469,Tables2!$B$153:$B$162,0)),OR($D469&lt;12,$D469&gt;=24)),
Error!$B$9,
IF(AND(_xlpm.baseRow,$E469="Tier 3",COUNTIF(Tables2!$B$153:$B$162,$C469)&gt;0,$D469&lt;12),
Error!$B$46,
IF(AND(_xlpm.baseRow,$E469="Tier 4",OR($D469&lt;6,$D469&gt;=12)),
Error!$B$10,
IF(AND(_xlpm.baseRow,$E469="&lt;6in DSH for Tree Points",OR($D469&gt;=6,$D469="")),
Error!$B$8,
IF(AND(_xlpm.baseRow,$E469="Street Tree for Green Factor",$F469&lt;&gt;"",$F469&lt;&gt;"Retain"),
Error!$B$14,
IF(AND($E469="&lt;6in DSH for Tree Points",$F469="Retain",$H469&lt;&gt;"",ISNA(MATCH($H469,Tables!$B$174:$B$174,0))),
Error!$B$15,
IF(AND($E469="Street Tree for Green Factor",$F469="Retain",$H469&lt;&gt;"",$H469&lt;&gt;"Zoning: Green Factor"),
Error!$B$15,
IF(AND($E469="ECA / Shoreline Tree",$F469="Remove",$H469&lt;&gt;"",ISNA(MATCH($H469,Tables!$B$189:$B$190,0))),
Error!$B$15,
IF(AND($E469="ECA / Shoreline Tree",$F469="Retain",$H469&lt;&gt;"",ISNA(MATCH($H469,Tables!$B$184:$B$186,0))),
Error!$B$15,
IF(AND($E469="Tier 4",$F469="Remove",$H469&lt;&gt;"",ISNA(MATCH($H469,Tables!$B$171,0))),
Error!$B$15,
IF(AND($E469="Tier 4",$F469="Retain",$H469&lt;&gt;"",ISNA(MATCH($H469,Tables!$B$166:$B$168,0))),
Error!$B$15,
IF(AND($E469="Tier 3",$F469="Retain",$H469&lt;&gt;"",ISNA(MATCH($H469,Tables!$B$158:$B$160,0))),
Error!$B$15,
IF(AND($E469="Tier 3",$F469="Remove",$H469&lt;&gt;"",ISNA(MATCH($H469,Tables!$B$163,0))),
Error!$B$15,
IF(AND(OR($E469="Tier 2",$E469="Tier 2 Grove"),$F469="Remove",$H469&lt;&gt;"",ISNA(MATCH($H469,Tables!$B$153:$B$155,0))),
Error!$B$15,
IF(AND(OR($E469="Tier 2",$E469="Tier 2 Grove"),$F469="Retain",$H469&lt;&gt;"",ISNA(MATCH($H469,Tables!$B$147:$B$150,0))),
Error!$B$15,
IF(AND($E469="Tier 1",$F469="Remove",$H469&lt;&gt;"",ISNA(MATCH($H469,Tables!$B$143:$B$144,0))),
Error!$B$15,
IF(AND($E469="Tier 1",$F469="Retain",$H469&lt;&gt;"",ISNA(MATCH($H469,Tables!$B$137:$B$140,0))),
Error!$B$15,
IF(AND($E469&lt;&gt;"Tier 2",$E469&lt;&gt;"Tier 2 Grove",$E469&lt;&gt;"Tier 3",$E469&lt;&gt;"Tier 4",$H469="Zoning: Green Factor",OR($D469="",$D469&lt;6)),
Error!$B$11,
IF(AND(_xlpm.baseRow,$D469&lt;6,$E469="&lt;6in DSH for Tree Points",_xlpm.TreePoints_H=0),
Error!$B$21,
IF(AND(_xlpm.baseRow,$E469&lt;&gt;"",$D469&lt;&gt;"",$F469=""),
Error!$B$4,
IF(AND(_xlpm.baseRow,$F469="Remove",OR($E469="Tier 1",$E469="Tier 2",$E469="Tier 2 Grove"),COUNTBLANK(_xlpm.HRange)&lt;3,_xlpm.uniqueH&gt;=2),
Error!$B$48,
IF(AND(_xlpm.baseRow,$F469="Retain",OR($E469="Tier 1",$E469="Tier 2",$E469="Tier 2 Grove"),COUNTIF(_xlpm.HRange,"Tree Code: Required to Retain Tier 1-2 Tree")=0),
Error!$B$47,
IF(AND(_xlpm.baseRow,$E469&lt;&gt;"",$D469&lt;&gt;"",$F469&lt;&gt;"",COUNTBLANK(_xlpm.HRange)=4),
Error!$B$5,
IF(AND($F469="Remove",$H469&lt;&gt;"",$I469=""),
Error!$B$18,
IF(AND($E469="Tier 4",$F469="Remove",$H469="Tree Protection Code: Tier 3 or Tier 4 Allowance",$H469&lt;&gt;"",ISNA(MATCH($I469,Tables!$B$200,0))),
Error!$B$17,
IF(AND($E469="Tier 3",$F469="Remove",$H469&lt;&gt;"",$H469="Tree Protection Code: Tier 3 or Tier 4 Allowance",OR($I469="",ISNA(MATCH($I469,Tables!$B$193:$B$197,0)))),
Error!$B$17,
IF(AND(OR($E469="Tier 2",$E469="Tier 2 Grove"),$F469="Remove",$H469="Tree Protection Code: Other removal allowance or exemption",$I469&lt;&gt;"",ISNA(MATCH($I469,Tables!$B$215:$B$218,0))),
Error!$B$17,
IF(AND(OR($E469="Tier 2",$E469="Tier 2 Grove"),$F469="Remove",$H469="Tree Protection Code: Development Capacity",$I469&lt;&gt;"",ISNA(MATCH($I469,Tables!$B$193:$B$197,0))),
Error!$B$17,
IF(AND(OR($E469="Tier 2",$E469="Tier 2 Grove"),$F469="Remove",$H469="Tree Protection Code: Necessary for Construction",$I469&lt;&gt;"",ISNA(MATCH($I469,Tables!$B$193:$B$197,0))),
Error!$B$17,
IF(AND($E469="Tier 1",$F469="Remove",$H469="Tree Protection Code: Special Exception",$I469&lt;&gt;"",ISNA(MATCH($I469,Tables!$B$215:$B$218,0))),
Error!$B$17,
IF(AND($E469="Tier 1",$F469="Remove",$H469="Tree Protection Code: Other removal allowance or exemption",$I469&lt;&gt;"",ISNA(MATCH($I469,Tables!$B$215:$B$218,0))),
Error!$B$17,
IF(AND($E469="ECA / Shoreline Tree",$F469="Remove",$H469&lt;&gt;"",OR($H469="Shoreline",$H469="Environmental Critical Area (ECA)"),ISNA(MATCH($I469,Tables!$B$209:$B$212,0))),
Error!$B$17,
IF(AND(_xlpm.baseRow,$F469="Retain",$E469="ECA / Shoreline Tree",_xlpm.ECA_Short=0),
Error!$B$61,
IF(AND($F469="Remove",ISNUMBER(MATCH($E469,{"Tier 1","Tier 2","Tier 3","Tier 4","Tier 2 Grove"},0)),ISNUMBER(MATCH($I469,{"On-site replacement","Off-site replacement"},0)),$J469="",$H469&lt;&gt;""),
Error!$B$19,
IF(AND(_xlpm.baseRow,$E469&lt;&gt;"",$D469&lt;&gt;"",$F469&lt;&gt;"",COUNTBLANK($B469:$C469)&gt;0,COUNTBLANK(_xlpm.HRange)&lt;&gt;4),
Error!$B$22,
IF(AND($H469="Zoning: Tree Points",$K469&lt;&gt;"",ISNA(MATCH($K469,Tables!$B$242:$B$253,0))),
Error!$B$58,
IF(AND($H469="Zoning: Tree Points",$K469="Small",$L469&lt;&gt;"",ISNA(MATCH($L469,Tables!$C$243:$C$244,0))),
Error!$B$59,
IF(AND($H469="Zoning: Tree Points",$K469="Small/Medium",$L469&lt;&gt;"",ISNA(MATCH($L469,Tables!$C$246:$C$247,0))),
Error!$B$59,
IF(AND($H469="Zoning: Tree Points",$K469="Medium/Large",$L469&lt;&gt;"",ISNA(MATCH($L469,Tables!$C$249:$C$250,0))),
Error!$B$59,
IF(AND($H469="Zoning: Tree Points",$K469="Large",$L469&lt;&gt;"",ISNA(MATCH($L469,Tables!$C$252:$C$253,0))),
Error!$B$59,
IF(AND($F469="Retain",$H469="Zoning: Tree Points",$C469&lt;&gt;"",$D469&lt;&gt;"",OR($K469="",$L469="",$M469="")),
Error!$B$20,
""
)))))))))))))))))))))))))))))))))))))))))))))))))))))))),
Error!$B$23))</f>
        <v/>
      </c>
      <c r="O469" s="343" t="str" cm="1">
        <f t="array" aca="1" ref="O469" ca="1">IFERROR(_xlfn.LET(
    _xlpm.txt, $C469,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70" spans="1:15" ht="15" thickBot="1" x14ac:dyDescent="0.35">
      <c r="A470" s="331"/>
      <c r="B470" s="616" t="str">
        <f t="shared" si="533"/>
        <v/>
      </c>
      <c r="C470" s="617" t="str">
        <f t="shared" si="534"/>
        <v/>
      </c>
      <c r="D470" s="618" t="str">
        <f t="shared" si="535"/>
        <v/>
      </c>
      <c r="E470" s="616" t="str">
        <f t="shared" si="536"/>
        <v/>
      </c>
      <c r="F470" s="616" t="str">
        <f t="shared" si="537"/>
        <v/>
      </c>
      <c r="G470" s="619" t="str">
        <f>IF(Tree_Table1[[#This Row],[Tree Status  &amp;]]="Retain", Tables!$B$237, IF(Tree_Table1[[#This Row],[Tree Status  &amp;]]="Remove", Tables!$B$238, ""))</f>
        <v/>
      </c>
      <c r="H470" s="329"/>
      <c r="I470" s="330"/>
      <c r="J470" s="455"/>
      <c r="K470" s="327" t="str">
        <f>IFERROR(
    IF(
        AND($H470="Zoning: Tree Points", NOT(ISNUMBER(SEARCH("sp.", $C470)))),
        VLOOKUP($C470, 'Tree List'!$C$3:$F$601, 4, FALSE),
        ""
    ),
"")</f>
        <v/>
      </c>
      <c r="L470" s="328" t="str" cm="1">
        <f t="array" ref="L470">IFERROR(
IF(
    AND($H470="Zoning: Tree Points", NOT(ISNUMBER(SEARCH("sp.", $C470)))),
    _xlfn.IFS(
        (COUNTIFS('Tree List'!$C$3:$C$601,$C470,'Tree List'!$D$3:$D$601,"Coniferous")
        + COUNTIFS('Tree List'!$C$3:$C$601,$C470,'Tree List'!$D$3:$D$601,"Deciduous Conifer")) &gt; 0,
            _xlfn.IFS($K470="Small",0.5,$K470="Small/Medium",1,$K470="Medium/Large",1.4,$K470="Large",1.8),
        (COUNTIFS('Tree List'!$C$3:$C$601,$C470,'Tree List'!$D$3:$D$601,"Deciduous")
        + COUNTIFS('Tree List'!$C$3:$C$601,$C470,'Tree List'!$D$3:$D$601,"Broadleaf Evergreen")) &gt; 0,
            _xlfn.IFS($K470="Small",0.4,$K470="Small/Medium",0.8,$K470="Medium/Large",1.2,$K470="Large",1.6)
    ),
    ""
),
"")</f>
        <v/>
      </c>
      <c r="M470" s="476" t="str">
        <f t="shared" si="492"/>
        <v/>
      </c>
      <c r="N470" s="347" t="str" cm="1">
        <f t="array" aca="1" ref="N47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IF(AND(_xlpm.baseRow,ISNA(MATCH($C470,'Tree List'!$C$3:$C$601,0)),SUMPRODUCT(--ISNUMBER(SEARCH(Tables2!$C$677:$C$772,$O470)))&gt;0),
Error!$B$57,
IF(AND(_xlpm.hasDM,$F470="Remove",$H470&lt;&gt;"",OR($I470="On-site replacement",$I470="Off-site replacement",$I470="Payment In Lieu")),
Error!$B$56,
IF(AND(_xlpm.hasDM,$F470="Remove",$H470&lt;&gt;"",$I470="Relocation"),
Error!$B$66,
IF(AND(OR(_xlpm.hasCN,_xlpm.hasPH,_xlpm.hasGR),$H470&lt;&gt;"",COUNTIF(Tables!$B$132:$B$134,$H470)&gt;0,$I470="N/A (No replacement required)"),
Error!$B$62,
IF(AND(_xlpm.baseRow,$E470&lt;&gt;"",ISNA(MATCH($E470,Tables!$B$225:$B$232,0))),
Error!$B$2,
IF(AND(_xlpm.baseRow,$F470&lt;&gt;"",ISNA(MATCH($F470,Tables!$B$234:$B$235,0))),
Error!$B$24,
IF(AND(_xlpm.baseRow,_xlpm.ECA_H&gt;0,_xlpm.Shore_H&gt;0),
Error!$B$16,
IF(AND(_xlpm.baseRow,$E470&lt;&gt;"",$D470=""),
Error!$B$3,
IF(AND(_xlpm.baseRow,OR($E470="Tier 3",$E470="Tier 4"),$C470&lt;&gt;"",$D470&gt;=24,COUNTIF(Tables2!$B$166:$B$674,$C470)&gt;0),
Error!$B$44,
IF(AND(_xlpm.baseRow,OR($E470="Tier 3",$E470="Tier 4"),$C470&lt;&gt;"",$D470&lt;&gt;"",COUNTIF(Tables2!$B$73:$B$152,$C470)&gt;0,
$D470&gt;=IFERROR(INDEX(Tables2!$C$73:$C$152,MATCH($C470,Tables2!$B$73:$B$152,0)),-1)),
Error!$B$44,
IF(AND(_xlpm.baseRow,OR($E470="Tier 2",$E470="Tier 2 Grove"),$C470&lt;&gt;"",$D470&gt;=12,COUNTIF(Tables2!$B$153:$B$162,$C470)&gt;0),
Error!$B$45,
IF(AND(_xlpm.baseRow,$E470="Tier 2 Grove",$D470&lt;12),
Error!$B$41,
IF(AND(_xlpm.baseRow,$E470="Tier 2",$D470&lt;5.88),
Error!$B$40,
IF(AND(_xlpm.baseRow,OR($E470="Tier 2",$E470="Tier 2 Grove"),$C470&lt;&gt;"",$D470&lt;12,$D470&gt;=6,COUNTIF(Tables2!$B$153:$B$162,$C470)&gt;0),
Error!$B$54,
IF(AND(_xlpm.baseRow,$E470="Tier 2",COUNTIF(Tables2!$B$166:$B$674,$C470)&gt;0,$D470&lt;24),
Error!$B$54,
IF(AND(_xlpm.baseRow,$E470="Tier 3",ISNA(MATCH($C470,Tables2!$B$153:$B$162,0)),OR($D470&lt;12,$D470&gt;=24)),
Error!$B$9,
IF(AND(_xlpm.baseRow,$E470="Tier 3",COUNTIF(Tables2!$B$153:$B$162,$C470)&gt;0,$D470&lt;12),
Error!$B$46,
IF(AND(_xlpm.baseRow,$E470="Tier 4",OR($D470&lt;6,$D470&gt;=12)),
Error!$B$10,
IF(AND(_xlpm.baseRow,$E470="&lt;6in DSH for Tree Points",OR($D470&gt;=6,$D470="")),
Error!$B$8,
IF(AND(_xlpm.baseRow,$E470="Street Tree for Green Factor",$F470&lt;&gt;"",$F470&lt;&gt;"Retain"),
Error!$B$14,
IF(AND($E470="&lt;6in DSH for Tree Points",$F470="Retain",$H470&lt;&gt;"",ISNA(MATCH($H470,Tables!$B$174:$B$174,0))),
Error!$B$15,
IF(AND($E470="Street Tree for Green Factor",$F470="Retain",$H470&lt;&gt;"",$H470&lt;&gt;"Zoning: Green Factor"),
Error!$B$15,
IF(AND($E470="ECA / Shoreline Tree",$F470="Remove",$H470&lt;&gt;"",ISNA(MATCH($H470,Tables!$B$189:$B$190,0))),
Error!$B$15,
IF(AND($E470="ECA / Shoreline Tree",$F470="Retain",$H470&lt;&gt;"",ISNA(MATCH($H470,Tables!$B$184:$B$186,0))),
Error!$B$15,
IF(AND($E470="Tier 4",$F470="Remove",$H470&lt;&gt;"",ISNA(MATCH($H470,Tables!$B$171,0))),
Error!$B$15,
IF(AND($E470="Tier 4",$F470="Retain",$H470&lt;&gt;"",ISNA(MATCH($H470,Tables!$B$166:$B$168,0))),
Error!$B$15,
IF(AND($E470="Tier 3",$F470="Retain",$H470&lt;&gt;"",ISNA(MATCH($H470,Tables!$B$158:$B$160,0))),
Error!$B$15,
IF(AND($E470="Tier 3",$F470="Remove",$H470&lt;&gt;"",ISNA(MATCH($H470,Tables!$B$163,0))),
Error!$B$15,
IF(AND(OR($E470="Tier 2",$E470="Tier 2 Grove"),$F470="Remove",$H470&lt;&gt;"",ISNA(MATCH($H470,Tables!$B$153:$B$155,0))),
Error!$B$15,
IF(AND(OR($E470="Tier 2",$E470="Tier 2 Grove"),$F470="Retain",$H470&lt;&gt;"",ISNA(MATCH($H470,Tables!$B$147:$B$150,0))),
Error!$B$15,
IF(AND($E470="Tier 1",$F470="Remove",$H470&lt;&gt;"",ISNA(MATCH($H470,Tables!$B$143:$B$144,0))),
Error!$B$15,
IF(AND($E470="Tier 1",$F470="Retain",$H470&lt;&gt;"",ISNA(MATCH($H470,Tables!$B$137:$B$140,0))),
Error!$B$15,
IF(AND($E470&lt;&gt;"Tier 2",$E470&lt;&gt;"Tier 2 Grove",$E470&lt;&gt;"Tier 3",$E470&lt;&gt;"Tier 4",$H470="Zoning: Green Factor",OR($D470="",$D470&lt;6)),
Error!$B$11,
IF(AND(_xlpm.baseRow,$D470&lt;6,$E470="&lt;6in DSH for Tree Points",_xlpm.TreePoints_H=0),
Error!$B$21,
IF(AND(_xlpm.baseRow,$E470&lt;&gt;"",$D470&lt;&gt;"",$F470=""),
Error!$B$4,
IF(AND(_xlpm.baseRow,$F470="Remove",OR($E470="Tier 1",$E470="Tier 2",$E470="Tier 2 Grove"),COUNTBLANK(_xlpm.HRange)&lt;3,_xlpm.uniqueH&gt;=2),
Error!$B$48,
IF(AND(_xlpm.baseRow,$F470="Retain",OR($E470="Tier 1",$E470="Tier 2",$E470="Tier 2 Grove"),COUNTIF(_xlpm.HRange,"Tree Code: Required to Retain Tier 1-2 Tree")=0),
Error!$B$47,
IF(AND(_xlpm.baseRow,$E470&lt;&gt;"",$D470&lt;&gt;"",$F470&lt;&gt;"",COUNTBLANK(_xlpm.HRange)=4),
Error!$B$5,
IF(AND($F470="Remove",$H470&lt;&gt;"",$I470=""),
Error!$B$18,
IF(AND($E470="Tier 4",$F470="Remove",$H470="Tree Protection Code: Tier 3 or Tier 4 Allowance",$H470&lt;&gt;"",ISNA(MATCH($I470,Tables!$B$200,0))),
Error!$B$17,
IF(AND($E470="Tier 3",$F470="Remove",$H470&lt;&gt;"",$H470="Tree Protection Code: Tier 3 or Tier 4 Allowance",OR($I470="",ISNA(MATCH($I470,Tables!$B$193:$B$197,0)))),
Error!$B$17,
IF(AND(OR($E470="Tier 2",$E470="Tier 2 Grove"),$F470="Remove",$H470="Tree Protection Code: Other removal allowance or exemption",$I470&lt;&gt;"",ISNA(MATCH($I470,Tables!$B$215:$B$218,0))),
Error!$B$17,
IF(AND(OR($E470="Tier 2",$E470="Tier 2 Grove"),$F470="Remove",$H470="Tree Protection Code: Development Capacity",$I470&lt;&gt;"",ISNA(MATCH($I470,Tables!$B$193:$B$197,0))),
Error!$B$17,
IF(AND(OR($E470="Tier 2",$E470="Tier 2 Grove"),$F470="Remove",$H470="Tree Protection Code: Necessary for Construction",$I470&lt;&gt;"",ISNA(MATCH($I470,Tables!$B$193:$B$197,0))),
Error!$B$17,
IF(AND($E470="Tier 1",$F470="Remove",$H470="Tree Protection Code: Special Exception",$I470&lt;&gt;"",ISNA(MATCH($I470,Tables!$B$215:$B$218,0))),
Error!$B$17,
IF(AND($E470="Tier 1",$F470="Remove",$H470="Tree Protection Code: Other removal allowance or exemption",$I470&lt;&gt;"",ISNA(MATCH($I470,Tables!$B$215:$B$218,0))),
Error!$B$17,
IF(AND($E470="ECA / Shoreline Tree",$F470="Remove",$H470&lt;&gt;"",OR($H470="Shoreline",$H470="Environmental Critical Area (ECA)"),ISNA(MATCH($I470,Tables!$B$209:$B$212,0))),
Error!$B$17,
IF(AND(_xlpm.baseRow,$F470="Retain",$E470="ECA / Shoreline Tree",_xlpm.ECA_Short=0),
Error!$B$61,
IF(AND($F470="Remove",ISNUMBER(MATCH($E470,{"Tier 1","Tier 2","Tier 3","Tier 4","Tier 2 Grove"},0)),ISNUMBER(MATCH($I470,{"On-site replacement","Off-site replacement"},0)),$J470="",$H470&lt;&gt;""),
Error!$B$19,
IF(AND(_xlpm.baseRow,$E470&lt;&gt;"",$D470&lt;&gt;"",$F470&lt;&gt;"",COUNTBLANK($B470:$C470)&gt;0,COUNTBLANK(_xlpm.HRange)&lt;&gt;4),
Error!$B$22,
IF(AND($H470="Zoning: Tree Points",$K470&lt;&gt;"",ISNA(MATCH($K470,Tables!$B$242:$B$253,0))),
Error!$B$58,
IF(AND($H470="Zoning: Tree Points",$K470="Small",$L470&lt;&gt;"",ISNA(MATCH($L470,Tables!$C$243:$C$244,0))),
Error!$B$59,
IF(AND($H470="Zoning: Tree Points",$K470="Small/Medium",$L470&lt;&gt;"",ISNA(MATCH($L470,Tables!$C$246:$C$247,0))),
Error!$B$59,
IF(AND($H470="Zoning: Tree Points",$K470="Medium/Large",$L470&lt;&gt;"",ISNA(MATCH($L470,Tables!$C$249:$C$250,0))),
Error!$B$59,
IF(AND($H470="Zoning: Tree Points",$K470="Large",$L470&lt;&gt;"",ISNA(MATCH($L470,Tables!$C$252:$C$253,0))),
Error!$B$59,
IF(AND($F470="Retain",$H470="Zoning: Tree Points",$C470&lt;&gt;"",$D470&lt;&gt;"",OR($K470="",$L470="",$M470="")),
Error!$B$20,
""
)))))))))))))))))))))))))))))))))))))))))))))))))))))))),
Error!$B$23))</f>
        <v/>
      </c>
      <c r="O470" s="343" t="str" cm="1">
        <f t="array" aca="1" ref="O470" ca="1">IFERROR(_xlfn.LET(
    _xlpm.txt, $C470,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71" spans="1:15" ht="15" thickBot="1" x14ac:dyDescent="0.35">
      <c r="A471" s="311">
        <v>116</v>
      </c>
      <c r="B471" s="312"/>
      <c r="C471" s="313"/>
      <c r="D471" s="478"/>
      <c r="E471" s="314"/>
      <c r="F471" s="314"/>
      <c r="G471" s="315" t="str">
        <f>IF(Tree_Table1[[#This Row],[Tree Status  &amp;]]="Retain", Tables!$B$237, IF(Tree_Table1[[#This Row],[Tree Status  &amp;]]="Remove", Tables!$B$238, ""))</f>
        <v/>
      </c>
      <c r="H471" s="316"/>
      <c r="I471" s="317"/>
      <c r="J471" s="452"/>
      <c r="K471" s="318" t="str">
        <f>IFERROR(
    IF(
        AND($H471="Zoning: Tree Points", NOT(ISNUMBER(SEARCH("sp.", $C471)))),
        VLOOKUP($C471, 'Tree List'!$C$3:$F$601, 4, FALSE),
        ""
    ),
"")</f>
        <v/>
      </c>
      <c r="L471" s="319" t="str" cm="1">
        <f t="array" ref="L471">IFERROR(
IF(
    AND($H471="Zoning: Tree Points", NOT(ISNUMBER(SEARCH("sp.", $C471)))),
    _xlfn.IFS(
        (COUNTIFS('Tree List'!$C$3:$C$601,$C471,'Tree List'!$D$3:$D$601,"Coniferous")
        + COUNTIFS('Tree List'!$C$3:$C$601,$C471,'Tree List'!$D$3:$D$601,"Deciduous Conifer")) &gt; 0,
            _xlfn.IFS($K471="Small",0.5,$K471="Small/Medium",1,$K471="Medium/Large",1.4,$K471="Large",1.8),
        (COUNTIFS('Tree List'!$C$3:$C$601,$C471,'Tree List'!$D$3:$D$601,"Deciduous")
        + COUNTIFS('Tree List'!$C$3:$C$601,$C471,'Tree List'!$D$3:$D$601,"Broadleaf Evergreen")) &gt; 0,
            _xlfn.IFS($K471="Small",0.4,$K471="Small/Medium",0.8,$K471="Medium/Large",1.2,$K471="Large",1.6)
    ),
    ""
),
"")</f>
        <v/>
      </c>
      <c r="M471" s="474" t="str">
        <f t="shared" si="492"/>
        <v/>
      </c>
      <c r="N471" s="620" t="str" cm="1">
        <f t="array" aca="1" ref="N47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IF(AND(_xlpm.baseRow,ISNA(MATCH($C471,'Tree List'!$C$3:$C$601,0)),SUMPRODUCT(--ISNUMBER(SEARCH(Tables2!$C$677:$C$772,$O471)))&gt;0),
Error!$B$57,
IF(AND(_xlpm.hasDM,$F471="Remove",$H471&lt;&gt;"",OR($I471="On-site replacement",$I471="Off-site replacement",$I471="Payment In Lieu")),
Error!$B$56,
IF(AND(_xlpm.hasDM,$F471="Remove",$H471&lt;&gt;"",$I471="Relocation"),
Error!$B$66,
IF(AND(OR(_xlpm.hasCN,_xlpm.hasPH,_xlpm.hasGR),$H471&lt;&gt;"",COUNTIF(Tables!$B$132:$B$134,$H471)&gt;0,$I471="N/A (No replacement required)"),
Error!$B$62,
IF(AND(_xlpm.baseRow,$E471&lt;&gt;"",ISNA(MATCH($E471,Tables!$B$225:$B$232,0))),
Error!$B$2,
IF(AND(_xlpm.baseRow,$F471&lt;&gt;"",ISNA(MATCH($F471,Tables!$B$234:$B$235,0))),
Error!$B$24,
IF(AND(_xlpm.baseRow,_xlpm.ECA_H&gt;0,_xlpm.Shore_H&gt;0),
Error!$B$16,
IF(AND(_xlpm.baseRow,$E471&lt;&gt;"",$D471=""),
Error!$B$3,
IF(AND(_xlpm.baseRow,OR($E471="Tier 3",$E471="Tier 4"),$C471&lt;&gt;"",$D471&gt;=24,COUNTIF(Tables2!$B$166:$B$674,$C471)&gt;0),
Error!$B$44,
IF(AND(_xlpm.baseRow,OR($E471="Tier 3",$E471="Tier 4"),$C471&lt;&gt;"",$D471&lt;&gt;"",COUNTIF(Tables2!$B$73:$B$152,$C471)&gt;0,
$D471&gt;=IFERROR(INDEX(Tables2!$C$73:$C$152,MATCH($C471,Tables2!$B$73:$B$152,0)),-1)),
Error!$B$44,
IF(AND(_xlpm.baseRow,OR($E471="Tier 2",$E471="Tier 2 Grove"),$C471&lt;&gt;"",$D471&gt;=12,COUNTIF(Tables2!$B$153:$B$162,$C471)&gt;0),
Error!$B$45,
IF(AND(_xlpm.baseRow,$E471="Tier 2 Grove",$D471&lt;12),
Error!$B$41,
IF(AND(_xlpm.baseRow,$E471="Tier 2",$D471&lt;5.88),
Error!$B$40,
IF(AND(_xlpm.baseRow,OR($E471="Tier 2",$E471="Tier 2 Grove"),$C471&lt;&gt;"",$D471&lt;12,$D471&gt;=6,COUNTIF(Tables2!$B$153:$B$162,$C471)&gt;0),
Error!$B$54,
IF(AND(_xlpm.baseRow,$E471="Tier 2",COUNTIF(Tables2!$B$166:$B$674,$C471)&gt;0,$D471&lt;24),
Error!$B$54,
IF(AND(_xlpm.baseRow,$E471="Tier 3",ISNA(MATCH($C471,Tables2!$B$153:$B$162,0)),OR($D471&lt;12,$D471&gt;=24)),
Error!$B$9,
IF(AND(_xlpm.baseRow,$E471="Tier 3",COUNTIF(Tables2!$B$153:$B$162,$C471)&gt;0,$D471&lt;12),
Error!$B$46,
IF(AND(_xlpm.baseRow,$E471="Tier 4",OR($D471&lt;6,$D471&gt;=12)),
Error!$B$10,
IF(AND(_xlpm.baseRow,$E471="&lt;6in DSH for Tree Points",OR($D471&gt;=6,$D471="")),
Error!$B$8,
IF(AND(_xlpm.baseRow,$E471="Street Tree for Green Factor",$F471&lt;&gt;"",$F471&lt;&gt;"Retain"),
Error!$B$14,
IF(AND($E471="&lt;6in DSH for Tree Points",$F471="Retain",$H471&lt;&gt;"",ISNA(MATCH($H471,Tables!$B$174:$B$174,0))),
Error!$B$15,
IF(AND($E471="Street Tree for Green Factor",$F471="Retain",$H471&lt;&gt;"",$H471&lt;&gt;"Zoning: Green Factor"),
Error!$B$15,
IF(AND($E471="ECA / Shoreline Tree",$F471="Remove",$H471&lt;&gt;"",ISNA(MATCH($H471,Tables!$B$189:$B$190,0))),
Error!$B$15,
IF(AND($E471="ECA / Shoreline Tree",$F471="Retain",$H471&lt;&gt;"",ISNA(MATCH($H471,Tables!$B$184:$B$186,0))),
Error!$B$15,
IF(AND($E471="Tier 4",$F471="Remove",$H471&lt;&gt;"",ISNA(MATCH($H471,Tables!$B$171,0))),
Error!$B$15,
IF(AND($E471="Tier 4",$F471="Retain",$H471&lt;&gt;"",ISNA(MATCH($H471,Tables!$B$166:$B$168,0))),
Error!$B$15,
IF(AND($E471="Tier 3",$F471="Retain",$H471&lt;&gt;"",ISNA(MATCH($H471,Tables!$B$158:$B$160,0))),
Error!$B$15,
IF(AND($E471="Tier 3",$F471="Remove",$H471&lt;&gt;"",ISNA(MATCH($H471,Tables!$B$163,0))),
Error!$B$15,
IF(AND(OR($E471="Tier 2",$E471="Tier 2 Grove"),$F471="Remove",$H471&lt;&gt;"",ISNA(MATCH($H471,Tables!$B$153:$B$155,0))),
Error!$B$15,
IF(AND(OR($E471="Tier 2",$E471="Tier 2 Grove"),$F471="Retain",$H471&lt;&gt;"",ISNA(MATCH($H471,Tables!$B$147:$B$150,0))),
Error!$B$15,
IF(AND($E471="Tier 1",$F471="Remove",$H471&lt;&gt;"",ISNA(MATCH($H471,Tables!$B$143:$B$144,0))),
Error!$B$15,
IF(AND($E471="Tier 1",$F471="Retain",$H471&lt;&gt;"",ISNA(MATCH($H471,Tables!$B$137:$B$140,0))),
Error!$B$15,
IF(AND($E471&lt;&gt;"Tier 2",$E471&lt;&gt;"Tier 2 Grove",$E471&lt;&gt;"Tier 3",$E471&lt;&gt;"Tier 4",$H471="Zoning: Green Factor",OR($D471="",$D471&lt;6)),
Error!$B$11,
IF(AND(_xlpm.baseRow,$D471&lt;6,$E471="&lt;6in DSH for Tree Points",_xlpm.TreePoints_H=0),
Error!$B$21,
IF(AND(_xlpm.baseRow,$E471&lt;&gt;"",$D471&lt;&gt;"",$F471=""),
Error!$B$4,
IF(AND(_xlpm.baseRow,$F471="Remove",OR($E471="Tier 1",$E471="Tier 2",$E471="Tier 2 Grove"),COUNTBLANK(_xlpm.HRange)&lt;3,_xlpm.uniqueH&gt;=2),
Error!$B$48,
IF(AND(_xlpm.baseRow,$F471="Retain",OR($E471="Tier 1",$E471="Tier 2",$E471="Tier 2 Grove"),COUNTIF(_xlpm.HRange,"Tree Code: Required to Retain Tier 1-2 Tree")=0),
Error!$B$47,
IF(AND(_xlpm.baseRow,$E471&lt;&gt;"",$D471&lt;&gt;"",$F471&lt;&gt;"",COUNTBLANK(_xlpm.HRange)=4),
Error!$B$5,
IF(AND($F471="Remove",$H471&lt;&gt;"",$I471=""),
Error!$B$18,
IF(AND($E471="Tier 4",$F471="Remove",$H471="Tree Protection Code: Tier 3 or Tier 4 Allowance",$H471&lt;&gt;"",ISNA(MATCH($I471,Tables!$B$200,0))),
Error!$B$17,
IF(AND($E471="Tier 3",$F471="Remove",$H471&lt;&gt;"",$H471="Tree Protection Code: Tier 3 or Tier 4 Allowance",OR($I471="",ISNA(MATCH($I471,Tables!$B$193:$B$197,0)))),
Error!$B$17,
IF(AND(OR($E471="Tier 2",$E471="Tier 2 Grove"),$F471="Remove",$H471="Tree Protection Code: Other removal allowance or exemption",$I471&lt;&gt;"",ISNA(MATCH($I471,Tables!$B$215:$B$218,0))),
Error!$B$17,
IF(AND(OR($E471="Tier 2",$E471="Tier 2 Grove"),$F471="Remove",$H471="Tree Protection Code: Development Capacity",$I471&lt;&gt;"",ISNA(MATCH($I471,Tables!$B$193:$B$197,0))),
Error!$B$17,
IF(AND(OR($E471="Tier 2",$E471="Tier 2 Grove"),$F471="Remove",$H471="Tree Protection Code: Necessary for Construction",$I471&lt;&gt;"",ISNA(MATCH($I471,Tables!$B$193:$B$197,0))),
Error!$B$17,
IF(AND($E471="Tier 1",$F471="Remove",$H471="Tree Protection Code: Special Exception",$I471&lt;&gt;"",ISNA(MATCH($I471,Tables!$B$215:$B$218,0))),
Error!$B$17,
IF(AND($E471="Tier 1",$F471="Remove",$H471="Tree Protection Code: Other removal allowance or exemption",$I471&lt;&gt;"",ISNA(MATCH($I471,Tables!$B$215:$B$218,0))),
Error!$B$17,
IF(AND($E471="ECA / Shoreline Tree",$F471="Remove",$H471&lt;&gt;"",OR($H471="Shoreline",$H471="Environmental Critical Area (ECA)"),ISNA(MATCH($I471,Tables!$B$209:$B$212,0))),
Error!$B$17,
IF(AND(_xlpm.baseRow,$F471="Retain",$E471="ECA / Shoreline Tree",_xlpm.ECA_Short=0),
Error!$B$61,
IF(AND($F471="Remove",ISNUMBER(MATCH($E471,{"Tier 1","Tier 2","Tier 3","Tier 4","Tier 2 Grove"},0)),ISNUMBER(MATCH($I471,{"On-site replacement","Off-site replacement"},0)),$J471="",$H471&lt;&gt;""),
Error!$B$19,
IF(AND(_xlpm.baseRow,$E471&lt;&gt;"",$D471&lt;&gt;"",$F471&lt;&gt;"",COUNTBLANK($B471:$C471)&gt;0,COUNTBLANK(_xlpm.HRange)&lt;&gt;4),
Error!$B$22,
IF(AND($H471="Zoning: Tree Points",$K471&lt;&gt;"",ISNA(MATCH($K471,Tables!$B$242:$B$253,0))),
Error!$B$58,
IF(AND($H471="Zoning: Tree Points",$K471="Small",$L471&lt;&gt;"",ISNA(MATCH($L471,Tables!$C$243:$C$244,0))),
Error!$B$59,
IF(AND($H471="Zoning: Tree Points",$K471="Small/Medium",$L471&lt;&gt;"",ISNA(MATCH($L471,Tables!$C$246:$C$247,0))),
Error!$B$59,
IF(AND($H471="Zoning: Tree Points",$K471="Medium/Large",$L471&lt;&gt;"",ISNA(MATCH($L471,Tables!$C$249:$C$250,0))),
Error!$B$59,
IF(AND($H471="Zoning: Tree Points",$K471="Large",$L471&lt;&gt;"",ISNA(MATCH($L471,Tables!$C$252:$C$253,0))),
Error!$B$59,
IF(AND($F471="Retain",$H471="Zoning: Tree Points",$C471&lt;&gt;"",$D471&lt;&gt;"",OR($K471="",$L471="",$M471="")),
Error!$B$20,
""
)))))))))))))))))))))))))))))))))))))))))))))))))))))))),
Error!$B$23))</f>
        <v/>
      </c>
      <c r="O471" s="343" t="str" cm="1">
        <f t="array" aca="1" ref="O471" ca="1">IFERROR(_xlfn.LET(
    _xlpm.txt, $C471,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72" spans="1:15" x14ac:dyDescent="0.3">
      <c r="A472" s="320"/>
      <c r="B472" s="616" t="str">
        <f t="shared" ref="B472:B474" si="538">IF($B471="", "", $B471)</f>
        <v/>
      </c>
      <c r="C472" s="617" t="str">
        <f t="shared" ref="C472:C474" si="539">IF($C471="", "", $C471)</f>
        <v/>
      </c>
      <c r="D472" s="618" t="str">
        <f t="shared" ref="D472:D474" si="540">IF($D471="", "", $D471)</f>
        <v/>
      </c>
      <c r="E472" s="616" t="str">
        <f t="shared" ref="E472:E474" si="541">IF($E471="", "", $E471)</f>
        <v/>
      </c>
      <c r="F472" s="616" t="str">
        <f t="shared" ref="F472:F474" si="542">IF($F471="", "", $F471)</f>
        <v/>
      </c>
      <c r="G472" s="619" t="str">
        <f>IF(Tree_Table1[[#This Row],[Tree Status  &amp;]]="Retain", Tables!$B$237, IF(Tree_Table1[[#This Row],[Tree Status  &amp;]]="Remove", Tables!$B$238, ""))</f>
        <v/>
      </c>
      <c r="H472" s="321"/>
      <c r="I472" s="322"/>
      <c r="J472" s="453"/>
      <c r="K472" s="323" t="str">
        <f>IFERROR(
    IF(
        AND($H472="Zoning: Tree Points", NOT(ISNUMBER(SEARCH("sp.", $C472)))),
        VLOOKUP($C472, 'Tree List'!$C$3:$F$601, 4, FALSE),
        ""
    ),
"")</f>
        <v/>
      </c>
      <c r="L472" s="324" t="str" cm="1">
        <f t="array" ref="L472">IFERROR(
IF(
    AND($H472="Zoning: Tree Points", NOT(ISNUMBER(SEARCH("sp.", $C472)))),
    _xlfn.IFS(
        (COUNTIFS('Tree List'!$C$3:$C$601,$C472,'Tree List'!$D$3:$D$601,"Coniferous")
        + COUNTIFS('Tree List'!$C$3:$C$601,$C472,'Tree List'!$D$3:$D$601,"Deciduous Conifer")) &gt; 0,
            _xlfn.IFS($K472="Small",0.5,$K472="Small/Medium",1,$K472="Medium/Large",1.4,$K472="Large",1.8),
        (COUNTIFS('Tree List'!$C$3:$C$601,$C472,'Tree List'!$D$3:$D$601,"Deciduous")
        + COUNTIFS('Tree List'!$C$3:$C$601,$C472,'Tree List'!$D$3:$D$601,"Broadleaf Evergreen")) &gt; 0,
            _xlfn.IFS($K472="Small",0.4,$K472="Small/Medium",0.8,$K472="Medium/Large",1.2,$K472="Large",1.6)
    ),
    ""
),
"")</f>
        <v/>
      </c>
      <c r="M472" s="475" t="str">
        <f t="shared" si="492"/>
        <v/>
      </c>
      <c r="N472" s="346" t="str" cm="1">
        <f t="array" aca="1" ref="N47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IF(AND(_xlpm.baseRow,ISNA(MATCH($C472,'Tree List'!$C$3:$C$601,0)),SUMPRODUCT(--ISNUMBER(SEARCH(Tables2!$C$677:$C$772,$O472)))&gt;0),
Error!$B$57,
IF(AND(_xlpm.hasDM,$F472="Remove",$H472&lt;&gt;"",OR($I472="On-site replacement",$I472="Off-site replacement",$I472="Payment In Lieu")),
Error!$B$56,
IF(AND(_xlpm.hasDM,$F472="Remove",$H472&lt;&gt;"",$I472="Relocation"),
Error!$B$66,
IF(AND(OR(_xlpm.hasCN,_xlpm.hasPH,_xlpm.hasGR),$H472&lt;&gt;"",COUNTIF(Tables!$B$132:$B$134,$H472)&gt;0,$I472="N/A (No replacement required)"),
Error!$B$62,
IF(AND(_xlpm.baseRow,$E472&lt;&gt;"",ISNA(MATCH($E472,Tables!$B$225:$B$232,0))),
Error!$B$2,
IF(AND(_xlpm.baseRow,$F472&lt;&gt;"",ISNA(MATCH($F472,Tables!$B$234:$B$235,0))),
Error!$B$24,
IF(AND(_xlpm.baseRow,_xlpm.ECA_H&gt;0,_xlpm.Shore_H&gt;0),
Error!$B$16,
IF(AND(_xlpm.baseRow,$E472&lt;&gt;"",$D472=""),
Error!$B$3,
IF(AND(_xlpm.baseRow,OR($E472="Tier 3",$E472="Tier 4"),$C472&lt;&gt;"",$D472&gt;=24,COUNTIF(Tables2!$B$166:$B$674,$C472)&gt;0),
Error!$B$44,
IF(AND(_xlpm.baseRow,OR($E472="Tier 3",$E472="Tier 4"),$C472&lt;&gt;"",$D472&lt;&gt;"",COUNTIF(Tables2!$B$73:$B$152,$C472)&gt;0,
$D472&gt;=IFERROR(INDEX(Tables2!$C$73:$C$152,MATCH($C472,Tables2!$B$73:$B$152,0)),-1)),
Error!$B$44,
IF(AND(_xlpm.baseRow,OR($E472="Tier 2",$E472="Tier 2 Grove"),$C472&lt;&gt;"",$D472&gt;=12,COUNTIF(Tables2!$B$153:$B$162,$C472)&gt;0),
Error!$B$45,
IF(AND(_xlpm.baseRow,$E472="Tier 2 Grove",$D472&lt;12),
Error!$B$41,
IF(AND(_xlpm.baseRow,$E472="Tier 2",$D472&lt;5.88),
Error!$B$40,
IF(AND(_xlpm.baseRow,OR($E472="Tier 2",$E472="Tier 2 Grove"),$C472&lt;&gt;"",$D472&lt;12,$D472&gt;=6,COUNTIF(Tables2!$B$153:$B$162,$C472)&gt;0),
Error!$B$54,
IF(AND(_xlpm.baseRow,$E472="Tier 2",COUNTIF(Tables2!$B$166:$B$674,$C472)&gt;0,$D472&lt;24),
Error!$B$54,
IF(AND(_xlpm.baseRow,$E472="Tier 3",ISNA(MATCH($C472,Tables2!$B$153:$B$162,0)),OR($D472&lt;12,$D472&gt;=24)),
Error!$B$9,
IF(AND(_xlpm.baseRow,$E472="Tier 3",COUNTIF(Tables2!$B$153:$B$162,$C472)&gt;0,$D472&lt;12),
Error!$B$46,
IF(AND(_xlpm.baseRow,$E472="Tier 4",OR($D472&lt;6,$D472&gt;=12)),
Error!$B$10,
IF(AND(_xlpm.baseRow,$E472="&lt;6in DSH for Tree Points",OR($D472&gt;=6,$D472="")),
Error!$B$8,
IF(AND(_xlpm.baseRow,$E472="Street Tree for Green Factor",$F472&lt;&gt;"",$F472&lt;&gt;"Retain"),
Error!$B$14,
IF(AND($E472="&lt;6in DSH for Tree Points",$F472="Retain",$H472&lt;&gt;"",ISNA(MATCH($H472,Tables!$B$174:$B$174,0))),
Error!$B$15,
IF(AND($E472="Street Tree for Green Factor",$F472="Retain",$H472&lt;&gt;"",$H472&lt;&gt;"Zoning: Green Factor"),
Error!$B$15,
IF(AND($E472="ECA / Shoreline Tree",$F472="Remove",$H472&lt;&gt;"",ISNA(MATCH($H472,Tables!$B$189:$B$190,0))),
Error!$B$15,
IF(AND($E472="ECA / Shoreline Tree",$F472="Retain",$H472&lt;&gt;"",ISNA(MATCH($H472,Tables!$B$184:$B$186,0))),
Error!$B$15,
IF(AND($E472="Tier 4",$F472="Remove",$H472&lt;&gt;"",ISNA(MATCH($H472,Tables!$B$171,0))),
Error!$B$15,
IF(AND($E472="Tier 4",$F472="Retain",$H472&lt;&gt;"",ISNA(MATCH($H472,Tables!$B$166:$B$168,0))),
Error!$B$15,
IF(AND($E472="Tier 3",$F472="Retain",$H472&lt;&gt;"",ISNA(MATCH($H472,Tables!$B$158:$B$160,0))),
Error!$B$15,
IF(AND($E472="Tier 3",$F472="Remove",$H472&lt;&gt;"",ISNA(MATCH($H472,Tables!$B$163,0))),
Error!$B$15,
IF(AND(OR($E472="Tier 2",$E472="Tier 2 Grove"),$F472="Remove",$H472&lt;&gt;"",ISNA(MATCH($H472,Tables!$B$153:$B$155,0))),
Error!$B$15,
IF(AND(OR($E472="Tier 2",$E472="Tier 2 Grove"),$F472="Retain",$H472&lt;&gt;"",ISNA(MATCH($H472,Tables!$B$147:$B$150,0))),
Error!$B$15,
IF(AND($E472="Tier 1",$F472="Remove",$H472&lt;&gt;"",ISNA(MATCH($H472,Tables!$B$143:$B$144,0))),
Error!$B$15,
IF(AND($E472="Tier 1",$F472="Retain",$H472&lt;&gt;"",ISNA(MATCH($H472,Tables!$B$137:$B$140,0))),
Error!$B$15,
IF(AND($E472&lt;&gt;"Tier 2",$E472&lt;&gt;"Tier 2 Grove",$E472&lt;&gt;"Tier 3",$E472&lt;&gt;"Tier 4",$H472="Zoning: Green Factor",OR($D472="",$D472&lt;6)),
Error!$B$11,
IF(AND(_xlpm.baseRow,$D472&lt;6,$E472="&lt;6in DSH for Tree Points",_xlpm.TreePoints_H=0),
Error!$B$21,
IF(AND(_xlpm.baseRow,$E472&lt;&gt;"",$D472&lt;&gt;"",$F472=""),
Error!$B$4,
IF(AND(_xlpm.baseRow,$F472="Remove",OR($E472="Tier 1",$E472="Tier 2",$E472="Tier 2 Grove"),COUNTBLANK(_xlpm.HRange)&lt;3,_xlpm.uniqueH&gt;=2),
Error!$B$48,
IF(AND(_xlpm.baseRow,$F472="Retain",OR($E472="Tier 1",$E472="Tier 2",$E472="Tier 2 Grove"),COUNTIF(_xlpm.HRange,"Tree Code: Required to Retain Tier 1-2 Tree")=0),
Error!$B$47,
IF(AND(_xlpm.baseRow,$E472&lt;&gt;"",$D472&lt;&gt;"",$F472&lt;&gt;"",COUNTBLANK(_xlpm.HRange)=4),
Error!$B$5,
IF(AND($F472="Remove",$H472&lt;&gt;"",$I472=""),
Error!$B$18,
IF(AND($E472="Tier 4",$F472="Remove",$H472="Tree Protection Code: Tier 3 or Tier 4 Allowance",$H472&lt;&gt;"",ISNA(MATCH($I472,Tables!$B$200,0))),
Error!$B$17,
IF(AND($E472="Tier 3",$F472="Remove",$H472&lt;&gt;"",$H472="Tree Protection Code: Tier 3 or Tier 4 Allowance",OR($I472="",ISNA(MATCH($I472,Tables!$B$193:$B$197,0)))),
Error!$B$17,
IF(AND(OR($E472="Tier 2",$E472="Tier 2 Grove"),$F472="Remove",$H472="Tree Protection Code: Other removal allowance or exemption",$I472&lt;&gt;"",ISNA(MATCH($I472,Tables!$B$215:$B$218,0))),
Error!$B$17,
IF(AND(OR($E472="Tier 2",$E472="Tier 2 Grove"),$F472="Remove",$H472="Tree Protection Code: Development Capacity",$I472&lt;&gt;"",ISNA(MATCH($I472,Tables!$B$193:$B$197,0))),
Error!$B$17,
IF(AND(OR($E472="Tier 2",$E472="Tier 2 Grove"),$F472="Remove",$H472="Tree Protection Code: Necessary for Construction",$I472&lt;&gt;"",ISNA(MATCH($I472,Tables!$B$193:$B$197,0))),
Error!$B$17,
IF(AND($E472="Tier 1",$F472="Remove",$H472="Tree Protection Code: Special Exception",$I472&lt;&gt;"",ISNA(MATCH($I472,Tables!$B$215:$B$218,0))),
Error!$B$17,
IF(AND($E472="Tier 1",$F472="Remove",$H472="Tree Protection Code: Other removal allowance or exemption",$I472&lt;&gt;"",ISNA(MATCH($I472,Tables!$B$215:$B$218,0))),
Error!$B$17,
IF(AND($E472="ECA / Shoreline Tree",$F472="Remove",$H472&lt;&gt;"",OR($H472="Shoreline",$H472="Environmental Critical Area (ECA)"),ISNA(MATCH($I472,Tables!$B$209:$B$212,0))),
Error!$B$17,
IF(AND(_xlpm.baseRow,$F472="Retain",$E472="ECA / Shoreline Tree",_xlpm.ECA_Short=0),
Error!$B$61,
IF(AND($F472="Remove",ISNUMBER(MATCH($E472,{"Tier 1","Tier 2","Tier 3","Tier 4","Tier 2 Grove"},0)),ISNUMBER(MATCH($I472,{"On-site replacement","Off-site replacement"},0)),$J472="",$H472&lt;&gt;""),
Error!$B$19,
IF(AND(_xlpm.baseRow,$E472&lt;&gt;"",$D472&lt;&gt;"",$F472&lt;&gt;"",COUNTBLANK($B472:$C472)&gt;0,COUNTBLANK(_xlpm.HRange)&lt;&gt;4),
Error!$B$22,
IF(AND($H472="Zoning: Tree Points",$K472&lt;&gt;"",ISNA(MATCH($K472,Tables!$B$242:$B$253,0))),
Error!$B$58,
IF(AND($H472="Zoning: Tree Points",$K472="Small",$L472&lt;&gt;"",ISNA(MATCH($L472,Tables!$C$243:$C$244,0))),
Error!$B$59,
IF(AND($H472="Zoning: Tree Points",$K472="Small/Medium",$L472&lt;&gt;"",ISNA(MATCH($L472,Tables!$C$246:$C$247,0))),
Error!$B$59,
IF(AND($H472="Zoning: Tree Points",$K472="Medium/Large",$L472&lt;&gt;"",ISNA(MATCH($L472,Tables!$C$249:$C$250,0))),
Error!$B$59,
IF(AND($H472="Zoning: Tree Points",$K472="Large",$L472&lt;&gt;"",ISNA(MATCH($L472,Tables!$C$252:$C$253,0))),
Error!$B$59,
IF(AND($F472="Retain",$H472="Zoning: Tree Points",$C472&lt;&gt;"",$D472&lt;&gt;"",OR($K472="",$L472="",$M472="")),
Error!$B$20,
""
)))))))))))))))))))))))))))))))))))))))))))))))))))))))),
Error!$B$23))</f>
        <v/>
      </c>
      <c r="O472" s="343" t="str" cm="1">
        <f t="array" aca="1" ref="O472" ca="1">IFERROR(_xlfn.LET(
    _xlpm.txt, $C472,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73" spans="1:15" x14ac:dyDescent="0.3">
      <c r="A473" s="320"/>
      <c r="B473" s="616" t="str">
        <f t="shared" si="538"/>
        <v/>
      </c>
      <c r="C473" s="617" t="str">
        <f t="shared" si="539"/>
        <v/>
      </c>
      <c r="D473" s="618" t="str">
        <f t="shared" si="540"/>
        <v/>
      </c>
      <c r="E473" s="616" t="str">
        <f t="shared" si="541"/>
        <v/>
      </c>
      <c r="F473" s="616" t="str">
        <f t="shared" si="542"/>
        <v/>
      </c>
      <c r="G473" s="619" t="str">
        <f>IF(Tree_Table1[[#This Row],[Tree Status  &amp;]]="Retain", Tables!$B$237, IF(Tree_Table1[[#This Row],[Tree Status  &amp;]]="Remove", Tables!$B$238, ""))</f>
        <v/>
      </c>
      <c r="H473" s="321"/>
      <c r="I473" s="322"/>
      <c r="J473" s="453"/>
      <c r="K473" s="323" t="str">
        <f>IFERROR(
    IF(
        AND($H473="Zoning: Tree Points", NOT(ISNUMBER(SEARCH("sp.", $C473)))),
        VLOOKUP($C473, 'Tree List'!$C$3:$F$601, 4, FALSE),
        ""
    ),
"")</f>
        <v/>
      </c>
      <c r="L473" s="324" t="str" cm="1">
        <f t="array" ref="L473">IFERROR(
IF(
    AND($H473="Zoning: Tree Points", NOT(ISNUMBER(SEARCH("sp.", $C473)))),
    _xlfn.IFS(
        (COUNTIFS('Tree List'!$C$3:$C$601,$C473,'Tree List'!$D$3:$D$601,"Coniferous")
        + COUNTIFS('Tree List'!$C$3:$C$601,$C473,'Tree List'!$D$3:$D$601,"Deciduous Conifer")) &gt; 0,
            _xlfn.IFS($K473="Small",0.5,$K473="Small/Medium",1,$K473="Medium/Large",1.4,$K473="Large",1.8),
        (COUNTIFS('Tree List'!$C$3:$C$601,$C473,'Tree List'!$D$3:$D$601,"Deciduous")
        + COUNTIFS('Tree List'!$C$3:$C$601,$C473,'Tree List'!$D$3:$D$601,"Broadleaf Evergreen")) &gt; 0,
            _xlfn.IFS($K473="Small",0.4,$K473="Small/Medium",0.8,$K473="Medium/Large",1.2,$K473="Large",1.6)
    ),
    ""
),
"")</f>
        <v/>
      </c>
      <c r="M473" s="475" t="str">
        <f t="shared" si="492"/>
        <v/>
      </c>
      <c r="N473" s="346" t="str" cm="1">
        <f t="array" aca="1" ref="N47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IF(AND(_xlpm.baseRow,ISNA(MATCH($C473,'Tree List'!$C$3:$C$601,0)),SUMPRODUCT(--ISNUMBER(SEARCH(Tables2!$C$677:$C$772,$O473)))&gt;0),
Error!$B$57,
IF(AND(_xlpm.hasDM,$F473="Remove",$H473&lt;&gt;"",OR($I473="On-site replacement",$I473="Off-site replacement",$I473="Payment In Lieu")),
Error!$B$56,
IF(AND(_xlpm.hasDM,$F473="Remove",$H473&lt;&gt;"",$I473="Relocation"),
Error!$B$66,
IF(AND(OR(_xlpm.hasCN,_xlpm.hasPH,_xlpm.hasGR),$H473&lt;&gt;"",COUNTIF(Tables!$B$132:$B$134,$H473)&gt;0,$I473="N/A (No replacement required)"),
Error!$B$62,
IF(AND(_xlpm.baseRow,$E473&lt;&gt;"",ISNA(MATCH($E473,Tables!$B$225:$B$232,0))),
Error!$B$2,
IF(AND(_xlpm.baseRow,$F473&lt;&gt;"",ISNA(MATCH($F473,Tables!$B$234:$B$235,0))),
Error!$B$24,
IF(AND(_xlpm.baseRow,_xlpm.ECA_H&gt;0,_xlpm.Shore_H&gt;0),
Error!$B$16,
IF(AND(_xlpm.baseRow,$E473&lt;&gt;"",$D473=""),
Error!$B$3,
IF(AND(_xlpm.baseRow,OR($E473="Tier 3",$E473="Tier 4"),$C473&lt;&gt;"",$D473&gt;=24,COUNTIF(Tables2!$B$166:$B$674,$C473)&gt;0),
Error!$B$44,
IF(AND(_xlpm.baseRow,OR($E473="Tier 3",$E473="Tier 4"),$C473&lt;&gt;"",$D473&lt;&gt;"",COUNTIF(Tables2!$B$73:$B$152,$C473)&gt;0,
$D473&gt;=IFERROR(INDEX(Tables2!$C$73:$C$152,MATCH($C473,Tables2!$B$73:$B$152,0)),-1)),
Error!$B$44,
IF(AND(_xlpm.baseRow,OR($E473="Tier 2",$E473="Tier 2 Grove"),$C473&lt;&gt;"",$D473&gt;=12,COUNTIF(Tables2!$B$153:$B$162,$C473)&gt;0),
Error!$B$45,
IF(AND(_xlpm.baseRow,$E473="Tier 2 Grove",$D473&lt;12),
Error!$B$41,
IF(AND(_xlpm.baseRow,$E473="Tier 2",$D473&lt;5.88),
Error!$B$40,
IF(AND(_xlpm.baseRow,OR($E473="Tier 2",$E473="Tier 2 Grove"),$C473&lt;&gt;"",$D473&lt;12,$D473&gt;=6,COUNTIF(Tables2!$B$153:$B$162,$C473)&gt;0),
Error!$B$54,
IF(AND(_xlpm.baseRow,$E473="Tier 2",COUNTIF(Tables2!$B$166:$B$674,$C473)&gt;0,$D473&lt;24),
Error!$B$54,
IF(AND(_xlpm.baseRow,$E473="Tier 3",ISNA(MATCH($C473,Tables2!$B$153:$B$162,0)),OR($D473&lt;12,$D473&gt;=24)),
Error!$B$9,
IF(AND(_xlpm.baseRow,$E473="Tier 3",COUNTIF(Tables2!$B$153:$B$162,$C473)&gt;0,$D473&lt;12),
Error!$B$46,
IF(AND(_xlpm.baseRow,$E473="Tier 4",OR($D473&lt;6,$D473&gt;=12)),
Error!$B$10,
IF(AND(_xlpm.baseRow,$E473="&lt;6in DSH for Tree Points",OR($D473&gt;=6,$D473="")),
Error!$B$8,
IF(AND(_xlpm.baseRow,$E473="Street Tree for Green Factor",$F473&lt;&gt;"",$F473&lt;&gt;"Retain"),
Error!$B$14,
IF(AND($E473="&lt;6in DSH for Tree Points",$F473="Retain",$H473&lt;&gt;"",ISNA(MATCH($H473,Tables!$B$174:$B$174,0))),
Error!$B$15,
IF(AND($E473="Street Tree for Green Factor",$F473="Retain",$H473&lt;&gt;"",$H473&lt;&gt;"Zoning: Green Factor"),
Error!$B$15,
IF(AND($E473="ECA / Shoreline Tree",$F473="Remove",$H473&lt;&gt;"",ISNA(MATCH($H473,Tables!$B$189:$B$190,0))),
Error!$B$15,
IF(AND($E473="ECA / Shoreline Tree",$F473="Retain",$H473&lt;&gt;"",ISNA(MATCH($H473,Tables!$B$184:$B$186,0))),
Error!$B$15,
IF(AND($E473="Tier 4",$F473="Remove",$H473&lt;&gt;"",ISNA(MATCH($H473,Tables!$B$171,0))),
Error!$B$15,
IF(AND($E473="Tier 4",$F473="Retain",$H473&lt;&gt;"",ISNA(MATCH($H473,Tables!$B$166:$B$168,0))),
Error!$B$15,
IF(AND($E473="Tier 3",$F473="Retain",$H473&lt;&gt;"",ISNA(MATCH($H473,Tables!$B$158:$B$160,0))),
Error!$B$15,
IF(AND($E473="Tier 3",$F473="Remove",$H473&lt;&gt;"",ISNA(MATCH($H473,Tables!$B$163,0))),
Error!$B$15,
IF(AND(OR($E473="Tier 2",$E473="Tier 2 Grove"),$F473="Remove",$H473&lt;&gt;"",ISNA(MATCH($H473,Tables!$B$153:$B$155,0))),
Error!$B$15,
IF(AND(OR($E473="Tier 2",$E473="Tier 2 Grove"),$F473="Retain",$H473&lt;&gt;"",ISNA(MATCH($H473,Tables!$B$147:$B$150,0))),
Error!$B$15,
IF(AND($E473="Tier 1",$F473="Remove",$H473&lt;&gt;"",ISNA(MATCH($H473,Tables!$B$143:$B$144,0))),
Error!$B$15,
IF(AND($E473="Tier 1",$F473="Retain",$H473&lt;&gt;"",ISNA(MATCH($H473,Tables!$B$137:$B$140,0))),
Error!$B$15,
IF(AND($E473&lt;&gt;"Tier 2",$E473&lt;&gt;"Tier 2 Grove",$E473&lt;&gt;"Tier 3",$E473&lt;&gt;"Tier 4",$H473="Zoning: Green Factor",OR($D473="",$D473&lt;6)),
Error!$B$11,
IF(AND(_xlpm.baseRow,$D473&lt;6,$E473="&lt;6in DSH for Tree Points",_xlpm.TreePoints_H=0),
Error!$B$21,
IF(AND(_xlpm.baseRow,$E473&lt;&gt;"",$D473&lt;&gt;"",$F473=""),
Error!$B$4,
IF(AND(_xlpm.baseRow,$F473="Remove",OR($E473="Tier 1",$E473="Tier 2",$E473="Tier 2 Grove"),COUNTBLANK(_xlpm.HRange)&lt;3,_xlpm.uniqueH&gt;=2),
Error!$B$48,
IF(AND(_xlpm.baseRow,$F473="Retain",OR($E473="Tier 1",$E473="Tier 2",$E473="Tier 2 Grove"),COUNTIF(_xlpm.HRange,"Tree Code: Required to Retain Tier 1-2 Tree")=0),
Error!$B$47,
IF(AND(_xlpm.baseRow,$E473&lt;&gt;"",$D473&lt;&gt;"",$F473&lt;&gt;"",COUNTBLANK(_xlpm.HRange)=4),
Error!$B$5,
IF(AND($F473="Remove",$H473&lt;&gt;"",$I473=""),
Error!$B$18,
IF(AND($E473="Tier 4",$F473="Remove",$H473="Tree Protection Code: Tier 3 or Tier 4 Allowance",$H473&lt;&gt;"",ISNA(MATCH($I473,Tables!$B$200,0))),
Error!$B$17,
IF(AND($E473="Tier 3",$F473="Remove",$H473&lt;&gt;"",$H473="Tree Protection Code: Tier 3 or Tier 4 Allowance",OR($I473="",ISNA(MATCH($I473,Tables!$B$193:$B$197,0)))),
Error!$B$17,
IF(AND(OR($E473="Tier 2",$E473="Tier 2 Grove"),$F473="Remove",$H473="Tree Protection Code: Other removal allowance or exemption",$I473&lt;&gt;"",ISNA(MATCH($I473,Tables!$B$215:$B$218,0))),
Error!$B$17,
IF(AND(OR($E473="Tier 2",$E473="Tier 2 Grove"),$F473="Remove",$H473="Tree Protection Code: Development Capacity",$I473&lt;&gt;"",ISNA(MATCH($I473,Tables!$B$193:$B$197,0))),
Error!$B$17,
IF(AND(OR($E473="Tier 2",$E473="Tier 2 Grove"),$F473="Remove",$H473="Tree Protection Code: Necessary for Construction",$I473&lt;&gt;"",ISNA(MATCH($I473,Tables!$B$193:$B$197,0))),
Error!$B$17,
IF(AND($E473="Tier 1",$F473="Remove",$H473="Tree Protection Code: Special Exception",$I473&lt;&gt;"",ISNA(MATCH($I473,Tables!$B$215:$B$218,0))),
Error!$B$17,
IF(AND($E473="Tier 1",$F473="Remove",$H473="Tree Protection Code: Other removal allowance or exemption",$I473&lt;&gt;"",ISNA(MATCH($I473,Tables!$B$215:$B$218,0))),
Error!$B$17,
IF(AND($E473="ECA / Shoreline Tree",$F473="Remove",$H473&lt;&gt;"",OR($H473="Shoreline",$H473="Environmental Critical Area (ECA)"),ISNA(MATCH($I473,Tables!$B$209:$B$212,0))),
Error!$B$17,
IF(AND(_xlpm.baseRow,$F473="Retain",$E473="ECA / Shoreline Tree",_xlpm.ECA_Short=0),
Error!$B$61,
IF(AND($F473="Remove",ISNUMBER(MATCH($E473,{"Tier 1","Tier 2","Tier 3","Tier 4","Tier 2 Grove"},0)),ISNUMBER(MATCH($I473,{"On-site replacement","Off-site replacement"},0)),$J473="",$H473&lt;&gt;""),
Error!$B$19,
IF(AND(_xlpm.baseRow,$E473&lt;&gt;"",$D473&lt;&gt;"",$F473&lt;&gt;"",COUNTBLANK($B473:$C473)&gt;0,COUNTBLANK(_xlpm.HRange)&lt;&gt;4),
Error!$B$22,
IF(AND($H473="Zoning: Tree Points",$K473&lt;&gt;"",ISNA(MATCH($K473,Tables!$B$242:$B$253,0))),
Error!$B$58,
IF(AND($H473="Zoning: Tree Points",$K473="Small",$L473&lt;&gt;"",ISNA(MATCH($L473,Tables!$C$243:$C$244,0))),
Error!$B$59,
IF(AND($H473="Zoning: Tree Points",$K473="Small/Medium",$L473&lt;&gt;"",ISNA(MATCH($L473,Tables!$C$246:$C$247,0))),
Error!$B$59,
IF(AND($H473="Zoning: Tree Points",$K473="Medium/Large",$L473&lt;&gt;"",ISNA(MATCH($L473,Tables!$C$249:$C$250,0))),
Error!$B$59,
IF(AND($H473="Zoning: Tree Points",$K473="Large",$L473&lt;&gt;"",ISNA(MATCH($L473,Tables!$C$252:$C$253,0))),
Error!$B$59,
IF(AND($F473="Retain",$H473="Zoning: Tree Points",$C473&lt;&gt;"",$D473&lt;&gt;"",OR($K473="",$L473="",$M473="")),
Error!$B$20,
""
)))))))))))))))))))))))))))))))))))))))))))))))))))))))),
Error!$B$23))</f>
        <v/>
      </c>
      <c r="O473" s="343" t="str" cm="1">
        <f t="array" aca="1" ref="O473" ca="1">IFERROR(_xlfn.LET(
    _xlpm.txt, $C473,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74" spans="1:15" ht="15" thickBot="1" x14ac:dyDescent="0.35">
      <c r="A474" s="331"/>
      <c r="B474" s="616" t="str">
        <f t="shared" si="538"/>
        <v/>
      </c>
      <c r="C474" s="617" t="str">
        <f t="shared" si="539"/>
        <v/>
      </c>
      <c r="D474" s="618" t="str">
        <f t="shared" si="540"/>
        <v/>
      </c>
      <c r="E474" s="616" t="str">
        <f t="shared" si="541"/>
        <v/>
      </c>
      <c r="F474" s="616" t="str">
        <f t="shared" si="542"/>
        <v/>
      </c>
      <c r="G474" s="619" t="str">
        <f>IF(Tree_Table1[[#This Row],[Tree Status  &amp;]]="Retain", Tables!$B$237, IF(Tree_Table1[[#This Row],[Tree Status  &amp;]]="Remove", Tables!$B$238, ""))</f>
        <v/>
      </c>
      <c r="H474" s="329"/>
      <c r="I474" s="330"/>
      <c r="J474" s="455"/>
      <c r="K474" s="327" t="str">
        <f>IFERROR(
    IF(
        AND($H474="Zoning: Tree Points", NOT(ISNUMBER(SEARCH("sp.", $C474)))),
        VLOOKUP($C474, 'Tree List'!$C$3:$F$601, 4, FALSE),
        ""
    ),
"")</f>
        <v/>
      </c>
      <c r="L474" s="328" t="str" cm="1">
        <f t="array" ref="L474">IFERROR(
IF(
    AND($H474="Zoning: Tree Points", NOT(ISNUMBER(SEARCH("sp.", $C474)))),
    _xlfn.IFS(
        (COUNTIFS('Tree List'!$C$3:$C$601,$C474,'Tree List'!$D$3:$D$601,"Coniferous")
        + COUNTIFS('Tree List'!$C$3:$C$601,$C474,'Tree List'!$D$3:$D$601,"Deciduous Conifer")) &gt; 0,
            _xlfn.IFS($K474="Small",0.5,$K474="Small/Medium",1,$K474="Medium/Large",1.4,$K474="Large",1.8),
        (COUNTIFS('Tree List'!$C$3:$C$601,$C474,'Tree List'!$D$3:$D$601,"Deciduous")
        + COUNTIFS('Tree List'!$C$3:$C$601,$C474,'Tree List'!$D$3:$D$601,"Broadleaf Evergreen")) &gt; 0,
            _xlfn.IFS($K474="Small",0.4,$K474="Small/Medium",0.8,$K474="Medium/Large",1.2,$K474="Large",1.6)
    ),
    ""
),
"")</f>
        <v/>
      </c>
      <c r="M474" s="476" t="str">
        <f t="shared" si="492"/>
        <v/>
      </c>
      <c r="N474" s="347" t="str" cm="1">
        <f t="array" aca="1" ref="N47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IF(AND(_xlpm.baseRow,ISNA(MATCH($C474,'Tree List'!$C$3:$C$601,0)),SUMPRODUCT(--ISNUMBER(SEARCH(Tables2!$C$677:$C$772,$O474)))&gt;0),
Error!$B$57,
IF(AND(_xlpm.hasDM,$F474="Remove",$H474&lt;&gt;"",OR($I474="On-site replacement",$I474="Off-site replacement",$I474="Payment In Lieu")),
Error!$B$56,
IF(AND(_xlpm.hasDM,$F474="Remove",$H474&lt;&gt;"",$I474="Relocation"),
Error!$B$66,
IF(AND(OR(_xlpm.hasCN,_xlpm.hasPH,_xlpm.hasGR),$H474&lt;&gt;"",COUNTIF(Tables!$B$132:$B$134,$H474)&gt;0,$I474="N/A (No replacement required)"),
Error!$B$62,
IF(AND(_xlpm.baseRow,$E474&lt;&gt;"",ISNA(MATCH($E474,Tables!$B$225:$B$232,0))),
Error!$B$2,
IF(AND(_xlpm.baseRow,$F474&lt;&gt;"",ISNA(MATCH($F474,Tables!$B$234:$B$235,0))),
Error!$B$24,
IF(AND(_xlpm.baseRow,_xlpm.ECA_H&gt;0,_xlpm.Shore_H&gt;0),
Error!$B$16,
IF(AND(_xlpm.baseRow,$E474&lt;&gt;"",$D474=""),
Error!$B$3,
IF(AND(_xlpm.baseRow,OR($E474="Tier 3",$E474="Tier 4"),$C474&lt;&gt;"",$D474&gt;=24,COUNTIF(Tables2!$B$166:$B$674,$C474)&gt;0),
Error!$B$44,
IF(AND(_xlpm.baseRow,OR($E474="Tier 3",$E474="Tier 4"),$C474&lt;&gt;"",$D474&lt;&gt;"",COUNTIF(Tables2!$B$73:$B$152,$C474)&gt;0,
$D474&gt;=IFERROR(INDEX(Tables2!$C$73:$C$152,MATCH($C474,Tables2!$B$73:$B$152,0)),-1)),
Error!$B$44,
IF(AND(_xlpm.baseRow,OR($E474="Tier 2",$E474="Tier 2 Grove"),$C474&lt;&gt;"",$D474&gt;=12,COUNTIF(Tables2!$B$153:$B$162,$C474)&gt;0),
Error!$B$45,
IF(AND(_xlpm.baseRow,$E474="Tier 2 Grove",$D474&lt;12),
Error!$B$41,
IF(AND(_xlpm.baseRow,$E474="Tier 2",$D474&lt;5.88),
Error!$B$40,
IF(AND(_xlpm.baseRow,OR($E474="Tier 2",$E474="Tier 2 Grove"),$C474&lt;&gt;"",$D474&lt;12,$D474&gt;=6,COUNTIF(Tables2!$B$153:$B$162,$C474)&gt;0),
Error!$B$54,
IF(AND(_xlpm.baseRow,$E474="Tier 2",COUNTIF(Tables2!$B$166:$B$674,$C474)&gt;0,$D474&lt;24),
Error!$B$54,
IF(AND(_xlpm.baseRow,$E474="Tier 3",ISNA(MATCH($C474,Tables2!$B$153:$B$162,0)),OR($D474&lt;12,$D474&gt;=24)),
Error!$B$9,
IF(AND(_xlpm.baseRow,$E474="Tier 3",COUNTIF(Tables2!$B$153:$B$162,$C474)&gt;0,$D474&lt;12),
Error!$B$46,
IF(AND(_xlpm.baseRow,$E474="Tier 4",OR($D474&lt;6,$D474&gt;=12)),
Error!$B$10,
IF(AND(_xlpm.baseRow,$E474="&lt;6in DSH for Tree Points",OR($D474&gt;=6,$D474="")),
Error!$B$8,
IF(AND(_xlpm.baseRow,$E474="Street Tree for Green Factor",$F474&lt;&gt;"",$F474&lt;&gt;"Retain"),
Error!$B$14,
IF(AND($E474="&lt;6in DSH for Tree Points",$F474="Retain",$H474&lt;&gt;"",ISNA(MATCH($H474,Tables!$B$174:$B$174,0))),
Error!$B$15,
IF(AND($E474="Street Tree for Green Factor",$F474="Retain",$H474&lt;&gt;"",$H474&lt;&gt;"Zoning: Green Factor"),
Error!$B$15,
IF(AND($E474="ECA / Shoreline Tree",$F474="Remove",$H474&lt;&gt;"",ISNA(MATCH($H474,Tables!$B$189:$B$190,0))),
Error!$B$15,
IF(AND($E474="ECA / Shoreline Tree",$F474="Retain",$H474&lt;&gt;"",ISNA(MATCH($H474,Tables!$B$184:$B$186,0))),
Error!$B$15,
IF(AND($E474="Tier 4",$F474="Remove",$H474&lt;&gt;"",ISNA(MATCH($H474,Tables!$B$171,0))),
Error!$B$15,
IF(AND($E474="Tier 4",$F474="Retain",$H474&lt;&gt;"",ISNA(MATCH($H474,Tables!$B$166:$B$168,0))),
Error!$B$15,
IF(AND($E474="Tier 3",$F474="Retain",$H474&lt;&gt;"",ISNA(MATCH($H474,Tables!$B$158:$B$160,0))),
Error!$B$15,
IF(AND($E474="Tier 3",$F474="Remove",$H474&lt;&gt;"",ISNA(MATCH($H474,Tables!$B$163,0))),
Error!$B$15,
IF(AND(OR($E474="Tier 2",$E474="Tier 2 Grove"),$F474="Remove",$H474&lt;&gt;"",ISNA(MATCH($H474,Tables!$B$153:$B$155,0))),
Error!$B$15,
IF(AND(OR($E474="Tier 2",$E474="Tier 2 Grove"),$F474="Retain",$H474&lt;&gt;"",ISNA(MATCH($H474,Tables!$B$147:$B$150,0))),
Error!$B$15,
IF(AND($E474="Tier 1",$F474="Remove",$H474&lt;&gt;"",ISNA(MATCH($H474,Tables!$B$143:$B$144,0))),
Error!$B$15,
IF(AND($E474="Tier 1",$F474="Retain",$H474&lt;&gt;"",ISNA(MATCH($H474,Tables!$B$137:$B$140,0))),
Error!$B$15,
IF(AND($E474&lt;&gt;"Tier 2",$E474&lt;&gt;"Tier 2 Grove",$E474&lt;&gt;"Tier 3",$E474&lt;&gt;"Tier 4",$H474="Zoning: Green Factor",OR($D474="",$D474&lt;6)),
Error!$B$11,
IF(AND(_xlpm.baseRow,$D474&lt;6,$E474="&lt;6in DSH for Tree Points",_xlpm.TreePoints_H=0),
Error!$B$21,
IF(AND(_xlpm.baseRow,$E474&lt;&gt;"",$D474&lt;&gt;"",$F474=""),
Error!$B$4,
IF(AND(_xlpm.baseRow,$F474="Remove",OR($E474="Tier 1",$E474="Tier 2",$E474="Tier 2 Grove"),COUNTBLANK(_xlpm.HRange)&lt;3,_xlpm.uniqueH&gt;=2),
Error!$B$48,
IF(AND(_xlpm.baseRow,$F474="Retain",OR($E474="Tier 1",$E474="Tier 2",$E474="Tier 2 Grove"),COUNTIF(_xlpm.HRange,"Tree Code: Required to Retain Tier 1-2 Tree")=0),
Error!$B$47,
IF(AND(_xlpm.baseRow,$E474&lt;&gt;"",$D474&lt;&gt;"",$F474&lt;&gt;"",COUNTBLANK(_xlpm.HRange)=4),
Error!$B$5,
IF(AND($F474="Remove",$H474&lt;&gt;"",$I474=""),
Error!$B$18,
IF(AND($E474="Tier 4",$F474="Remove",$H474="Tree Protection Code: Tier 3 or Tier 4 Allowance",$H474&lt;&gt;"",ISNA(MATCH($I474,Tables!$B$200,0))),
Error!$B$17,
IF(AND($E474="Tier 3",$F474="Remove",$H474&lt;&gt;"",$H474="Tree Protection Code: Tier 3 or Tier 4 Allowance",OR($I474="",ISNA(MATCH($I474,Tables!$B$193:$B$197,0)))),
Error!$B$17,
IF(AND(OR($E474="Tier 2",$E474="Tier 2 Grove"),$F474="Remove",$H474="Tree Protection Code: Other removal allowance or exemption",$I474&lt;&gt;"",ISNA(MATCH($I474,Tables!$B$215:$B$218,0))),
Error!$B$17,
IF(AND(OR($E474="Tier 2",$E474="Tier 2 Grove"),$F474="Remove",$H474="Tree Protection Code: Development Capacity",$I474&lt;&gt;"",ISNA(MATCH($I474,Tables!$B$193:$B$197,0))),
Error!$B$17,
IF(AND(OR($E474="Tier 2",$E474="Tier 2 Grove"),$F474="Remove",$H474="Tree Protection Code: Necessary for Construction",$I474&lt;&gt;"",ISNA(MATCH($I474,Tables!$B$193:$B$197,0))),
Error!$B$17,
IF(AND($E474="Tier 1",$F474="Remove",$H474="Tree Protection Code: Special Exception",$I474&lt;&gt;"",ISNA(MATCH($I474,Tables!$B$215:$B$218,0))),
Error!$B$17,
IF(AND($E474="Tier 1",$F474="Remove",$H474="Tree Protection Code: Other removal allowance or exemption",$I474&lt;&gt;"",ISNA(MATCH($I474,Tables!$B$215:$B$218,0))),
Error!$B$17,
IF(AND($E474="ECA / Shoreline Tree",$F474="Remove",$H474&lt;&gt;"",OR($H474="Shoreline",$H474="Environmental Critical Area (ECA)"),ISNA(MATCH($I474,Tables!$B$209:$B$212,0))),
Error!$B$17,
IF(AND(_xlpm.baseRow,$F474="Retain",$E474="ECA / Shoreline Tree",_xlpm.ECA_Short=0),
Error!$B$61,
IF(AND($F474="Remove",ISNUMBER(MATCH($E474,{"Tier 1","Tier 2","Tier 3","Tier 4","Tier 2 Grove"},0)),ISNUMBER(MATCH($I474,{"On-site replacement","Off-site replacement"},0)),$J474="",$H474&lt;&gt;""),
Error!$B$19,
IF(AND(_xlpm.baseRow,$E474&lt;&gt;"",$D474&lt;&gt;"",$F474&lt;&gt;"",COUNTBLANK($B474:$C474)&gt;0,COUNTBLANK(_xlpm.HRange)&lt;&gt;4),
Error!$B$22,
IF(AND($H474="Zoning: Tree Points",$K474&lt;&gt;"",ISNA(MATCH($K474,Tables!$B$242:$B$253,0))),
Error!$B$58,
IF(AND($H474="Zoning: Tree Points",$K474="Small",$L474&lt;&gt;"",ISNA(MATCH($L474,Tables!$C$243:$C$244,0))),
Error!$B$59,
IF(AND($H474="Zoning: Tree Points",$K474="Small/Medium",$L474&lt;&gt;"",ISNA(MATCH($L474,Tables!$C$246:$C$247,0))),
Error!$B$59,
IF(AND($H474="Zoning: Tree Points",$K474="Medium/Large",$L474&lt;&gt;"",ISNA(MATCH($L474,Tables!$C$249:$C$250,0))),
Error!$B$59,
IF(AND($H474="Zoning: Tree Points",$K474="Large",$L474&lt;&gt;"",ISNA(MATCH($L474,Tables!$C$252:$C$253,0))),
Error!$B$59,
IF(AND($F474="Retain",$H474="Zoning: Tree Points",$C474&lt;&gt;"",$D474&lt;&gt;"",OR($K474="",$L474="",$M474="")),
Error!$B$20,
""
)))))))))))))))))))))))))))))))))))))))))))))))))))))))),
Error!$B$23))</f>
        <v/>
      </c>
      <c r="O474" s="343" t="str" cm="1">
        <f t="array" aca="1" ref="O474" ca="1">IFERROR(_xlfn.LET(
    _xlpm.txt, $C474,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75" spans="1:15" ht="15" thickBot="1" x14ac:dyDescent="0.35">
      <c r="A475" s="311">
        <v>117</v>
      </c>
      <c r="B475" s="312"/>
      <c r="C475" s="313"/>
      <c r="D475" s="478"/>
      <c r="E475" s="314"/>
      <c r="F475" s="314"/>
      <c r="G475" s="315" t="str">
        <f>IF(Tree_Table1[[#This Row],[Tree Status  &amp;]]="Retain", Tables!$B$237, IF(Tree_Table1[[#This Row],[Tree Status  &amp;]]="Remove", Tables!$B$238, ""))</f>
        <v/>
      </c>
      <c r="H475" s="316"/>
      <c r="I475" s="317"/>
      <c r="J475" s="452"/>
      <c r="K475" s="318" t="str">
        <f>IFERROR(
    IF(
        AND($H475="Zoning: Tree Points", NOT(ISNUMBER(SEARCH("sp.", $C475)))),
        VLOOKUP($C475, 'Tree List'!$C$3:$F$601, 4, FALSE),
        ""
    ),
"")</f>
        <v/>
      </c>
      <c r="L475" s="319" t="str" cm="1">
        <f t="array" ref="L475">IFERROR(
IF(
    AND($H475="Zoning: Tree Points", NOT(ISNUMBER(SEARCH("sp.", $C475)))),
    _xlfn.IFS(
        (COUNTIFS('Tree List'!$C$3:$C$601,$C475,'Tree List'!$D$3:$D$601,"Coniferous")
        + COUNTIFS('Tree List'!$C$3:$C$601,$C475,'Tree List'!$D$3:$D$601,"Deciduous Conifer")) &gt; 0,
            _xlfn.IFS($K475="Small",0.5,$K475="Small/Medium",1,$K475="Medium/Large",1.4,$K475="Large",1.8),
        (COUNTIFS('Tree List'!$C$3:$C$601,$C475,'Tree List'!$D$3:$D$601,"Deciduous")
        + COUNTIFS('Tree List'!$C$3:$C$601,$C475,'Tree List'!$D$3:$D$601,"Broadleaf Evergreen")) &gt; 0,
            _xlfn.IFS($K475="Small",0.4,$K475="Small/Medium",0.8,$K475="Medium/Large",1.2,$K475="Large",1.6)
    ),
    ""
),
"")</f>
        <v/>
      </c>
      <c r="M475" s="474" t="str">
        <f t="shared" si="492"/>
        <v/>
      </c>
      <c r="N475" s="620" t="str" cm="1">
        <f t="array" aca="1" ref="N47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IF(AND(_xlpm.baseRow,ISNA(MATCH($C475,'Tree List'!$C$3:$C$601,0)),SUMPRODUCT(--ISNUMBER(SEARCH(Tables2!$C$677:$C$772,$O475)))&gt;0),
Error!$B$57,
IF(AND(_xlpm.hasDM,$F475="Remove",$H475&lt;&gt;"",OR($I475="On-site replacement",$I475="Off-site replacement",$I475="Payment In Lieu")),
Error!$B$56,
IF(AND(_xlpm.hasDM,$F475="Remove",$H475&lt;&gt;"",$I475="Relocation"),
Error!$B$66,
IF(AND(OR(_xlpm.hasCN,_xlpm.hasPH,_xlpm.hasGR),$H475&lt;&gt;"",COUNTIF(Tables!$B$132:$B$134,$H475)&gt;0,$I475="N/A (No replacement required)"),
Error!$B$62,
IF(AND(_xlpm.baseRow,$E475&lt;&gt;"",ISNA(MATCH($E475,Tables!$B$225:$B$232,0))),
Error!$B$2,
IF(AND(_xlpm.baseRow,$F475&lt;&gt;"",ISNA(MATCH($F475,Tables!$B$234:$B$235,0))),
Error!$B$24,
IF(AND(_xlpm.baseRow,_xlpm.ECA_H&gt;0,_xlpm.Shore_H&gt;0),
Error!$B$16,
IF(AND(_xlpm.baseRow,$E475&lt;&gt;"",$D475=""),
Error!$B$3,
IF(AND(_xlpm.baseRow,OR($E475="Tier 3",$E475="Tier 4"),$C475&lt;&gt;"",$D475&gt;=24,COUNTIF(Tables2!$B$166:$B$674,$C475)&gt;0),
Error!$B$44,
IF(AND(_xlpm.baseRow,OR($E475="Tier 3",$E475="Tier 4"),$C475&lt;&gt;"",$D475&lt;&gt;"",COUNTIF(Tables2!$B$73:$B$152,$C475)&gt;0,
$D475&gt;=IFERROR(INDEX(Tables2!$C$73:$C$152,MATCH($C475,Tables2!$B$73:$B$152,0)),-1)),
Error!$B$44,
IF(AND(_xlpm.baseRow,OR($E475="Tier 2",$E475="Tier 2 Grove"),$C475&lt;&gt;"",$D475&gt;=12,COUNTIF(Tables2!$B$153:$B$162,$C475)&gt;0),
Error!$B$45,
IF(AND(_xlpm.baseRow,$E475="Tier 2 Grove",$D475&lt;12),
Error!$B$41,
IF(AND(_xlpm.baseRow,$E475="Tier 2",$D475&lt;5.88),
Error!$B$40,
IF(AND(_xlpm.baseRow,OR($E475="Tier 2",$E475="Tier 2 Grove"),$C475&lt;&gt;"",$D475&lt;12,$D475&gt;=6,COUNTIF(Tables2!$B$153:$B$162,$C475)&gt;0),
Error!$B$54,
IF(AND(_xlpm.baseRow,$E475="Tier 2",COUNTIF(Tables2!$B$166:$B$674,$C475)&gt;0,$D475&lt;24),
Error!$B$54,
IF(AND(_xlpm.baseRow,$E475="Tier 3",ISNA(MATCH($C475,Tables2!$B$153:$B$162,0)),OR($D475&lt;12,$D475&gt;=24)),
Error!$B$9,
IF(AND(_xlpm.baseRow,$E475="Tier 3",COUNTIF(Tables2!$B$153:$B$162,$C475)&gt;0,$D475&lt;12),
Error!$B$46,
IF(AND(_xlpm.baseRow,$E475="Tier 4",OR($D475&lt;6,$D475&gt;=12)),
Error!$B$10,
IF(AND(_xlpm.baseRow,$E475="&lt;6in DSH for Tree Points",OR($D475&gt;=6,$D475="")),
Error!$B$8,
IF(AND(_xlpm.baseRow,$E475="Street Tree for Green Factor",$F475&lt;&gt;"",$F475&lt;&gt;"Retain"),
Error!$B$14,
IF(AND($E475="&lt;6in DSH for Tree Points",$F475="Retain",$H475&lt;&gt;"",ISNA(MATCH($H475,Tables!$B$174:$B$174,0))),
Error!$B$15,
IF(AND($E475="Street Tree for Green Factor",$F475="Retain",$H475&lt;&gt;"",$H475&lt;&gt;"Zoning: Green Factor"),
Error!$B$15,
IF(AND($E475="ECA / Shoreline Tree",$F475="Remove",$H475&lt;&gt;"",ISNA(MATCH($H475,Tables!$B$189:$B$190,0))),
Error!$B$15,
IF(AND($E475="ECA / Shoreline Tree",$F475="Retain",$H475&lt;&gt;"",ISNA(MATCH($H475,Tables!$B$184:$B$186,0))),
Error!$B$15,
IF(AND($E475="Tier 4",$F475="Remove",$H475&lt;&gt;"",ISNA(MATCH($H475,Tables!$B$171,0))),
Error!$B$15,
IF(AND($E475="Tier 4",$F475="Retain",$H475&lt;&gt;"",ISNA(MATCH($H475,Tables!$B$166:$B$168,0))),
Error!$B$15,
IF(AND($E475="Tier 3",$F475="Retain",$H475&lt;&gt;"",ISNA(MATCH($H475,Tables!$B$158:$B$160,0))),
Error!$B$15,
IF(AND($E475="Tier 3",$F475="Remove",$H475&lt;&gt;"",ISNA(MATCH($H475,Tables!$B$163,0))),
Error!$B$15,
IF(AND(OR($E475="Tier 2",$E475="Tier 2 Grove"),$F475="Remove",$H475&lt;&gt;"",ISNA(MATCH($H475,Tables!$B$153:$B$155,0))),
Error!$B$15,
IF(AND(OR($E475="Tier 2",$E475="Tier 2 Grove"),$F475="Retain",$H475&lt;&gt;"",ISNA(MATCH($H475,Tables!$B$147:$B$150,0))),
Error!$B$15,
IF(AND($E475="Tier 1",$F475="Remove",$H475&lt;&gt;"",ISNA(MATCH($H475,Tables!$B$143:$B$144,0))),
Error!$B$15,
IF(AND($E475="Tier 1",$F475="Retain",$H475&lt;&gt;"",ISNA(MATCH($H475,Tables!$B$137:$B$140,0))),
Error!$B$15,
IF(AND($E475&lt;&gt;"Tier 2",$E475&lt;&gt;"Tier 2 Grove",$E475&lt;&gt;"Tier 3",$E475&lt;&gt;"Tier 4",$H475="Zoning: Green Factor",OR($D475="",$D475&lt;6)),
Error!$B$11,
IF(AND(_xlpm.baseRow,$D475&lt;6,$E475="&lt;6in DSH for Tree Points",_xlpm.TreePoints_H=0),
Error!$B$21,
IF(AND(_xlpm.baseRow,$E475&lt;&gt;"",$D475&lt;&gt;"",$F475=""),
Error!$B$4,
IF(AND(_xlpm.baseRow,$F475="Remove",OR($E475="Tier 1",$E475="Tier 2",$E475="Tier 2 Grove"),COUNTBLANK(_xlpm.HRange)&lt;3,_xlpm.uniqueH&gt;=2),
Error!$B$48,
IF(AND(_xlpm.baseRow,$F475="Retain",OR($E475="Tier 1",$E475="Tier 2",$E475="Tier 2 Grove"),COUNTIF(_xlpm.HRange,"Tree Code: Required to Retain Tier 1-2 Tree")=0),
Error!$B$47,
IF(AND(_xlpm.baseRow,$E475&lt;&gt;"",$D475&lt;&gt;"",$F475&lt;&gt;"",COUNTBLANK(_xlpm.HRange)=4),
Error!$B$5,
IF(AND($F475="Remove",$H475&lt;&gt;"",$I475=""),
Error!$B$18,
IF(AND($E475="Tier 4",$F475="Remove",$H475="Tree Protection Code: Tier 3 or Tier 4 Allowance",$H475&lt;&gt;"",ISNA(MATCH($I475,Tables!$B$200,0))),
Error!$B$17,
IF(AND($E475="Tier 3",$F475="Remove",$H475&lt;&gt;"",$H475="Tree Protection Code: Tier 3 or Tier 4 Allowance",OR($I475="",ISNA(MATCH($I475,Tables!$B$193:$B$197,0)))),
Error!$B$17,
IF(AND(OR($E475="Tier 2",$E475="Tier 2 Grove"),$F475="Remove",$H475="Tree Protection Code: Other removal allowance or exemption",$I475&lt;&gt;"",ISNA(MATCH($I475,Tables!$B$215:$B$218,0))),
Error!$B$17,
IF(AND(OR($E475="Tier 2",$E475="Tier 2 Grove"),$F475="Remove",$H475="Tree Protection Code: Development Capacity",$I475&lt;&gt;"",ISNA(MATCH($I475,Tables!$B$193:$B$197,0))),
Error!$B$17,
IF(AND(OR($E475="Tier 2",$E475="Tier 2 Grove"),$F475="Remove",$H475="Tree Protection Code: Necessary for Construction",$I475&lt;&gt;"",ISNA(MATCH($I475,Tables!$B$193:$B$197,0))),
Error!$B$17,
IF(AND($E475="Tier 1",$F475="Remove",$H475="Tree Protection Code: Special Exception",$I475&lt;&gt;"",ISNA(MATCH($I475,Tables!$B$215:$B$218,0))),
Error!$B$17,
IF(AND($E475="Tier 1",$F475="Remove",$H475="Tree Protection Code: Other removal allowance or exemption",$I475&lt;&gt;"",ISNA(MATCH($I475,Tables!$B$215:$B$218,0))),
Error!$B$17,
IF(AND($E475="ECA / Shoreline Tree",$F475="Remove",$H475&lt;&gt;"",OR($H475="Shoreline",$H475="Environmental Critical Area (ECA)"),ISNA(MATCH($I475,Tables!$B$209:$B$212,0))),
Error!$B$17,
IF(AND(_xlpm.baseRow,$F475="Retain",$E475="ECA / Shoreline Tree",_xlpm.ECA_Short=0),
Error!$B$61,
IF(AND($F475="Remove",ISNUMBER(MATCH($E475,{"Tier 1","Tier 2","Tier 3","Tier 4","Tier 2 Grove"},0)),ISNUMBER(MATCH($I475,{"On-site replacement","Off-site replacement"},0)),$J475="",$H475&lt;&gt;""),
Error!$B$19,
IF(AND(_xlpm.baseRow,$E475&lt;&gt;"",$D475&lt;&gt;"",$F475&lt;&gt;"",COUNTBLANK($B475:$C475)&gt;0,COUNTBLANK(_xlpm.HRange)&lt;&gt;4),
Error!$B$22,
IF(AND($H475="Zoning: Tree Points",$K475&lt;&gt;"",ISNA(MATCH($K475,Tables!$B$242:$B$253,0))),
Error!$B$58,
IF(AND($H475="Zoning: Tree Points",$K475="Small",$L475&lt;&gt;"",ISNA(MATCH($L475,Tables!$C$243:$C$244,0))),
Error!$B$59,
IF(AND($H475="Zoning: Tree Points",$K475="Small/Medium",$L475&lt;&gt;"",ISNA(MATCH($L475,Tables!$C$246:$C$247,0))),
Error!$B$59,
IF(AND($H475="Zoning: Tree Points",$K475="Medium/Large",$L475&lt;&gt;"",ISNA(MATCH($L475,Tables!$C$249:$C$250,0))),
Error!$B$59,
IF(AND($H475="Zoning: Tree Points",$K475="Large",$L475&lt;&gt;"",ISNA(MATCH($L475,Tables!$C$252:$C$253,0))),
Error!$B$59,
IF(AND($F475="Retain",$H475="Zoning: Tree Points",$C475&lt;&gt;"",$D475&lt;&gt;"",OR($K475="",$L475="",$M475="")),
Error!$B$20,
""
)))))))))))))))))))))))))))))))))))))))))))))))))))))))),
Error!$B$23))</f>
        <v/>
      </c>
      <c r="O475" s="343" t="str" cm="1">
        <f t="array" aca="1" ref="O475" ca="1">IFERROR(_xlfn.LET(
    _xlpm.txt, $C475,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76" spans="1:15" x14ac:dyDescent="0.3">
      <c r="A476" s="320"/>
      <c r="B476" s="616" t="str">
        <f t="shared" ref="B476:B478" si="543">IF($B475="", "", $B475)</f>
        <v/>
      </c>
      <c r="C476" s="617" t="str">
        <f t="shared" ref="C476:C478" si="544">IF($C475="", "", $C475)</f>
        <v/>
      </c>
      <c r="D476" s="618" t="str">
        <f t="shared" ref="D476:D478" si="545">IF($D475="", "", $D475)</f>
        <v/>
      </c>
      <c r="E476" s="616" t="str">
        <f t="shared" ref="E476:E478" si="546">IF($E475="", "", $E475)</f>
        <v/>
      </c>
      <c r="F476" s="616" t="str">
        <f t="shared" ref="F476:F478" si="547">IF($F475="", "", $F475)</f>
        <v/>
      </c>
      <c r="G476" s="619" t="str">
        <f>IF(Tree_Table1[[#This Row],[Tree Status  &amp;]]="Retain", Tables!$B$237, IF(Tree_Table1[[#This Row],[Tree Status  &amp;]]="Remove", Tables!$B$238, ""))</f>
        <v/>
      </c>
      <c r="H476" s="321"/>
      <c r="I476" s="322"/>
      <c r="J476" s="453"/>
      <c r="K476" s="323" t="str">
        <f>IFERROR(
    IF(
        AND($H476="Zoning: Tree Points", NOT(ISNUMBER(SEARCH("sp.", $C476)))),
        VLOOKUP($C476, 'Tree List'!$C$3:$F$601, 4, FALSE),
        ""
    ),
"")</f>
        <v/>
      </c>
      <c r="L476" s="324" t="str" cm="1">
        <f t="array" ref="L476">IFERROR(
IF(
    AND($H476="Zoning: Tree Points", NOT(ISNUMBER(SEARCH("sp.", $C476)))),
    _xlfn.IFS(
        (COUNTIFS('Tree List'!$C$3:$C$601,$C476,'Tree List'!$D$3:$D$601,"Coniferous")
        + COUNTIFS('Tree List'!$C$3:$C$601,$C476,'Tree List'!$D$3:$D$601,"Deciduous Conifer")) &gt; 0,
            _xlfn.IFS($K476="Small",0.5,$K476="Small/Medium",1,$K476="Medium/Large",1.4,$K476="Large",1.8),
        (COUNTIFS('Tree List'!$C$3:$C$601,$C476,'Tree List'!$D$3:$D$601,"Deciduous")
        + COUNTIFS('Tree List'!$C$3:$C$601,$C476,'Tree List'!$D$3:$D$601,"Broadleaf Evergreen")) &gt; 0,
            _xlfn.IFS($K476="Small",0.4,$K476="Small/Medium",0.8,$K476="Medium/Large",1.2,$K476="Large",1.6)
    ),
    ""
),
"")</f>
        <v/>
      </c>
      <c r="M476" s="475" t="str">
        <f t="shared" si="492"/>
        <v/>
      </c>
      <c r="N476" s="346" t="str" cm="1">
        <f t="array" aca="1" ref="N47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IF(AND(_xlpm.baseRow,ISNA(MATCH($C476,'Tree List'!$C$3:$C$601,0)),SUMPRODUCT(--ISNUMBER(SEARCH(Tables2!$C$677:$C$772,$O476)))&gt;0),
Error!$B$57,
IF(AND(_xlpm.hasDM,$F476="Remove",$H476&lt;&gt;"",OR($I476="On-site replacement",$I476="Off-site replacement",$I476="Payment In Lieu")),
Error!$B$56,
IF(AND(_xlpm.hasDM,$F476="Remove",$H476&lt;&gt;"",$I476="Relocation"),
Error!$B$66,
IF(AND(OR(_xlpm.hasCN,_xlpm.hasPH,_xlpm.hasGR),$H476&lt;&gt;"",COUNTIF(Tables!$B$132:$B$134,$H476)&gt;0,$I476="N/A (No replacement required)"),
Error!$B$62,
IF(AND(_xlpm.baseRow,$E476&lt;&gt;"",ISNA(MATCH($E476,Tables!$B$225:$B$232,0))),
Error!$B$2,
IF(AND(_xlpm.baseRow,$F476&lt;&gt;"",ISNA(MATCH($F476,Tables!$B$234:$B$235,0))),
Error!$B$24,
IF(AND(_xlpm.baseRow,_xlpm.ECA_H&gt;0,_xlpm.Shore_H&gt;0),
Error!$B$16,
IF(AND(_xlpm.baseRow,$E476&lt;&gt;"",$D476=""),
Error!$B$3,
IF(AND(_xlpm.baseRow,OR($E476="Tier 3",$E476="Tier 4"),$C476&lt;&gt;"",$D476&gt;=24,COUNTIF(Tables2!$B$166:$B$674,$C476)&gt;0),
Error!$B$44,
IF(AND(_xlpm.baseRow,OR($E476="Tier 3",$E476="Tier 4"),$C476&lt;&gt;"",$D476&lt;&gt;"",COUNTIF(Tables2!$B$73:$B$152,$C476)&gt;0,
$D476&gt;=IFERROR(INDEX(Tables2!$C$73:$C$152,MATCH($C476,Tables2!$B$73:$B$152,0)),-1)),
Error!$B$44,
IF(AND(_xlpm.baseRow,OR($E476="Tier 2",$E476="Tier 2 Grove"),$C476&lt;&gt;"",$D476&gt;=12,COUNTIF(Tables2!$B$153:$B$162,$C476)&gt;0),
Error!$B$45,
IF(AND(_xlpm.baseRow,$E476="Tier 2 Grove",$D476&lt;12),
Error!$B$41,
IF(AND(_xlpm.baseRow,$E476="Tier 2",$D476&lt;5.88),
Error!$B$40,
IF(AND(_xlpm.baseRow,OR($E476="Tier 2",$E476="Tier 2 Grove"),$C476&lt;&gt;"",$D476&lt;12,$D476&gt;=6,COUNTIF(Tables2!$B$153:$B$162,$C476)&gt;0),
Error!$B$54,
IF(AND(_xlpm.baseRow,$E476="Tier 2",COUNTIF(Tables2!$B$166:$B$674,$C476)&gt;0,$D476&lt;24),
Error!$B$54,
IF(AND(_xlpm.baseRow,$E476="Tier 3",ISNA(MATCH($C476,Tables2!$B$153:$B$162,0)),OR($D476&lt;12,$D476&gt;=24)),
Error!$B$9,
IF(AND(_xlpm.baseRow,$E476="Tier 3",COUNTIF(Tables2!$B$153:$B$162,$C476)&gt;0,$D476&lt;12),
Error!$B$46,
IF(AND(_xlpm.baseRow,$E476="Tier 4",OR($D476&lt;6,$D476&gt;=12)),
Error!$B$10,
IF(AND(_xlpm.baseRow,$E476="&lt;6in DSH for Tree Points",OR($D476&gt;=6,$D476="")),
Error!$B$8,
IF(AND(_xlpm.baseRow,$E476="Street Tree for Green Factor",$F476&lt;&gt;"",$F476&lt;&gt;"Retain"),
Error!$B$14,
IF(AND($E476="&lt;6in DSH for Tree Points",$F476="Retain",$H476&lt;&gt;"",ISNA(MATCH($H476,Tables!$B$174:$B$174,0))),
Error!$B$15,
IF(AND($E476="Street Tree for Green Factor",$F476="Retain",$H476&lt;&gt;"",$H476&lt;&gt;"Zoning: Green Factor"),
Error!$B$15,
IF(AND($E476="ECA / Shoreline Tree",$F476="Remove",$H476&lt;&gt;"",ISNA(MATCH($H476,Tables!$B$189:$B$190,0))),
Error!$B$15,
IF(AND($E476="ECA / Shoreline Tree",$F476="Retain",$H476&lt;&gt;"",ISNA(MATCH($H476,Tables!$B$184:$B$186,0))),
Error!$B$15,
IF(AND($E476="Tier 4",$F476="Remove",$H476&lt;&gt;"",ISNA(MATCH($H476,Tables!$B$171,0))),
Error!$B$15,
IF(AND($E476="Tier 4",$F476="Retain",$H476&lt;&gt;"",ISNA(MATCH($H476,Tables!$B$166:$B$168,0))),
Error!$B$15,
IF(AND($E476="Tier 3",$F476="Retain",$H476&lt;&gt;"",ISNA(MATCH($H476,Tables!$B$158:$B$160,0))),
Error!$B$15,
IF(AND($E476="Tier 3",$F476="Remove",$H476&lt;&gt;"",ISNA(MATCH($H476,Tables!$B$163,0))),
Error!$B$15,
IF(AND(OR($E476="Tier 2",$E476="Tier 2 Grove"),$F476="Remove",$H476&lt;&gt;"",ISNA(MATCH($H476,Tables!$B$153:$B$155,0))),
Error!$B$15,
IF(AND(OR($E476="Tier 2",$E476="Tier 2 Grove"),$F476="Retain",$H476&lt;&gt;"",ISNA(MATCH($H476,Tables!$B$147:$B$150,0))),
Error!$B$15,
IF(AND($E476="Tier 1",$F476="Remove",$H476&lt;&gt;"",ISNA(MATCH($H476,Tables!$B$143:$B$144,0))),
Error!$B$15,
IF(AND($E476="Tier 1",$F476="Retain",$H476&lt;&gt;"",ISNA(MATCH($H476,Tables!$B$137:$B$140,0))),
Error!$B$15,
IF(AND($E476&lt;&gt;"Tier 2",$E476&lt;&gt;"Tier 2 Grove",$E476&lt;&gt;"Tier 3",$E476&lt;&gt;"Tier 4",$H476="Zoning: Green Factor",OR($D476="",$D476&lt;6)),
Error!$B$11,
IF(AND(_xlpm.baseRow,$D476&lt;6,$E476="&lt;6in DSH for Tree Points",_xlpm.TreePoints_H=0),
Error!$B$21,
IF(AND(_xlpm.baseRow,$E476&lt;&gt;"",$D476&lt;&gt;"",$F476=""),
Error!$B$4,
IF(AND(_xlpm.baseRow,$F476="Remove",OR($E476="Tier 1",$E476="Tier 2",$E476="Tier 2 Grove"),COUNTBLANK(_xlpm.HRange)&lt;3,_xlpm.uniqueH&gt;=2),
Error!$B$48,
IF(AND(_xlpm.baseRow,$F476="Retain",OR($E476="Tier 1",$E476="Tier 2",$E476="Tier 2 Grove"),COUNTIF(_xlpm.HRange,"Tree Code: Required to Retain Tier 1-2 Tree")=0),
Error!$B$47,
IF(AND(_xlpm.baseRow,$E476&lt;&gt;"",$D476&lt;&gt;"",$F476&lt;&gt;"",COUNTBLANK(_xlpm.HRange)=4),
Error!$B$5,
IF(AND($F476="Remove",$H476&lt;&gt;"",$I476=""),
Error!$B$18,
IF(AND($E476="Tier 4",$F476="Remove",$H476="Tree Protection Code: Tier 3 or Tier 4 Allowance",$H476&lt;&gt;"",ISNA(MATCH($I476,Tables!$B$200,0))),
Error!$B$17,
IF(AND($E476="Tier 3",$F476="Remove",$H476&lt;&gt;"",$H476="Tree Protection Code: Tier 3 or Tier 4 Allowance",OR($I476="",ISNA(MATCH($I476,Tables!$B$193:$B$197,0)))),
Error!$B$17,
IF(AND(OR($E476="Tier 2",$E476="Tier 2 Grove"),$F476="Remove",$H476="Tree Protection Code: Other removal allowance or exemption",$I476&lt;&gt;"",ISNA(MATCH($I476,Tables!$B$215:$B$218,0))),
Error!$B$17,
IF(AND(OR($E476="Tier 2",$E476="Tier 2 Grove"),$F476="Remove",$H476="Tree Protection Code: Development Capacity",$I476&lt;&gt;"",ISNA(MATCH($I476,Tables!$B$193:$B$197,0))),
Error!$B$17,
IF(AND(OR($E476="Tier 2",$E476="Tier 2 Grove"),$F476="Remove",$H476="Tree Protection Code: Necessary for Construction",$I476&lt;&gt;"",ISNA(MATCH($I476,Tables!$B$193:$B$197,0))),
Error!$B$17,
IF(AND($E476="Tier 1",$F476="Remove",$H476="Tree Protection Code: Special Exception",$I476&lt;&gt;"",ISNA(MATCH($I476,Tables!$B$215:$B$218,0))),
Error!$B$17,
IF(AND($E476="Tier 1",$F476="Remove",$H476="Tree Protection Code: Other removal allowance or exemption",$I476&lt;&gt;"",ISNA(MATCH($I476,Tables!$B$215:$B$218,0))),
Error!$B$17,
IF(AND($E476="ECA / Shoreline Tree",$F476="Remove",$H476&lt;&gt;"",OR($H476="Shoreline",$H476="Environmental Critical Area (ECA)"),ISNA(MATCH($I476,Tables!$B$209:$B$212,0))),
Error!$B$17,
IF(AND(_xlpm.baseRow,$F476="Retain",$E476="ECA / Shoreline Tree",_xlpm.ECA_Short=0),
Error!$B$61,
IF(AND($F476="Remove",ISNUMBER(MATCH($E476,{"Tier 1","Tier 2","Tier 3","Tier 4","Tier 2 Grove"},0)),ISNUMBER(MATCH($I476,{"On-site replacement","Off-site replacement"},0)),$J476="",$H476&lt;&gt;""),
Error!$B$19,
IF(AND(_xlpm.baseRow,$E476&lt;&gt;"",$D476&lt;&gt;"",$F476&lt;&gt;"",COUNTBLANK($B476:$C476)&gt;0,COUNTBLANK(_xlpm.HRange)&lt;&gt;4),
Error!$B$22,
IF(AND($H476="Zoning: Tree Points",$K476&lt;&gt;"",ISNA(MATCH($K476,Tables!$B$242:$B$253,0))),
Error!$B$58,
IF(AND($H476="Zoning: Tree Points",$K476="Small",$L476&lt;&gt;"",ISNA(MATCH($L476,Tables!$C$243:$C$244,0))),
Error!$B$59,
IF(AND($H476="Zoning: Tree Points",$K476="Small/Medium",$L476&lt;&gt;"",ISNA(MATCH($L476,Tables!$C$246:$C$247,0))),
Error!$B$59,
IF(AND($H476="Zoning: Tree Points",$K476="Medium/Large",$L476&lt;&gt;"",ISNA(MATCH($L476,Tables!$C$249:$C$250,0))),
Error!$B$59,
IF(AND($H476="Zoning: Tree Points",$K476="Large",$L476&lt;&gt;"",ISNA(MATCH($L476,Tables!$C$252:$C$253,0))),
Error!$B$59,
IF(AND($F476="Retain",$H476="Zoning: Tree Points",$C476&lt;&gt;"",$D476&lt;&gt;"",OR($K476="",$L476="",$M476="")),
Error!$B$20,
""
)))))))))))))))))))))))))))))))))))))))))))))))))))))))),
Error!$B$23))</f>
        <v/>
      </c>
      <c r="O476" s="343" t="str" cm="1">
        <f t="array" aca="1" ref="O476" ca="1">IFERROR(_xlfn.LET(
    _xlpm.txt, $C476,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77" spans="1:15" x14ac:dyDescent="0.3">
      <c r="A477" s="320"/>
      <c r="B477" s="616" t="str">
        <f t="shared" si="543"/>
        <v/>
      </c>
      <c r="C477" s="617" t="str">
        <f t="shared" si="544"/>
        <v/>
      </c>
      <c r="D477" s="618" t="str">
        <f t="shared" si="545"/>
        <v/>
      </c>
      <c r="E477" s="616" t="str">
        <f t="shared" si="546"/>
        <v/>
      </c>
      <c r="F477" s="616" t="str">
        <f t="shared" si="547"/>
        <v/>
      </c>
      <c r="G477" s="619" t="str">
        <f>IF(Tree_Table1[[#This Row],[Tree Status  &amp;]]="Retain", Tables!$B$237, IF(Tree_Table1[[#This Row],[Tree Status  &amp;]]="Remove", Tables!$B$238, ""))</f>
        <v/>
      </c>
      <c r="H477" s="321"/>
      <c r="I477" s="322"/>
      <c r="J477" s="453"/>
      <c r="K477" s="323" t="str">
        <f>IFERROR(
    IF(
        AND($H477="Zoning: Tree Points", NOT(ISNUMBER(SEARCH("sp.", $C477)))),
        VLOOKUP($C477, 'Tree List'!$C$3:$F$601, 4, FALSE),
        ""
    ),
"")</f>
        <v/>
      </c>
      <c r="L477" s="324" t="str" cm="1">
        <f t="array" ref="L477">IFERROR(
IF(
    AND($H477="Zoning: Tree Points", NOT(ISNUMBER(SEARCH("sp.", $C477)))),
    _xlfn.IFS(
        (COUNTIFS('Tree List'!$C$3:$C$601,$C477,'Tree List'!$D$3:$D$601,"Coniferous")
        + COUNTIFS('Tree List'!$C$3:$C$601,$C477,'Tree List'!$D$3:$D$601,"Deciduous Conifer")) &gt; 0,
            _xlfn.IFS($K477="Small",0.5,$K477="Small/Medium",1,$K477="Medium/Large",1.4,$K477="Large",1.8),
        (COUNTIFS('Tree List'!$C$3:$C$601,$C477,'Tree List'!$D$3:$D$601,"Deciduous")
        + COUNTIFS('Tree List'!$C$3:$C$601,$C477,'Tree List'!$D$3:$D$601,"Broadleaf Evergreen")) &gt; 0,
            _xlfn.IFS($K477="Small",0.4,$K477="Small/Medium",0.8,$K477="Medium/Large",1.2,$K477="Large",1.6)
    ),
    ""
),
"")</f>
        <v/>
      </c>
      <c r="M477" s="475" t="str">
        <f t="shared" si="492"/>
        <v/>
      </c>
      <c r="N477" s="346" t="str" cm="1">
        <f t="array" aca="1" ref="N47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IF(AND(_xlpm.baseRow,ISNA(MATCH($C477,'Tree List'!$C$3:$C$601,0)),SUMPRODUCT(--ISNUMBER(SEARCH(Tables2!$C$677:$C$772,$O477)))&gt;0),
Error!$B$57,
IF(AND(_xlpm.hasDM,$F477="Remove",$H477&lt;&gt;"",OR($I477="On-site replacement",$I477="Off-site replacement",$I477="Payment In Lieu")),
Error!$B$56,
IF(AND(_xlpm.hasDM,$F477="Remove",$H477&lt;&gt;"",$I477="Relocation"),
Error!$B$66,
IF(AND(OR(_xlpm.hasCN,_xlpm.hasPH,_xlpm.hasGR),$H477&lt;&gt;"",COUNTIF(Tables!$B$132:$B$134,$H477)&gt;0,$I477="N/A (No replacement required)"),
Error!$B$62,
IF(AND(_xlpm.baseRow,$E477&lt;&gt;"",ISNA(MATCH($E477,Tables!$B$225:$B$232,0))),
Error!$B$2,
IF(AND(_xlpm.baseRow,$F477&lt;&gt;"",ISNA(MATCH($F477,Tables!$B$234:$B$235,0))),
Error!$B$24,
IF(AND(_xlpm.baseRow,_xlpm.ECA_H&gt;0,_xlpm.Shore_H&gt;0),
Error!$B$16,
IF(AND(_xlpm.baseRow,$E477&lt;&gt;"",$D477=""),
Error!$B$3,
IF(AND(_xlpm.baseRow,OR($E477="Tier 3",$E477="Tier 4"),$C477&lt;&gt;"",$D477&gt;=24,COUNTIF(Tables2!$B$166:$B$674,$C477)&gt;0),
Error!$B$44,
IF(AND(_xlpm.baseRow,OR($E477="Tier 3",$E477="Tier 4"),$C477&lt;&gt;"",$D477&lt;&gt;"",COUNTIF(Tables2!$B$73:$B$152,$C477)&gt;0,
$D477&gt;=IFERROR(INDEX(Tables2!$C$73:$C$152,MATCH($C477,Tables2!$B$73:$B$152,0)),-1)),
Error!$B$44,
IF(AND(_xlpm.baseRow,OR($E477="Tier 2",$E477="Tier 2 Grove"),$C477&lt;&gt;"",$D477&gt;=12,COUNTIF(Tables2!$B$153:$B$162,$C477)&gt;0),
Error!$B$45,
IF(AND(_xlpm.baseRow,$E477="Tier 2 Grove",$D477&lt;12),
Error!$B$41,
IF(AND(_xlpm.baseRow,$E477="Tier 2",$D477&lt;5.88),
Error!$B$40,
IF(AND(_xlpm.baseRow,OR($E477="Tier 2",$E477="Tier 2 Grove"),$C477&lt;&gt;"",$D477&lt;12,$D477&gt;=6,COUNTIF(Tables2!$B$153:$B$162,$C477)&gt;0),
Error!$B$54,
IF(AND(_xlpm.baseRow,$E477="Tier 2",COUNTIF(Tables2!$B$166:$B$674,$C477)&gt;0,$D477&lt;24),
Error!$B$54,
IF(AND(_xlpm.baseRow,$E477="Tier 3",ISNA(MATCH($C477,Tables2!$B$153:$B$162,0)),OR($D477&lt;12,$D477&gt;=24)),
Error!$B$9,
IF(AND(_xlpm.baseRow,$E477="Tier 3",COUNTIF(Tables2!$B$153:$B$162,$C477)&gt;0,$D477&lt;12),
Error!$B$46,
IF(AND(_xlpm.baseRow,$E477="Tier 4",OR($D477&lt;6,$D477&gt;=12)),
Error!$B$10,
IF(AND(_xlpm.baseRow,$E477="&lt;6in DSH for Tree Points",OR($D477&gt;=6,$D477="")),
Error!$B$8,
IF(AND(_xlpm.baseRow,$E477="Street Tree for Green Factor",$F477&lt;&gt;"",$F477&lt;&gt;"Retain"),
Error!$B$14,
IF(AND($E477="&lt;6in DSH for Tree Points",$F477="Retain",$H477&lt;&gt;"",ISNA(MATCH($H477,Tables!$B$174:$B$174,0))),
Error!$B$15,
IF(AND($E477="Street Tree for Green Factor",$F477="Retain",$H477&lt;&gt;"",$H477&lt;&gt;"Zoning: Green Factor"),
Error!$B$15,
IF(AND($E477="ECA / Shoreline Tree",$F477="Remove",$H477&lt;&gt;"",ISNA(MATCH($H477,Tables!$B$189:$B$190,0))),
Error!$B$15,
IF(AND($E477="ECA / Shoreline Tree",$F477="Retain",$H477&lt;&gt;"",ISNA(MATCH($H477,Tables!$B$184:$B$186,0))),
Error!$B$15,
IF(AND($E477="Tier 4",$F477="Remove",$H477&lt;&gt;"",ISNA(MATCH($H477,Tables!$B$171,0))),
Error!$B$15,
IF(AND($E477="Tier 4",$F477="Retain",$H477&lt;&gt;"",ISNA(MATCH($H477,Tables!$B$166:$B$168,0))),
Error!$B$15,
IF(AND($E477="Tier 3",$F477="Retain",$H477&lt;&gt;"",ISNA(MATCH($H477,Tables!$B$158:$B$160,0))),
Error!$B$15,
IF(AND($E477="Tier 3",$F477="Remove",$H477&lt;&gt;"",ISNA(MATCH($H477,Tables!$B$163,0))),
Error!$B$15,
IF(AND(OR($E477="Tier 2",$E477="Tier 2 Grove"),$F477="Remove",$H477&lt;&gt;"",ISNA(MATCH($H477,Tables!$B$153:$B$155,0))),
Error!$B$15,
IF(AND(OR($E477="Tier 2",$E477="Tier 2 Grove"),$F477="Retain",$H477&lt;&gt;"",ISNA(MATCH($H477,Tables!$B$147:$B$150,0))),
Error!$B$15,
IF(AND($E477="Tier 1",$F477="Remove",$H477&lt;&gt;"",ISNA(MATCH($H477,Tables!$B$143:$B$144,0))),
Error!$B$15,
IF(AND($E477="Tier 1",$F477="Retain",$H477&lt;&gt;"",ISNA(MATCH($H477,Tables!$B$137:$B$140,0))),
Error!$B$15,
IF(AND($E477&lt;&gt;"Tier 2",$E477&lt;&gt;"Tier 2 Grove",$E477&lt;&gt;"Tier 3",$E477&lt;&gt;"Tier 4",$H477="Zoning: Green Factor",OR($D477="",$D477&lt;6)),
Error!$B$11,
IF(AND(_xlpm.baseRow,$D477&lt;6,$E477="&lt;6in DSH for Tree Points",_xlpm.TreePoints_H=0),
Error!$B$21,
IF(AND(_xlpm.baseRow,$E477&lt;&gt;"",$D477&lt;&gt;"",$F477=""),
Error!$B$4,
IF(AND(_xlpm.baseRow,$F477="Remove",OR($E477="Tier 1",$E477="Tier 2",$E477="Tier 2 Grove"),COUNTBLANK(_xlpm.HRange)&lt;3,_xlpm.uniqueH&gt;=2),
Error!$B$48,
IF(AND(_xlpm.baseRow,$F477="Retain",OR($E477="Tier 1",$E477="Tier 2",$E477="Tier 2 Grove"),COUNTIF(_xlpm.HRange,"Tree Code: Required to Retain Tier 1-2 Tree")=0),
Error!$B$47,
IF(AND(_xlpm.baseRow,$E477&lt;&gt;"",$D477&lt;&gt;"",$F477&lt;&gt;"",COUNTBLANK(_xlpm.HRange)=4),
Error!$B$5,
IF(AND($F477="Remove",$H477&lt;&gt;"",$I477=""),
Error!$B$18,
IF(AND($E477="Tier 4",$F477="Remove",$H477="Tree Protection Code: Tier 3 or Tier 4 Allowance",$H477&lt;&gt;"",ISNA(MATCH($I477,Tables!$B$200,0))),
Error!$B$17,
IF(AND($E477="Tier 3",$F477="Remove",$H477&lt;&gt;"",$H477="Tree Protection Code: Tier 3 or Tier 4 Allowance",OR($I477="",ISNA(MATCH($I477,Tables!$B$193:$B$197,0)))),
Error!$B$17,
IF(AND(OR($E477="Tier 2",$E477="Tier 2 Grove"),$F477="Remove",$H477="Tree Protection Code: Other removal allowance or exemption",$I477&lt;&gt;"",ISNA(MATCH($I477,Tables!$B$215:$B$218,0))),
Error!$B$17,
IF(AND(OR($E477="Tier 2",$E477="Tier 2 Grove"),$F477="Remove",$H477="Tree Protection Code: Development Capacity",$I477&lt;&gt;"",ISNA(MATCH($I477,Tables!$B$193:$B$197,0))),
Error!$B$17,
IF(AND(OR($E477="Tier 2",$E477="Tier 2 Grove"),$F477="Remove",$H477="Tree Protection Code: Necessary for Construction",$I477&lt;&gt;"",ISNA(MATCH($I477,Tables!$B$193:$B$197,0))),
Error!$B$17,
IF(AND($E477="Tier 1",$F477="Remove",$H477="Tree Protection Code: Special Exception",$I477&lt;&gt;"",ISNA(MATCH($I477,Tables!$B$215:$B$218,0))),
Error!$B$17,
IF(AND($E477="Tier 1",$F477="Remove",$H477="Tree Protection Code: Other removal allowance or exemption",$I477&lt;&gt;"",ISNA(MATCH($I477,Tables!$B$215:$B$218,0))),
Error!$B$17,
IF(AND($E477="ECA / Shoreline Tree",$F477="Remove",$H477&lt;&gt;"",OR($H477="Shoreline",$H477="Environmental Critical Area (ECA)"),ISNA(MATCH($I477,Tables!$B$209:$B$212,0))),
Error!$B$17,
IF(AND(_xlpm.baseRow,$F477="Retain",$E477="ECA / Shoreline Tree",_xlpm.ECA_Short=0),
Error!$B$61,
IF(AND($F477="Remove",ISNUMBER(MATCH($E477,{"Tier 1","Tier 2","Tier 3","Tier 4","Tier 2 Grove"},0)),ISNUMBER(MATCH($I477,{"On-site replacement","Off-site replacement"},0)),$J477="",$H477&lt;&gt;""),
Error!$B$19,
IF(AND(_xlpm.baseRow,$E477&lt;&gt;"",$D477&lt;&gt;"",$F477&lt;&gt;"",COUNTBLANK($B477:$C477)&gt;0,COUNTBLANK(_xlpm.HRange)&lt;&gt;4),
Error!$B$22,
IF(AND($H477="Zoning: Tree Points",$K477&lt;&gt;"",ISNA(MATCH($K477,Tables!$B$242:$B$253,0))),
Error!$B$58,
IF(AND($H477="Zoning: Tree Points",$K477="Small",$L477&lt;&gt;"",ISNA(MATCH($L477,Tables!$C$243:$C$244,0))),
Error!$B$59,
IF(AND($H477="Zoning: Tree Points",$K477="Small/Medium",$L477&lt;&gt;"",ISNA(MATCH($L477,Tables!$C$246:$C$247,0))),
Error!$B$59,
IF(AND($H477="Zoning: Tree Points",$K477="Medium/Large",$L477&lt;&gt;"",ISNA(MATCH($L477,Tables!$C$249:$C$250,0))),
Error!$B$59,
IF(AND($H477="Zoning: Tree Points",$K477="Large",$L477&lt;&gt;"",ISNA(MATCH($L477,Tables!$C$252:$C$253,0))),
Error!$B$59,
IF(AND($F477="Retain",$H477="Zoning: Tree Points",$C477&lt;&gt;"",$D477&lt;&gt;"",OR($K477="",$L477="",$M477="")),
Error!$B$20,
""
)))))))))))))))))))))))))))))))))))))))))))))))))))))))),
Error!$B$23))</f>
        <v/>
      </c>
      <c r="O477" s="343" t="str" cm="1">
        <f t="array" aca="1" ref="O477" ca="1">IFERROR(_xlfn.LET(
    _xlpm.txt, $C477,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78" spans="1:15" ht="15" thickBot="1" x14ac:dyDescent="0.35">
      <c r="A478" s="331"/>
      <c r="B478" s="616" t="str">
        <f t="shared" si="543"/>
        <v/>
      </c>
      <c r="C478" s="617" t="str">
        <f t="shared" si="544"/>
        <v/>
      </c>
      <c r="D478" s="618" t="str">
        <f t="shared" si="545"/>
        <v/>
      </c>
      <c r="E478" s="616" t="str">
        <f t="shared" si="546"/>
        <v/>
      </c>
      <c r="F478" s="616" t="str">
        <f t="shared" si="547"/>
        <v/>
      </c>
      <c r="G478" s="619" t="str">
        <f>IF(Tree_Table1[[#This Row],[Tree Status  &amp;]]="Retain", Tables!$B$237, IF(Tree_Table1[[#This Row],[Tree Status  &amp;]]="Remove", Tables!$B$238, ""))</f>
        <v/>
      </c>
      <c r="H478" s="329"/>
      <c r="I478" s="330"/>
      <c r="J478" s="455"/>
      <c r="K478" s="327" t="str">
        <f>IFERROR(
    IF(
        AND($H478="Zoning: Tree Points", NOT(ISNUMBER(SEARCH("sp.", $C478)))),
        VLOOKUP($C478, 'Tree List'!$C$3:$F$601, 4, FALSE),
        ""
    ),
"")</f>
        <v/>
      </c>
      <c r="L478" s="328" t="str" cm="1">
        <f t="array" ref="L478">IFERROR(
IF(
    AND($H478="Zoning: Tree Points", NOT(ISNUMBER(SEARCH("sp.", $C478)))),
    _xlfn.IFS(
        (COUNTIFS('Tree List'!$C$3:$C$601,$C478,'Tree List'!$D$3:$D$601,"Coniferous")
        + COUNTIFS('Tree List'!$C$3:$C$601,$C478,'Tree List'!$D$3:$D$601,"Deciduous Conifer")) &gt; 0,
            _xlfn.IFS($K478="Small",0.5,$K478="Small/Medium",1,$K478="Medium/Large",1.4,$K478="Large",1.8),
        (COUNTIFS('Tree List'!$C$3:$C$601,$C478,'Tree List'!$D$3:$D$601,"Deciduous")
        + COUNTIFS('Tree List'!$C$3:$C$601,$C478,'Tree List'!$D$3:$D$601,"Broadleaf Evergreen")) &gt; 0,
            _xlfn.IFS($K478="Small",0.4,$K478="Small/Medium",0.8,$K478="Medium/Large",1.2,$K478="Large",1.6)
    ),
    ""
),
"")</f>
        <v/>
      </c>
      <c r="M478" s="476" t="str">
        <f t="shared" si="492"/>
        <v/>
      </c>
      <c r="N478" s="347" t="str" cm="1">
        <f t="array" aca="1" ref="N47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IF(AND(_xlpm.baseRow,ISNA(MATCH($C478,'Tree List'!$C$3:$C$601,0)),SUMPRODUCT(--ISNUMBER(SEARCH(Tables2!$C$677:$C$772,$O478)))&gt;0),
Error!$B$57,
IF(AND(_xlpm.hasDM,$F478="Remove",$H478&lt;&gt;"",OR($I478="On-site replacement",$I478="Off-site replacement",$I478="Payment In Lieu")),
Error!$B$56,
IF(AND(_xlpm.hasDM,$F478="Remove",$H478&lt;&gt;"",$I478="Relocation"),
Error!$B$66,
IF(AND(OR(_xlpm.hasCN,_xlpm.hasPH,_xlpm.hasGR),$H478&lt;&gt;"",COUNTIF(Tables!$B$132:$B$134,$H478)&gt;0,$I478="N/A (No replacement required)"),
Error!$B$62,
IF(AND(_xlpm.baseRow,$E478&lt;&gt;"",ISNA(MATCH($E478,Tables!$B$225:$B$232,0))),
Error!$B$2,
IF(AND(_xlpm.baseRow,$F478&lt;&gt;"",ISNA(MATCH($F478,Tables!$B$234:$B$235,0))),
Error!$B$24,
IF(AND(_xlpm.baseRow,_xlpm.ECA_H&gt;0,_xlpm.Shore_H&gt;0),
Error!$B$16,
IF(AND(_xlpm.baseRow,$E478&lt;&gt;"",$D478=""),
Error!$B$3,
IF(AND(_xlpm.baseRow,OR($E478="Tier 3",$E478="Tier 4"),$C478&lt;&gt;"",$D478&gt;=24,COUNTIF(Tables2!$B$166:$B$674,$C478)&gt;0),
Error!$B$44,
IF(AND(_xlpm.baseRow,OR($E478="Tier 3",$E478="Tier 4"),$C478&lt;&gt;"",$D478&lt;&gt;"",COUNTIF(Tables2!$B$73:$B$152,$C478)&gt;0,
$D478&gt;=IFERROR(INDEX(Tables2!$C$73:$C$152,MATCH($C478,Tables2!$B$73:$B$152,0)),-1)),
Error!$B$44,
IF(AND(_xlpm.baseRow,OR($E478="Tier 2",$E478="Tier 2 Grove"),$C478&lt;&gt;"",$D478&gt;=12,COUNTIF(Tables2!$B$153:$B$162,$C478)&gt;0),
Error!$B$45,
IF(AND(_xlpm.baseRow,$E478="Tier 2 Grove",$D478&lt;12),
Error!$B$41,
IF(AND(_xlpm.baseRow,$E478="Tier 2",$D478&lt;5.88),
Error!$B$40,
IF(AND(_xlpm.baseRow,OR($E478="Tier 2",$E478="Tier 2 Grove"),$C478&lt;&gt;"",$D478&lt;12,$D478&gt;=6,COUNTIF(Tables2!$B$153:$B$162,$C478)&gt;0),
Error!$B$54,
IF(AND(_xlpm.baseRow,$E478="Tier 2",COUNTIF(Tables2!$B$166:$B$674,$C478)&gt;0,$D478&lt;24),
Error!$B$54,
IF(AND(_xlpm.baseRow,$E478="Tier 3",ISNA(MATCH($C478,Tables2!$B$153:$B$162,0)),OR($D478&lt;12,$D478&gt;=24)),
Error!$B$9,
IF(AND(_xlpm.baseRow,$E478="Tier 3",COUNTIF(Tables2!$B$153:$B$162,$C478)&gt;0,$D478&lt;12),
Error!$B$46,
IF(AND(_xlpm.baseRow,$E478="Tier 4",OR($D478&lt;6,$D478&gt;=12)),
Error!$B$10,
IF(AND(_xlpm.baseRow,$E478="&lt;6in DSH for Tree Points",OR($D478&gt;=6,$D478="")),
Error!$B$8,
IF(AND(_xlpm.baseRow,$E478="Street Tree for Green Factor",$F478&lt;&gt;"",$F478&lt;&gt;"Retain"),
Error!$B$14,
IF(AND($E478="&lt;6in DSH for Tree Points",$F478="Retain",$H478&lt;&gt;"",ISNA(MATCH($H478,Tables!$B$174:$B$174,0))),
Error!$B$15,
IF(AND($E478="Street Tree for Green Factor",$F478="Retain",$H478&lt;&gt;"",$H478&lt;&gt;"Zoning: Green Factor"),
Error!$B$15,
IF(AND($E478="ECA / Shoreline Tree",$F478="Remove",$H478&lt;&gt;"",ISNA(MATCH($H478,Tables!$B$189:$B$190,0))),
Error!$B$15,
IF(AND($E478="ECA / Shoreline Tree",$F478="Retain",$H478&lt;&gt;"",ISNA(MATCH($H478,Tables!$B$184:$B$186,0))),
Error!$B$15,
IF(AND($E478="Tier 4",$F478="Remove",$H478&lt;&gt;"",ISNA(MATCH($H478,Tables!$B$171,0))),
Error!$B$15,
IF(AND($E478="Tier 4",$F478="Retain",$H478&lt;&gt;"",ISNA(MATCH($H478,Tables!$B$166:$B$168,0))),
Error!$B$15,
IF(AND($E478="Tier 3",$F478="Retain",$H478&lt;&gt;"",ISNA(MATCH($H478,Tables!$B$158:$B$160,0))),
Error!$B$15,
IF(AND($E478="Tier 3",$F478="Remove",$H478&lt;&gt;"",ISNA(MATCH($H478,Tables!$B$163,0))),
Error!$B$15,
IF(AND(OR($E478="Tier 2",$E478="Tier 2 Grove"),$F478="Remove",$H478&lt;&gt;"",ISNA(MATCH($H478,Tables!$B$153:$B$155,0))),
Error!$B$15,
IF(AND(OR($E478="Tier 2",$E478="Tier 2 Grove"),$F478="Retain",$H478&lt;&gt;"",ISNA(MATCH($H478,Tables!$B$147:$B$150,0))),
Error!$B$15,
IF(AND($E478="Tier 1",$F478="Remove",$H478&lt;&gt;"",ISNA(MATCH($H478,Tables!$B$143:$B$144,0))),
Error!$B$15,
IF(AND($E478="Tier 1",$F478="Retain",$H478&lt;&gt;"",ISNA(MATCH($H478,Tables!$B$137:$B$140,0))),
Error!$B$15,
IF(AND($E478&lt;&gt;"Tier 2",$E478&lt;&gt;"Tier 2 Grove",$E478&lt;&gt;"Tier 3",$E478&lt;&gt;"Tier 4",$H478="Zoning: Green Factor",OR($D478="",$D478&lt;6)),
Error!$B$11,
IF(AND(_xlpm.baseRow,$D478&lt;6,$E478="&lt;6in DSH for Tree Points",_xlpm.TreePoints_H=0),
Error!$B$21,
IF(AND(_xlpm.baseRow,$E478&lt;&gt;"",$D478&lt;&gt;"",$F478=""),
Error!$B$4,
IF(AND(_xlpm.baseRow,$F478="Remove",OR($E478="Tier 1",$E478="Tier 2",$E478="Tier 2 Grove"),COUNTBLANK(_xlpm.HRange)&lt;3,_xlpm.uniqueH&gt;=2),
Error!$B$48,
IF(AND(_xlpm.baseRow,$F478="Retain",OR($E478="Tier 1",$E478="Tier 2",$E478="Tier 2 Grove"),COUNTIF(_xlpm.HRange,"Tree Code: Required to Retain Tier 1-2 Tree")=0),
Error!$B$47,
IF(AND(_xlpm.baseRow,$E478&lt;&gt;"",$D478&lt;&gt;"",$F478&lt;&gt;"",COUNTBLANK(_xlpm.HRange)=4),
Error!$B$5,
IF(AND($F478="Remove",$H478&lt;&gt;"",$I478=""),
Error!$B$18,
IF(AND($E478="Tier 4",$F478="Remove",$H478="Tree Protection Code: Tier 3 or Tier 4 Allowance",$H478&lt;&gt;"",ISNA(MATCH($I478,Tables!$B$200,0))),
Error!$B$17,
IF(AND($E478="Tier 3",$F478="Remove",$H478&lt;&gt;"",$H478="Tree Protection Code: Tier 3 or Tier 4 Allowance",OR($I478="",ISNA(MATCH($I478,Tables!$B$193:$B$197,0)))),
Error!$B$17,
IF(AND(OR($E478="Tier 2",$E478="Tier 2 Grove"),$F478="Remove",$H478="Tree Protection Code: Other removal allowance or exemption",$I478&lt;&gt;"",ISNA(MATCH($I478,Tables!$B$215:$B$218,0))),
Error!$B$17,
IF(AND(OR($E478="Tier 2",$E478="Tier 2 Grove"),$F478="Remove",$H478="Tree Protection Code: Development Capacity",$I478&lt;&gt;"",ISNA(MATCH($I478,Tables!$B$193:$B$197,0))),
Error!$B$17,
IF(AND(OR($E478="Tier 2",$E478="Tier 2 Grove"),$F478="Remove",$H478="Tree Protection Code: Necessary for Construction",$I478&lt;&gt;"",ISNA(MATCH($I478,Tables!$B$193:$B$197,0))),
Error!$B$17,
IF(AND($E478="Tier 1",$F478="Remove",$H478="Tree Protection Code: Special Exception",$I478&lt;&gt;"",ISNA(MATCH($I478,Tables!$B$215:$B$218,0))),
Error!$B$17,
IF(AND($E478="Tier 1",$F478="Remove",$H478="Tree Protection Code: Other removal allowance or exemption",$I478&lt;&gt;"",ISNA(MATCH($I478,Tables!$B$215:$B$218,0))),
Error!$B$17,
IF(AND($E478="ECA / Shoreline Tree",$F478="Remove",$H478&lt;&gt;"",OR($H478="Shoreline",$H478="Environmental Critical Area (ECA)"),ISNA(MATCH($I478,Tables!$B$209:$B$212,0))),
Error!$B$17,
IF(AND(_xlpm.baseRow,$F478="Retain",$E478="ECA / Shoreline Tree",_xlpm.ECA_Short=0),
Error!$B$61,
IF(AND($F478="Remove",ISNUMBER(MATCH($E478,{"Tier 1","Tier 2","Tier 3","Tier 4","Tier 2 Grove"},0)),ISNUMBER(MATCH($I478,{"On-site replacement","Off-site replacement"},0)),$J478="",$H478&lt;&gt;""),
Error!$B$19,
IF(AND(_xlpm.baseRow,$E478&lt;&gt;"",$D478&lt;&gt;"",$F478&lt;&gt;"",COUNTBLANK($B478:$C478)&gt;0,COUNTBLANK(_xlpm.HRange)&lt;&gt;4),
Error!$B$22,
IF(AND($H478="Zoning: Tree Points",$K478&lt;&gt;"",ISNA(MATCH($K478,Tables!$B$242:$B$253,0))),
Error!$B$58,
IF(AND($H478="Zoning: Tree Points",$K478="Small",$L478&lt;&gt;"",ISNA(MATCH($L478,Tables!$C$243:$C$244,0))),
Error!$B$59,
IF(AND($H478="Zoning: Tree Points",$K478="Small/Medium",$L478&lt;&gt;"",ISNA(MATCH($L478,Tables!$C$246:$C$247,0))),
Error!$B$59,
IF(AND($H478="Zoning: Tree Points",$K478="Medium/Large",$L478&lt;&gt;"",ISNA(MATCH($L478,Tables!$C$249:$C$250,0))),
Error!$B$59,
IF(AND($H478="Zoning: Tree Points",$K478="Large",$L478&lt;&gt;"",ISNA(MATCH($L478,Tables!$C$252:$C$253,0))),
Error!$B$59,
IF(AND($F478="Retain",$H478="Zoning: Tree Points",$C478&lt;&gt;"",$D478&lt;&gt;"",OR($K478="",$L478="",$M478="")),
Error!$B$20,
""
)))))))))))))))))))))))))))))))))))))))))))))))))))))))),
Error!$B$23))</f>
        <v/>
      </c>
      <c r="O478" s="343" t="str" cm="1">
        <f t="array" aca="1" ref="O478" ca="1">IFERROR(_xlfn.LET(
    _xlpm.txt, $C478,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79" spans="1:15" ht="15" thickBot="1" x14ac:dyDescent="0.35">
      <c r="A479" s="311">
        <v>118</v>
      </c>
      <c r="B479" s="312"/>
      <c r="C479" s="313"/>
      <c r="D479" s="478"/>
      <c r="E479" s="314"/>
      <c r="F479" s="314"/>
      <c r="G479" s="315" t="str">
        <f>IF(Tree_Table1[[#This Row],[Tree Status  &amp;]]="Retain", Tables!$B$237, IF(Tree_Table1[[#This Row],[Tree Status  &amp;]]="Remove", Tables!$B$238, ""))</f>
        <v/>
      </c>
      <c r="H479" s="316"/>
      <c r="I479" s="317"/>
      <c r="J479" s="452"/>
      <c r="K479" s="318" t="str">
        <f>IFERROR(
    IF(
        AND($H479="Zoning: Tree Points", NOT(ISNUMBER(SEARCH("sp.", $C479)))),
        VLOOKUP($C479, 'Tree List'!$C$3:$F$601, 4, FALSE),
        ""
    ),
"")</f>
        <v/>
      </c>
      <c r="L479" s="319" t="str" cm="1">
        <f t="array" ref="L479">IFERROR(
IF(
    AND($H479="Zoning: Tree Points", NOT(ISNUMBER(SEARCH("sp.", $C479)))),
    _xlfn.IFS(
        (COUNTIFS('Tree List'!$C$3:$C$601,$C479,'Tree List'!$D$3:$D$601,"Coniferous")
        + COUNTIFS('Tree List'!$C$3:$C$601,$C479,'Tree List'!$D$3:$D$601,"Deciduous Conifer")) &gt; 0,
            _xlfn.IFS($K479="Small",0.5,$K479="Small/Medium",1,$K479="Medium/Large",1.4,$K479="Large",1.8),
        (COUNTIFS('Tree List'!$C$3:$C$601,$C479,'Tree List'!$D$3:$D$601,"Deciduous")
        + COUNTIFS('Tree List'!$C$3:$C$601,$C479,'Tree List'!$D$3:$D$601,"Broadleaf Evergreen")) &gt; 0,
            _xlfn.IFS($K479="Small",0.4,$K479="Small/Medium",0.8,$K479="Medium/Large",1.2,$K479="Large",1.6)
    ),
    ""
),
"")</f>
        <v/>
      </c>
      <c r="M479" s="474" t="str">
        <f t="shared" si="492"/>
        <v/>
      </c>
      <c r="N479" s="620" t="str" cm="1">
        <f t="array" aca="1" ref="N47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IF(AND(_xlpm.baseRow,ISNA(MATCH($C479,'Tree List'!$C$3:$C$601,0)),SUMPRODUCT(--ISNUMBER(SEARCH(Tables2!$C$677:$C$772,$O479)))&gt;0),
Error!$B$57,
IF(AND(_xlpm.hasDM,$F479="Remove",$H479&lt;&gt;"",OR($I479="On-site replacement",$I479="Off-site replacement",$I479="Payment In Lieu")),
Error!$B$56,
IF(AND(_xlpm.hasDM,$F479="Remove",$H479&lt;&gt;"",$I479="Relocation"),
Error!$B$66,
IF(AND(OR(_xlpm.hasCN,_xlpm.hasPH,_xlpm.hasGR),$H479&lt;&gt;"",COUNTIF(Tables!$B$132:$B$134,$H479)&gt;0,$I479="N/A (No replacement required)"),
Error!$B$62,
IF(AND(_xlpm.baseRow,$E479&lt;&gt;"",ISNA(MATCH($E479,Tables!$B$225:$B$232,0))),
Error!$B$2,
IF(AND(_xlpm.baseRow,$F479&lt;&gt;"",ISNA(MATCH($F479,Tables!$B$234:$B$235,0))),
Error!$B$24,
IF(AND(_xlpm.baseRow,_xlpm.ECA_H&gt;0,_xlpm.Shore_H&gt;0),
Error!$B$16,
IF(AND(_xlpm.baseRow,$E479&lt;&gt;"",$D479=""),
Error!$B$3,
IF(AND(_xlpm.baseRow,OR($E479="Tier 3",$E479="Tier 4"),$C479&lt;&gt;"",$D479&gt;=24,COUNTIF(Tables2!$B$166:$B$674,$C479)&gt;0),
Error!$B$44,
IF(AND(_xlpm.baseRow,OR($E479="Tier 3",$E479="Tier 4"),$C479&lt;&gt;"",$D479&lt;&gt;"",COUNTIF(Tables2!$B$73:$B$152,$C479)&gt;0,
$D479&gt;=IFERROR(INDEX(Tables2!$C$73:$C$152,MATCH($C479,Tables2!$B$73:$B$152,0)),-1)),
Error!$B$44,
IF(AND(_xlpm.baseRow,OR($E479="Tier 2",$E479="Tier 2 Grove"),$C479&lt;&gt;"",$D479&gt;=12,COUNTIF(Tables2!$B$153:$B$162,$C479)&gt;0),
Error!$B$45,
IF(AND(_xlpm.baseRow,$E479="Tier 2 Grove",$D479&lt;12),
Error!$B$41,
IF(AND(_xlpm.baseRow,$E479="Tier 2",$D479&lt;5.88),
Error!$B$40,
IF(AND(_xlpm.baseRow,OR($E479="Tier 2",$E479="Tier 2 Grove"),$C479&lt;&gt;"",$D479&lt;12,$D479&gt;=6,COUNTIF(Tables2!$B$153:$B$162,$C479)&gt;0),
Error!$B$54,
IF(AND(_xlpm.baseRow,$E479="Tier 2",COUNTIF(Tables2!$B$166:$B$674,$C479)&gt;0,$D479&lt;24),
Error!$B$54,
IF(AND(_xlpm.baseRow,$E479="Tier 3",ISNA(MATCH($C479,Tables2!$B$153:$B$162,0)),OR($D479&lt;12,$D479&gt;=24)),
Error!$B$9,
IF(AND(_xlpm.baseRow,$E479="Tier 3",COUNTIF(Tables2!$B$153:$B$162,$C479)&gt;0,$D479&lt;12),
Error!$B$46,
IF(AND(_xlpm.baseRow,$E479="Tier 4",OR($D479&lt;6,$D479&gt;=12)),
Error!$B$10,
IF(AND(_xlpm.baseRow,$E479="&lt;6in DSH for Tree Points",OR($D479&gt;=6,$D479="")),
Error!$B$8,
IF(AND(_xlpm.baseRow,$E479="Street Tree for Green Factor",$F479&lt;&gt;"",$F479&lt;&gt;"Retain"),
Error!$B$14,
IF(AND($E479="&lt;6in DSH for Tree Points",$F479="Retain",$H479&lt;&gt;"",ISNA(MATCH($H479,Tables!$B$174:$B$174,0))),
Error!$B$15,
IF(AND($E479="Street Tree for Green Factor",$F479="Retain",$H479&lt;&gt;"",$H479&lt;&gt;"Zoning: Green Factor"),
Error!$B$15,
IF(AND($E479="ECA / Shoreline Tree",$F479="Remove",$H479&lt;&gt;"",ISNA(MATCH($H479,Tables!$B$189:$B$190,0))),
Error!$B$15,
IF(AND($E479="ECA / Shoreline Tree",$F479="Retain",$H479&lt;&gt;"",ISNA(MATCH($H479,Tables!$B$184:$B$186,0))),
Error!$B$15,
IF(AND($E479="Tier 4",$F479="Remove",$H479&lt;&gt;"",ISNA(MATCH($H479,Tables!$B$171,0))),
Error!$B$15,
IF(AND($E479="Tier 4",$F479="Retain",$H479&lt;&gt;"",ISNA(MATCH($H479,Tables!$B$166:$B$168,0))),
Error!$B$15,
IF(AND($E479="Tier 3",$F479="Retain",$H479&lt;&gt;"",ISNA(MATCH($H479,Tables!$B$158:$B$160,0))),
Error!$B$15,
IF(AND($E479="Tier 3",$F479="Remove",$H479&lt;&gt;"",ISNA(MATCH($H479,Tables!$B$163,0))),
Error!$B$15,
IF(AND(OR($E479="Tier 2",$E479="Tier 2 Grove"),$F479="Remove",$H479&lt;&gt;"",ISNA(MATCH($H479,Tables!$B$153:$B$155,0))),
Error!$B$15,
IF(AND(OR($E479="Tier 2",$E479="Tier 2 Grove"),$F479="Retain",$H479&lt;&gt;"",ISNA(MATCH($H479,Tables!$B$147:$B$150,0))),
Error!$B$15,
IF(AND($E479="Tier 1",$F479="Remove",$H479&lt;&gt;"",ISNA(MATCH($H479,Tables!$B$143:$B$144,0))),
Error!$B$15,
IF(AND($E479="Tier 1",$F479="Retain",$H479&lt;&gt;"",ISNA(MATCH($H479,Tables!$B$137:$B$140,0))),
Error!$B$15,
IF(AND($E479&lt;&gt;"Tier 2",$E479&lt;&gt;"Tier 2 Grove",$E479&lt;&gt;"Tier 3",$E479&lt;&gt;"Tier 4",$H479="Zoning: Green Factor",OR($D479="",$D479&lt;6)),
Error!$B$11,
IF(AND(_xlpm.baseRow,$D479&lt;6,$E479="&lt;6in DSH for Tree Points",_xlpm.TreePoints_H=0),
Error!$B$21,
IF(AND(_xlpm.baseRow,$E479&lt;&gt;"",$D479&lt;&gt;"",$F479=""),
Error!$B$4,
IF(AND(_xlpm.baseRow,$F479="Remove",OR($E479="Tier 1",$E479="Tier 2",$E479="Tier 2 Grove"),COUNTBLANK(_xlpm.HRange)&lt;3,_xlpm.uniqueH&gt;=2),
Error!$B$48,
IF(AND(_xlpm.baseRow,$F479="Retain",OR($E479="Tier 1",$E479="Tier 2",$E479="Tier 2 Grove"),COUNTIF(_xlpm.HRange,"Tree Code: Required to Retain Tier 1-2 Tree")=0),
Error!$B$47,
IF(AND(_xlpm.baseRow,$E479&lt;&gt;"",$D479&lt;&gt;"",$F479&lt;&gt;"",COUNTBLANK(_xlpm.HRange)=4),
Error!$B$5,
IF(AND($F479="Remove",$H479&lt;&gt;"",$I479=""),
Error!$B$18,
IF(AND($E479="Tier 4",$F479="Remove",$H479="Tree Protection Code: Tier 3 or Tier 4 Allowance",$H479&lt;&gt;"",ISNA(MATCH($I479,Tables!$B$200,0))),
Error!$B$17,
IF(AND($E479="Tier 3",$F479="Remove",$H479&lt;&gt;"",$H479="Tree Protection Code: Tier 3 or Tier 4 Allowance",OR($I479="",ISNA(MATCH($I479,Tables!$B$193:$B$197,0)))),
Error!$B$17,
IF(AND(OR($E479="Tier 2",$E479="Tier 2 Grove"),$F479="Remove",$H479="Tree Protection Code: Other removal allowance or exemption",$I479&lt;&gt;"",ISNA(MATCH($I479,Tables!$B$215:$B$218,0))),
Error!$B$17,
IF(AND(OR($E479="Tier 2",$E479="Tier 2 Grove"),$F479="Remove",$H479="Tree Protection Code: Development Capacity",$I479&lt;&gt;"",ISNA(MATCH($I479,Tables!$B$193:$B$197,0))),
Error!$B$17,
IF(AND(OR($E479="Tier 2",$E479="Tier 2 Grove"),$F479="Remove",$H479="Tree Protection Code: Necessary for Construction",$I479&lt;&gt;"",ISNA(MATCH($I479,Tables!$B$193:$B$197,0))),
Error!$B$17,
IF(AND($E479="Tier 1",$F479="Remove",$H479="Tree Protection Code: Special Exception",$I479&lt;&gt;"",ISNA(MATCH($I479,Tables!$B$215:$B$218,0))),
Error!$B$17,
IF(AND($E479="Tier 1",$F479="Remove",$H479="Tree Protection Code: Other removal allowance or exemption",$I479&lt;&gt;"",ISNA(MATCH($I479,Tables!$B$215:$B$218,0))),
Error!$B$17,
IF(AND($E479="ECA / Shoreline Tree",$F479="Remove",$H479&lt;&gt;"",OR($H479="Shoreline",$H479="Environmental Critical Area (ECA)"),ISNA(MATCH($I479,Tables!$B$209:$B$212,0))),
Error!$B$17,
IF(AND(_xlpm.baseRow,$F479="Retain",$E479="ECA / Shoreline Tree",_xlpm.ECA_Short=0),
Error!$B$61,
IF(AND($F479="Remove",ISNUMBER(MATCH($E479,{"Tier 1","Tier 2","Tier 3","Tier 4","Tier 2 Grove"},0)),ISNUMBER(MATCH($I479,{"On-site replacement","Off-site replacement"},0)),$J479="",$H479&lt;&gt;""),
Error!$B$19,
IF(AND(_xlpm.baseRow,$E479&lt;&gt;"",$D479&lt;&gt;"",$F479&lt;&gt;"",COUNTBLANK($B479:$C479)&gt;0,COUNTBLANK(_xlpm.HRange)&lt;&gt;4),
Error!$B$22,
IF(AND($H479="Zoning: Tree Points",$K479&lt;&gt;"",ISNA(MATCH($K479,Tables!$B$242:$B$253,0))),
Error!$B$58,
IF(AND($H479="Zoning: Tree Points",$K479="Small",$L479&lt;&gt;"",ISNA(MATCH($L479,Tables!$C$243:$C$244,0))),
Error!$B$59,
IF(AND($H479="Zoning: Tree Points",$K479="Small/Medium",$L479&lt;&gt;"",ISNA(MATCH($L479,Tables!$C$246:$C$247,0))),
Error!$B$59,
IF(AND($H479="Zoning: Tree Points",$K479="Medium/Large",$L479&lt;&gt;"",ISNA(MATCH($L479,Tables!$C$249:$C$250,0))),
Error!$B$59,
IF(AND($H479="Zoning: Tree Points",$K479="Large",$L479&lt;&gt;"",ISNA(MATCH($L479,Tables!$C$252:$C$253,0))),
Error!$B$59,
IF(AND($F479="Retain",$H479="Zoning: Tree Points",$C479&lt;&gt;"",$D479&lt;&gt;"",OR($K479="",$L479="",$M479="")),
Error!$B$20,
""
)))))))))))))))))))))))))))))))))))))))))))))))))))))))),
Error!$B$23))</f>
        <v/>
      </c>
      <c r="O479" s="343" t="str" cm="1">
        <f t="array" aca="1" ref="O479" ca="1">IFERROR(_xlfn.LET(
    _xlpm.txt, $C479,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80" spans="1:15" x14ac:dyDescent="0.3">
      <c r="A480" s="320"/>
      <c r="B480" s="616" t="str">
        <f t="shared" ref="B480:B482" si="548">IF($B479="", "", $B479)</f>
        <v/>
      </c>
      <c r="C480" s="617" t="str">
        <f t="shared" ref="C480:C482" si="549">IF($C479="", "", $C479)</f>
        <v/>
      </c>
      <c r="D480" s="618" t="str">
        <f t="shared" ref="D480:D482" si="550">IF($D479="", "", $D479)</f>
        <v/>
      </c>
      <c r="E480" s="616" t="str">
        <f t="shared" ref="E480:E482" si="551">IF($E479="", "", $E479)</f>
        <v/>
      </c>
      <c r="F480" s="616" t="str">
        <f t="shared" ref="F480:F482" si="552">IF($F479="", "", $F479)</f>
        <v/>
      </c>
      <c r="G480" s="619" t="str">
        <f>IF(Tree_Table1[[#This Row],[Tree Status  &amp;]]="Retain", Tables!$B$237, IF(Tree_Table1[[#This Row],[Tree Status  &amp;]]="Remove", Tables!$B$238, ""))</f>
        <v/>
      </c>
      <c r="H480" s="321"/>
      <c r="I480" s="322"/>
      <c r="J480" s="453"/>
      <c r="K480" s="323" t="str">
        <f>IFERROR(
    IF(
        AND($H480="Zoning: Tree Points", NOT(ISNUMBER(SEARCH("sp.", $C480)))),
        VLOOKUP($C480, 'Tree List'!$C$3:$F$601, 4, FALSE),
        ""
    ),
"")</f>
        <v/>
      </c>
      <c r="L480" s="324" t="str" cm="1">
        <f t="array" ref="L480">IFERROR(
IF(
    AND($H480="Zoning: Tree Points", NOT(ISNUMBER(SEARCH("sp.", $C480)))),
    _xlfn.IFS(
        (COUNTIFS('Tree List'!$C$3:$C$601,$C480,'Tree List'!$D$3:$D$601,"Coniferous")
        + COUNTIFS('Tree List'!$C$3:$C$601,$C480,'Tree List'!$D$3:$D$601,"Deciduous Conifer")) &gt; 0,
            _xlfn.IFS($K480="Small",0.5,$K480="Small/Medium",1,$K480="Medium/Large",1.4,$K480="Large",1.8),
        (COUNTIFS('Tree List'!$C$3:$C$601,$C480,'Tree List'!$D$3:$D$601,"Deciduous")
        + COUNTIFS('Tree List'!$C$3:$C$601,$C480,'Tree List'!$D$3:$D$601,"Broadleaf Evergreen")) &gt; 0,
            _xlfn.IFS($K480="Small",0.4,$K480="Small/Medium",0.8,$K480="Medium/Large",1.2,$K480="Large",1.6)
    ),
    ""
),
"")</f>
        <v/>
      </c>
      <c r="M480" s="475" t="str">
        <f t="shared" si="492"/>
        <v/>
      </c>
      <c r="N480" s="346" t="str" cm="1">
        <f t="array" aca="1" ref="N48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IF(AND(_xlpm.baseRow,ISNA(MATCH($C480,'Tree List'!$C$3:$C$601,0)),SUMPRODUCT(--ISNUMBER(SEARCH(Tables2!$C$677:$C$772,$O480)))&gt;0),
Error!$B$57,
IF(AND(_xlpm.hasDM,$F480="Remove",$H480&lt;&gt;"",OR($I480="On-site replacement",$I480="Off-site replacement",$I480="Payment In Lieu")),
Error!$B$56,
IF(AND(_xlpm.hasDM,$F480="Remove",$H480&lt;&gt;"",$I480="Relocation"),
Error!$B$66,
IF(AND(OR(_xlpm.hasCN,_xlpm.hasPH,_xlpm.hasGR),$H480&lt;&gt;"",COUNTIF(Tables!$B$132:$B$134,$H480)&gt;0,$I480="N/A (No replacement required)"),
Error!$B$62,
IF(AND(_xlpm.baseRow,$E480&lt;&gt;"",ISNA(MATCH($E480,Tables!$B$225:$B$232,0))),
Error!$B$2,
IF(AND(_xlpm.baseRow,$F480&lt;&gt;"",ISNA(MATCH($F480,Tables!$B$234:$B$235,0))),
Error!$B$24,
IF(AND(_xlpm.baseRow,_xlpm.ECA_H&gt;0,_xlpm.Shore_H&gt;0),
Error!$B$16,
IF(AND(_xlpm.baseRow,$E480&lt;&gt;"",$D480=""),
Error!$B$3,
IF(AND(_xlpm.baseRow,OR($E480="Tier 3",$E480="Tier 4"),$C480&lt;&gt;"",$D480&gt;=24,COUNTIF(Tables2!$B$166:$B$674,$C480)&gt;0),
Error!$B$44,
IF(AND(_xlpm.baseRow,OR($E480="Tier 3",$E480="Tier 4"),$C480&lt;&gt;"",$D480&lt;&gt;"",COUNTIF(Tables2!$B$73:$B$152,$C480)&gt;0,
$D480&gt;=IFERROR(INDEX(Tables2!$C$73:$C$152,MATCH($C480,Tables2!$B$73:$B$152,0)),-1)),
Error!$B$44,
IF(AND(_xlpm.baseRow,OR($E480="Tier 2",$E480="Tier 2 Grove"),$C480&lt;&gt;"",$D480&gt;=12,COUNTIF(Tables2!$B$153:$B$162,$C480)&gt;0),
Error!$B$45,
IF(AND(_xlpm.baseRow,$E480="Tier 2 Grove",$D480&lt;12),
Error!$B$41,
IF(AND(_xlpm.baseRow,$E480="Tier 2",$D480&lt;5.88),
Error!$B$40,
IF(AND(_xlpm.baseRow,OR($E480="Tier 2",$E480="Tier 2 Grove"),$C480&lt;&gt;"",$D480&lt;12,$D480&gt;=6,COUNTIF(Tables2!$B$153:$B$162,$C480)&gt;0),
Error!$B$54,
IF(AND(_xlpm.baseRow,$E480="Tier 2",COUNTIF(Tables2!$B$166:$B$674,$C480)&gt;0,$D480&lt;24),
Error!$B$54,
IF(AND(_xlpm.baseRow,$E480="Tier 3",ISNA(MATCH($C480,Tables2!$B$153:$B$162,0)),OR($D480&lt;12,$D480&gt;=24)),
Error!$B$9,
IF(AND(_xlpm.baseRow,$E480="Tier 3",COUNTIF(Tables2!$B$153:$B$162,$C480)&gt;0,$D480&lt;12),
Error!$B$46,
IF(AND(_xlpm.baseRow,$E480="Tier 4",OR($D480&lt;6,$D480&gt;=12)),
Error!$B$10,
IF(AND(_xlpm.baseRow,$E480="&lt;6in DSH for Tree Points",OR($D480&gt;=6,$D480="")),
Error!$B$8,
IF(AND(_xlpm.baseRow,$E480="Street Tree for Green Factor",$F480&lt;&gt;"",$F480&lt;&gt;"Retain"),
Error!$B$14,
IF(AND($E480="&lt;6in DSH for Tree Points",$F480="Retain",$H480&lt;&gt;"",ISNA(MATCH($H480,Tables!$B$174:$B$174,0))),
Error!$B$15,
IF(AND($E480="Street Tree for Green Factor",$F480="Retain",$H480&lt;&gt;"",$H480&lt;&gt;"Zoning: Green Factor"),
Error!$B$15,
IF(AND($E480="ECA / Shoreline Tree",$F480="Remove",$H480&lt;&gt;"",ISNA(MATCH($H480,Tables!$B$189:$B$190,0))),
Error!$B$15,
IF(AND($E480="ECA / Shoreline Tree",$F480="Retain",$H480&lt;&gt;"",ISNA(MATCH($H480,Tables!$B$184:$B$186,0))),
Error!$B$15,
IF(AND($E480="Tier 4",$F480="Remove",$H480&lt;&gt;"",ISNA(MATCH($H480,Tables!$B$171,0))),
Error!$B$15,
IF(AND($E480="Tier 4",$F480="Retain",$H480&lt;&gt;"",ISNA(MATCH($H480,Tables!$B$166:$B$168,0))),
Error!$B$15,
IF(AND($E480="Tier 3",$F480="Retain",$H480&lt;&gt;"",ISNA(MATCH($H480,Tables!$B$158:$B$160,0))),
Error!$B$15,
IF(AND($E480="Tier 3",$F480="Remove",$H480&lt;&gt;"",ISNA(MATCH($H480,Tables!$B$163,0))),
Error!$B$15,
IF(AND(OR($E480="Tier 2",$E480="Tier 2 Grove"),$F480="Remove",$H480&lt;&gt;"",ISNA(MATCH($H480,Tables!$B$153:$B$155,0))),
Error!$B$15,
IF(AND(OR($E480="Tier 2",$E480="Tier 2 Grove"),$F480="Retain",$H480&lt;&gt;"",ISNA(MATCH($H480,Tables!$B$147:$B$150,0))),
Error!$B$15,
IF(AND($E480="Tier 1",$F480="Remove",$H480&lt;&gt;"",ISNA(MATCH($H480,Tables!$B$143:$B$144,0))),
Error!$B$15,
IF(AND($E480="Tier 1",$F480="Retain",$H480&lt;&gt;"",ISNA(MATCH($H480,Tables!$B$137:$B$140,0))),
Error!$B$15,
IF(AND($E480&lt;&gt;"Tier 2",$E480&lt;&gt;"Tier 2 Grove",$E480&lt;&gt;"Tier 3",$E480&lt;&gt;"Tier 4",$H480="Zoning: Green Factor",OR($D480="",$D480&lt;6)),
Error!$B$11,
IF(AND(_xlpm.baseRow,$D480&lt;6,$E480="&lt;6in DSH for Tree Points",_xlpm.TreePoints_H=0),
Error!$B$21,
IF(AND(_xlpm.baseRow,$E480&lt;&gt;"",$D480&lt;&gt;"",$F480=""),
Error!$B$4,
IF(AND(_xlpm.baseRow,$F480="Remove",OR($E480="Tier 1",$E480="Tier 2",$E480="Tier 2 Grove"),COUNTBLANK(_xlpm.HRange)&lt;3,_xlpm.uniqueH&gt;=2),
Error!$B$48,
IF(AND(_xlpm.baseRow,$F480="Retain",OR($E480="Tier 1",$E480="Tier 2",$E480="Tier 2 Grove"),COUNTIF(_xlpm.HRange,"Tree Code: Required to Retain Tier 1-2 Tree")=0),
Error!$B$47,
IF(AND(_xlpm.baseRow,$E480&lt;&gt;"",$D480&lt;&gt;"",$F480&lt;&gt;"",COUNTBLANK(_xlpm.HRange)=4),
Error!$B$5,
IF(AND($F480="Remove",$H480&lt;&gt;"",$I480=""),
Error!$B$18,
IF(AND($E480="Tier 4",$F480="Remove",$H480="Tree Protection Code: Tier 3 or Tier 4 Allowance",$H480&lt;&gt;"",ISNA(MATCH($I480,Tables!$B$200,0))),
Error!$B$17,
IF(AND($E480="Tier 3",$F480="Remove",$H480&lt;&gt;"",$H480="Tree Protection Code: Tier 3 or Tier 4 Allowance",OR($I480="",ISNA(MATCH($I480,Tables!$B$193:$B$197,0)))),
Error!$B$17,
IF(AND(OR($E480="Tier 2",$E480="Tier 2 Grove"),$F480="Remove",$H480="Tree Protection Code: Other removal allowance or exemption",$I480&lt;&gt;"",ISNA(MATCH($I480,Tables!$B$215:$B$218,0))),
Error!$B$17,
IF(AND(OR($E480="Tier 2",$E480="Tier 2 Grove"),$F480="Remove",$H480="Tree Protection Code: Development Capacity",$I480&lt;&gt;"",ISNA(MATCH($I480,Tables!$B$193:$B$197,0))),
Error!$B$17,
IF(AND(OR($E480="Tier 2",$E480="Tier 2 Grove"),$F480="Remove",$H480="Tree Protection Code: Necessary for Construction",$I480&lt;&gt;"",ISNA(MATCH($I480,Tables!$B$193:$B$197,0))),
Error!$B$17,
IF(AND($E480="Tier 1",$F480="Remove",$H480="Tree Protection Code: Special Exception",$I480&lt;&gt;"",ISNA(MATCH($I480,Tables!$B$215:$B$218,0))),
Error!$B$17,
IF(AND($E480="Tier 1",$F480="Remove",$H480="Tree Protection Code: Other removal allowance or exemption",$I480&lt;&gt;"",ISNA(MATCH($I480,Tables!$B$215:$B$218,0))),
Error!$B$17,
IF(AND($E480="ECA / Shoreline Tree",$F480="Remove",$H480&lt;&gt;"",OR($H480="Shoreline",$H480="Environmental Critical Area (ECA)"),ISNA(MATCH($I480,Tables!$B$209:$B$212,0))),
Error!$B$17,
IF(AND(_xlpm.baseRow,$F480="Retain",$E480="ECA / Shoreline Tree",_xlpm.ECA_Short=0),
Error!$B$61,
IF(AND($F480="Remove",ISNUMBER(MATCH($E480,{"Tier 1","Tier 2","Tier 3","Tier 4","Tier 2 Grove"},0)),ISNUMBER(MATCH($I480,{"On-site replacement","Off-site replacement"},0)),$J480="",$H480&lt;&gt;""),
Error!$B$19,
IF(AND(_xlpm.baseRow,$E480&lt;&gt;"",$D480&lt;&gt;"",$F480&lt;&gt;"",COUNTBLANK($B480:$C480)&gt;0,COUNTBLANK(_xlpm.HRange)&lt;&gt;4),
Error!$B$22,
IF(AND($H480="Zoning: Tree Points",$K480&lt;&gt;"",ISNA(MATCH($K480,Tables!$B$242:$B$253,0))),
Error!$B$58,
IF(AND($H480="Zoning: Tree Points",$K480="Small",$L480&lt;&gt;"",ISNA(MATCH($L480,Tables!$C$243:$C$244,0))),
Error!$B$59,
IF(AND($H480="Zoning: Tree Points",$K480="Small/Medium",$L480&lt;&gt;"",ISNA(MATCH($L480,Tables!$C$246:$C$247,0))),
Error!$B$59,
IF(AND($H480="Zoning: Tree Points",$K480="Medium/Large",$L480&lt;&gt;"",ISNA(MATCH($L480,Tables!$C$249:$C$250,0))),
Error!$B$59,
IF(AND($H480="Zoning: Tree Points",$K480="Large",$L480&lt;&gt;"",ISNA(MATCH($L480,Tables!$C$252:$C$253,0))),
Error!$B$59,
IF(AND($F480="Retain",$H480="Zoning: Tree Points",$C480&lt;&gt;"",$D480&lt;&gt;"",OR($K480="",$L480="",$M480="")),
Error!$B$20,
""
)))))))))))))))))))))))))))))))))))))))))))))))))))))))),
Error!$B$23))</f>
        <v/>
      </c>
      <c r="O480" s="343" t="str" cm="1">
        <f t="array" aca="1" ref="O480" ca="1">IFERROR(_xlfn.LET(
    _xlpm.txt, $C480,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81" spans="1:15" x14ac:dyDescent="0.3">
      <c r="A481" s="320"/>
      <c r="B481" s="616" t="str">
        <f t="shared" si="548"/>
        <v/>
      </c>
      <c r="C481" s="617" t="str">
        <f t="shared" si="549"/>
        <v/>
      </c>
      <c r="D481" s="618" t="str">
        <f t="shared" si="550"/>
        <v/>
      </c>
      <c r="E481" s="616" t="str">
        <f t="shared" si="551"/>
        <v/>
      </c>
      <c r="F481" s="616" t="str">
        <f t="shared" si="552"/>
        <v/>
      </c>
      <c r="G481" s="619" t="str">
        <f>IF(Tree_Table1[[#This Row],[Tree Status  &amp;]]="Retain", Tables!$B$237, IF(Tree_Table1[[#This Row],[Tree Status  &amp;]]="Remove", Tables!$B$238, ""))</f>
        <v/>
      </c>
      <c r="H481" s="321"/>
      <c r="I481" s="322"/>
      <c r="J481" s="453"/>
      <c r="K481" s="323" t="str">
        <f>IFERROR(
    IF(
        AND($H481="Zoning: Tree Points", NOT(ISNUMBER(SEARCH("sp.", $C481)))),
        VLOOKUP($C481, 'Tree List'!$C$3:$F$601, 4, FALSE),
        ""
    ),
"")</f>
        <v/>
      </c>
      <c r="L481" s="324" t="str" cm="1">
        <f t="array" ref="L481">IFERROR(
IF(
    AND($H481="Zoning: Tree Points", NOT(ISNUMBER(SEARCH("sp.", $C481)))),
    _xlfn.IFS(
        (COUNTIFS('Tree List'!$C$3:$C$601,$C481,'Tree List'!$D$3:$D$601,"Coniferous")
        + COUNTIFS('Tree List'!$C$3:$C$601,$C481,'Tree List'!$D$3:$D$601,"Deciduous Conifer")) &gt; 0,
            _xlfn.IFS($K481="Small",0.5,$K481="Small/Medium",1,$K481="Medium/Large",1.4,$K481="Large",1.8),
        (COUNTIFS('Tree List'!$C$3:$C$601,$C481,'Tree List'!$D$3:$D$601,"Deciduous")
        + COUNTIFS('Tree List'!$C$3:$C$601,$C481,'Tree List'!$D$3:$D$601,"Broadleaf Evergreen")) &gt; 0,
            _xlfn.IFS($K481="Small",0.4,$K481="Small/Medium",0.8,$K481="Medium/Large",1.2,$K481="Large",1.6)
    ),
    ""
),
"")</f>
        <v/>
      </c>
      <c r="M481" s="475" t="str">
        <f t="shared" si="492"/>
        <v/>
      </c>
      <c r="N481" s="346" t="str" cm="1">
        <f t="array" aca="1" ref="N48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IF(AND(_xlpm.baseRow,ISNA(MATCH($C481,'Tree List'!$C$3:$C$601,0)),SUMPRODUCT(--ISNUMBER(SEARCH(Tables2!$C$677:$C$772,$O481)))&gt;0),
Error!$B$57,
IF(AND(_xlpm.hasDM,$F481="Remove",$H481&lt;&gt;"",OR($I481="On-site replacement",$I481="Off-site replacement",$I481="Payment In Lieu")),
Error!$B$56,
IF(AND(_xlpm.hasDM,$F481="Remove",$H481&lt;&gt;"",$I481="Relocation"),
Error!$B$66,
IF(AND(OR(_xlpm.hasCN,_xlpm.hasPH,_xlpm.hasGR),$H481&lt;&gt;"",COUNTIF(Tables!$B$132:$B$134,$H481)&gt;0,$I481="N/A (No replacement required)"),
Error!$B$62,
IF(AND(_xlpm.baseRow,$E481&lt;&gt;"",ISNA(MATCH($E481,Tables!$B$225:$B$232,0))),
Error!$B$2,
IF(AND(_xlpm.baseRow,$F481&lt;&gt;"",ISNA(MATCH($F481,Tables!$B$234:$B$235,0))),
Error!$B$24,
IF(AND(_xlpm.baseRow,_xlpm.ECA_H&gt;0,_xlpm.Shore_H&gt;0),
Error!$B$16,
IF(AND(_xlpm.baseRow,$E481&lt;&gt;"",$D481=""),
Error!$B$3,
IF(AND(_xlpm.baseRow,OR($E481="Tier 3",$E481="Tier 4"),$C481&lt;&gt;"",$D481&gt;=24,COUNTIF(Tables2!$B$166:$B$674,$C481)&gt;0),
Error!$B$44,
IF(AND(_xlpm.baseRow,OR($E481="Tier 3",$E481="Tier 4"),$C481&lt;&gt;"",$D481&lt;&gt;"",COUNTIF(Tables2!$B$73:$B$152,$C481)&gt;0,
$D481&gt;=IFERROR(INDEX(Tables2!$C$73:$C$152,MATCH($C481,Tables2!$B$73:$B$152,0)),-1)),
Error!$B$44,
IF(AND(_xlpm.baseRow,OR($E481="Tier 2",$E481="Tier 2 Grove"),$C481&lt;&gt;"",$D481&gt;=12,COUNTIF(Tables2!$B$153:$B$162,$C481)&gt;0),
Error!$B$45,
IF(AND(_xlpm.baseRow,$E481="Tier 2 Grove",$D481&lt;12),
Error!$B$41,
IF(AND(_xlpm.baseRow,$E481="Tier 2",$D481&lt;5.88),
Error!$B$40,
IF(AND(_xlpm.baseRow,OR($E481="Tier 2",$E481="Tier 2 Grove"),$C481&lt;&gt;"",$D481&lt;12,$D481&gt;=6,COUNTIF(Tables2!$B$153:$B$162,$C481)&gt;0),
Error!$B$54,
IF(AND(_xlpm.baseRow,$E481="Tier 2",COUNTIF(Tables2!$B$166:$B$674,$C481)&gt;0,$D481&lt;24),
Error!$B$54,
IF(AND(_xlpm.baseRow,$E481="Tier 3",ISNA(MATCH($C481,Tables2!$B$153:$B$162,0)),OR($D481&lt;12,$D481&gt;=24)),
Error!$B$9,
IF(AND(_xlpm.baseRow,$E481="Tier 3",COUNTIF(Tables2!$B$153:$B$162,$C481)&gt;0,$D481&lt;12),
Error!$B$46,
IF(AND(_xlpm.baseRow,$E481="Tier 4",OR($D481&lt;6,$D481&gt;=12)),
Error!$B$10,
IF(AND(_xlpm.baseRow,$E481="&lt;6in DSH for Tree Points",OR($D481&gt;=6,$D481="")),
Error!$B$8,
IF(AND(_xlpm.baseRow,$E481="Street Tree for Green Factor",$F481&lt;&gt;"",$F481&lt;&gt;"Retain"),
Error!$B$14,
IF(AND($E481="&lt;6in DSH for Tree Points",$F481="Retain",$H481&lt;&gt;"",ISNA(MATCH($H481,Tables!$B$174:$B$174,0))),
Error!$B$15,
IF(AND($E481="Street Tree for Green Factor",$F481="Retain",$H481&lt;&gt;"",$H481&lt;&gt;"Zoning: Green Factor"),
Error!$B$15,
IF(AND($E481="ECA / Shoreline Tree",$F481="Remove",$H481&lt;&gt;"",ISNA(MATCH($H481,Tables!$B$189:$B$190,0))),
Error!$B$15,
IF(AND($E481="ECA / Shoreline Tree",$F481="Retain",$H481&lt;&gt;"",ISNA(MATCH($H481,Tables!$B$184:$B$186,0))),
Error!$B$15,
IF(AND($E481="Tier 4",$F481="Remove",$H481&lt;&gt;"",ISNA(MATCH($H481,Tables!$B$171,0))),
Error!$B$15,
IF(AND($E481="Tier 4",$F481="Retain",$H481&lt;&gt;"",ISNA(MATCH($H481,Tables!$B$166:$B$168,0))),
Error!$B$15,
IF(AND($E481="Tier 3",$F481="Retain",$H481&lt;&gt;"",ISNA(MATCH($H481,Tables!$B$158:$B$160,0))),
Error!$B$15,
IF(AND($E481="Tier 3",$F481="Remove",$H481&lt;&gt;"",ISNA(MATCH($H481,Tables!$B$163,0))),
Error!$B$15,
IF(AND(OR($E481="Tier 2",$E481="Tier 2 Grove"),$F481="Remove",$H481&lt;&gt;"",ISNA(MATCH($H481,Tables!$B$153:$B$155,0))),
Error!$B$15,
IF(AND(OR($E481="Tier 2",$E481="Tier 2 Grove"),$F481="Retain",$H481&lt;&gt;"",ISNA(MATCH($H481,Tables!$B$147:$B$150,0))),
Error!$B$15,
IF(AND($E481="Tier 1",$F481="Remove",$H481&lt;&gt;"",ISNA(MATCH($H481,Tables!$B$143:$B$144,0))),
Error!$B$15,
IF(AND($E481="Tier 1",$F481="Retain",$H481&lt;&gt;"",ISNA(MATCH($H481,Tables!$B$137:$B$140,0))),
Error!$B$15,
IF(AND($E481&lt;&gt;"Tier 2",$E481&lt;&gt;"Tier 2 Grove",$E481&lt;&gt;"Tier 3",$E481&lt;&gt;"Tier 4",$H481="Zoning: Green Factor",OR($D481="",$D481&lt;6)),
Error!$B$11,
IF(AND(_xlpm.baseRow,$D481&lt;6,$E481="&lt;6in DSH for Tree Points",_xlpm.TreePoints_H=0),
Error!$B$21,
IF(AND(_xlpm.baseRow,$E481&lt;&gt;"",$D481&lt;&gt;"",$F481=""),
Error!$B$4,
IF(AND(_xlpm.baseRow,$F481="Remove",OR($E481="Tier 1",$E481="Tier 2",$E481="Tier 2 Grove"),COUNTBLANK(_xlpm.HRange)&lt;3,_xlpm.uniqueH&gt;=2),
Error!$B$48,
IF(AND(_xlpm.baseRow,$F481="Retain",OR($E481="Tier 1",$E481="Tier 2",$E481="Tier 2 Grove"),COUNTIF(_xlpm.HRange,"Tree Code: Required to Retain Tier 1-2 Tree")=0),
Error!$B$47,
IF(AND(_xlpm.baseRow,$E481&lt;&gt;"",$D481&lt;&gt;"",$F481&lt;&gt;"",COUNTBLANK(_xlpm.HRange)=4),
Error!$B$5,
IF(AND($F481="Remove",$H481&lt;&gt;"",$I481=""),
Error!$B$18,
IF(AND($E481="Tier 4",$F481="Remove",$H481="Tree Protection Code: Tier 3 or Tier 4 Allowance",$H481&lt;&gt;"",ISNA(MATCH($I481,Tables!$B$200,0))),
Error!$B$17,
IF(AND($E481="Tier 3",$F481="Remove",$H481&lt;&gt;"",$H481="Tree Protection Code: Tier 3 or Tier 4 Allowance",OR($I481="",ISNA(MATCH($I481,Tables!$B$193:$B$197,0)))),
Error!$B$17,
IF(AND(OR($E481="Tier 2",$E481="Tier 2 Grove"),$F481="Remove",$H481="Tree Protection Code: Other removal allowance or exemption",$I481&lt;&gt;"",ISNA(MATCH($I481,Tables!$B$215:$B$218,0))),
Error!$B$17,
IF(AND(OR($E481="Tier 2",$E481="Tier 2 Grove"),$F481="Remove",$H481="Tree Protection Code: Development Capacity",$I481&lt;&gt;"",ISNA(MATCH($I481,Tables!$B$193:$B$197,0))),
Error!$B$17,
IF(AND(OR($E481="Tier 2",$E481="Tier 2 Grove"),$F481="Remove",$H481="Tree Protection Code: Necessary for Construction",$I481&lt;&gt;"",ISNA(MATCH($I481,Tables!$B$193:$B$197,0))),
Error!$B$17,
IF(AND($E481="Tier 1",$F481="Remove",$H481="Tree Protection Code: Special Exception",$I481&lt;&gt;"",ISNA(MATCH($I481,Tables!$B$215:$B$218,0))),
Error!$B$17,
IF(AND($E481="Tier 1",$F481="Remove",$H481="Tree Protection Code: Other removal allowance or exemption",$I481&lt;&gt;"",ISNA(MATCH($I481,Tables!$B$215:$B$218,0))),
Error!$B$17,
IF(AND($E481="ECA / Shoreline Tree",$F481="Remove",$H481&lt;&gt;"",OR($H481="Shoreline",$H481="Environmental Critical Area (ECA)"),ISNA(MATCH($I481,Tables!$B$209:$B$212,0))),
Error!$B$17,
IF(AND(_xlpm.baseRow,$F481="Retain",$E481="ECA / Shoreline Tree",_xlpm.ECA_Short=0),
Error!$B$61,
IF(AND($F481="Remove",ISNUMBER(MATCH($E481,{"Tier 1","Tier 2","Tier 3","Tier 4","Tier 2 Grove"},0)),ISNUMBER(MATCH($I481,{"On-site replacement","Off-site replacement"},0)),$J481="",$H481&lt;&gt;""),
Error!$B$19,
IF(AND(_xlpm.baseRow,$E481&lt;&gt;"",$D481&lt;&gt;"",$F481&lt;&gt;"",COUNTBLANK($B481:$C481)&gt;0,COUNTBLANK(_xlpm.HRange)&lt;&gt;4),
Error!$B$22,
IF(AND($H481="Zoning: Tree Points",$K481&lt;&gt;"",ISNA(MATCH($K481,Tables!$B$242:$B$253,0))),
Error!$B$58,
IF(AND($H481="Zoning: Tree Points",$K481="Small",$L481&lt;&gt;"",ISNA(MATCH($L481,Tables!$C$243:$C$244,0))),
Error!$B$59,
IF(AND($H481="Zoning: Tree Points",$K481="Small/Medium",$L481&lt;&gt;"",ISNA(MATCH($L481,Tables!$C$246:$C$247,0))),
Error!$B$59,
IF(AND($H481="Zoning: Tree Points",$K481="Medium/Large",$L481&lt;&gt;"",ISNA(MATCH($L481,Tables!$C$249:$C$250,0))),
Error!$B$59,
IF(AND($H481="Zoning: Tree Points",$K481="Large",$L481&lt;&gt;"",ISNA(MATCH($L481,Tables!$C$252:$C$253,0))),
Error!$B$59,
IF(AND($F481="Retain",$H481="Zoning: Tree Points",$C481&lt;&gt;"",$D481&lt;&gt;"",OR($K481="",$L481="",$M481="")),
Error!$B$20,
""
)))))))))))))))))))))))))))))))))))))))))))))))))))))))),
Error!$B$23))</f>
        <v/>
      </c>
      <c r="O481" s="343" t="str" cm="1">
        <f t="array" aca="1" ref="O481" ca="1">IFERROR(_xlfn.LET(
    _xlpm.txt, $C481,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82" spans="1:15" ht="15" thickBot="1" x14ac:dyDescent="0.35">
      <c r="A482" s="331"/>
      <c r="B482" s="616" t="str">
        <f t="shared" si="548"/>
        <v/>
      </c>
      <c r="C482" s="617" t="str">
        <f t="shared" si="549"/>
        <v/>
      </c>
      <c r="D482" s="618" t="str">
        <f t="shared" si="550"/>
        <v/>
      </c>
      <c r="E482" s="616" t="str">
        <f t="shared" si="551"/>
        <v/>
      </c>
      <c r="F482" s="616" t="str">
        <f t="shared" si="552"/>
        <v/>
      </c>
      <c r="G482" s="619" t="str">
        <f>IF(Tree_Table1[[#This Row],[Tree Status  &amp;]]="Retain", Tables!$B$237, IF(Tree_Table1[[#This Row],[Tree Status  &amp;]]="Remove", Tables!$B$238, ""))</f>
        <v/>
      </c>
      <c r="H482" s="329"/>
      <c r="I482" s="330"/>
      <c r="J482" s="455"/>
      <c r="K482" s="327" t="str">
        <f>IFERROR(
    IF(
        AND($H482="Zoning: Tree Points", NOT(ISNUMBER(SEARCH("sp.", $C482)))),
        VLOOKUP($C482, 'Tree List'!$C$3:$F$601, 4, FALSE),
        ""
    ),
"")</f>
        <v/>
      </c>
      <c r="L482" s="328" t="str" cm="1">
        <f t="array" ref="L482">IFERROR(
IF(
    AND($H482="Zoning: Tree Points", NOT(ISNUMBER(SEARCH("sp.", $C482)))),
    _xlfn.IFS(
        (COUNTIFS('Tree List'!$C$3:$C$601,$C482,'Tree List'!$D$3:$D$601,"Coniferous")
        + COUNTIFS('Tree List'!$C$3:$C$601,$C482,'Tree List'!$D$3:$D$601,"Deciduous Conifer")) &gt; 0,
            _xlfn.IFS($K482="Small",0.5,$K482="Small/Medium",1,$K482="Medium/Large",1.4,$K482="Large",1.8),
        (COUNTIFS('Tree List'!$C$3:$C$601,$C482,'Tree List'!$D$3:$D$601,"Deciduous")
        + COUNTIFS('Tree List'!$C$3:$C$601,$C482,'Tree List'!$D$3:$D$601,"Broadleaf Evergreen")) &gt; 0,
            _xlfn.IFS($K482="Small",0.4,$K482="Small/Medium",0.8,$K482="Medium/Large",1.2,$K482="Large",1.6)
    ),
    ""
),
"")</f>
        <v/>
      </c>
      <c r="M482" s="476" t="str">
        <f t="shared" si="492"/>
        <v/>
      </c>
      <c r="N482" s="347" t="str" cm="1">
        <f t="array" aca="1" ref="N48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IF(AND(_xlpm.baseRow,ISNA(MATCH($C482,'Tree List'!$C$3:$C$601,0)),SUMPRODUCT(--ISNUMBER(SEARCH(Tables2!$C$677:$C$772,$O482)))&gt;0),
Error!$B$57,
IF(AND(_xlpm.hasDM,$F482="Remove",$H482&lt;&gt;"",OR($I482="On-site replacement",$I482="Off-site replacement",$I482="Payment In Lieu")),
Error!$B$56,
IF(AND(_xlpm.hasDM,$F482="Remove",$H482&lt;&gt;"",$I482="Relocation"),
Error!$B$66,
IF(AND(OR(_xlpm.hasCN,_xlpm.hasPH,_xlpm.hasGR),$H482&lt;&gt;"",COUNTIF(Tables!$B$132:$B$134,$H482)&gt;0,$I482="N/A (No replacement required)"),
Error!$B$62,
IF(AND(_xlpm.baseRow,$E482&lt;&gt;"",ISNA(MATCH($E482,Tables!$B$225:$B$232,0))),
Error!$B$2,
IF(AND(_xlpm.baseRow,$F482&lt;&gt;"",ISNA(MATCH($F482,Tables!$B$234:$B$235,0))),
Error!$B$24,
IF(AND(_xlpm.baseRow,_xlpm.ECA_H&gt;0,_xlpm.Shore_H&gt;0),
Error!$B$16,
IF(AND(_xlpm.baseRow,$E482&lt;&gt;"",$D482=""),
Error!$B$3,
IF(AND(_xlpm.baseRow,OR($E482="Tier 3",$E482="Tier 4"),$C482&lt;&gt;"",$D482&gt;=24,COUNTIF(Tables2!$B$166:$B$674,$C482)&gt;0),
Error!$B$44,
IF(AND(_xlpm.baseRow,OR($E482="Tier 3",$E482="Tier 4"),$C482&lt;&gt;"",$D482&lt;&gt;"",COUNTIF(Tables2!$B$73:$B$152,$C482)&gt;0,
$D482&gt;=IFERROR(INDEX(Tables2!$C$73:$C$152,MATCH($C482,Tables2!$B$73:$B$152,0)),-1)),
Error!$B$44,
IF(AND(_xlpm.baseRow,OR($E482="Tier 2",$E482="Tier 2 Grove"),$C482&lt;&gt;"",$D482&gt;=12,COUNTIF(Tables2!$B$153:$B$162,$C482)&gt;0),
Error!$B$45,
IF(AND(_xlpm.baseRow,$E482="Tier 2 Grove",$D482&lt;12),
Error!$B$41,
IF(AND(_xlpm.baseRow,$E482="Tier 2",$D482&lt;5.88),
Error!$B$40,
IF(AND(_xlpm.baseRow,OR($E482="Tier 2",$E482="Tier 2 Grove"),$C482&lt;&gt;"",$D482&lt;12,$D482&gt;=6,COUNTIF(Tables2!$B$153:$B$162,$C482)&gt;0),
Error!$B$54,
IF(AND(_xlpm.baseRow,$E482="Tier 2",COUNTIF(Tables2!$B$166:$B$674,$C482)&gt;0,$D482&lt;24),
Error!$B$54,
IF(AND(_xlpm.baseRow,$E482="Tier 3",ISNA(MATCH($C482,Tables2!$B$153:$B$162,0)),OR($D482&lt;12,$D482&gt;=24)),
Error!$B$9,
IF(AND(_xlpm.baseRow,$E482="Tier 3",COUNTIF(Tables2!$B$153:$B$162,$C482)&gt;0,$D482&lt;12),
Error!$B$46,
IF(AND(_xlpm.baseRow,$E482="Tier 4",OR($D482&lt;6,$D482&gt;=12)),
Error!$B$10,
IF(AND(_xlpm.baseRow,$E482="&lt;6in DSH for Tree Points",OR($D482&gt;=6,$D482="")),
Error!$B$8,
IF(AND(_xlpm.baseRow,$E482="Street Tree for Green Factor",$F482&lt;&gt;"",$F482&lt;&gt;"Retain"),
Error!$B$14,
IF(AND($E482="&lt;6in DSH for Tree Points",$F482="Retain",$H482&lt;&gt;"",ISNA(MATCH($H482,Tables!$B$174:$B$174,0))),
Error!$B$15,
IF(AND($E482="Street Tree for Green Factor",$F482="Retain",$H482&lt;&gt;"",$H482&lt;&gt;"Zoning: Green Factor"),
Error!$B$15,
IF(AND($E482="ECA / Shoreline Tree",$F482="Remove",$H482&lt;&gt;"",ISNA(MATCH($H482,Tables!$B$189:$B$190,0))),
Error!$B$15,
IF(AND($E482="ECA / Shoreline Tree",$F482="Retain",$H482&lt;&gt;"",ISNA(MATCH($H482,Tables!$B$184:$B$186,0))),
Error!$B$15,
IF(AND($E482="Tier 4",$F482="Remove",$H482&lt;&gt;"",ISNA(MATCH($H482,Tables!$B$171,0))),
Error!$B$15,
IF(AND($E482="Tier 4",$F482="Retain",$H482&lt;&gt;"",ISNA(MATCH($H482,Tables!$B$166:$B$168,0))),
Error!$B$15,
IF(AND($E482="Tier 3",$F482="Retain",$H482&lt;&gt;"",ISNA(MATCH($H482,Tables!$B$158:$B$160,0))),
Error!$B$15,
IF(AND($E482="Tier 3",$F482="Remove",$H482&lt;&gt;"",ISNA(MATCH($H482,Tables!$B$163,0))),
Error!$B$15,
IF(AND(OR($E482="Tier 2",$E482="Tier 2 Grove"),$F482="Remove",$H482&lt;&gt;"",ISNA(MATCH($H482,Tables!$B$153:$B$155,0))),
Error!$B$15,
IF(AND(OR($E482="Tier 2",$E482="Tier 2 Grove"),$F482="Retain",$H482&lt;&gt;"",ISNA(MATCH($H482,Tables!$B$147:$B$150,0))),
Error!$B$15,
IF(AND($E482="Tier 1",$F482="Remove",$H482&lt;&gt;"",ISNA(MATCH($H482,Tables!$B$143:$B$144,0))),
Error!$B$15,
IF(AND($E482="Tier 1",$F482="Retain",$H482&lt;&gt;"",ISNA(MATCH($H482,Tables!$B$137:$B$140,0))),
Error!$B$15,
IF(AND($E482&lt;&gt;"Tier 2",$E482&lt;&gt;"Tier 2 Grove",$E482&lt;&gt;"Tier 3",$E482&lt;&gt;"Tier 4",$H482="Zoning: Green Factor",OR($D482="",$D482&lt;6)),
Error!$B$11,
IF(AND(_xlpm.baseRow,$D482&lt;6,$E482="&lt;6in DSH for Tree Points",_xlpm.TreePoints_H=0),
Error!$B$21,
IF(AND(_xlpm.baseRow,$E482&lt;&gt;"",$D482&lt;&gt;"",$F482=""),
Error!$B$4,
IF(AND(_xlpm.baseRow,$F482="Remove",OR($E482="Tier 1",$E482="Tier 2",$E482="Tier 2 Grove"),COUNTBLANK(_xlpm.HRange)&lt;3,_xlpm.uniqueH&gt;=2),
Error!$B$48,
IF(AND(_xlpm.baseRow,$F482="Retain",OR($E482="Tier 1",$E482="Tier 2",$E482="Tier 2 Grove"),COUNTIF(_xlpm.HRange,"Tree Code: Required to Retain Tier 1-2 Tree")=0),
Error!$B$47,
IF(AND(_xlpm.baseRow,$E482&lt;&gt;"",$D482&lt;&gt;"",$F482&lt;&gt;"",COUNTBLANK(_xlpm.HRange)=4),
Error!$B$5,
IF(AND($F482="Remove",$H482&lt;&gt;"",$I482=""),
Error!$B$18,
IF(AND($E482="Tier 4",$F482="Remove",$H482="Tree Protection Code: Tier 3 or Tier 4 Allowance",$H482&lt;&gt;"",ISNA(MATCH($I482,Tables!$B$200,0))),
Error!$B$17,
IF(AND($E482="Tier 3",$F482="Remove",$H482&lt;&gt;"",$H482="Tree Protection Code: Tier 3 or Tier 4 Allowance",OR($I482="",ISNA(MATCH($I482,Tables!$B$193:$B$197,0)))),
Error!$B$17,
IF(AND(OR($E482="Tier 2",$E482="Tier 2 Grove"),$F482="Remove",$H482="Tree Protection Code: Other removal allowance or exemption",$I482&lt;&gt;"",ISNA(MATCH($I482,Tables!$B$215:$B$218,0))),
Error!$B$17,
IF(AND(OR($E482="Tier 2",$E482="Tier 2 Grove"),$F482="Remove",$H482="Tree Protection Code: Development Capacity",$I482&lt;&gt;"",ISNA(MATCH($I482,Tables!$B$193:$B$197,0))),
Error!$B$17,
IF(AND(OR($E482="Tier 2",$E482="Tier 2 Grove"),$F482="Remove",$H482="Tree Protection Code: Necessary for Construction",$I482&lt;&gt;"",ISNA(MATCH($I482,Tables!$B$193:$B$197,0))),
Error!$B$17,
IF(AND($E482="Tier 1",$F482="Remove",$H482="Tree Protection Code: Special Exception",$I482&lt;&gt;"",ISNA(MATCH($I482,Tables!$B$215:$B$218,0))),
Error!$B$17,
IF(AND($E482="Tier 1",$F482="Remove",$H482="Tree Protection Code: Other removal allowance or exemption",$I482&lt;&gt;"",ISNA(MATCH($I482,Tables!$B$215:$B$218,0))),
Error!$B$17,
IF(AND($E482="ECA / Shoreline Tree",$F482="Remove",$H482&lt;&gt;"",OR($H482="Shoreline",$H482="Environmental Critical Area (ECA)"),ISNA(MATCH($I482,Tables!$B$209:$B$212,0))),
Error!$B$17,
IF(AND(_xlpm.baseRow,$F482="Retain",$E482="ECA / Shoreline Tree",_xlpm.ECA_Short=0),
Error!$B$61,
IF(AND($F482="Remove",ISNUMBER(MATCH($E482,{"Tier 1","Tier 2","Tier 3","Tier 4","Tier 2 Grove"},0)),ISNUMBER(MATCH($I482,{"On-site replacement","Off-site replacement"},0)),$J482="",$H482&lt;&gt;""),
Error!$B$19,
IF(AND(_xlpm.baseRow,$E482&lt;&gt;"",$D482&lt;&gt;"",$F482&lt;&gt;"",COUNTBLANK($B482:$C482)&gt;0,COUNTBLANK(_xlpm.HRange)&lt;&gt;4),
Error!$B$22,
IF(AND($H482="Zoning: Tree Points",$K482&lt;&gt;"",ISNA(MATCH($K482,Tables!$B$242:$B$253,0))),
Error!$B$58,
IF(AND($H482="Zoning: Tree Points",$K482="Small",$L482&lt;&gt;"",ISNA(MATCH($L482,Tables!$C$243:$C$244,0))),
Error!$B$59,
IF(AND($H482="Zoning: Tree Points",$K482="Small/Medium",$L482&lt;&gt;"",ISNA(MATCH($L482,Tables!$C$246:$C$247,0))),
Error!$B$59,
IF(AND($H482="Zoning: Tree Points",$K482="Medium/Large",$L482&lt;&gt;"",ISNA(MATCH($L482,Tables!$C$249:$C$250,0))),
Error!$B$59,
IF(AND($H482="Zoning: Tree Points",$K482="Large",$L482&lt;&gt;"",ISNA(MATCH($L482,Tables!$C$252:$C$253,0))),
Error!$B$59,
IF(AND($F482="Retain",$H482="Zoning: Tree Points",$C482&lt;&gt;"",$D482&lt;&gt;"",OR($K482="",$L482="",$M482="")),
Error!$B$20,
""
)))))))))))))))))))))))))))))))))))))))))))))))))))))))),
Error!$B$23))</f>
        <v/>
      </c>
      <c r="O482" s="343" t="str" cm="1">
        <f t="array" aca="1" ref="O482" ca="1">IFERROR(_xlfn.LET(
    _xlpm.txt, $C482,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83" spans="1:15" ht="15" thickBot="1" x14ac:dyDescent="0.35">
      <c r="A483" s="311">
        <v>119</v>
      </c>
      <c r="B483" s="312"/>
      <c r="C483" s="313"/>
      <c r="D483" s="478"/>
      <c r="E483" s="314"/>
      <c r="F483" s="314"/>
      <c r="G483" s="315" t="str">
        <f>IF(Tree_Table1[[#This Row],[Tree Status  &amp;]]="Retain", Tables!$B$237, IF(Tree_Table1[[#This Row],[Tree Status  &amp;]]="Remove", Tables!$B$238, ""))</f>
        <v/>
      </c>
      <c r="H483" s="316"/>
      <c r="I483" s="317"/>
      <c r="J483" s="452"/>
      <c r="K483" s="318" t="str">
        <f>IFERROR(
    IF(
        AND($H483="Zoning: Tree Points", NOT(ISNUMBER(SEARCH("sp.", $C483)))),
        VLOOKUP($C483, 'Tree List'!$C$3:$F$601, 4, FALSE),
        ""
    ),
"")</f>
        <v/>
      </c>
      <c r="L483" s="319" t="str" cm="1">
        <f t="array" ref="L483">IFERROR(
IF(
    AND($H483="Zoning: Tree Points", NOT(ISNUMBER(SEARCH("sp.", $C483)))),
    _xlfn.IFS(
        (COUNTIFS('Tree List'!$C$3:$C$601,$C483,'Tree List'!$D$3:$D$601,"Coniferous")
        + COUNTIFS('Tree List'!$C$3:$C$601,$C483,'Tree List'!$D$3:$D$601,"Deciduous Conifer")) &gt; 0,
            _xlfn.IFS($K483="Small",0.5,$K483="Small/Medium",1,$K483="Medium/Large",1.4,$K483="Large",1.8),
        (COUNTIFS('Tree List'!$C$3:$C$601,$C483,'Tree List'!$D$3:$D$601,"Deciduous")
        + COUNTIFS('Tree List'!$C$3:$C$601,$C483,'Tree List'!$D$3:$D$601,"Broadleaf Evergreen")) &gt; 0,
            _xlfn.IFS($K483="Small",0.4,$K483="Small/Medium",0.8,$K483="Medium/Large",1.2,$K483="Large",1.6)
    ),
    ""
),
"")</f>
        <v/>
      </c>
      <c r="M483" s="474" t="str">
        <f t="shared" si="492"/>
        <v/>
      </c>
      <c r="N483" s="620" t="str" cm="1">
        <f t="array" aca="1" ref="N48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IF(AND(_xlpm.baseRow,ISNA(MATCH($C483,'Tree List'!$C$3:$C$601,0)),SUMPRODUCT(--ISNUMBER(SEARCH(Tables2!$C$677:$C$772,$O483)))&gt;0),
Error!$B$57,
IF(AND(_xlpm.hasDM,$F483="Remove",$H483&lt;&gt;"",OR($I483="On-site replacement",$I483="Off-site replacement",$I483="Payment In Lieu")),
Error!$B$56,
IF(AND(_xlpm.hasDM,$F483="Remove",$H483&lt;&gt;"",$I483="Relocation"),
Error!$B$66,
IF(AND(OR(_xlpm.hasCN,_xlpm.hasPH,_xlpm.hasGR),$H483&lt;&gt;"",COUNTIF(Tables!$B$132:$B$134,$H483)&gt;0,$I483="N/A (No replacement required)"),
Error!$B$62,
IF(AND(_xlpm.baseRow,$E483&lt;&gt;"",ISNA(MATCH($E483,Tables!$B$225:$B$232,0))),
Error!$B$2,
IF(AND(_xlpm.baseRow,$F483&lt;&gt;"",ISNA(MATCH($F483,Tables!$B$234:$B$235,0))),
Error!$B$24,
IF(AND(_xlpm.baseRow,_xlpm.ECA_H&gt;0,_xlpm.Shore_H&gt;0),
Error!$B$16,
IF(AND(_xlpm.baseRow,$E483&lt;&gt;"",$D483=""),
Error!$B$3,
IF(AND(_xlpm.baseRow,OR($E483="Tier 3",$E483="Tier 4"),$C483&lt;&gt;"",$D483&gt;=24,COUNTIF(Tables2!$B$166:$B$674,$C483)&gt;0),
Error!$B$44,
IF(AND(_xlpm.baseRow,OR($E483="Tier 3",$E483="Tier 4"),$C483&lt;&gt;"",$D483&lt;&gt;"",COUNTIF(Tables2!$B$73:$B$152,$C483)&gt;0,
$D483&gt;=IFERROR(INDEX(Tables2!$C$73:$C$152,MATCH($C483,Tables2!$B$73:$B$152,0)),-1)),
Error!$B$44,
IF(AND(_xlpm.baseRow,OR($E483="Tier 2",$E483="Tier 2 Grove"),$C483&lt;&gt;"",$D483&gt;=12,COUNTIF(Tables2!$B$153:$B$162,$C483)&gt;0),
Error!$B$45,
IF(AND(_xlpm.baseRow,$E483="Tier 2 Grove",$D483&lt;12),
Error!$B$41,
IF(AND(_xlpm.baseRow,$E483="Tier 2",$D483&lt;5.88),
Error!$B$40,
IF(AND(_xlpm.baseRow,OR($E483="Tier 2",$E483="Tier 2 Grove"),$C483&lt;&gt;"",$D483&lt;12,$D483&gt;=6,COUNTIF(Tables2!$B$153:$B$162,$C483)&gt;0),
Error!$B$54,
IF(AND(_xlpm.baseRow,$E483="Tier 2",COUNTIF(Tables2!$B$166:$B$674,$C483)&gt;0,$D483&lt;24),
Error!$B$54,
IF(AND(_xlpm.baseRow,$E483="Tier 3",ISNA(MATCH($C483,Tables2!$B$153:$B$162,0)),OR($D483&lt;12,$D483&gt;=24)),
Error!$B$9,
IF(AND(_xlpm.baseRow,$E483="Tier 3",COUNTIF(Tables2!$B$153:$B$162,$C483)&gt;0,$D483&lt;12),
Error!$B$46,
IF(AND(_xlpm.baseRow,$E483="Tier 4",OR($D483&lt;6,$D483&gt;=12)),
Error!$B$10,
IF(AND(_xlpm.baseRow,$E483="&lt;6in DSH for Tree Points",OR($D483&gt;=6,$D483="")),
Error!$B$8,
IF(AND(_xlpm.baseRow,$E483="Street Tree for Green Factor",$F483&lt;&gt;"",$F483&lt;&gt;"Retain"),
Error!$B$14,
IF(AND($E483="&lt;6in DSH for Tree Points",$F483="Retain",$H483&lt;&gt;"",ISNA(MATCH($H483,Tables!$B$174:$B$174,0))),
Error!$B$15,
IF(AND($E483="Street Tree for Green Factor",$F483="Retain",$H483&lt;&gt;"",$H483&lt;&gt;"Zoning: Green Factor"),
Error!$B$15,
IF(AND($E483="ECA / Shoreline Tree",$F483="Remove",$H483&lt;&gt;"",ISNA(MATCH($H483,Tables!$B$189:$B$190,0))),
Error!$B$15,
IF(AND($E483="ECA / Shoreline Tree",$F483="Retain",$H483&lt;&gt;"",ISNA(MATCH($H483,Tables!$B$184:$B$186,0))),
Error!$B$15,
IF(AND($E483="Tier 4",$F483="Remove",$H483&lt;&gt;"",ISNA(MATCH($H483,Tables!$B$171,0))),
Error!$B$15,
IF(AND($E483="Tier 4",$F483="Retain",$H483&lt;&gt;"",ISNA(MATCH($H483,Tables!$B$166:$B$168,0))),
Error!$B$15,
IF(AND($E483="Tier 3",$F483="Retain",$H483&lt;&gt;"",ISNA(MATCH($H483,Tables!$B$158:$B$160,0))),
Error!$B$15,
IF(AND($E483="Tier 3",$F483="Remove",$H483&lt;&gt;"",ISNA(MATCH($H483,Tables!$B$163,0))),
Error!$B$15,
IF(AND(OR($E483="Tier 2",$E483="Tier 2 Grove"),$F483="Remove",$H483&lt;&gt;"",ISNA(MATCH($H483,Tables!$B$153:$B$155,0))),
Error!$B$15,
IF(AND(OR($E483="Tier 2",$E483="Tier 2 Grove"),$F483="Retain",$H483&lt;&gt;"",ISNA(MATCH($H483,Tables!$B$147:$B$150,0))),
Error!$B$15,
IF(AND($E483="Tier 1",$F483="Remove",$H483&lt;&gt;"",ISNA(MATCH($H483,Tables!$B$143:$B$144,0))),
Error!$B$15,
IF(AND($E483="Tier 1",$F483="Retain",$H483&lt;&gt;"",ISNA(MATCH($H483,Tables!$B$137:$B$140,0))),
Error!$B$15,
IF(AND($E483&lt;&gt;"Tier 2",$E483&lt;&gt;"Tier 2 Grove",$E483&lt;&gt;"Tier 3",$E483&lt;&gt;"Tier 4",$H483="Zoning: Green Factor",OR($D483="",$D483&lt;6)),
Error!$B$11,
IF(AND(_xlpm.baseRow,$D483&lt;6,$E483="&lt;6in DSH for Tree Points",_xlpm.TreePoints_H=0),
Error!$B$21,
IF(AND(_xlpm.baseRow,$E483&lt;&gt;"",$D483&lt;&gt;"",$F483=""),
Error!$B$4,
IF(AND(_xlpm.baseRow,$F483="Remove",OR($E483="Tier 1",$E483="Tier 2",$E483="Tier 2 Grove"),COUNTBLANK(_xlpm.HRange)&lt;3,_xlpm.uniqueH&gt;=2),
Error!$B$48,
IF(AND(_xlpm.baseRow,$F483="Retain",OR($E483="Tier 1",$E483="Tier 2",$E483="Tier 2 Grove"),COUNTIF(_xlpm.HRange,"Tree Code: Required to Retain Tier 1-2 Tree")=0),
Error!$B$47,
IF(AND(_xlpm.baseRow,$E483&lt;&gt;"",$D483&lt;&gt;"",$F483&lt;&gt;"",COUNTBLANK(_xlpm.HRange)=4),
Error!$B$5,
IF(AND($F483="Remove",$H483&lt;&gt;"",$I483=""),
Error!$B$18,
IF(AND($E483="Tier 4",$F483="Remove",$H483="Tree Protection Code: Tier 3 or Tier 4 Allowance",$H483&lt;&gt;"",ISNA(MATCH($I483,Tables!$B$200,0))),
Error!$B$17,
IF(AND($E483="Tier 3",$F483="Remove",$H483&lt;&gt;"",$H483="Tree Protection Code: Tier 3 or Tier 4 Allowance",OR($I483="",ISNA(MATCH($I483,Tables!$B$193:$B$197,0)))),
Error!$B$17,
IF(AND(OR($E483="Tier 2",$E483="Tier 2 Grove"),$F483="Remove",$H483="Tree Protection Code: Other removal allowance or exemption",$I483&lt;&gt;"",ISNA(MATCH($I483,Tables!$B$215:$B$218,0))),
Error!$B$17,
IF(AND(OR($E483="Tier 2",$E483="Tier 2 Grove"),$F483="Remove",$H483="Tree Protection Code: Development Capacity",$I483&lt;&gt;"",ISNA(MATCH($I483,Tables!$B$193:$B$197,0))),
Error!$B$17,
IF(AND(OR($E483="Tier 2",$E483="Tier 2 Grove"),$F483="Remove",$H483="Tree Protection Code: Necessary for Construction",$I483&lt;&gt;"",ISNA(MATCH($I483,Tables!$B$193:$B$197,0))),
Error!$B$17,
IF(AND($E483="Tier 1",$F483="Remove",$H483="Tree Protection Code: Special Exception",$I483&lt;&gt;"",ISNA(MATCH($I483,Tables!$B$215:$B$218,0))),
Error!$B$17,
IF(AND($E483="Tier 1",$F483="Remove",$H483="Tree Protection Code: Other removal allowance or exemption",$I483&lt;&gt;"",ISNA(MATCH($I483,Tables!$B$215:$B$218,0))),
Error!$B$17,
IF(AND($E483="ECA / Shoreline Tree",$F483="Remove",$H483&lt;&gt;"",OR($H483="Shoreline",$H483="Environmental Critical Area (ECA)"),ISNA(MATCH($I483,Tables!$B$209:$B$212,0))),
Error!$B$17,
IF(AND(_xlpm.baseRow,$F483="Retain",$E483="ECA / Shoreline Tree",_xlpm.ECA_Short=0),
Error!$B$61,
IF(AND($F483="Remove",ISNUMBER(MATCH($E483,{"Tier 1","Tier 2","Tier 3","Tier 4","Tier 2 Grove"},0)),ISNUMBER(MATCH($I483,{"On-site replacement","Off-site replacement"},0)),$J483="",$H483&lt;&gt;""),
Error!$B$19,
IF(AND(_xlpm.baseRow,$E483&lt;&gt;"",$D483&lt;&gt;"",$F483&lt;&gt;"",COUNTBLANK($B483:$C483)&gt;0,COUNTBLANK(_xlpm.HRange)&lt;&gt;4),
Error!$B$22,
IF(AND($H483="Zoning: Tree Points",$K483&lt;&gt;"",ISNA(MATCH($K483,Tables!$B$242:$B$253,0))),
Error!$B$58,
IF(AND($H483="Zoning: Tree Points",$K483="Small",$L483&lt;&gt;"",ISNA(MATCH($L483,Tables!$C$243:$C$244,0))),
Error!$B$59,
IF(AND($H483="Zoning: Tree Points",$K483="Small/Medium",$L483&lt;&gt;"",ISNA(MATCH($L483,Tables!$C$246:$C$247,0))),
Error!$B$59,
IF(AND($H483="Zoning: Tree Points",$K483="Medium/Large",$L483&lt;&gt;"",ISNA(MATCH($L483,Tables!$C$249:$C$250,0))),
Error!$B$59,
IF(AND($H483="Zoning: Tree Points",$K483="Large",$L483&lt;&gt;"",ISNA(MATCH($L483,Tables!$C$252:$C$253,0))),
Error!$B$59,
IF(AND($F483="Retain",$H483="Zoning: Tree Points",$C483&lt;&gt;"",$D483&lt;&gt;"",OR($K483="",$L483="",$M483="")),
Error!$B$20,
""
)))))))))))))))))))))))))))))))))))))))))))))))))))))))),
Error!$B$23))</f>
        <v/>
      </c>
      <c r="O483" s="343" t="str" cm="1">
        <f t="array" aca="1" ref="O483" ca="1">IFERROR(_xlfn.LET(
    _xlpm.txt, $C483,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84" spans="1:15" x14ac:dyDescent="0.3">
      <c r="A484" s="320"/>
      <c r="B484" s="616" t="str">
        <f t="shared" ref="B484:B486" si="553">IF($B483="", "", $B483)</f>
        <v/>
      </c>
      <c r="C484" s="617" t="str">
        <f t="shared" ref="C484:C486" si="554">IF($C483="", "", $C483)</f>
        <v/>
      </c>
      <c r="D484" s="618" t="str">
        <f t="shared" ref="D484:D486" si="555">IF($D483="", "", $D483)</f>
        <v/>
      </c>
      <c r="E484" s="616" t="str">
        <f t="shared" ref="E484:E486" si="556">IF($E483="", "", $E483)</f>
        <v/>
      </c>
      <c r="F484" s="616" t="str">
        <f t="shared" ref="F484:F486" si="557">IF($F483="", "", $F483)</f>
        <v/>
      </c>
      <c r="G484" s="619" t="str">
        <f>IF(Tree_Table1[[#This Row],[Tree Status  &amp;]]="Retain", Tables!$B$237, IF(Tree_Table1[[#This Row],[Tree Status  &amp;]]="Remove", Tables!$B$238, ""))</f>
        <v/>
      </c>
      <c r="H484" s="321"/>
      <c r="I484" s="322"/>
      <c r="J484" s="453"/>
      <c r="K484" s="323" t="str">
        <f>IFERROR(
    IF(
        AND($H484="Zoning: Tree Points", NOT(ISNUMBER(SEARCH("sp.", $C484)))),
        VLOOKUP($C484, 'Tree List'!$C$3:$F$601, 4, FALSE),
        ""
    ),
"")</f>
        <v/>
      </c>
      <c r="L484" s="324" t="str" cm="1">
        <f t="array" ref="L484">IFERROR(
IF(
    AND($H484="Zoning: Tree Points", NOT(ISNUMBER(SEARCH("sp.", $C484)))),
    _xlfn.IFS(
        (COUNTIFS('Tree List'!$C$3:$C$601,$C484,'Tree List'!$D$3:$D$601,"Coniferous")
        + COUNTIFS('Tree List'!$C$3:$C$601,$C484,'Tree List'!$D$3:$D$601,"Deciduous Conifer")) &gt; 0,
            _xlfn.IFS($K484="Small",0.5,$K484="Small/Medium",1,$K484="Medium/Large",1.4,$K484="Large",1.8),
        (COUNTIFS('Tree List'!$C$3:$C$601,$C484,'Tree List'!$D$3:$D$601,"Deciduous")
        + COUNTIFS('Tree List'!$C$3:$C$601,$C484,'Tree List'!$D$3:$D$601,"Broadleaf Evergreen")) &gt; 0,
            _xlfn.IFS($K484="Small",0.4,$K484="Small/Medium",0.8,$K484="Medium/Large",1.2,$K484="Large",1.6)
    ),
    ""
),
"")</f>
        <v/>
      </c>
      <c r="M484" s="475" t="str">
        <f t="shared" si="492"/>
        <v/>
      </c>
      <c r="N484" s="346" t="str" cm="1">
        <f t="array" aca="1" ref="N48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IF(AND(_xlpm.baseRow,ISNA(MATCH($C484,'Tree List'!$C$3:$C$601,0)),SUMPRODUCT(--ISNUMBER(SEARCH(Tables2!$C$677:$C$772,$O484)))&gt;0),
Error!$B$57,
IF(AND(_xlpm.hasDM,$F484="Remove",$H484&lt;&gt;"",OR($I484="On-site replacement",$I484="Off-site replacement",$I484="Payment In Lieu")),
Error!$B$56,
IF(AND(_xlpm.hasDM,$F484="Remove",$H484&lt;&gt;"",$I484="Relocation"),
Error!$B$66,
IF(AND(OR(_xlpm.hasCN,_xlpm.hasPH,_xlpm.hasGR),$H484&lt;&gt;"",COUNTIF(Tables!$B$132:$B$134,$H484)&gt;0,$I484="N/A (No replacement required)"),
Error!$B$62,
IF(AND(_xlpm.baseRow,$E484&lt;&gt;"",ISNA(MATCH($E484,Tables!$B$225:$B$232,0))),
Error!$B$2,
IF(AND(_xlpm.baseRow,$F484&lt;&gt;"",ISNA(MATCH($F484,Tables!$B$234:$B$235,0))),
Error!$B$24,
IF(AND(_xlpm.baseRow,_xlpm.ECA_H&gt;0,_xlpm.Shore_H&gt;0),
Error!$B$16,
IF(AND(_xlpm.baseRow,$E484&lt;&gt;"",$D484=""),
Error!$B$3,
IF(AND(_xlpm.baseRow,OR($E484="Tier 3",$E484="Tier 4"),$C484&lt;&gt;"",$D484&gt;=24,COUNTIF(Tables2!$B$166:$B$674,$C484)&gt;0),
Error!$B$44,
IF(AND(_xlpm.baseRow,OR($E484="Tier 3",$E484="Tier 4"),$C484&lt;&gt;"",$D484&lt;&gt;"",COUNTIF(Tables2!$B$73:$B$152,$C484)&gt;0,
$D484&gt;=IFERROR(INDEX(Tables2!$C$73:$C$152,MATCH($C484,Tables2!$B$73:$B$152,0)),-1)),
Error!$B$44,
IF(AND(_xlpm.baseRow,OR($E484="Tier 2",$E484="Tier 2 Grove"),$C484&lt;&gt;"",$D484&gt;=12,COUNTIF(Tables2!$B$153:$B$162,$C484)&gt;0),
Error!$B$45,
IF(AND(_xlpm.baseRow,$E484="Tier 2 Grove",$D484&lt;12),
Error!$B$41,
IF(AND(_xlpm.baseRow,$E484="Tier 2",$D484&lt;5.88),
Error!$B$40,
IF(AND(_xlpm.baseRow,OR($E484="Tier 2",$E484="Tier 2 Grove"),$C484&lt;&gt;"",$D484&lt;12,$D484&gt;=6,COUNTIF(Tables2!$B$153:$B$162,$C484)&gt;0),
Error!$B$54,
IF(AND(_xlpm.baseRow,$E484="Tier 2",COUNTIF(Tables2!$B$166:$B$674,$C484)&gt;0,$D484&lt;24),
Error!$B$54,
IF(AND(_xlpm.baseRow,$E484="Tier 3",ISNA(MATCH($C484,Tables2!$B$153:$B$162,0)),OR($D484&lt;12,$D484&gt;=24)),
Error!$B$9,
IF(AND(_xlpm.baseRow,$E484="Tier 3",COUNTIF(Tables2!$B$153:$B$162,$C484)&gt;0,$D484&lt;12),
Error!$B$46,
IF(AND(_xlpm.baseRow,$E484="Tier 4",OR($D484&lt;6,$D484&gt;=12)),
Error!$B$10,
IF(AND(_xlpm.baseRow,$E484="&lt;6in DSH for Tree Points",OR($D484&gt;=6,$D484="")),
Error!$B$8,
IF(AND(_xlpm.baseRow,$E484="Street Tree for Green Factor",$F484&lt;&gt;"",$F484&lt;&gt;"Retain"),
Error!$B$14,
IF(AND($E484="&lt;6in DSH for Tree Points",$F484="Retain",$H484&lt;&gt;"",ISNA(MATCH($H484,Tables!$B$174:$B$174,0))),
Error!$B$15,
IF(AND($E484="Street Tree for Green Factor",$F484="Retain",$H484&lt;&gt;"",$H484&lt;&gt;"Zoning: Green Factor"),
Error!$B$15,
IF(AND($E484="ECA / Shoreline Tree",$F484="Remove",$H484&lt;&gt;"",ISNA(MATCH($H484,Tables!$B$189:$B$190,0))),
Error!$B$15,
IF(AND($E484="ECA / Shoreline Tree",$F484="Retain",$H484&lt;&gt;"",ISNA(MATCH($H484,Tables!$B$184:$B$186,0))),
Error!$B$15,
IF(AND($E484="Tier 4",$F484="Remove",$H484&lt;&gt;"",ISNA(MATCH($H484,Tables!$B$171,0))),
Error!$B$15,
IF(AND($E484="Tier 4",$F484="Retain",$H484&lt;&gt;"",ISNA(MATCH($H484,Tables!$B$166:$B$168,0))),
Error!$B$15,
IF(AND($E484="Tier 3",$F484="Retain",$H484&lt;&gt;"",ISNA(MATCH($H484,Tables!$B$158:$B$160,0))),
Error!$B$15,
IF(AND($E484="Tier 3",$F484="Remove",$H484&lt;&gt;"",ISNA(MATCH($H484,Tables!$B$163,0))),
Error!$B$15,
IF(AND(OR($E484="Tier 2",$E484="Tier 2 Grove"),$F484="Remove",$H484&lt;&gt;"",ISNA(MATCH($H484,Tables!$B$153:$B$155,0))),
Error!$B$15,
IF(AND(OR($E484="Tier 2",$E484="Tier 2 Grove"),$F484="Retain",$H484&lt;&gt;"",ISNA(MATCH($H484,Tables!$B$147:$B$150,0))),
Error!$B$15,
IF(AND($E484="Tier 1",$F484="Remove",$H484&lt;&gt;"",ISNA(MATCH($H484,Tables!$B$143:$B$144,0))),
Error!$B$15,
IF(AND($E484="Tier 1",$F484="Retain",$H484&lt;&gt;"",ISNA(MATCH($H484,Tables!$B$137:$B$140,0))),
Error!$B$15,
IF(AND($E484&lt;&gt;"Tier 2",$E484&lt;&gt;"Tier 2 Grove",$E484&lt;&gt;"Tier 3",$E484&lt;&gt;"Tier 4",$H484="Zoning: Green Factor",OR($D484="",$D484&lt;6)),
Error!$B$11,
IF(AND(_xlpm.baseRow,$D484&lt;6,$E484="&lt;6in DSH for Tree Points",_xlpm.TreePoints_H=0),
Error!$B$21,
IF(AND(_xlpm.baseRow,$E484&lt;&gt;"",$D484&lt;&gt;"",$F484=""),
Error!$B$4,
IF(AND(_xlpm.baseRow,$F484="Remove",OR($E484="Tier 1",$E484="Tier 2",$E484="Tier 2 Grove"),COUNTBLANK(_xlpm.HRange)&lt;3,_xlpm.uniqueH&gt;=2),
Error!$B$48,
IF(AND(_xlpm.baseRow,$F484="Retain",OR($E484="Tier 1",$E484="Tier 2",$E484="Tier 2 Grove"),COUNTIF(_xlpm.HRange,"Tree Code: Required to Retain Tier 1-2 Tree")=0),
Error!$B$47,
IF(AND(_xlpm.baseRow,$E484&lt;&gt;"",$D484&lt;&gt;"",$F484&lt;&gt;"",COUNTBLANK(_xlpm.HRange)=4),
Error!$B$5,
IF(AND($F484="Remove",$H484&lt;&gt;"",$I484=""),
Error!$B$18,
IF(AND($E484="Tier 4",$F484="Remove",$H484="Tree Protection Code: Tier 3 or Tier 4 Allowance",$H484&lt;&gt;"",ISNA(MATCH($I484,Tables!$B$200,0))),
Error!$B$17,
IF(AND($E484="Tier 3",$F484="Remove",$H484&lt;&gt;"",$H484="Tree Protection Code: Tier 3 or Tier 4 Allowance",OR($I484="",ISNA(MATCH($I484,Tables!$B$193:$B$197,0)))),
Error!$B$17,
IF(AND(OR($E484="Tier 2",$E484="Tier 2 Grove"),$F484="Remove",$H484="Tree Protection Code: Other removal allowance or exemption",$I484&lt;&gt;"",ISNA(MATCH($I484,Tables!$B$215:$B$218,0))),
Error!$B$17,
IF(AND(OR($E484="Tier 2",$E484="Tier 2 Grove"),$F484="Remove",$H484="Tree Protection Code: Development Capacity",$I484&lt;&gt;"",ISNA(MATCH($I484,Tables!$B$193:$B$197,0))),
Error!$B$17,
IF(AND(OR($E484="Tier 2",$E484="Tier 2 Grove"),$F484="Remove",$H484="Tree Protection Code: Necessary for Construction",$I484&lt;&gt;"",ISNA(MATCH($I484,Tables!$B$193:$B$197,0))),
Error!$B$17,
IF(AND($E484="Tier 1",$F484="Remove",$H484="Tree Protection Code: Special Exception",$I484&lt;&gt;"",ISNA(MATCH($I484,Tables!$B$215:$B$218,0))),
Error!$B$17,
IF(AND($E484="Tier 1",$F484="Remove",$H484="Tree Protection Code: Other removal allowance or exemption",$I484&lt;&gt;"",ISNA(MATCH($I484,Tables!$B$215:$B$218,0))),
Error!$B$17,
IF(AND($E484="ECA / Shoreline Tree",$F484="Remove",$H484&lt;&gt;"",OR($H484="Shoreline",$H484="Environmental Critical Area (ECA)"),ISNA(MATCH($I484,Tables!$B$209:$B$212,0))),
Error!$B$17,
IF(AND(_xlpm.baseRow,$F484="Retain",$E484="ECA / Shoreline Tree",_xlpm.ECA_Short=0),
Error!$B$61,
IF(AND($F484="Remove",ISNUMBER(MATCH($E484,{"Tier 1","Tier 2","Tier 3","Tier 4","Tier 2 Grove"},0)),ISNUMBER(MATCH($I484,{"On-site replacement","Off-site replacement"},0)),$J484="",$H484&lt;&gt;""),
Error!$B$19,
IF(AND(_xlpm.baseRow,$E484&lt;&gt;"",$D484&lt;&gt;"",$F484&lt;&gt;"",COUNTBLANK($B484:$C484)&gt;0,COUNTBLANK(_xlpm.HRange)&lt;&gt;4),
Error!$B$22,
IF(AND($H484="Zoning: Tree Points",$K484&lt;&gt;"",ISNA(MATCH($K484,Tables!$B$242:$B$253,0))),
Error!$B$58,
IF(AND($H484="Zoning: Tree Points",$K484="Small",$L484&lt;&gt;"",ISNA(MATCH($L484,Tables!$C$243:$C$244,0))),
Error!$B$59,
IF(AND($H484="Zoning: Tree Points",$K484="Small/Medium",$L484&lt;&gt;"",ISNA(MATCH($L484,Tables!$C$246:$C$247,0))),
Error!$B$59,
IF(AND($H484="Zoning: Tree Points",$K484="Medium/Large",$L484&lt;&gt;"",ISNA(MATCH($L484,Tables!$C$249:$C$250,0))),
Error!$B$59,
IF(AND($H484="Zoning: Tree Points",$K484="Large",$L484&lt;&gt;"",ISNA(MATCH($L484,Tables!$C$252:$C$253,0))),
Error!$B$59,
IF(AND($F484="Retain",$H484="Zoning: Tree Points",$C484&lt;&gt;"",$D484&lt;&gt;"",OR($K484="",$L484="",$M484="")),
Error!$B$20,
""
)))))))))))))))))))))))))))))))))))))))))))))))))))))))),
Error!$B$23))</f>
        <v/>
      </c>
      <c r="O484" s="343" t="str" cm="1">
        <f t="array" aca="1" ref="O484" ca="1">IFERROR(_xlfn.LET(
    _xlpm.txt, $C484,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85" spans="1:15" x14ac:dyDescent="0.3">
      <c r="A485" s="320"/>
      <c r="B485" s="616" t="str">
        <f t="shared" si="553"/>
        <v/>
      </c>
      <c r="C485" s="617" t="str">
        <f t="shared" si="554"/>
        <v/>
      </c>
      <c r="D485" s="618" t="str">
        <f t="shared" si="555"/>
        <v/>
      </c>
      <c r="E485" s="616" t="str">
        <f t="shared" si="556"/>
        <v/>
      </c>
      <c r="F485" s="616" t="str">
        <f t="shared" si="557"/>
        <v/>
      </c>
      <c r="G485" s="619" t="str">
        <f>IF(Tree_Table1[[#This Row],[Tree Status  &amp;]]="Retain", Tables!$B$237, IF(Tree_Table1[[#This Row],[Tree Status  &amp;]]="Remove", Tables!$B$238, ""))</f>
        <v/>
      </c>
      <c r="H485" s="321"/>
      <c r="I485" s="322"/>
      <c r="J485" s="453"/>
      <c r="K485" s="323" t="str">
        <f>IFERROR(
    IF(
        AND($H485="Zoning: Tree Points", NOT(ISNUMBER(SEARCH("sp.", $C485)))),
        VLOOKUP($C485, 'Tree List'!$C$3:$F$601, 4, FALSE),
        ""
    ),
"")</f>
        <v/>
      </c>
      <c r="L485" s="324" t="str" cm="1">
        <f t="array" ref="L485">IFERROR(
IF(
    AND($H485="Zoning: Tree Points", NOT(ISNUMBER(SEARCH("sp.", $C485)))),
    _xlfn.IFS(
        (COUNTIFS('Tree List'!$C$3:$C$601,$C485,'Tree List'!$D$3:$D$601,"Coniferous")
        + COUNTIFS('Tree List'!$C$3:$C$601,$C485,'Tree List'!$D$3:$D$601,"Deciduous Conifer")) &gt; 0,
            _xlfn.IFS($K485="Small",0.5,$K485="Small/Medium",1,$K485="Medium/Large",1.4,$K485="Large",1.8),
        (COUNTIFS('Tree List'!$C$3:$C$601,$C485,'Tree List'!$D$3:$D$601,"Deciduous")
        + COUNTIFS('Tree List'!$C$3:$C$601,$C485,'Tree List'!$D$3:$D$601,"Broadleaf Evergreen")) &gt; 0,
            _xlfn.IFS($K485="Small",0.4,$K485="Small/Medium",0.8,$K485="Medium/Large",1.2,$K485="Large",1.6)
    ),
    ""
),
"")</f>
        <v/>
      </c>
      <c r="M485" s="475" t="str">
        <f t="shared" si="492"/>
        <v/>
      </c>
      <c r="N485" s="346" t="str" cm="1">
        <f t="array" aca="1" ref="N48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IF(AND(_xlpm.baseRow,ISNA(MATCH($C485,'Tree List'!$C$3:$C$601,0)),SUMPRODUCT(--ISNUMBER(SEARCH(Tables2!$C$677:$C$772,$O485)))&gt;0),
Error!$B$57,
IF(AND(_xlpm.hasDM,$F485="Remove",$H485&lt;&gt;"",OR($I485="On-site replacement",$I485="Off-site replacement",$I485="Payment In Lieu")),
Error!$B$56,
IF(AND(_xlpm.hasDM,$F485="Remove",$H485&lt;&gt;"",$I485="Relocation"),
Error!$B$66,
IF(AND(OR(_xlpm.hasCN,_xlpm.hasPH,_xlpm.hasGR),$H485&lt;&gt;"",COUNTIF(Tables!$B$132:$B$134,$H485)&gt;0,$I485="N/A (No replacement required)"),
Error!$B$62,
IF(AND(_xlpm.baseRow,$E485&lt;&gt;"",ISNA(MATCH($E485,Tables!$B$225:$B$232,0))),
Error!$B$2,
IF(AND(_xlpm.baseRow,$F485&lt;&gt;"",ISNA(MATCH($F485,Tables!$B$234:$B$235,0))),
Error!$B$24,
IF(AND(_xlpm.baseRow,_xlpm.ECA_H&gt;0,_xlpm.Shore_H&gt;0),
Error!$B$16,
IF(AND(_xlpm.baseRow,$E485&lt;&gt;"",$D485=""),
Error!$B$3,
IF(AND(_xlpm.baseRow,OR($E485="Tier 3",$E485="Tier 4"),$C485&lt;&gt;"",$D485&gt;=24,COUNTIF(Tables2!$B$166:$B$674,$C485)&gt;0),
Error!$B$44,
IF(AND(_xlpm.baseRow,OR($E485="Tier 3",$E485="Tier 4"),$C485&lt;&gt;"",$D485&lt;&gt;"",COUNTIF(Tables2!$B$73:$B$152,$C485)&gt;0,
$D485&gt;=IFERROR(INDEX(Tables2!$C$73:$C$152,MATCH($C485,Tables2!$B$73:$B$152,0)),-1)),
Error!$B$44,
IF(AND(_xlpm.baseRow,OR($E485="Tier 2",$E485="Tier 2 Grove"),$C485&lt;&gt;"",$D485&gt;=12,COUNTIF(Tables2!$B$153:$B$162,$C485)&gt;0),
Error!$B$45,
IF(AND(_xlpm.baseRow,$E485="Tier 2 Grove",$D485&lt;12),
Error!$B$41,
IF(AND(_xlpm.baseRow,$E485="Tier 2",$D485&lt;5.88),
Error!$B$40,
IF(AND(_xlpm.baseRow,OR($E485="Tier 2",$E485="Tier 2 Grove"),$C485&lt;&gt;"",$D485&lt;12,$D485&gt;=6,COUNTIF(Tables2!$B$153:$B$162,$C485)&gt;0),
Error!$B$54,
IF(AND(_xlpm.baseRow,$E485="Tier 2",COUNTIF(Tables2!$B$166:$B$674,$C485)&gt;0,$D485&lt;24),
Error!$B$54,
IF(AND(_xlpm.baseRow,$E485="Tier 3",ISNA(MATCH($C485,Tables2!$B$153:$B$162,0)),OR($D485&lt;12,$D485&gt;=24)),
Error!$B$9,
IF(AND(_xlpm.baseRow,$E485="Tier 3",COUNTIF(Tables2!$B$153:$B$162,$C485)&gt;0,$D485&lt;12),
Error!$B$46,
IF(AND(_xlpm.baseRow,$E485="Tier 4",OR($D485&lt;6,$D485&gt;=12)),
Error!$B$10,
IF(AND(_xlpm.baseRow,$E485="&lt;6in DSH for Tree Points",OR($D485&gt;=6,$D485="")),
Error!$B$8,
IF(AND(_xlpm.baseRow,$E485="Street Tree for Green Factor",$F485&lt;&gt;"",$F485&lt;&gt;"Retain"),
Error!$B$14,
IF(AND($E485="&lt;6in DSH for Tree Points",$F485="Retain",$H485&lt;&gt;"",ISNA(MATCH($H485,Tables!$B$174:$B$174,0))),
Error!$B$15,
IF(AND($E485="Street Tree for Green Factor",$F485="Retain",$H485&lt;&gt;"",$H485&lt;&gt;"Zoning: Green Factor"),
Error!$B$15,
IF(AND($E485="ECA / Shoreline Tree",$F485="Remove",$H485&lt;&gt;"",ISNA(MATCH($H485,Tables!$B$189:$B$190,0))),
Error!$B$15,
IF(AND($E485="ECA / Shoreline Tree",$F485="Retain",$H485&lt;&gt;"",ISNA(MATCH($H485,Tables!$B$184:$B$186,0))),
Error!$B$15,
IF(AND($E485="Tier 4",$F485="Remove",$H485&lt;&gt;"",ISNA(MATCH($H485,Tables!$B$171,0))),
Error!$B$15,
IF(AND($E485="Tier 4",$F485="Retain",$H485&lt;&gt;"",ISNA(MATCH($H485,Tables!$B$166:$B$168,0))),
Error!$B$15,
IF(AND($E485="Tier 3",$F485="Retain",$H485&lt;&gt;"",ISNA(MATCH($H485,Tables!$B$158:$B$160,0))),
Error!$B$15,
IF(AND($E485="Tier 3",$F485="Remove",$H485&lt;&gt;"",ISNA(MATCH($H485,Tables!$B$163,0))),
Error!$B$15,
IF(AND(OR($E485="Tier 2",$E485="Tier 2 Grove"),$F485="Remove",$H485&lt;&gt;"",ISNA(MATCH($H485,Tables!$B$153:$B$155,0))),
Error!$B$15,
IF(AND(OR($E485="Tier 2",$E485="Tier 2 Grove"),$F485="Retain",$H485&lt;&gt;"",ISNA(MATCH($H485,Tables!$B$147:$B$150,0))),
Error!$B$15,
IF(AND($E485="Tier 1",$F485="Remove",$H485&lt;&gt;"",ISNA(MATCH($H485,Tables!$B$143:$B$144,0))),
Error!$B$15,
IF(AND($E485="Tier 1",$F485="Retain",$H485&lt;&gt;"",ISNA(MATCH($H485,Tables!$B$137:$B$140,0))),
Error!$B$15,
IF(AND($E485&lt;&gt;"Tier 2",$E485&lt;&gt;"Tier 2 Grove",$E485&lt;&gt;"Tier 3",$E485&lt;&gt;"Tier 4",$H485="Zoning: Green Factor",OR($D485="",$D485&lt;6)),
Error!$B$11,
IF(AND(_xlpm.baseRow,$D485&lt;6,$E485="&lt;6in DSH for Tree Points",_xlpm.TreePoints_H=0),
Error!$B$21,
IF(AND(_xlpm.baseRow,$E485&lt;&gt;"",$D485&lt;&gt;"",$F485=""),
Error!$B$4,
IF(AND(_xlpm.baseRow,$F485="Remove",OR($E485="Tier 1",$E485="Tier 2",$E485="Tier 2 Grove"),COUNTBLANK(_xlpm.HRange)&lt;3,_xlpm.uniqueH&gt;=2),
Error!$B$48,
IF(AND(_xlpm.baseRow,$F485="Retain",OR($E485="Tier 1",$E485="Tier 2",$E485="Tier 2 Grove"),COUNTIF(_xlpm.HRange,"Tree Code: Required to Retain Tier 1-2 Tree")=0),
Error!$B$47,
IF(AND(_xlpm.baseRow,$E485&lt;&gt;"",$D485&lt;&gt;"",$F485&lt;&gt;"",COUNTBLANK(_xlpm.HRange)=4),
Error!$B$5,
IF(AND($F485="Remove",$H485&lt;&gt;"",$I485=""),
Error!$B$18,
IF(AND($E485="Tier 4",$F485="Remove",$H485="Tree Protection Code: Tier 3 or Tier 4 Allowance",$H485&lt;&gt;"",ISNA(MATCH($I485,Tables!$B$200,0))),
Error!$B$17,
IF(AND($E485="Tier 3",$F485="Remove",$H485&lt;&gt;"",$H485="Tree Protection Code: Tier 3 or Tier 4 Allowance",OR($I485="",ISNA(MATCH($I485,Tables!$B$193:$B$197,0)))),
Error!$B$17,
IF(AND(OR($E485="Tier 2",$E485="Tier 2 Grove"),$F485="Remove",$H485="Tree Protection Code: Other removal allowance or exemption",$I485&lt;&gt;"",ISNA(MATCH($I485,Tables!$B$215:$B$218,0))),
Error!$B$17,
IF(AND(OR($E485="Tier 2",$E485="Tier 2 Grove"),$F485="Remove",$H485="Tree Protection Code: Development Capacity",$I485&lt;&gt;"",ISNA(MATCH($I485,Tables!$B$193:$B$197,0))),
Error!$B$17,
IF(AND(OR($E485="Tier 2",$E485="Tier 2 Grove"),$F485="Remove",$H485="Tree Protection Code: Necessary for Construction",$I485&lt;&gt;"",ISNA(MATCH($I485,Tables!$B$193:$B$197,0))),
Error!$B$17,
IF(AND($E485="Tier 1",$F485="Remove",$H485="Tree Protection Code: Special Exception",$I485&lt;&gt;"",ISNA(MATCH($I485,Tables!$B$215:$B$218,0))),
Error!$B$17,
IF(AND($E485="Tier 1",$F485="Remove",$H485="Tree Protection Code: Other removal allowance or exemption",$I485&lt;&gt;"",ISNA(MATCH($I485,Tables!$B$215:$B$218,0))),
Error!$B$17,
IF(AND($E485="ECA / Shoreline Tree",$F485="Remove",$H485&lt;&gt;"",OR($H485="Shoreline",$H485="Environmental Critical Area (ECA)"),ISNA(MATCH($I485,Tables!$B$209:$B$212,0))),
Error!$B$17,
IF(AND(_xlpm.baseRow,$F485="Retain",$E485="ECA / Shoreline Tree",_xlpm.ECA_Short=0),
Error!$B$61,
IF(AND($F485="Remove",ISNUMBER(MATCH($E485,{"Tier 1","Tier 2","Tier 3","Tier 4","Tier 2 Grove"},0)),ISNUMBER(MATCH($I485,{"On-site replacement","Off-site replacement"},0)),$J485="",$H485&lt;&gt;""),
Error!$B$19,
IF(AND(_xlpm.baseRow,$E485&lt;&gt;"",$D485&lt;&gt;"",$F485&lt;&gt;"",COUNTBLANK($B485:$C485)&gt;0,COUNTBLANK(_xlpm.HRange)&lt;&gt;4),
Error!$B$22,
IF(AND($H485="Zoning: Tree Points",$K485&lt;&gt;"",ISNA(MATCH($K485,Tables!$B$242:$B$253,0))),
Error!$B$58,
IF(AND($H485="Zoning: Tree Points",$K485="Small",$L485&lt;&gt;"",ISNA(MATCH($L485,Tables!$C$243:$C$244,0))),
Error!$B$59,
IF(AND($H485="Zoning: Tree Points",$K485="Small/Medium",$L485&lt;&gt;"",ISNA(MATCH($L485,Tables!$C$246:$C$247,0))),
Error!$B$59,
IF(AND($H485="Zoning: Tree Points",$K485="Medium/Large",$L485&lt;&gt;"",ISNA(MATCH($L485,Tables!$C$249:$C$250,0))),
Error!$B$59,
IF(AND($H485="Zoning: Tree Points",$K485="Large",$L485&lt;&gt;"",ISNA(MATCH($L485,Tables!$C$252:$C$253,0))),
Error!$B$59,
IF(AND($F485="Retain",$H485="Zoning: Tree Points",$C485&lt;&gt;"",$D485&lt;&gt;"",OR($K485="",$L485="",$M485="")),
Error!$B$20,
""
)))))))))))))))))))))))))))))))))))))))))))))))))))))))),
Error!$B$23))</f>
        <v/>
      </c>
      <c r="O485" s="343" t="str" cm="1">
        <f t="array" aca="1" ref="O485" ca="1">IFERROR(_xlfn.LET(
    _xlpm.txt, $C485,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86" spans="1:15" ht="15" thickBot="1" x14ac:dyDescent="0.35">
      <c r="A486" s="331"/>
      <c r="B486" s="616" t="str">
        <f t="shared" si="553"/>
        <v/>
      </c>
      <c r="C486" s="617" t="str">
        <f t="shared" si="554"/>
        <v/>
      </c>
      <c r="D486" s="618" t="str">
        <f t="shared" si="555"/>
        <v/>
      </c>
      <c r="E486" s="616" t="str">
        <f t="shared" si="556"/>
        <v/>
      </c>
      <c r="F486" s="616" t="str">
        <f t="shared" si="557"/>
        <v/>
      </c>
      <c r="G486" s="619" t="str">
        <f>IF(Tree_Table1[[#This Row],[Tree Status  &amp;]]="Retain", Tables!$B$237, IF(Tree_Table1[[#This Row],[Tree Status  &amp;]]="Remove", Tables!$B$238, ""))</f>
        <v/>
      </c>
      <c r="H486" s="329"/>
      <c r="I486" s="330"/>
      <c r="J486" s="455"/>
      <c r="K486" s="327" t="str">
        <f>IFERROR(
    IF(
        AND($H486="Zoning: Tree Points", NOT(ISNUMBER(SEARCH("sp.", $C486)))),
        VLOOKUP($C486, 'Tree List'!$C$3:$F$601, 4, FALSE),
        ""
    ),
"")</f>
        <v/>
      </c>
      <c r="L486" s="328" t="str" cm="1">
        <f t="array" ref="L486">IFERROR(
IF(
    AND($H486="Zoning: Tree Points", NOT(ISNUMBER(SEARCH("sp.", $C486)))),
    _xlfn.IFS(
        (COUNTIFS('Tree List'!$C$3:$C$601,$C486,'Tree List'!$D$3:$D$601,"Coniferous")
        + COUNTIFS('Tree List'!$C$3:$C$601,$C486,'Tree List'!$D$3:$D$601,"Deciduous Conifer")) &gt; 0,
            _xlfn.IFS($K486="Small",0.5,$K486="Small/Medium",1,$K486="Medium/Large",1.4,$K486="Large",1.8),
        (COUNTIFS('Tree List'!$C$3:$C$601,$C486,'Tree List'!$D$3:$D$601,"Deciduous")
        + COUNTIFS('Tree List'!$C$3:$C$601,$C486,'Tree List'!$D$3:$D$601,"Broadleaf Evergreen")) &gt; 0,
            _xlfn.IFS($K486="Small",0.4,$K486="Small/Medium",0.8,$K486="Medium/Large",1.2,$K486="Large",1.6)
    ),
    ""
),
"")</f>
        <v/>
      </c>
      <c r="M486" s="476" t="str">
        <f t="shared" si="492"/>
        <v/>
      </c>
      <c r="N486" s="347" t="str" cm="1">
        <f t="array" aca="1" ref="N48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IF(AND(_xlpm.baseRow,ISNA(MATCH($C486,'Tree List'!$C$3:$C$601,0)),SUMPRODUCT(--ISNUMBER(SEARCH(Tables2!$C$677:$C$772,$O486)))&gt;0),
Error!$B$57,
IF(AND(_xlpm.hasDM,$F486="Remove",$H486&lt;&gt;"",OR($I486="On-site replacement",$I486="Off-site replacement",$I486="Payment In Lieu")),
Error!$B$56,
IF(AND(_xlpm.hasDM,$F486="Remove",$H486&lt;&gt;"",$I486="Relocation"),
Error!$B$66,
IF(AND(OR(_xlpm.hasCN,_xlpm.hasPH,_xlpm.hasGR),$H486&lt;&gt;"",COUNTIF(Tables!$B$132:$B$134,$H486)&gt;0,$I486="N/A (No replacement required)"),
Error!$B$62,
IF(AND(_xlpm.baseRow,$E486&lt;&gt;"",ISNA(MATCH($E486,Tables!$B$225:$B$232,0))),
Error!$B$2,
IF(AND(_xlpm.baseRow,$F486&lt;&gt;"",ISNA(MATCH($F486,Tables!$B$234:$B$235,0))),
Error!$B$24,
IF(AND(_xlpm.baseRow,_xlpm.ECA_H&gt;0,_xlpm.Shore_H&gt;0),
Error!$B$16,
IF(AND(_xlpm.baseRow,$E486&lt;&gt;"",$D486=""),
Error!$B$3,
IF(AND(_xlpm.baseRow,OR($E486="Tier 3",$E486="Tier 4"),$C486&lt;&gt;"",$D486&gt;=24,COUNTIF(Tables2!$B$166:$B$674,$C486)&gt;0),
Error!$B$44,
IF(AND(_xlpm.baseRow,OR($E486="Tier 3",$E486="Tier 4"),$C486&lt;&gt;"",$D486&lt;&gt;"",COUNTIF(Tables2!$B$73:$B$152,$C486)&gt;0,
$D486&gt;=IFERROR(INDEX(Tables2!$C$73:$C$152,MATCH($C486,Tables2!$B$73:$B$152,0)),-1)),
Error!$B$44,
IF(AND(_xlpm.baseRow,OR($E486="Tier 2",$E486="Tier 2 Grove"),$C486&lt;&gt;"",$D486&gt;=12,COUNTIF(Tables2!$B$153:$B$162,$C486)&gt;0),
Error!$B$45,
IF(AND(_xlpm.baseRow,$E486="Tier 2 Grove",$D486&lt;12),
Error!$B$41,
IF(AND(_xlpm.baseRow,$E486="Tier 2",$D486&lt;5.88),
Error!$B$40,
IF(AND(_xlpm.baseRow,OR($E486="Tier 2",$E486="Tier 2 Grove"),$C486&lt;&gt;"",$D486&lt;12,$D486&gt;=6,COUNTIF(Tables2!$B$153:$B$162,$C486)&gt;0),
Error!$B$54,
IF(AND(_xlpm.baseRow,$E486="Tier 2",COUNTIF(Tables2!$B$166:$B$674,$C486)&gt;0,$D486&lt;24),
Error!$B$54,
IF(AND(_xlpm.baseRow,$E486="Tier 3",ISNA(MATCH($C486,Tables2!$B$153:$B$162,0)),OR($D486&lt;12,$D486&gt;=24)),
Error!$B$9,
IF(AND(_xlpm.baseRow,$E486="Tier 3",COUNTIF(Tables2!$B$153:$B$162,$C486)&gt;0,$D486&lt;12),
Error!$B$46,
IF(AND(_xlpm.baseRow,$E486="Tier 4",OR($D486&lt;6,$D486&gt;=12)),
Error!$B$10,
IF(AND(_xlpm.baseRow,$E486="&lt;6in DSH for Tree Points",OR($D486&gt;=6,$D486="")),
Error!$B$8,
IF(AND(_xlpm.baseRow,$E486="Street Tree for Green Factor",$F486&lt;&gt;"",$F486&lt;&gt;"Retain"),
Error!$B$14,
IF(AND($E486="&lt;6in DSH for Tree Points",$F486="Retain",$H486&lt;&gt;"",ISNA(MATCH($H486,Tables!$B$174:$B$174,0))),
Error!$B$15,
IF(AND($E486="Street Tree for Green Factor",$F486="Retain",$H486&lt;&gt;"",$H486&lt;&gt;"Zoning: Green Factor"),
Error!$B$15,
IF(AND($E486="ECA / Shoreline Tree",$F486="Remove",$H486&lt;&gt;"",ISNA(MATCH($H486,Tables!$B$189:$B$190,0))),
Error!$B$15,
IF(AND($E486="ECA / Shoreline Tree",$F486="Retain",$H486&lt;&gt;"",ISNA(MATCH($H486,Tables!$B$184:$B$186,0))),
Error!$B$15,
IF(AND($E486="Tier 4",$F486="Remove",$H486&lt;&gt;"",ISNA(MATCH($H486,Tables!$B$171,0))),
Error!$B$15,
IF(AND($E486="Tier 4",$F486="Retain",$H486&lt;&gt;"",ISNA(MATCH($H486,Tables!$B$166:$B$168,0))),
Error!$B$15,
IF(AND($E486="Tier 3",$F486="Retain",$H486&lt;&gt;"",ISNA(MATCH($H486,Tables!$B$158:$B$160,0))),
Error!$B$15,
IF(AND($E486="Tier 3",$F486="Remove",$H486&lt;&gt;"",ISNA(MATCH($H486,Tables!$B$163,0))),
Error!$B$15,
IF(AND(OR($E486="Tier 2",$E486="Tier 2 Grove"),$F486="Remove",$H486&lt;&gt;"",ISNA(MATCH($H486,Tables!$B$153:$B$155,0))),
Error!$B$15,
IF(AND(OR($E486="Tier 2",$E486="Tier 2 Grove"),$F486="Retain",$H486&lt;&gt;"",ISNA(MATCH($H486,Tables!$B$147:$B$150,0))),
Error!$B$15,
IF(AND($E486="Tier 1",$F486="Remove",$H486&lt;&gt;"",ISNA(MATCH($H486,Tables!$B$143:$B$144,0))),
Error!$B$15,
IF(AND($E486="Tier 1",$F486="Retain",$H486&lt;&gt;"",ISNA(MATCH($H486,Tables!$B$137:$B$140,0))),
Error!$B$15,
IF(AND($E486&lt;&gt;"Tier 2",$E486&lt;&gt;"Tier 2 Grove",$E486&lt;&gt;"Tier 3",$E486&lt;&gt;"Tier 4",$H486="Zoning: Green Factor",OR($D486="",$D486&lt;6)),
Error!$B$11,
IF(AND(_xlpm.baseRow,$D486&lt;6,$E486="&lt;6in DSH for Tree Points",_xlpm.TreePoints_H=0),
Error!$B$21,
IF(AND(_xlpm.baseRow,$E486&lt;&gt;"",$D486&lt;&gt;"",$F486=""),
Error!$B$4,
IF(AND(_xlpm.baseRow,$F486="Remove",OR($E486="Tier 1",$E486="Tier 2",$E486="Tier 2 Grove"),COUNTBLANK(_xlpm.HRange)&lt;3,_xlpm.uniqueH&gt;=2),
Error!$B$48,
IF(AND(_xlpm.baseRow,$F486="Retain",OR($E486="Tier 1",$E486="Tier 2",$E486="Tier 2 Grove"),COUNTIF(_xlpm.HRange,"Tree Code: Required to Retain Tier 1-2 Tree")=0),
Error!$B$47,
IF(AND(_xlpm.baseRow,$E486&lt;&gt;"",$D486&lt;&gt;"",$F486&lt;&gt;"",COUNTBLANK(_xlpm.HRange)=4),
Error!$B$5,
IF(AND($F486="Remove",$H486&lt;&gt;"",$I486=""),
Error!$B$18,
IF(AND($E486="Tier 4",$F486="Remove",$H486="Tree Protection Code: Tier 3 or Tier 4 Allowance",$H486&lt;&gt;"",ISNA(MATCH($I486,Tables!$B$200,0))),
Error!$B$17,
IF(AND($E486="Tier 3",$F486="Remove",$H486&lt;&gt;"",$H486="Tree Protection Code: Tier 3 or Tier 4 Allowance",OR($I486="",ISNA(MATCH($I486,Tables!$B$193:$B$197,0)))),
Error!$B$17,
IF(AND(OR($E486="Tier 2",$E486="Tier 2 Grove"),$F486="Remove",$H486="Tree Protection Code: Other removal allowance or exemption",$I486&lt;&gt;"",ISNA(MATCH($I486,Tables!$B$215:$B$218,0))),
Error!$B$17,
IF(AND(OR($E486="Tier 2",$E486="Tier 2 Grove"),$F486="Remove",$H486="Tree Protection Code: Development Capacity",$I486&lt;&gt;"",ISNA(MATCH($I486,Tables!$B$193:$B$197,0))),
Error!$B$17,
IF(AND(OR($E486="Tier 2",$E486="Tier 2 Grove"),$F486="Remove",$H486="Tree Protection Code: Necessary for Construction",$I486&lt;&gt;"",ISNA(MATCH($I486,Tables!$B$193:$B$197,0))),
Error!$B$17,
IF(AND($E486="Tier 1",$F486="Remove",$H486="Tree Protection Code: Special Exception",$I486&lt;&gt;"",ISNA(MATCH($I486,Tables!$B$215:$B$218,0))),
Error!$B$17,
IF(AND($E486="Tier 1",$F486="Remove",$H486="Tree Protection Code: Other removal allowance or exemption",$I486&lt;&gt;"",ISNA(MATCH($I486,Tables!$B$215:$B$218,0))),
Error!$B$17,
IF(AND($E486="ECA / Shoreline Tree",$F486="Remove",$H486&lt;&gt;"",OR($H486="Shoreline",$H486="Environmental Critical Area (ECA)"),ISNA(MATCH($I486,Tables!$B$209:$B$212,0))),
Error!$B$17,
IF(AND(_xlpm.baseRow,$F486="Retain",$E486="ECA / Shoreline Tree",_xlpm.ECA_Short=0),
Error!$B$61,
IF(AND($F486="Remove",ISNUMBER(MATCH($E486,{"Tier 1","Tier 2","Tier 3","Tier 4","Tier 2 Grove"},0)),ISNUMBER(MATCH($I486,{"On-site replacement","Off-site replacement"},0)),$J486="",$H486&lt;&gt;""),
Error!$B$19,
IF(AND(_xlpm.baseRow,$E486&lt;&gt;"",$D486&lt;&gt;"",$F486&lt;&gt;"",COUNTBLANK($B486:$C486)&gt;0,COUNTBLANK(_xlpm.HRange)&lt;&gt;4),
Error!$B$22,
IF(AND($H486="Zoning: Tree Points",$K486&lt;&gt;"",ISNA(MATCH($K486,Tables!$B$242:$B$253,0))),
Error!$B$58,
IF(AND($H486="Zoning: Tree Points",$K486="Small",$L486&lt;&gt;"",ISNA(MATCH($L486,Tables!$C$243:$C$244,0))),
Error!$B$59,
IF(AND($H486="Zoning: Tree Points",$K486="Small/Medium",$L486&lt;&gt;"",ISNA(MATCH($L486,Tables!$C$246:$C$247,0))),
Error!$B$59,
IF(AND($H486="Zoning: Tree Points",$K486="Medium/Large",$L486&lt;&gt;"",ISNA(MATCH($L486,Tables!$C$249:$C$250,0))),
Error!$B$59,
IF(AND($H486="Zoning: Tree Points",$K486="Large",$L486&lt;&gt;"",ISNA(MATCH($L486,Tables!$C$252:$C$253,0))),
Error!$B$59,
IF(AND($F486="Retain",$H486="Zoning: Tree Points",$C486&lt;&gt;"",$D486&lt;&gt;"",OR($K486="",$L486="",$M486="")),
Error!$B$20,
""
)))))))))))))))))))))))))))))))))))))))))))))))))))))))),
Error!$B$23))</f>
        <v/>
      </c>
      <c r="O486" s="343" t="str" cm="1">
        <f t="array" aca="1" ref="O486" ca="1">IFERROR(_xlfn.LET(
    _xlpm.txt, $C486,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87" spans="1:15" ht="15" thickBot="1" x14ac:dyDescent="0.35">
      <c r="A487" s="311">
        <v>120</v>
      </c>
      <c r="B487" s="312"/>
      <c r="C487" s="313"/>
      <c r="D487" s="478"/>
      <c r="E487" s="314"/>
      <c r="F487" s="314"/>
      <c r="G487" s="315" t="str">
        <f>IF(Tree_Table1[[#This Row],[Tree Status  &amp;]]="Retain", Tables!$B$237, IF(Tree_Table1[[#This Row],[Tree Status  &amp;]]="Remove", Tables!$B$238, ""))</f>
        <v/>
      </c>
      <c r="H487" s="316"/>
      <c r="I487" s="317"/>
      <c r="J487" s="452"/>
      <c r="K487" s="318" t="str">
        <f>IFERROR(
    IF(
        AND($H487="Zoning: Tree Points", NOT(ISNUMBER(SEARCH("sp.", $C487)))),
        VLOOKUP($C487, 'Tree List'!$C$3:$F$601, 4, FALSE),
        ""
    ),
"")</f>
        <v/>
      </c>
      <c r="L487" s="319" t="str" cm="1">
        <f t="array" ref="L487">IFERROR(
IF(
    AND($H487="Zoning: Tree Points", NOT(ISNUMBER(SEARCH("sp.", $C487)))),
    _xlfn.IFS(
        (COUNTIFS('Tree List'!$C$3:$C$601,$C487,'Tree List'!$D$3:$D$601,"Coniferous")
        + COUNTIFS('Tree List'!$C$3:$C$601,$C487,'Tree List'!$D$3:$D$601,"Deciduous Conifer")) &gt; 0,
            _xlfn.IFS($K487="Small",0.5,$K487="Small/Medium",1,$K487="Medium/Large",1.4,$K487="Large",1.8),
        (COUNTIFS('Tree List'!$C$3:$C$601,$C487,'Tree List'!$D$3:$D$601,"Deciduous")
        + COUNTIFS('Tree List'!$C$3:$C$601,$C487,'Tree List'!$D$3:$D$601,"Broadleaf Evergreen")) &gt; 0,
            _xlfn.IFS($K487="Small",0.4,$K487="Small/Medium",0.8,$K487="Medium/Large",1.2,$K487="Large",1.6)
    ),
    ""
),
"")</f>
        <v/>
      </c>
      <c r="M487" s="474" t="str">
        <f t="shared" si="492"/>
        <v/>
      </c>
      <c r="N487" s="620" t="str" cm="1">
        <f t="array" aca="1" ref="N48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IF(AND(_xlpm.baseRow,ISNA(MATCH($C487,'Tree List'!$C$3:$C$601,0)),SUMPRODUCT(--ISNUMBER(SEARCH(Tables2!$C$677:$C$772,$O487)))&gt;0),
Error!$B$57,
IF(AND(_xlpm.hasDM,$F487="Remove",$H487&lt;&gt;"",OR($I487="On-site replacement",$I487="Off-site replacement",$I487="Payment In Lieu")),
Error!$B$56,
IF(AND(_xlpm.hasDM,$F487="Remove",$H487&lt;&gt;"",$I487="Relocation"),
Error!$B$66,
IF(AND(OR(_xlpm.hasCN,_xlpm.hasPH,_xlpm.hasGR),$H487&lt;&gt;"",COUNTIF(Tables!$B$132:$B$134,$H487)&gt;0,$I487="N/A (No replacement required)"),
Error!$B$62,
IF(AND(_xlpm.baseRow,$E487&lt;&gt;"",ISNA(MATCH($E487,Tables!$B$225:$B$232,0))),
Error!$B$2,
IF(AND(_xlpm.baseRow,$F487&lt;&gt;"",ISNA(MATCH($F487,Tables!$B$234:$B$235,0))),
Error!$B$24,
IF(AND(_xlpm.baseRow,_xlpm.ECA_H&gt;0,_xlpm.Shore_H&gt;0),
Error!$B$16,
IF(AND(_xlpm.baseRow,$E487&lt;&gt;"",$D487=""),
Error!$B$3,
IF(AND(_xlpm.baseRow,OR($E487="Tier 3",$E487="Tier 4"),$C487&lt;&gt;"",$D487&gt;=24,COUNTIF(Tables2!$B$166:$B$674,$C487)&gt;0),
Error!$B$44,
IF(AND(_xlpm.baseRow,OR($E487="Tier 3",$E487="Tier 4"),$C487&lt;&gt;"",$D487&lt;&gt;"",COUNTIF(Tables2!$B$73:$B$152,$C487)&gt;0,
$D487&gt;=IFERROR(INDEX(Tables2!$C$73:$C$152,MATCH($C487,Tables2!$B$73:$B$152,0)),-1)),
Error!$B$44,
IF(AND(_xlpm.baseRow,OR($E487="Tier 2",$E487="Tier 2 Grove"),$C487&lt;&gt;"",$D487&gt;=12,COUNTIF(Tables2!$B$153:$B$162,$C487)&gt;0),
Error!$B$45,
IF(AND(_xlpm.baseRow,$E487="Tier 2 Grove",$D487&lt;12),
Error!$B$41,
IF(AND(_xlpm.baseRow,$E487="Tier 2",$D487&lt;5.88),
Error!$B$40,
IF(AND(_xlpm.baseRow,OR($E487="Tier 2",$E487="Tier 2 Grove"),$C487&lt;&gt;"",$D487&lt;12,$D487&gt;=6,COUNTIF(Tables2!$B$153:$B$162,$C487)&gt;0),
Error!$B$54,
IF(AND(_xlpm.baseRow,$E487="Tier 2",COUNTIF(Tables2!$B$166:$B$674,$C487)&gt;0,$D487&lt;24),
Error!$B$54,
IF(AND(_xlpm.baseRow,$E487="Tier 3",ISNA(MATCH($C487,Tables2!$B$153:$B$162,0)),OR($D487&lt;12,$D487&gt;=24)),
Error!$B$9,
IF(AND(_xlpm.baseRow,$E487="Tier 3",COUNTIF(Tables2!$B$153:$B$162,$C487)&gt;0,$D487&lt;12),
Error!$B$46,
IF(AND(_xlpm.baseRow,$E487="Tier 4",OR($D487&lt;6,$D487&gt;=12)),
Error!$B$10,
IF(AND(_xlpm.baseRow,$E487="&lt;6in DSH for Tree Points",OR($D487&gt;=6,$D487="")),
Error!$B$8,
IF(AND(_xlpm.baseRow,$E487="Street Tree for Green Factor",$F487&lt;&gt;"",$F487&lt;&gt;"Retain"),
Error!$B$14,
IF(AND($E487="&lt;6in DSH for Tree Points",$F487="Retain",$H487&lt;&gt;"",ISNA(MATCH($H487,Tables!$B$174:$B$174,0))),
Error!$B$15,
IF(AND($E487="Street Tree for Green Factor",$F487="Retain",$H487&lt;&gt;"",$H487&lt;&gt;"Zoning: Green Factor"),
Error!$B$15,
IF(AND($E487="ECA / Shoreline Tree",$F487="Remove",$H487&lt;&gt;"",ISNA(MATCH($H487,Tables!$B$189:$B$190,0))),
Error!$B$15,
IF(AND($E487="ECA / Shoreline Tree",$F487="Retain",$H487&lt;&gt;"",ISNA(MATCH($H487,Tables!$B$184:$B$186,0))),
Error!$B$15,
IF(AND($E487="Tier 4",$F487="Remove",$H487&lt;&gt;"",ISNA(MATCH($H487,Tables!$B$171,0))),
Error!$B$15,
IF(AND($E487="Tier 4",$F487="Retain",$H487&lt;&gt;"",ISNA(MATCH($H487,Tables!$B$166:$B$168,0))),
Error!$B$15,
IF(AND($E487="Tier 3",$F487="Retain",$H487&lt;&gt;"",ISNA(MATCH($H487,Tables!$B$158:$B$160,0))),
Error!$B$15,
IF(AND($E487="Tier 3",$F487="Remove",$H487&lt;&gt;"",ISNA(MATCH($H487,Tables!$B$163,0))),
Error!$B$15,
IF(AND(OR($E487="Tier 2",$E487="Tier 2 Grove"),$F487="Remove",$H487&lt;&gt;"",ISNA(MATCH($H487,Tables!$B$153:$B$155,0))),
Error!$B$15,
IF(AND(OR($E487="Tier 2",$E487="Tier 2 Grove"),$F487="Retain",$H487&lt;&gt;"",ISNA(MATCH($H487,Tables!$B$147:$B$150,0))),
Error!$B$15,
IF(AND($E487="Tier 1",$F487="Remove",$H487&lt;&gt;"",ISNA(MATCH($H487,Tables!$B$143:$B$144,0))),
Error!$B$15,
IF(AND($E487="Tier 1",$F487="Retain",$H487&lt;&gt;"",ISNA(MATCH($H487,Tables!$B$137:$B$140,0))),
Error!$B$15,
IF(AND($E487&lt;&gt;"Tier 2",$E487&lt;&gt;"Tier 2 Grove",$E487&lt;&gt;"Tier 3",$E487&lt;&gt;"Tier 4",$H487="Zoning: Green Factor",OR($D487="",$D487&lt;6)),
Error!$B$11,
IF(AND(_xlpm.baseRow,$D487&lt;6,$E487="&lt;6in DSH for Tree Points",_xlpm.TreePoints_H=0),
Error!$B$21,
IF(AND(_xlpm.baseRow,$E487&lt;&gt;"",$D487&lt;&gt;"",$F487=""),
Error!$B$4,
IF(AND(_xlpm.baseRow,$F487="Remove",OR($E487="Tier 1",$E487="Tier 2",$E487="Tier 2 Grove"),COUNTBLANK(_xlpm.HRange)&lt;3,_xlpm.uniqueH&gt;=2),
Error!$B$48,
IF(AND(_xlpm.baseRow,$F487="Retain",OR($E487="Tier 1",$E487="Tier 2",$E487="Tier 2 Grove"),COUNTIF(_xlpm.HRange,"Tree Code: Required to Retain Tier 1-2 Tree")=0),
Error!$B$47,
IF(AND(_xlpm.baseRow,$E487&lt;&gt;"",$D487&lt;&gt;"",$F487&lt;&gt;"",COUNTBLANK(_xlpm.HRange)=4),
Error!$B$5,
IF(AND($F487="Remove",$H487&lt;&gt;"",$I487=""),
Error!$B$18,
IF(AND($E487="Tier 4",$F487="Remove",$H487="Tree Protection Code: Tier 3 or Tier 4 Allowance",$H487&lt;&gt;"",ISNA(MATCH($I487,Tables!$B$200,0))),
Error!$B$17,
IF(AND($E487="Tier 3",$F487="Remove",$H487&lt;&gt;"",$H487="Tree Protection Code: Tier 3 or Tier 4 Allowance",OR($I487="",ISNA(MATCH($I487,Tables!$B$193:$B$197,0)))),
Error!$B$17,
IF(AND(OR($E487="Tier 2",$E487="Tier 2 Grove"),$F487="Remove",$H487="Tree Protection Code: Other removal allowance or exemption",$I487&lt;&gt;"",ISNA(MATCH($I487,Tables!$B$215:$B$218,0))),
Error!$B$17,
IF(AND(OR($E487="Tier 2",$E487="Tier 2 Grove"),$F487="Remove",$H487="Tree Protection Code: Development Capacity",$I487&lt;&gt;"",ISNA(MATCH($I487,Tables!$B$193:$B$197,0))),
Error!$B$17,
IF(AND(OR($E487="Tier 2",$E487="Tier 2 Grove"),$F487="Remove",$H487="Tree Protection Code: Necessary for Construction",$I487&lt;&gt;"",ISNA(MATCH($I487,Tables!$B$193:$B$197,0))),
Error!$B$17,
IF(AND($E487="Tier 1",$F487="Remove",$H487="Tree Protection Code: Special Exception",$I487&lt;&gt;"",ISNA(MATCH($I487,Tables!$B$215:$B$218,0))),
Error!$B$17,
IF(AND($E487="Tier 1",$F487="Remove",$H487="Tree Protection Code: Other removal allowance or exemption",$I487&lt;&gt;"",ISNA(MATCH($I487,Tables!$B$215:$B$218,0))),
Error!$B$17,
IF(AND($E487="ECA / Shoreline Tree",$F487="Remove",$H487&lt;&gt;"",OR($H487="Shoreline",$H487="Environmental Critical Area (ECA)"),ISNA(MATCH($I487,Tables!$B$209:$B$212,0))),
Error!$B$17,
IF(AND(_xlpm.baseRow,$F487="Retain",$E487="ECA / Shoreline Tree",_xlpm.ECA_Short=0),
Error!$B$61,
IF(AND($F487="Remove",ISNUMBER(MATCH($E487,{"Tier 1","Tier 2","Tier 3","Tier 4","Tier 2 Grove"},0)),ISNUMBER(MATCH($I487,{"On-site replacement","Off-site replacement"},0)),$J487="",$H487&lt;&gt;""),
Error!$B$19,
IF(AND(_xlpm.baseRow,$E487&lt;&gt;"",$D487&lt;&gt;"",$F487&lt;&gt;"",COUNTBLANK($B487:$C487)&gt;0,COUNTBLANK(_xlpm.HRange)&lt;&gt;4),
Error!$B$22,
IF(AND($H487="Zoning: Tree Points",$K487&lt;&gt;"",ISNA(MATCH($K487,Tables!$B$242:$B$253,0))),
Error!$B$58,
IF(AND($H487="Zoning: Tree Points",$K487="Small",$L487&lt;&gt;"",ISNA(MATCH($L487,Tables!$C$243:$C$244,0))),
Error!$B$59,
IF(AND($H487="Zoning: Tree Points",$K487="Small/Medium",$L487&lt;&gt;"",ISNA(MATCH($L487,Tables!$C$246:$C$247,0))),
Error!$B$59,
IF(AND($H487="Zoning: Tree Points",$K487="Medium/Large",$L487&lt;&gt;"",ISNA(MATCH($L487,Tables!$C$249:$C$250,0))),
Error!$B$59,
IF(AND($H487="Zoning: Tree Points",$K487="Large",$L487&lt;&gt;"",ISNA(MATCH($L487,Tables!$C$252:$C$253,0))),
Error!$B$59,
IF(AND($F487="Retain",$H487="Zoning: Tree Points",$C487&lt;&gt;"",$D487&lt;&gt;"",OR($K487="",$L487="",$M487="")),
Error!$B$20,
""
)))))))))))))))))))))))))))))))))))))))))))))))))))))))),
Error!$B$23))</f>
        <v/>
      </c>
      <c r="O487" s="343" t="str" cm="1">
        <f t="array" aca="1" ref="O487" ca="1">IFERROR(_xlfn.LET(
    _xlpm.txt, $C487,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88" spans="1:15" x14ac:dyDescent="0.3">
      <c r="A488" s="320"/>
      <c r="B488" s="616" t="str">
        <f t="shared" ref="B488:B490" si="558">IF($B487="", "", $B487)</f>
        <v/>
      </c>
      <c r="C488" s="617" t="str">
        <f t="shared" ref="C488:C490" si="559">IF($C487="", "", $C487)</f>
        <v/>
      </c>
      <c r="D488" s="618" t="str">
        <f t="shared" ref="D488:D490" si="560">IF($D487="", "", $D487)</f>
        <v/>
      </c>
      <c r="E488" s="616" t="str">
        <f t="shared" ref="E488:E490" si="561">IF($E487="", "", $E487)</f>
        <v/>
      </c>
      <c r="F488" s="616" t="str">
        <f t="shared" ref="F488:F490" si="562">IF($F487="", "", $F487)</f>
        <v/>
      </c>
      <c r="G488" s="619" t="str">
        <f>IF(Tree_Table1[[#This Row],[Tree Status  &amp;]]="Retain", Tables!$B$237, IF(Tree_Table1[[#This Row],[Tree Status  &amp;]]="Remove", Tables!$B$238, ""))</f>
        <v/>
      </c>
      <c r="H488" s="321"/>
      <c r="I488" s="322"/>
      <c r="J488" s="453"/>
      <c r="K488" s="323" t="str">
        <f>IFERROR(
    IF(
        AND($H488="Zoning: Tree Points", NOT(ISNUMBER(SEARCH("sp.", $C488)))),
        VLOOKUP($C488, 'Tree List'!$C$3:$F$601, 4, FALSE),
        ""
    ),
"")</f>
        <v/>
      </c>
      <c r="L488" s="324" t="str" cm="1">
        <f t="array" ref="L488">IFERROR(
IF(
    AND($H488="Zoning: Tree Points", NOT(ISNUMBER(SEARCH("sp.", $C488)))),
    _xlfn.IFS(
        (COUNTIFS('Tree List'!$C$3:$C$601,$C488,'Tree List'!$D$3:$D$601,"Coniferous")
        + COUNTIFS('Tree List'!$C$3:$C$601,$C488,'Tree List'!$D$3:$D$601,"Deciduous Conifer")) &gt; 0,
            _xlfn.IFS($K488="Small",0.5,$K488="Small/Medium",1,$K488="Medium/Large",1.4,$K488="Large",1.8),
        (COUNTIFS('Tree List'!$C$3:$C$601,$C488,'Tree List'!$D$3:$D$601,"Deciduous")
        + COUNTIFS('Tree List'!$C$3:$C$601,$C488,'Tree List'!$D$3:$D$601,"Broadleaf Evergreen")) &gt; 0,
            _xlfn.IFS($K488="Small",0.4,$K488="Small/Medium",0.8,$K488="Medium/Large",1.2,$K488="Large",1.6)
    ),
    ""
),
"")</f>
        <v/>
      </c>
      <c r="M488" s="475" t="str">
        <f t="shared" si="492"/>
        <v/>
      </c>
      <c r="N488" s="346" t="str" cm="1">
        <f t="array" aca="1" ref="N48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IF(AND(_xlpm.baseRow,ISNA(MATCH($C488,'Tree List'!$C$3:$C$601,0)),SUMPRODUCT(--ISNUMBER(SEARCH(Tables2!$C$677:$C$772,$O488)))&gt;0),
Error!$B$57,
IF(AND(_xlpm.hasDM,$F488="Remove",$H488&lt;&gt;"",OR($I488="On-site replacement",$I488="Off-site replacement",$I488="Payment In Lieu")),
Error!$B$56,
IF(AND(_xlpm.hasDM,$F488="Remove",$H488&lt;&gt;"",$I488="Relocation"),
Error!$B$66,
IF(AND(OR(_xlpm.hasCN,_xlpm.hasPH,_xlpm.hasGR),$H488&lt;&gt;"",COUNTIF(Tables!$B$132:$B$134,$H488)&gt;0,$I488="N/A (No replacement required)"),
Error!$B$62,
IF(AND(_xlpm.baseRow,$E488&lt;&gt;"",ISNA(MATCH($E488,Tables!$B$225:$B$232,0))),
Error!$B$2,
IF(AND(_xlpm.baseRow,$F488&lt;&gt;"",ISNA(MATCH($F488,Tables!$B$234:$B$235,0))),
Error!$B$24,
IF(AND(_xlpm.baseRow,_xlpm.ECA_H&gt;0,_xlpm.Shore_H&gt;0),
Error!$B$16,
IF(AND(_xlpm.baseRow,$E488&lt;&gt;"",$D488=""),
Error!$B$3,
IF(AND(_xlpm.baseRow,OR($E488="Tier 3",$E488="Tier 4"),$C488&lt;&gt;"",$D488&gt;=24,COUNTIF(Tables2!$B$166:$B$674,$C488)&gt;0),
Error!$B$44,
IF(AND(_xlpm.baseRow,OR($E488="Tier 3",$E488="Tier 4"),$C488&lt;&gt;"",$D488&lt;&gt;"",COUNTIF(Tables2!$B$73:$B$152,$C488)&gt;0,
$D488&gt;=IFERROR(INDEX(Tables2!$C$73:$C$152,MATCH($C488,Tables2!$B$73:$B$152,0)),-1)),
Error!$B$44,
IF(AND(_xlpm.baseRow,OR($E488="Tier 2",$E488="Tier 2 Grove"),$C488&lt;&gt;"",$D488&gt;=12,COUNTIF(Tables2!$B$153:$B$162,$C488)&gt;0),
Error!$B$45,
IF(AND(_xlpm.baseRow,$E488="Tier 2 Grove",$D488&lt;12),
Error!$B$41,
IF(AND(_xlpm.baseRow,$E488="Tier 2",$D488&lt;5.88),
Error!$B$40,
IF(AND(_xlpm.baseRow,OR($E488="Tier 2",$E488="Tier 2 Grove"),$C488&lt;&gt;"",$D488&lt;12,$D488&gt;=6,COUNTIF(Tables2!$B$153:$B$162,$C488)&gt;0),
Error!$B$54,
IF(AND(_xlpm.baseRow,$E488="Tier 2",COUNTIF(Tables2!$B$166:$B$674,$C488)&gt;0,$D488&lt;24),
Error!$B$54,
IF(AND(_xlpm.baseRow,$E488="Tier 3",ISNA(MATCH($C488,Tables2!$B$153:$B$162,0)),OR($D488&lt;12,$D488&gt;=24)),
Error!$B$9,
IF(AND(_xlpm.baseRow,$E488="Tier 3",COUNTIF(Tables2!$B$153:$B$162,$C488)&gt;0,$D488&lt;12),
Error!$B$46,
IF(AND(_xlpm.baseRow,$E488="Tier 4",OR($D488&lt;6,$D488&gt;=12)),
Error!$B$10,
IF(AND(_xlpm.baseRow,$E488="&lt;6in DSH for Tree Points",OR($D488&gt;=6,$D488="")),
Error!$B$8,
IF(AND(_xlpm.baseRow,$E488="Street Tree for Green Factor",$F488&lt;&gt;"",$F488&lt;&gt;"Retain"),
Error!$B$14,
IF(AND($E488="&lt;6in DSH for Tree Points",$F488="Retain",$H488&lt;&gt;"",ISNA(MATCH($H488,Tables!$B$174:$B$174,0))),
Error!$B$15,
IF(AND($E488="Street Tree for Green Factor",$F488="Retain",$H488&lt;&gt;"",$H488&lt;&gt;"Zoning: Green Factor"),
Error!$B$15,
IF(AND($E488="ECA / Shoreline Tree",$F488="Remove",$H488&lt;&gt;"",ISNA(MATCH($H488,Tables!$B$189:$B$190,0))),
Error!$B$15,
IF(AND($E488="ECA / Shoreline Tree",$F488="Retain",$H488&lt;&gt;"",ISNA(MATCH($H488,Tables!$B$184:$B$186,0))),
Error!$B$15,
IF(AND($E488="Tier 4",$F488="Remove",$H488&lt;&gt;"",ISNA(MATCH($H488,Tables!$B$171,0))),
Error!$B$15,
IF(AND($E488="Tier 4",$F488="Retain",$H488&lt;&gt;"",ISNA(MATCH($H488,Tables!$B$166:$B$168,0))),
Error!$B$15,
IF(AND($E488="Tier 3",$F488="Retain",$H488&lt;&gt;"",ISNA(MATCH($H488,Tables!$B$158:$B$160,0))),
Error!$B$15,
IF(AND($E488="Tier 3",$F488="Remove",$H488&lt;&gt;"",ISNA(MATCH($H488,Tables!$B$163,0))),
Error!$B$15,
IF(AND(OR($E488="Tier 2",$E488="Tier 2 Grove"),$F488="Remove",$H488&lt;&gt;"",ISNA(MATCH($H488,Tables!$B$153:$B$155,0))),
Error!$B$15,
IF(AND(OR($E488="Tier 2",$E488="Tier 2 Grove"),$F488="Retain",$H488&lt;&gt;"",ISNA(MATCH($H488,Tables!$B$147:$B$150,0))),
Error!$B$15,
IF(AND($E488="Tier 1",$F488="Remove",$H488&lt;&gt;"",ISNA(MATCH($H488,Tables!$B$143:$B$144,0))),
Error!$B$15,
IF(AND($E488="Tier 1",$F488="Retain",$H488&lt;&gt;"",ISNA(MATCH($H488,Tables!$B$137:$B$140,0))),
Error!$B$15,
IF(AND($E488&lt;&gt;"Tier 2",$E488&lt;&gt;"Tier 2 Grove",$E488&lt;&gt;"Tier 3",$E488&lt;&gt;"Tier 4",$H488="Zoning: Green Factor",OR($D488="",$D488&lt;6)),
Error!$B$11,
IF(AND(_xlpm.baseRow,$D488&lt;6,$E488="&lt;6in DSH for Tree Points",_xlpm.TreePoints_H=0),
Error!$B$21,
IF(AND(_xlpm.baseRow,$E488&lt;&gt;"",$D488&lt;&gt;"",$F488=""),
Error!$B$4,
IF(AND(_xlpm.baseRow,$F488="Remove",OR($E488="Tier 1",$E488="Tier 2",$E488="Tier 2 Grove"),COUNTBLANK(_xlpm.HRange)&lt;3,_xlpm.uniqueH&gt;=2),
Error!$B$48,
IF(AND(_xlpm.baseRow,$F488="Retain",OR($E488="Tier 1",$E488="Tier 2",$E488="Tier 2 Grove"),COUNTIF(_xlpm.HRange,"Tree Code: Required to Retain Tier 1-2 Tree")=0),
Error!$B$47,
IF(AND(_xlpm.baseRow,$E488&lt;&gt;"",$D488&lt;&gt;"",$F488&lt;&gt;"",COUNTBLANK(_xlpm.HRange)=4),
Error!$B$5,
IF(AND($F488="Remove",$H488&lt;&gt;"",$I488=""),
Error!$B$18,
IF(AND($E488="Tier 4",$F488="Remove",$H488="Tree Protection Code: Tier 3 or Tier 4 Allowance",$H488&lt;&gt;"",ISNA(MATCH($I488,Tables!$B$200,0))),
Error!$B$17,
IF(AND($E488="Tier 3",$F488="Remove",$H488&lt;&gt;"",$H488="Tree Protection Code: Tier 3 or Tier 4 Allowance",OR($I488="",ISNA(MATCH($I488,Tables!$B$193:$B$197,0)))),
Error!$B$17,
IF(AND(OR($E488="Tier 2",$E488="Tier 2 Grove"),$F488="Remove",$H488="Tree Protection Code: Other removal allowance or exemption",$I488&lt;&gt;"",ISNA(MATCH($I488,Tables!$B$215:$B$218,0))),
Error!$B$17,
IF(AND(OR($E488="Tier 2",$E488="Tier 2 Grove"),$F488="Remove",$H488="Tree Protection Code: Development Capacity",$I488&lt;&gt;"",ISNA(MATCH($I488,Tables!$B$193:$B$197,0))),
Error!$B$17,
IF(AND(OR($E488="Tier 2",$E488="Tier 2 Grove"),$F488="Remove",$H488="Tree Protection Code: Necessary for Construction",$I488&lt;&gt;"",ISNA(MATCH($I488,Tables!$B$193:$B$197,0))),
Error!$B$17,
IF(AND($E488="Tier 1",$F488="Remove",$H488="Tree Protection Code: Special Exception",$I488&lt;&gt;"",ISNA(MATCH($I488,Tables!$B$215:$B$218,0))),
Error!$B$17,
IF(AND($E488="Tier 1",$F488="Remove",$H488="Tree Protection Code: Other removal allowance or exemption",$I488&lt;&gt;"",ISNA(MATCH($I488,Tables!$B$215:$B$218,0))),
Error!$B$17,
IF(AND($E488="ECA / Shoreline Tree",$F488="Remove",$H488&lt;&gt;"",OR($H488="Shoreline",$H488="Environmental Critical Area (ECA)"),ISNA(MATCH($I488,Tables!$B$209:$B$212,0))),
Error!$B$17,
IF(AND(_xlpm.baseRow,$F488="Retain",$E488="ECA / Shoreline Tree",_xlpm.ECA_Short=0),
Error!$B$61,
IF(AND($F488="Remove",ISNUMBER(MATCH($E488,{"Tier 1","Tier 2","Tier 3","Tier 4","Tier 2 Grove"},0)),ISNUMBER(MATCH($I488,{"On-site replacement","Off-site replacement"},0)),$J488="",$H488&lt;&gt;""),
Error!$B$19,
IF(AND(_xlpm.baseRow,$E488&lt;&gt;"",$D488&lt;&gt;"",$F488&lt;&gt;"",COUNTBLANK($B488:$C488)&gt;0,COUNTBLANK(_xlpm.HRange)&lt;&gt;4),
Error!$B$22,
IF(AND($H488="Zoning: Tree Points",$K488&lt;&gt;"",ISNA(MATCH($K488,Tables!$B$242:$B$253,0))),
Error!$B$58,
IF(AND($H488="Zoning: Tree Points",$K488="Small",$L488&lt;&gt;"",ISNA(MATCH($L488,Tables!$C$243:$C$244,0))),
Error!$B$59,
IF(AND($H488="Zoning: Tree Points",$K488="Small/Medium",$L488&lt;&gt;"",ISNA(MATCH($L488,Tables!$C$246:$C$247,0))),
Error!$B$59,
IF(AND($H488="Zoning: Tree Points",$K488="Medium/Large",$L488&lt;&gt;"",ISNA(MATCH($L488,Tables!$C$249:$C$250,0))),
Error!$B$59,
IF(AND($H488="Zoning: Tree Points",$K488="Large",$L488&lt;&gt;"",ISNA(MATCH($L488,Tables!$C$252:$C$253,0))),
Error!$B$59,
IF(AND($F488="Retain",$H488="Zoning: Tree Points",$C488&lt;&gt;"",$D488&lt;&gt;"",OR($K488="",$L488="",$M488="")),
Error!$B$20,
""
)))))))))))))))))))))))))))))))))))))))))))))))))))))))),
Error!$B$23))</f>
        <v/>
      </c>
      <c r="O488" s="343" t="str" cm="1">
        <f t="array" aca="1" ref="O488" ca="1">IFERROR(_xlfn.LET(
    _xlpm.txt, $C488,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89" spans="1:15" x14ac:dyDescent="0.3">
      <c r="A489" s="320"/>
      <c r="B489" s="616" t="str">
        <f t="shared" si="558"/>
        <v/>
      </c>
      <c r="C489" s="617" t="str">
        <f t="shared" si="559"/>
        <v/>
      </c>
      <c r="D489" s="618" t="str">
        <f t="shared" si="560"/>
        <v/>
      </c>
      <c r="E489" s="616" t="str">
        <f t="shared" si="561"/>
        <v/>
      </c>
      <c r="F489" s="616" t="str">
        <f t="shared" si="562"/>
        <v/>
      </c>
      <c r="G489" s="619" t="str">
        <f>IF(Tree_Table1[[#This Row],[Tree Status  &amp;]]="Retain", Tables!$B$237, IF(Tree_Table1[[#This Row],[Tree Status  &amp;]]="Remove", Tables!$B$238, ""))</f>
        <v/>
      </c>
      <c r="H489" s="321"/>
      <c r="I489" s="322"/>
      <c r="J489" s="453"/>
      <c r="K489" s="323" t="str">
        <f>IFERROR(
    IF(
        AND($H489="Zoning: Tree Points", NOT(ISNUMBER(SEARCH("sp.", $C489)))),
        VLOOKUP($C489, 'Tree List'!$C$3:$F$601, 4, FALSE),
        ""
    ),
"")</f>
        <v/>
      </c>
      <c r="L489" s="324" t="str" cm="1">
        <f t="array" ref="L489">IFERROR(
IF(
    AND($H489="Zoning: Tree Points", NOT(ISNUMBER(SEARCH("sp.", $C489)))),
    _xlfn.IFS(
        (COUNTIFS('Tree List'!$C$3:$C$601,$C489,'Tree List'!$D$3:$D$601,"Coniferous")
        + COUNTIFS('Tree List'!$C$3:$C$601,$C489,'Tree List'!$D$3:$D$601,"Deciduous Conifer")) &gt; 0,
            _xlfn.IFS($K489="Small",0.5,$K489="Small/Medium",1,$K489="Medium/Large",1.4,$K489="Large",1.8),
        (COUNTIFS('Tree List'!$C$3:$C$601,$C489,'Tree List'!$D$3:$D$601,"Deciduous")
        + COUNTIFS('Tree List'!$C$3:$C$601,$C489,'Tree List'!$D$3:$D$601,"Broadleaf Evergreen")) &gt; 0,
            _xlfn.IFS($K489="Small",0.4,$K489="Small/Medium",0.8,$K489="Medium/Large",1.2,$K489="Large",1.6)
    ),
    ""
),
"")</f>
        <v/>
      </c>
      <c r="M489" s="475" t="str">
        <f t="shared" si="492"/>
        <v/>
      </c>
      <c r="N489" s="346" t="str" cm="1">
        <f t="array" aca="1" ref="N48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IF(AND(_xlpm.baseRow,ISNA(MATCH($C489,'Tree List'!$C$3:$C$601,0)),SUMPRODUCT(--ISNUMBER(SEARCH(Tables2!$C$677:$C$772,$O489)))&gt;0),
Error!$B$57,
IF(AND(_xlpm.hasDM,$F489="Remove",$H489&lt;&gt;"",OR($I489="On-site replacement",$I489="Off-site replacement",$I489="Payment In Lieu")),
Error!$B$56,
IF(AND(_xlpm.hasDM,$F489="Remove",$H489&lt;&gt;"",$I489="Relocation"),
Error!$B$66,
IF(AND(OR(_xlpm.hasCN,_xlpm.hasPH,_xlpm.hasGR),$H489&lt;&gt;"",COUNTIF(Tables!$B$132:$B$134,$H489)&gt;0,$I489="N/A (No replacement required)"),
Error!$B$62,
IF(AND(_xlpm.baseRow,$E489&lt;&gt;"",ISNA(MATCH($E489,Tables!$B$225:$B$232,0))),
Error!$B$2,
IF(AND(_xlpm.baseRow,$F489&lt;&gt;"",ISNA(MATCH($F489,Tables!$B$234:$B$235,0))),
Error!$B$24,
IF(AND(_xlpm.baseRow,_xlpm.ECA_H&gt;0,_xlpm.Shore_H&gt;0),
Error!$B$16,
IF(AND(_xlpm.baseRow,$E489&lt;&gt;"",$D489=""),
Error!$B$3,
IF(AND(_xlpm.baseRow,OR($E489="Tier 3",$E489="Tier 4"),$C489&lt;&gt;"",$D489&gt;=24,COUNTIF(Tables2!$B$166:$B$674,$C489)&gt;0),
Error!$B$44,
IF(AND(_xlpm.baseRow,OR($E489="Tier 3",$E489="Tier 4"),$C489&lt;&gt;"",$D489&lt;&gt;"",COUNTIF(Tables2!$B$73:$B$152,$C489)&gt;0,
$D489&gt;=IFERROR(INDEX(Tables2!$C$73:$C$152,MATCH($C489,Tables2!$B$73:$B$152,0)),-1)),
Error!$B$44,
IF(AND(_xlpm.baseRow,OR($E489="Tier 2",$E489="Tier 2 Grove"),$C489&lt;&gt;"",$D489&gt;=12,COUNTIF(Tables2!$B$153:$B$162,$C489)&gt;0),
Error!$B$45,
IF(AND(_xlpm.baseRow,$E489="Tier 2 Grove",$D489&lt;12),
Error!$B$41,
IF(AND(_xlpm.baseRow,$E489="Tier 2",$D489&lt;5.88),
Error!$B$40,
IF(AND(_xlpm.baseRow,OR($E489="Tier 2",$E489="Tier 2 Grove"),$C489&lt;&gt;"",$D489&lt;12,$D489&gt;=6,COUNTIF(Tables2!$B$153:$B$162,$C489)&gt;0),
Error!$B$54,
IF(AND(_xlpm.baseRow,$E489="Tier 2",COUNTIF(Tables2!$B$166:$B$674,$C489)&gt;0,$D489&lt;24),
Error!$B$54,
IF(AND(_xlpm.baseRow,$E489="Tier 3",ISNA(MATCH($C489,Tables2!$B$153:$B$162,0)),OR($D489&lt;12,$D489&gt;=24)),
Error!$B$9,
IF(AND(_xlpm.baseRow,$E489="Tier 3",COUNTIF(Tables2!$B$153:$B$162,$C489)&gt;0,$D489&lt;12),
Error!$B$46,
IF(AND(_xlpm.baseRow,$E489="Tier 4",OR($D489&lt;6,$D489&gt;=12)),
Error!$B$10,
IF(AND(_xlpm.baseRow,$E489="&lt;6in DSH for Tree Points",OR($D489&gt;=6,$D489="")),
Error!$B$8,
IF(AND(_xlpm.baseRow,$E489="Street Tree for Green Factor",$F489&lt;&gt;"",$F489&lt;&gt;"Retain"),
Error!$B$14,
IF(AND($E489="&lt;6in DSH for Tree Points",$F489="Retain",$H489&lt;&gt;"",ISNA(MATCH($H489,Tables!$B$174:$B$174,0))),
Error!$B$15,
IF(AND($E489="Street Tree for Green Factor",$F489="Retain",$H489&lt;&gt;"",$H489&lt;&gt;"Zoning: Green Factor"),
Error!$B$15,
IF(AND($E489="ECA / Shoreline Tree",$F489="Remove",$H489&lt;&gt;"",ISNA(MATCH($H489,Tables!$B$189:$B$190,0))),
Error!$B$15,
IF(AND($E489="ECA / Shoreline Tree",$F489="Retain",$H489&lt;&gt;"",ISNA(MATCH($H489,Tables!$B$184:$B$186,0))),
Error!$B$15,
IF(AND($E489="Tier 4",$F489="Remove",$H489&lt;&gt;"",ISNA(MATCH($H489,Tables!$B$171,0))),
Error!$B$15,
IF(AND($E489="Tier 4",$F489="Retain",$H489&lt;&gt;"",ISNA(MATCH($H489,Tables!$B$166:$B$168,0))),
Error!$B$15,
IF(AND($E489="Tier 3",$F489="Retain",$H489&lt;&gt;"",ISNA(MATCH($H489,Tables!$B$158:$B$160,0))),
Error!$B$15,
IF(AND($E489="Tier 3",$F489="Remove",$H489&lt;&gt;"",ISNA(MATCH($H489,Tables!$B$163,0))),
Error!$B$15,
IF(AND(OR($E489="Tier 2",$E489="Tier 2 Grove"),$F489="Remove",$H489&lt;&gt;"",ISNA(MATCH($H489,Tables!$B$153:$B$155,0))),
Error!$B$15,
IF(AND(OR($E489="Tier 2",$E489="Tier 2 Grove"),$F489="Retain",$H489&lt;&gt;"",ISNA(MATCH($H489,Tables!$B$147:$B$150,0))),
Error!$B$15,
IF(AND($E489="Tier 1",$F489="Remove",$H489&lt;&gt;"",ISNA(MATCH($H489,Tables!$B$143:$B$144,0))),
Error!$B$15,
IF(AND($E489="Tier 1",$F489="Retain",$H489&lt;&gt;"",ISNA(MATCH($H489,Tables!$B$137:$B$140,0))),
Error!$B$15,
IF(AND($E489&lt;&gt;"Tier 2",$E489&lt;&gt;"Tier 2 Grove",$E489&lt;&gt;"Tier 3",$E489&lt;&gt;"Tier 4",$H489="Zoning: Green Factor",OR($D489="",$D489&lt;6)),
Error!$B$11,
IF(AND(_xlpm.baseRow,$D489&lt;6,$E489="&lt;6in DSH for Tree Points",_xlpm.TreePoints_H=0),
Error!$B$21,
IF(AND(_xlpm.baseRow,$E489&lt;&gt;"",$D489&lt;&gt;"",$F489=""),
Error!$B$4,
IF(AND(_xlpm.baseRow,$F489="Remove",OR($E489="Tier 1",$E489="Tier 2",$E489="Tier 2 Grove"),COUNTBLANK(_xlpm.HRange)&lt;3,_xlpm.uniqueH&gt;=2),
Error!$B$48,
IF(AND(_xlpm.baseRow,$F489="Retain",OR($E489="Tier 1",$E489="Tier 2",$E489="Tier 2 Grove"),COUNTIF(_xlpm.HRange,"Tree Code: Required to Retain Tier 1-2 Tree")=0),
Error!$B$47,
IF(AND(_xlpm.baseRow,$E489&lt;&gt;"",$D489&lt;&gt;"",$F489&lt;&gt;"",COUNTBLANK(_xlpm.HRange)=4),
Error!$B$5,
IF(AND($F489="Remove",$H489&lt;&gt;"",$I489=""),
Error!$B$18,
IF(AND($E489="Tier 4",$F489="Remove",$H489="Tree Protection Code: Tier 3 or Tier 4 Allowance",$H489&lt;&gt;"",ISNA(MATCH($I489,Tables!$B$200,0))),
Error!$B$17,
IF(AND($E489="Tier 3",$F489="Remove",$H489&lt;&gt;"",$H489="Tree Protection Code: Tier 3 or Tier 4 Allowance",OR($I489="",ISNA(MATCH($I489,Tables!$B$193:$B$197,0)))),
Error!$B$17,
IF(AND(OR($E489="Tier 2",$E489="Tier 2 Grove"),$F489="Remove",$H489="Tree Protection Code: Other removal allowance or exemption",$I489&lt;&gt;"",ISNA(MATCH($I489,Tables!$B$215:$B$218,0))),
Error!$B$17,
IF(AND(OR($E489="Tier 2",$E489="Tier 2 Grove"),$F489="Remove",$H489="Tree Protection Code: Development Capacity",$I489&lt;&gt;"",ISNA(MATCH($I489,Tables!$B$193:$B$197,0))),
Error!$B$17,
IF(AND(OR($E489="Tier 2",$E489="Tier 2 Grove"),$F489="Remove",$H489="Tree Protection Code: Necessary for Construction",$I489&lt;&gt;"",ISNA(MATCH($I489,Tables!$B$193:$B$197,0))),
Error!$B$17,
IF(AND($E489="Tier 1",$F489="Remove",$H489="Tree Protection Code: Special Exception",$I489&lt;&gt;"",ISNA(MATCH($I489,Tables!$B$215:$B$218,0))),
Error!$B$17,
IF(AND($E489="Tier 1",$F489="Remove",$H489="Tree Protection Code: Other removal allowance or exemption",$I489&lt;&gt;"",ISNA(MATCH($I489,Tables!$B$215:$B$218,0))),
Error!$B$17,
IF(AND($E489="ECA / Shoreline Tree",$F489="Remove",$H489&lt;&gt;"",OR($H489="Shoreline",$H489="Environmental Critical Area (ECA)"),ISNA(MATCH($I489,Tables!$B$209:$B$212,0))),
Error!$B$17,
IF(AND(_xlpm.baseRow,$F489="Retain",$E489="ECA / Shoreline Tree",_xlpm.ECA_Short=0),
Error!$B$61,
IF(AND($F489="Remove",ISNUMBER(MATCH($E489,{"Tier 1","Tier 2","Tier 3","Tier 4","Tier 2 Grove"},0)),ISNUMBER(MATCH($I489,{"On-site replacement","Off-site replacement"},0)),$J489="",$H489&lt;&gt;""),
Error!$B$19,
IF(AND(_xlpm.baseRow,$E489&lt;&gt;"",$D489&lt;&gt;"",$F489&lt;&gt;"",COUNTBLANK($B489:$C489)&gt;0,COUNTBLANK(_xlpm.HRange)&lt;&gt;4),
Error!$B$22,
IF(AND($H489="Zoning: Tree Points",$K489&lt;&gt;"",ISNA(MATCH($K489,Tables!$B$242:$B$253,0))),
Error!$B$58,
IF(AND($H489="Zoning: Tree Points",$K489="Small",$L489&lt;&gt;"",ISNA(MATCH($L489,Tables!$C$243:$C$244,0))),
Error!$B$59,
IF(AND($H489="Zoning: Tree Points",$K489="Small/Medium",$L489&lt;&gt;"",ISNA(MATCH($L489,Tables!$C$246:$C$247,0))),
Error!$B$59,
IF(AND($H489="Zoning: Tree Points",$K489="Medium/Large",$L489&lt;&gt;"",ISNA(MATCH($L489,Tables!$C$249:$C$250,0))),
Error!$B$59,
IF(AND($H489="Zoning: Tree Points",$K489="Large",$L489&lt;&gt;"",ISNA(MATCH($L489,Tables!$C$252:$C$253,0))),
Error!$B$59,
IF(AND($F489="Retain",$H489="Zoning: Tree Points",$C489&lt;&gt;"",$D489&lt;&gt;"",OR($K489="",$L489="",$M489="")),
Error!$B$20,
""
)))))))))))))))))))))))))))))))))))))))))))))))))))))))),
Error!$B$23))</f>
        <v/>
      </c>
      <c r="O489" s="343" t="str" cm="1">
        <f t="array" aca="1" ref="O489" ca="1">IFERROR(_xlfn.LET(
    _xlpm.txt, $C489,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90" spans="1:15" ht="15" thickBot="1" x14ac:dyDescent="0.35">
      <c r="A490" s="331"/>
      <c r="B490" s="616" t="str">
        <f t="shared" si="558"/>
        <v/>
      </c>
      <c r="C490" s="617" t="str">
        <f t="shared" si="559"/>
        <v/>
      </c>
      <c r="D490" s="618" t="str">
        <f t="shared" si="560"/>
        <v/>
      </c>
      <c r="E490" s="616" t="str">
        <f t="shared" si="561"/>
        <v/>
      </c>
      <c r="F490" s="616" t="str">
        <f t="shared" si="562"/>
        <v/>
      </c>
      <c r="G490" s="619" t="str">
        <f>IF(Tree_Table1[[#This Row],[Tree Status  &amp;]]="Retain", Tables!$B$237, IF(Tree_Table1[[#This Row],[Tree Status  &amp;]]="Remove", Tables!$B$238, ""))</f>
        <v/>
      </c>
      <c r="H490" s="329"/>
      <c r="I490" s="330"/>
      <c r="J490" s="455"/>
      <c r="K490" s="327" t="str">
        <f>IFERROR(
    IF(
        AND($H490="Zoning: Tree Points", NOT(ISNUMBER(SEARCH("sp.", $C490)))),
        VLOOKUP($C490, 'Tree List'!$C$3:$F$601, 4, FALSE),
        ""
    ),
"")</f>
        <v/>
      </c>
      <c r="L490" s="328" t="str" cm="1">
        <f t="array" ref="L490">IFERROR(
IF(
    AND($H490="Zoning: Tree Points", NOT(ISNUMBER(SEARCH("sp.", $C490)))),
    _xlfn.IFS(
        (COUNTIFS('Tree List'!$C$3:$C$601,$C490,'Tree List'!$D$3:$D$601,"Coniferous")
        + COUNTIFS('Tree List'!$C$3:$C$601,$C490,'Tree List'!$D$3:$D$601,"Deciduous Conifer")) &gt; 0,
            _xlfn.IFS($K490="Small",0.5,$K490="Small/Medium",1,$K490="Medium/Large",1.4,$K490="Large",1.8),
        (COUNTIFS('Tree List'!$C$3:$C$601,$C490,'Tree List'!$D$3:$D$601,"Deciduous")
        + COUNTIFS('Tree List'!$C$3:$C$601,$C490,'Tree List'!$D$3:$D$601,"Broadleaf Evergreen")) &gt; 0,
            _xlfn.IFS($K490="Small",0.4,$K490="Small/Medium",0.8,$K490="Medium/Large",1.2,$K490="Large",1.6)
    ),
    ""
),
"")</f>
        <v/>
      </c>
      <c r="M490" s="476" t="str">
        <f t="shared" si="492"/>
        <v/>
      </c>
      <c r="N490" s="347" t="str" cm="1">
        <f t="array" aca="1" ref="N49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IF(AND(_xlpm.baseRow,ISNA(MATCH($C490,'Tree List'!$C$3:$C$601,0)),SUMPRODUCT(--ISNUMBER(SEARCH(Tables2!$C$677:$C$772,$O490)))&gt;0),
Error!$B$57,
IF(AND(_xlpm.hasDM,$F490="Remove",$H490&lt;&gt;"",OR($I490="On-site replacement",$I490="Off-site replacement",$I490="Payment In Lieu")),
Error!$B$56,
IF(AND(_xlpm.hasDM,$F490="Remove",$H490&lt;&gt;"",$I490="Relocation"),
Error!$B$66,
IF(AND(OR(_xlpm.hasCN,_xlpm.hasPH,_xlpm.hasGR),$H490&lt;&gt;"",COUNTIF(Tables!$B$132:$B$134,$H490)&gt;0,$I490="N/A (No replacement required)"),
Error!$B$62,
IF(AND(_xlpm.baseRow,$E490&lt;&gt;"",ISNA(MATCH($E490,Tables!$B$225:$B$232,0))),
Error!$B$2,
IF(AND(_xlpm.baseRow,$F490&lt;&gt;"",ISNA(MATCH($F490,Tables!$B$234:$B$235,0))),
Error!$B$24,
IF(AND(_xlpm.baseRow,_xlpm.ECA_H&gt;0,_xlpm.Shore_H&gt;0),
Error!$B$16,
IF(AND(_xlpm.baseRow,$E490&lt;&gt;"",$D490=""),
Error!$B$3,
IF(AND(_xlpm.baseRow,OR($E490="Tier 3",$E490="Tier 4"),$C490&lt;&gt;"",$D490&gt;=24,COUNTIF(Tables2!$B$166:$B$674,$C490)&gt;0),
Error!$B$44,
IF(AND(_xlpm.baseRow,OR($E490="Tier 3",$E490="Tier 4"),$C490&lt;&gt;"",$D490&lt;&gt;"",COUNTIF(Tables2!$B$73:$B$152,$C490)&gt;0,
$D490&gt;=IFERROR(INDEX(Tables2!$C$73:$C$152,MATCH($C490,Tables2!$B$73:$B$152,0)),-1)),
Error!$B$44,
IF(AND(_xlpm.baseRow,OR($E490="Tier 2",$E490="Tier 2 Grove"),$C490&lt;&gt;"",$D490&gt;=12,COUNTIF(Tables2!$B$153:$B$162,$C490)&gt;0),
Error!$B$45,
IF(AND(_xlpm.baseRow,$E490="Tier 2 Grove",$D490&lt;12),
Error!$B$41,
IF(AND(_xlpm.baseRow,$E490="Tier 2",$D490&lt;5.88),
Error!$B$40,
IF(AND(_xlpm.baseRow,OR($E490="Tier 2",$E490="Tier 2 Grove"),$C490&lt;&gt;"",$D490&lt;12,$D490&gt;=6,COUNTIF(Tables2!$B$153:$B$162,$C490)&gt;0),
Error!$B$54,
IF(AND(_xlpm.baseRow,$E490="Tier 2",COUNTIF(Tables2!$B$166:$B$674,$C490)&gt;0,$D490&lt;24),
Error!$B$54,
IF(AND(_xlpm.baseRow,$E490="Tier 3",ISNA(MATCH($C490,Tables2!$B$153:$B$162,0)),OR($D490&lt;12,$D490&gt;=24)),
Error!$B$9,
IF(AND(_xlpm.baseRow,$E490="Tier 3",COUNTIF(Tables2!$B$153:$B$162,$C490)&gt;0,$D490&lt;12),
Error!$B$46,
IF(AND(_xlpm.baseRow,$E490="Tier 4",OR($D490&lt;6,$D490&gt;=12)),
Error!$B$10,
IF(AND(_xlpm.baseRow,$E490="&lt;6in DSH for Tree Points",OR($D490&gt;=6,$D490="")),
Error!$B$8,
IF(AND(_xlpm.baseRow,$E490="Street Tree for Green Factor",$F490&lt;&gt;"",$F490&lt;&gt;"Retain"),
Error!$B$14,
IF(AND($E490="&lt;6in DSH for Tree Points",$F490="Retain",$H490&lt;&gt;"",ISNA(MATCH($H490,Tables!$B$174:$B$174,0))),
Error!$B$15,
IF(AND($E490="Street Tree for Green Factor",$F490="Retain",$H490&lt;&gt;"",$H490&lt;&gt;"Zoning: Green Factor"),
Error!$B$15,
IF(AND($E490="ECA / Shoreline Tree",$F490="Remove",$H490&lt;&gt;"",ISNA(MATCH($H490,Tables!$B$189:$B$190,0))),
Error!$B$15,
IF(AND($E490="ECA / Shoreline Tree",$F490="Retain",$H490&lt;&gt;"",ISNA(MATCH($H490,Tables!$B$184:$B$186,0))),
Error!$B$15,
IF(AND($E490="Tier 4",$F490="Remove",$H490&lt;&gt;"",ISNA(MATCH($H490,Tables!$B$171,0))),
Error!$B$15,
IF(AND($E490="Tier 4",$F490="Retain",$H490&lt;&gt;"",ISNA(MATCH($H490,Tables!$B$166:$B$168,0))),
Error!$B$15,
IF(AND($E490="Tier 3",$F490="Retain",$H490&lt;&gt;"",ISNA(MATCH($H490,Tables!$B$158:$B$160,0))),
Error!$B$15,
IF(AND($E490="Tier 3",$F490="Remove",$H490&lt;&gt;"",ISNA(MATCH($H490,Tables!$B$163,0))),
Error!$B$15,
IF(AND(OR($E490="Tier 2",$E490="Tier 2 Grove"),$F490="Remove",$H490&lt;&gt;"",ISNA(MATCH($H490,Tables!$B$153:$B$155,0))),
Error!$B$15,
IF(AND(OR($E490="Tier 2",$E490="Tier 2 Grove"),$F490="Retain",$H490&lt;&gt;"",ISNA(MATCH($H490,Tables!$B$147:$B$150,0))),
Error!$B$15,
IF(AND($E490="Tier 1",$F490="Remove",$H490&lt;&gt;"",ISNA(MATCH($H490,Tables!$B$143:$B$144,0))),
Error!$B$15,
IF(AND($E490="Tier 1",$F490="Retain",$H490&lt;&gt;"",ISNA(MATCH($H490,Tables!$B$137:$B$140,0))),
Error!$B$15,
IF(AND($E490&lt;&gt;"Tier 2",$E490&lt;&gt;"Tier 2 Grove",$E490&lt;&gt;"Tier 3",$E490&lt;&gt;"Tier 4",$H490="Zoning: Green Factor",OR($D490="",$D490&lt;6)),
Error!$B$11,
IF(AND(_xlpm.baseRow,$D490&lt;6,$E490="&lt;6in DSH for Tree Points",_xlpm.TreePoints_H=0),
Error!$B$21,
IF(AND(_xlpm.baseRow,$E490&lt;&gt;"",$D490&lt;&gt;"",$F490=""),
Error!$B$4,
IF(AND(_xlpm.baseRow,$F490="Remove",OR($E490="Tier 1",$E490="Tier 2",$E490="Tier 2 Grove"),COUNTBLANK(_xlpm.HRange)&lt;3,_xlpm.uniqueH&gt;=2),
Error!$B$48,
IF(AND(_xlpm.baseRow,$F490="Retain",OR($E490="Tier 1",$E490="Tier 2",$E490="Tier 2 Grove"),COUNTIF(_xlpm.HRange,"Tree Code: Required to Retain Tier 1-2 Tree")=0),
Error!$B$47,
IF(AND(_xlpm.baseRow,$E490&lt;&gt;"",$D490&lt;&gt;"",$F490&lt;&gt;"",COUNTBLANK(_xlpm.HRange)=4),
Error!$B$5,
IF(AND($F490="Remove",$H490&lt;&gt;"",$I490=""),
Error!$B$18,
IF(AND($E490="Tier 4",$F490="Remove",$H490="Tree Protection Code: Tier 3 or Tier 4 Allowance",$H490&lt;&gt;"",ISNA(MATCH($I490,Tables!$B$200,0))),
Error!$B$17,
IF(AND($E490="Tier 3",$F490="Remove",$H490&lt;&gt;"",$H490="Tree Protection Code: Tier 3 or Tier 4 Allowance",OR($I490="",ISNA(MATCH($I490,Tables!$B$193:$B$197,0)))),
Error!$B$17,
IF(AND(OR($E490="Tier 2",$E490="Tier 2 Grove"),$F490="Remove",$H490="Tree Protection Code: Other removal allowance or exemption",$I490&lt;&gt;"",ISNA(MATCH($I490,Tables!$B$215:$B$218,0))),
Error!$B$17,
IF(AND(OR($E490="Tier 2",$E490="Tier 2 Grove"),$F490="Remove",$H490="Tree Protection Code: Development Capacity",$I490&lt;&gt;"",ISNA(MATCH($I490,Tables!$B$193:$B$197,0))),
Error!$B$17,
IF(AND(OR($E490="Tier 2",$E490="Tier 2 Grove"),$F490="Remove",$H490="Tree Protection Code: Necessary for Construction",$I490&lt;&gt;"",ISNA(MATCH($I490,Tables!$B$193:$B$197,0))),
Error!$B$17,
IF(AND($E490="Tier 1",$F490="Remove",$H490="Tree Protection Code: Special Exception",$I490&lt;&gt;"",ISNA(MATCH($I490,Tables!$B$215:$B$218,0))),
Error!$B$17,
IF(AND($E490="Tier 1",$F490="Remove",$H490="Tree Protection Code: Other removal allowance or exemption",$I490&lt;&gt;"",ISNA(MATCH($I490,Tables!$B$215:$B$218,0))),
Error!$B$17,
IF(AND($E490="ECA / Shoreline Tree",$F490="Remove",$H490&lt;&gt;"",OR($H490="Shoreline",$H490="Environmental Critical Area (ECA)"),ISNA(MATCH($I490,Tables!$B$209:$B$212,0))),
Error!$B$17,
IF(AND(_xlpm.baseRow,$F490="Retain",$E490="ECA / Shoreline Tree",_xlpm.ECA_Short=0),
Error!$B$61,
IF(AND($F490="Remove",ISNUMBER(MATCH($E490,{"Tier 1","Tier 2","Tier 3","Tier 4","Tier 2 Grove"},0)),ISNUMBER(MATCH($I490,{"On-site replacement","Off-site replacement"},0)),$J490="",$H490&lt;&gt;""),
Error!$B$19,
IF(AND(_xlpm.baseRow,$E490&lt;&gt;"",$D490&lt;&gt;"",$F490&lt;&gt;"",COUNTBLANK($B490:$C490)&gt;0,COUNTBLANK(_xlpm.HRange)&lt;&gt;4),
Error!$B$22,
IF(AND($H490="Zoning: Tree Points",$K490&lt;&gt;"",ISNA(MATCH($K490,Tables!$B$242:$B$253,0))),
Error!$B$58,
IF(AND($H490="Zoning: Tree Points",$K490="Small",$L490&lt;&gt;"",ISNA(MATCH($L490,Tables!$C$243:$C$244,0))),
Error!$B$59,
IF(AND($H490="Zoning: Tree Points",$K490="Small/Medium",$L490&lt;&gt;"",ISNA(MATCH($L490,Tables!$C$246:$C$247,0))),
Error!$B$59,
IF(AND($H490="Zoning: Tree Points",$K490="Medium/Large",$L490&lt;&gt;"",ISNA(MATCH($L490,Tables!$C$249:$C$250,0))),
Error!$B$59,
IF(AND($H490="Zoning: Tree Points",$K490="Large",$L490&lt;&gt;"",ISNA(MATCH($L490,Tables!$C$252:$C$253,0))),
Error!$B$59,
IF(AND($F490="Retain",$H490="Zoning: Tree Points",$C490&lt;&gt;"",$D490&lt;&gt;"",OR($K490="",$L490="",$M490="")),
Error!$B$20,
""
)))))))))))))))))))))))))))))))))))))))))))))))))))))))),
Error!$B$23))</f>
        <v/>
      </c>
      <c r="O490" s="343" t="str" cm="1">
        <f t="array" aca="1" ref="O490" ca="1">IFERROR(_xlfn.LET(
    _xlpm.txt, $C490,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91" spans="1:15" ht="15" thickBot="1" x14ac:dyDescent="0.35">
      <c r="A491" s="311">
        <v>121</v>
      </c>
      <c r="B491" s="312"/>
      <c r="C491" s="313"/>
      <c r="D491" s="478"/>
      <c r="E491" s="314"/>
      <c r="F491" s="314"/>
      <c r="G491" s="315" t="str">
        <f>IF(Tree_Table1[[#This Row],[Tree Status  &amp;]]="Retain", Tables!$B$237, IF(Tree_Table1[[#This Row],[Tree Status  &amp;]]="Remove", Tables!$B$238, ""))</f>
        <v/>
      </c>
      <c r="H491" s="316"/>
      <c r="I491" s="317"/>
      <c r="J491" s="452"/>
      <c r="K491" s="318" t="str">
        <f>IFERROR(
    IF(
        AND($H491="Zoning: Tree Points", NOT(ISNUMBER(SEARCH("sp.", $C491)))),
        VLOOKUP($C491, 'Tree List'!$C$3:$F$601, 4, FALSE),
        ""
    ),
"")</f>
        <v/>
      </c>
      <c r="L491" s="319" t="str" cm="1">
        <f t="array" ref="L491">IFERROR(
IF(
    AND($H491="Zoning: Tree Points", NOT(ISNUMBER(SEARCH("sp.", $C491)))),
    _xlfn.IFS(
        (COUNTIFS('Tree List'!$C$3:$C$601,$C491,'Tree List'!$D$3:$D$601,"Coniferous")
        + COUNTIFS('Tree List'!$C$3:$C$601,$C491,'Tree List'!$D$3:$D$601,"Deciduous Conifer")) &gt; 0,
            _xlfn.IFS($K491="Small",0.5,$K491="Small/Medium",1,$K491="Medium/Large",1.4,$K491="Large",1.8),
        (COUNTIFS('Tree List'!$C$3:$C$601,$C491,'Tree List'!$D$3:$D$601,"Deciduous")
        + COUNTIFS('Tree List'!$C$3:$C$601,$C491,'Tree List'!$D$3:$D$601,"Broadleaf Evergreen")) &gt; 0,
            _xlfn.IFS($K491="Small",0.4,$K491="Small/Medium",0.8,$K491="Medium/Large",1.2,$K491="Large",1.6)
    ),
    ""
),
"")</f>
        <v/>
      </c>
      <c r="M491" s="474" t="str">
        <f t="shared" si="492"/>
        <v/>
      </c>
      <c r="N491" s="620" t="str" cm="1">
        <f t="array" aca="1" ref="N49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IF(AND(_xlpm.baseRow,ISNA(MATCH($C491,'Tree List'!$C$3:$C$601,0)),SUMPRODUCT(--ISNUMBER(SEARCH(Tables2!$C$677:$C$772,$O491)))&gt;0),
Error!$B$57,
IF(AND(_xlpm.hasDM,$F491="Remove",$H491&lt;&gt;"",OR($I491="On-site replacement",$I491="Off-site replacement",$I491="Payment In Lieu")),
Error!$B$56,
IF(AND(_xlpm.hasDM,$F491="Remove",$H491&lt;&gt;"",$I491="Relocation"),
Error!$B$66,
IF(AND(OR(_xlpm.hasCN,_xlpm.hasPH,_xlpm.hasGR),$H491&lt;&gt;"",COUNTIF(Tables!$B$132:$B$134,$H491)&gt;0,$I491="N/A (No replacement required)"),
Error!$B$62,
IF(AND(_xlpm.baseRow,$E491&lt;&gt;"",ISNA(MATCH($E491,Tables!$B$225:$B$232,0))),
Error!$B$2,
IF(AND(_xlpm.baseRow,$F491&lt;&gt;"",ISNA(MATCH($F491,Tables!$B$234:$B$235,0))),
Error!$B$24,
IF(AND(_xlpm.baseRow,_xlpm.ECA_H&gt;0,_xlpm.Shore_H&gt;0),
Error!$B$16,
IF(AND(_xlpm.baseRow,$E491&lt;&gt;"",$D491=""),
Error!$B$3,
IF(AND(_xlpm.baseRow,OR($E491="Tier 3",$E491="Tier 4"),$C491&lt;&gt;"",$D491&gt;=24,COUNTIF(Tables2!$B$166:$B$674,$C491)&gt;0),
Error!$B$44,
IF(AND(_xlpm.baseRow,OR($E491="Tier 3",$E491="Tier 4"),$C491&lt;&gt;"",$D491&lt;&gt;"",COUNTIF(Tables2!$B$73:$B$152,$C491)&gt;0,
$D491&gt;=IFERROR(INDEX(Tables2!$C$73:$C$152,MATCH($C491,Tables2!$B$73:$B$152,0)),-1)),
Error!$B$44,
IF(AND(_xlpm.baseRow,OR($E491="Tier 2",$E491="Tier 2 Grove"),$C491&lt;&gt;"",$D491&gt;=12,COUNTIF(Tables2!$B$153:$B$162,$C491)&gt;0),
Error!$B$45,
IF(AND(_xlpm.baseRow,$E491="Tier 2 Grove",$D491&lt;12),
Error!$B$41,
IF(AND(_xlpm.baseRow,$E491="Tier 2",$D491&lt;5.88),
Error!$B$40,
IF(AND(_xlpm.baseRow,OR($E491="Tier 2",$E491="Tier 2 Grove"),$C491&lt;&gt;"",$D491&lt;12,$D491&gt;=6,COUNTIF(Tables2!$B$153:$B$162,$C491)&gt;0),
Error!$B$54,
IF(AND(_xlpm.baseRow,$E491="Tier 2",COUNTIF(Tables2!$B$166:$B$674,$C491)&gt;0,$D491&lt;24),
Error!$B$54,
IF(AND(_xlpm.baseRow,$E491="Tier 3",ISNA(MATCH($C491,Tables2!$B$153:$B$162,0)),OR($D491&lt;12,$D491&gt;=24)),
Error!$B$9,
IF(AND(_xlpm.baseRow,$E491="Tier 3",COUNTIF(Tables2!$B$153:$B$162,$C491)&gt;0,$D491&lt;12),
Error!$B$46,
IF(AND(_xlpm.baseRow,$E491="Tier 4",OR($D491&lt;6,$D491&gt;=12)),
Error!$B$10,
IF(AND(_xlpm.baseRow,$E491="&lt;6in DSH for Tree Points",OR($D491&gt;=6,$D491="")),
Error!$B$8,
IF(AND(_xlpm.baseRow,$E491="Street Tree for Green Factor",$F491&lt;&gt;"",$F491&lt;&gt;"Retain"),
Error!$B$14,
IF(AND($E491="&lt;6in DSH for Tree Points",$F491="Retain",$H491&lt;&gt;"",ISNA(MATCH($H491,Tables!$B$174:$B$174,0))),
Error!$B$15,
IF(AND($E491="Street Tree for Green Factor",$F491="Retain",$H491&lt;&gt;"",$H491&lt;&gt;"Zoning: Green Factor"),
Error!$B$15,
IF(AND($E491="ECA / Shoreline Tree",$F491="Remove",$H491&lt;&gt;"",ISNA(MATCH($H491,Tables!$B$189:$B$190,0))),
Error!$B$15,
IF(AND($E491="ECA / Shoreline Tree",$F491="Retain",$H491&lt;&gt;"",ISNA(MATCH($H491,Tables!$B$184:$B$186,0))),
Error!$B$15,
IF(AND($E491="Tier 4",$F491="Remove",$H491&lt;&gt;"",ISNA(MATCH($H491,Tables!$B$171,0))),
Error!$B$15,
IF(AND($E491="Tier 4",$F491="Retain",$H491&lt;&gt;"",ISNA(MATCH($H491,Tables!$B$166:$B$168,0))),
Error!$B$15,
IF(AND($E491="Tier 3",$F491="Retain",$H491&lt;&gt;"",ISNA(MATCH($H491,Tables!$B$158:$B$160,0))),
Error!$B$15,
IF(AND($E491="Tier 3",$F491="Remove",$H491&lt;&gt;"",ISNA(MATCH($H491,Tables!$B$163,0))),
Error!$B$15,
IF(AND(OR($E491="Tier 2",$E491="Tier 2 Grove"),$F491="Remove",$H491&lt;&gt;"",ISNA(MATCH($H491,Tables!$B$153:$B$155,0))),
Error!$B$15,
IF(AND(OR($E491="Tier 2",$E491="Tier 2 Grove"),$F491="Retain",$H491&lt;&gt;"",ISNA(MATCH($H491,Tables!$B$147:$B$150,0))),
Error!$B$15,
IF(AND($E491="Tier 1",$F491="Remove",$H491&lt;&gt;"",ISNA(MATCH($H491,Tables!$B$143:$B$144,0))),
Error!$B$15,
IF(AND($E491="Tier 1",$F491="Retain",$H491&lt;&gt;"",ISNA(MATCH($H491,Tables!$B$137:$B$140,0))),
Error!$B$15,
IF(AND($E491&lt;&gt;"Tier 2",$E491&lt;&gt;"Tier 2 Grove",$E491&lt;&gt;"Tier 3",$E491&lt;&gt;"Tier 4",$H491="Zoning: Green Factor",OR($D491="",$D491&lt;6)),
Error!$B$11,
IF(AND(_xlpm.baseRow,$D491&lt;6,$E491="&lt;6in DSH for Tree Points",_xlpm.TreePoints_H=0),
Error!$B$21,
IF(AND(_xlpm.baseRow,$E491&lt;&gt;"",$D491&lt;&gt;"",$F491=""),
Error!$B$4,
IF(AND(_xlpm.baseRow,$F491="Remove",OR($E491="Tier 1",$E491="Tier 2",$E491="Tier 2 Grove"),COUNTBLANK(_xlpm.HRange)&lt;3,_xlpm.uniqueH&gt;=2),
Error!$B$48,
IF(AND(_xlpm.baseRow,$F491="Retain",OR($E491="Tier 1",$E491="Tier 2",$E491="Tier 2 Grove"),COUNTIF(_xlpm.HRange,"Tree Code: Required to Retain Tier 1-2 Tree")=0),
Error!$B$47,
IF(AND(_xlpm.baseRow,$E491&lt;&gt;"",$D491&lt;&gt;"",$F491&lt;&gt;"",COUNTBLANK(_xlpm.HRange)=4),
Error!$B$5,
IF(AND($F491="Remove",$H491&lt;&gt;"",$I491=""),
Error!$B$18,
IF(AND($E491="Tier 4",$F491="Remove",$H491="Tree Protection Code: Tier 3 or Tier 4 Allowance",$H491&lt;&gt;"",ISNA(MATCH($I491,Tables!$B$200,0))),
Error!$B$17,
IF(AND($E491="Tier 3",$F491="Remove",$H491&lt;&gt;"",$H491="Tree Protection Code: Tier 3 or Tier 4 Allowance",OR($I491="",ISNA(MATCH($I491,Tables!$B$193:$B$197,0)))),
Error!$B$17,
IF(AND(OR($E491="Tier 2",$E491="Tier 2 Grove"),$F491="Remove",$H491="Tree Protection Code: Other removal allowance or exemption",$I491&lt;&gt;"",ISNA(MATCH($I491,Tables!$B$215:$B$218,0))),
Error!$B$17,
IF(AND(OR($E491="Tier 2",$E491="Tier 2 Grove"),$F491="Remove",$H491="Tree Protection Code: Development Capacity",$I491&lt;&gt;"",ISNA(MATCH($I491,Tables!$B$193:$B$197,0))),
Error!$B$17,
IF(AND(OR($E491="Tier 2",$E491="Tier 2 Grove"),$F491="Remove",$H491="Tree Protection Code: Necessary for Construction",$I491&lt;&gt;"",ISNA(MATCH($I491,Tables!$B$193:$B$197,0))),
Error!$B$17,
IF(AND($E491="Tier 1",$F491="Remove",$H491="Tree Protection Code: Special Exception",$I491&lt;&gt;"",ISNA(MATCH($I491,Tables!$B$215:$B$218,0))),
Error!$B$17,
IF(AND($E491="Tier 1",$F491="Remove",$H491="Tree Protection Code: Other removal allowance or exemption",$I491&lt;&gt;"",ISNA(MATCH($I491,Tables!$B$215:$B$218,0))),
Error!$B$17,
IF(AND($E491="ECA / Shoreline Tree",$F491="Remove",$H491&lt;&gt;"",OR($H491="Shoreline",$H491="Environmental Critical Area (ECA)"),ISNA(MATCH($I491,Tables!$B$209:$B$212,0))),
Error!$B$17,
IF(AND(_xlpm.baseRow,$F491="Retain",$E491="ECA / Shoreline Tree",_xlpm.ECA_Short=0),
Error!$B$61,
IF(AND($F491="Remove",ISNUMBER(MATCH($E491,{"Tier 1","Tier 2","Tier 3","Tier 4","Tier 2 Grove"},0)),ISNUMBER(MATCH($I491,{"On-site replacement","Off-site replacement"},0)),$J491="",$H491&lt;&gt;""),
Error!$B$19,
IF(AND(_xlpm.baseRow,$E491&lt;&gt;"",$D491&lt;&gt;"",$F491&lt;&gt;"",COUNTBLANK($B491:$C491)&gt;0,COUNTBLANK(_xlpm.HRange)&lt;&gt;4),
Error!$B$22,
IF(AND($H491="Zoning: Tree Points",$K491&lt;&gt;"",ISNA(MATCH($K491,Tables!$B$242:$B$253,0))),
Error!$B$58,
IF(AND($H491="Zoning: Tree Points",$K491="Small",$L491&lt;&gt;"",ISNA(MATCH($L491,Tables!$C$243:$C$244,0))),
Error!$B$59,
IF(AND($H491="Zoning: Tree Points",$K491="Small/Medium",$L491&lt;&gt;"",ISNA(MATCH($L491,Tables!$C$246:$C$247,0))),
Error!$B$59,
IF(AND($H491="Zoning: Tree Points",$K491="Medium/Large",$L491&lt;&gt;"",ISNA(MATCH($L491,Tables!$C$249:$C$250,0))),
Error!$B$59,
IF(AND($H491="Zoning: Tree Points",$K491="Large",$L491&lt;&gt;"",ISNA(MATCH($L491,Tables!$C$252:$C$253,0))),
Error!$B$59,
IF(AND($F491="Retain",$H491="Zoning: Tree Points",$C491&lt;&gt;"",$D491&lt;&gt;"",OR($K491="",$L491="",$M491="")),
Error!$B$20,
""
)))))))))))))))))))))))))))))))))))))))))))))))))))))))),
Error!$B$23))</f>
        <v/>
      </c>
      <c r="O491" s="343" t="str" cm="1">
        <f t="array" aca="1" ref="O491" ca="1">IFERROR(_xlfn.LET(
    _xlpm.txt, $C491,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92" spans="1:15" x14ac:dyDescent="0.3">
      <c r="A492" s="320"/>
      <c r="B492" s="616" t="str">
        <f t="shared" ref="B492:B494" si="563">IF($B491="", "", $B491)</f>
        <v/>
      </c>
      <c r="C492" s="617" t="str">
        <f t="shared" ref="C492:C494" si="564">IF($C491="", "", $C491)</f>
        <v/>
      </c>
      <c r="D492" s="618" t="str">
        <f t="shared" ref="D492:D494" si="565">IF($D491="", "", $D491)</f>
        <v/>
      </c>
      <c r="E492" s="616" t="str">
        <f t="shared" ref="E492:E494" si="566">IF($E491="", "", $E491)</f>
        <v/>
      </c>
      <c r="F492" s="616" t="str">
        <f t="shared" ref="F492:F494" si="567">IF($F491="", "", $F491)</f>
        <v/>
      </c>
      <c r="G492" s="619" t="str">
        <f>IF(Tree_Table1[[#This Row],[Tree Status  &amp;]]="Retain", Tables!$B$237, IF(Tree_Table1[[#This Row],[Tree Status  &amp;]]="Remove", Tables!$B$238, ""))</f>
        <v/>
      </c>
      <c r="H492" s="321"/>
      <c r="I492" s="322"/>
      <c r="J492" s="453"/>
      <c r="K492" s="323" t="str">
        <f>IFERROR(
    IF(
        AND($H492="Zoning: Tree Points", NOT(ISNUMBER(SEARCH("sp.", $C492)))),
        VLOOKUP($C492, 'Tree List'!$C$3:$F$601, 4, FALSE),
        ""
    ),
"")</f>
        <v/>
      </c>
      <c r="L492" s="324" t="str" cm="1">
        <f t="array" ref="L492">IFERROR(
IF(
    AND($H492="Zoning: Tree Points", NOT(ISNUMBER(SEARCH("sp.", $C492)))),
    _xlfn.IFS(
        (COUNTIFS('Tree List'!$C$3:$C$601,$C492,'Tree List'!$D$3:$D$601,"Coniferous")
        + COUNTIFS('Tree List'!$C$3:$C$601,$C492,'Tree List'!$D$3:$D$601,"Deciduous Conifer")) &gt; 0,
            _xlfn.IFS($K492="Small",0.5,$K492="Small/Medium",1,$K492="Medium/Large",1.4,$K492="Large",1.8),
        (COUNTIFS('Tree List'!$C$3:$C$601,$C492,'Tree List'!$D$3:$D$601,"Deciduous")
        + COUNTIFS('Tree List'!$C$3:$C$601,$C492,'Tree List'!$D$3:$D$601,"Broadleaf Evergreen")) &gt; 0,
            _xlfn.IFS($K492="Small",0.4,$K492="Small/Medium",0.8,$K492="Medium/Large",1.2,$K492="Large",1.6)
    ),
    ""
),
"")</f>
        <v/>
      </c>
      <c r="M492" s="475" t="str">
        <f t="shared" si="492"/>
        <v/>
      </c>
      <c r="N492" s="346" t="str" cm="1">
        <f t="array" aca="1" ref="N49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IF(AND(_xlpm.baseRow,ISNA(MATCH($C492,'Tree List'!$C$3:$C$601,0)),SUMPRODUCT(--ISNUMBER(SEARCH(Tables2!$C$677:$C$772,$O492)))&gt;0),
Error!$B$57,
IF(AND(_xlpm.hasDM,$F492="Remove",$H492&lt;&gt;"",OR($I492="On-site replacement",$I492="Off-site replacement",$I492="Payment In Lieu")),
Error!$B$56,
IF(AND(_xlpm.hasDM,$F492="Remove",$H492&lt;&gt;"",$I492="Relocation"),
Error!$B$66,
IF(AND(OR(_xlpm.hasCN,_xlpm.hasPH,_xlpm.hasGR),$H492&lt;&gt;"",COUNTIF(Tables!$B$132:$B$134,$H492)&gt;0,$I492="N/A (No replacement required)"),
Error!$B$62,
IF(AND(_xlpm.baseRow,$E492&lt;&gt;"",ISNA(MATCH($E492,Tables!$B$225:$B$232,0))),
Error!$B$2,
IF(AND(_xlpm.baseRow,$F492&lt;&gt;"",ISNA(MATCH($F492,Tables!$B$234:$B$235,0))),
Error!$B$24,
IF(AND(_xlpm.baseRow,_xlpm.ECA_H&gt;0,_xlpm.Shore_H&gt;0),
Error!$B$16,
IF(AND(_xlpm.baseRow,$E492&lt;&gt;"",$D492=""),
Error!$B$3,
IF(AND(_xlpm.baseRow,OR($E492="Tier 3",$E492="Tier 4"),$C492&lt;&gt;"",$D492&gt;=24,COUNTIF(Tables2!$B$166:$B$674,$C492)&gt;0),
Error!$B$44,
IF(AND(_xlpm.baseRow,OR($E492="Tier 3",$E492="Tier 4"),$C492&lt;&gt;"",$D492&lt;&gt;"",COUNTIF(Tables2!$B$73:$B$152,$C492)&gt;0,
$D492&gt;=IFERROR(INDEX(Tables2!$C$73:$C$152,MATCH($C492,Tables2!$B$73:$B$152,0)),-1)),
Error!$B$44,
IF(AND(_xlpm.baseRow,OR($E492="Tier 2",$E492="Tier 2 Grove"),$C492&lt;&gt;"",$D492&gt;=12,COUNTIF(Tables2!$B$153:$B$162,$C492)&gt;0),
Error!$B$45,
IF(AND(_xlpm.baseRow,$E492="Tier 2 Grove",$D492&lt;12),
Error!$B$41,
IF(AND(_xlpm.baseRow,$E492="Tier 2",$D492&lt;5.88),
Error!$B$40,
IF(AND(_xlpm.baseRow,OR($E492="Tier 2",$E492="Tier 2 Grove"),$C492&lt;&gt;"",$D492&lt;12,$D492&gt;=6,COUNTIF(Tables2!$B$153:$B$162,$C492)&gt;0),
Error!$B$54,
IF(AND(_xlpm.baseRow,$E492="Tier 2",COUNTIF(Tables2!$B$166:$B$674,$C492)&gt;0,$D492&lt;24),
Error!$B$54,
IF(AND(_xlpm.baseRow,$E492="Tier 3",ISNA(MATCH($C492,Tables2!$B$153:$B$162,0)),OR($D492&lt;12,$D492&gt;=24)),
Error!$B$9,
IF(AND(_xlpm.baseRow,$E492="Tier 3",COUNTIF(Tables2!$B$153:$B$162,$C492)&gt;0,$D492&lt;12),
Error!$B$46,
IF(AND(_xlpm.baseRow,$E492="Tier 4",OR($D492&lt;6,$D492&gt;=12)),
Error!$B$10,
IF(AND(_xlpm.baseRow,$E492="&lt;6in DSH for Tree Points",OR($D492&gt;=6,$D492="")),
Error!$B$8,
IF(AND(_xlpm.baseRow,$E492="Street Tree for Green Factor",$F492&lt;&gt;"",$F492&lt;&gt;"Retain"),
Error!$B$14,
IF(AND($E492="&lt;6in DSH for Tree Points",$F492="Retain",$H492&lt;&gt;"",ISNA(MATCH($H492,Tables!$B$174:$B$174,0))),
Error!$B$15,
IF(AND($E492="Street Tree for Green Factor",$F492="Retain",$H492&lt;&gt;"",$H492&lt;&gt;"Zoning: Green Factor"),
Error!$B$15,
IF(AND($E492="ECA / Shoreline Tree",$F492="Remove",$H492&lt;&gt;"",ISNA(MATCH($H492,Tables!$B$189:$B$190,0))),
Error!$B$15,
IF(AND($E492="ECA / Shoreline Tree",$F492="Retain",$H492&lt;&gt;"",ISNA(MATCH($H492,Tables!$B$184:$B$186,0))),
Error!$B$15,
IF(AND($E492="Tier 4",$F492="Remove",$H492&lt;&gt;"",ISNA(MATCH($H492,Tables!$B$171,0))),
Error!$B$15,
IF(AND($E492="Tier 4",$F492="Retain",$H492&lt;&gt;"",ISNA(MATCH($H492,Tables!$B$166:$B$168,0))),
Error!$B$15,
IF(AND($E492="Tier 3",$F492="Retain",$H492&lt;&gt;"",ISNA(MATCH($H492,Tables!$B$158:$B$160,0))),
Error!$B$15,
IF(AND($E492="Tier 3",$F492="Remove",$H492&lt;&gt;"",ISNA(MATCH($H492,Tables!$B$163,0))),
Error!$B$15,
IF(AND(OR($E492="Tier 2",$E492="Tier 2 Grove"),$F492="Remove",$H492&lt;&gt;"",ISNA(MATCH($H492,Tables!$B$153:$B$155,0))),
Error!$B$15,
IF(AND(OR($E492="Tier 2",$E492="Tier 2 Grove"),$F492="Retain",$H492&lt;&gt;"",ISNA(MATCH($H492,Tables!$B$147:$B$150,0))),
Error!$B$15,
IF(AND($E492="Tier 1",$F492="Remove",$H492&lt;&gt;"",ISNA(MATCH($H492,Tables!$B$143:$B$144,0))),
Error!$B$15,
IF(AND($E492="Tier 1",$F492="Retain",$H492&lt;&gt;"",ISNA(MATCH($H492,Tables!$B$137:$B$140,0))),
Error!$B$15,
IF(AND($E492&lt;&gt;"Tier 2",$E492&lt;&gt;"Tier 2 Grove",$E492&lt;&gt;"Tier 3",$E492&lt;&gt;"Tier 4",$H492="Zoning: Green Factor",OR($D492="",$D492&lt;6)),
Error!$B$11,
IF(AND(_xlpm.baseRow,$D492&lt;6,$E492="&lt;6in DSH for Tree Points",_xlpm.TreePoints_H=0),
Error!$B$21,
IF(AND(_xlpm.baseRow,$E492&lt;&gt;"",$D492&lt;&gt;"",$F492=""),
Error!$B$4,
IF(AND(_xlpm.baseRow,$F492="Remove",OR($E492="Tier 1",$E492="Tier 2",$E492="Tier 2 Grove"),COUNTBLANK(_xlpm.HRange)&lt;3,_xlpm.uniqueH&gt;=2),
Error!$B$48,
IF(AND(_xlpm.baseRow,$F492="Retain",OR($E492="Tier 1",$E492="Tier 2",$E492="Tier 2 Grove"),COUNTIF(_xlpm.HRange,"Tree Code: Required to Retain Tier 1-2 Tree")=0),
Error!$B$47,
IF(AND(_xlpm.baseRow,$E492&lt;&gt;"",$D492&lt;&gt;"",$F492&lt;&gt;"",COUNTBLANK(_xlpm.HRange)=4),
Error!$B$5,
IF(AND($F492="Remove",$H492&lt;&gt;"",$I492=""),
Error!$B$18,
IF(AND($E492="Tier 4",$F492="Remove",$H492="Tree Protection Code: Tier 3 or Tier 4 Allowance",$H492&lt;&gt;"",ISNA(MATCH($I492,Tables!$B$200,0))),
Error!$B$17,
IF(AND($E492="Tier 3",$F492="Remove",$H492&lt;&gt;"",$H492="Tree Protection Code: Tier 3 or Tier 4 Allowance",OR($I492="",ISNA(MATCH($I492,Tables!$B$193:$B$197,0)))),
Error!$B$17,
IF(AND(OR($E492="Tier 2",$E492="Tier 2 Grove"),$F492="Remove",$H492="Tree Protection Code: Other removal allowance or exemption",$I492&lt;&gt;"",ISNA(MATCH($I492,Tables!$B$215:$B$218,0))),
Error!$B$17,
IF(AND(OR($E492="Tier 2",$E492="Tier 2 Grove"),$F492="Remove",$H492="Tree Protection Code: Development Capacity",$I492&lt;&gt;"",ISNA(MATCH($I492,Tables!$B$193:$B$197,0))),
Error!$B$17,
IF(AND(OR($E492="Tier 2",$E492="Tier 2 Grove"),$F492="Remove",$H492="Tree Protection Code: Necessary for Construction",$I492&lt;&gt;"",ISNA(MATCH($I492,Tables!$B$193:$B$197,0))),
Error!$B$17,
IF(AND($E492="Tier 1",$F492="Remove",$H492="Tree Protection Code: Special Exception",$I492&lt;&gt;"",ISNA(MATCH($I492,Tables!$B$215:$B$218,0))),
Error!$B$17,
IF(AND($E492="Tier 1",$F492="Remove",$H492="Tree Protection Code: Other removal allowance or exemption",$I492&lt;&gt;"",ISNA(MATCH($I492,Tables!$B$215:$B$218,0))),
Error!$B$17,
IF(AND($E492="ECA / Shoreline Tree",$F492="Remove",$H492&lt;&gt;"",OR($H492="Shoreline",$H492="Environmental Critical Area (ECA)"),ISNA(MATCH($I492,Tables!$B$209:$B$212,0))),
Error!$B$17,
IF(AND(_xlpm.baseRow,$F492="Retain",$E492="ECA / Shoreline Tree",_xlpm.ECA_Short=0),
Error!$B$61,
IF(AND($F492="Remove",ISNUMBER(MATCH($E492,{"Tier 1","Tier 2","Tier 3","Tier 4","Tier 2 Grove"},0)),ISNUMBER(MATCH($I492,{"On-site replacement","Off-site replacement"},0)),$J492="",$H492&lt;&gt;""),
Error!$B$19,
IF(AND(_xlpm.baseRow,$E492&lt;&gt;"",$D492&lt;&gt;"",$F492&lt;&gt;"",COUNTBLANK($B492:$C492)&gt;0,COUNTBLANK(_xlpm.HRange)&lt;&gt;4),
Error!$B$22,
IF(AND($H492="Zoning: Tree Points",$K492&lt;&gt;"",ISNA(MATCH($K492,Tables!$B$242:$B$253,0))),
Error!$B$58,
IF(AND($H492="Zoning: Tree Points",$K492="Small",$L492&lt;&gt;"",ISNA(MATCH($L492,Tables!$C$243:$C$244,0))),
Error!$B$59,
IF(AND($H492="Zoning: Tree Points",$K492="Small/Medium",$L492&lt;&gt;"",ISNA(MATCH($L492,Tables!$C$246:$C$247,0))),
Error!$B$59,
IF(AND($H492="Zoning: Tree Points",$K492="Medium/Large",$L492&lt;&gt;"",ISNA(MATCH($L492,Tables!$C$249:$C$250,0))),
Error!$B$59,
IF(AND($H492="Zoning: Tree Points",$K492="Large",$L492&lt;&gt;"",ISNA(MATCH($L492,Tables!$C$252:$C$253,0))),
Error!$B$59,
IF(AND($F492="Retain",$H492="Zoning: Tree Points",$C492&lt;&gt;"",$D492&lt;&gt;"",OR($K492="",$L492="",$M492="")),
Error!$B$20,
""
)))))))))))))))))))))))))))))))))))))))))))))))))))))))),
Error!$B$23))</f>
        <v/>
      </c>
      <c r="O492" s="343" t="str" cm="1">
        <f t="array" aca="1" ref="O492" ca="1">IFERROR(_xlfn.LET(
    _xlpm.txt, $C492,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93" spans="1:15" x14ac:dyDescent="0.3">
      <c r="A493" s="320"/>
      <c r="B493" s="616" t="str">
        <f t="shared" si="563"/>
        <v/>
      </c>
      <c r="C493" s="617" t="str">
        <f t="shared" si="564"/>
        <v/>
      </c>
      <c r="D493" s="618" t="str">
        <f t="shared" si="565"/>
        <v/>
      </c>
      <c r="E493" s="616" t="str">
        <f t="shared" si="566"/>
        <v/>
      </c>
      <c r="F493" s="616" t="str">
        <f t="shared" si="567"/>
        <v/>
      </c>
      <c r="G493" s="619" t="str">
        <f>IF(Tree_Table1[[#This Row],[Tree Status  &amp;]]="Retain", Tables!$B$237, IF(Tree_Table1[[#This Row],[Tree Status  &amp;]]="Remove", Tables!$B$238, ""))</f>
        <v/>
      </c>
      <c r="H493" s="321"/>
      <c r="I493" s="322"/>
      <c r="J493" s="453"/>
      <c r="K493" s="323" t="str">
        <f>IFERROR(
    IF(
        AND($H493="Zoning: Tree Points", NOT(ISNUMBER(SEARCH("sp.", $C493)))),
        VLOOKUP($C493, 'Tree List'!$C$3:$F$601, 4, FALSE),
        ""
    ),
"")</f>
        <v/>
      </c>
      <c r="L493" s="324" t="str" cm="1">
        <f t="array" ref="L493">IFERROR(
IF(
    AND($H493="Zoning: Tree Points", NOT(ISNUMBER(SEARCH("sp.", $C493)))),
    _xlfn.IFS(
        (COUNTIFS('Tree List'!$C$3:$C$601,$C493,'Tree List'!$D$3:$D$601,"Coniferous")
        + COUNTIFS('Tree List'!$C$3:$C$601,$C493,'Tree List'!$D$3:$D$601,"Deciduous Conifer")) &gt; 0,
            _xlfn.IFS($K493="Small",0.5,$K493="Small/Medium",1,$K493="Medium/Large",1.4,$K493="Large",1.8),
        (COUNTIFS('Tree List'!$C$3:$C$601,$C493,'Tree List'!$D$3:$D$601,"Deciduous")
        + COUNTIFS('Tree List'!$C$3:$C$601,$C493,'Tree List'!$D$3:$D$601,"Broadleaf Evergreen")) &gt; 0,
            _xlfn.IFS($K493="Small",0.4,$K493="Small/Medium",0.8,$K493="Medium/Large",1.2,$K493="Large",1.6)
    ),
    ""
),
"")</f>
        <v/>
      </c>
      <c r="M493" s="475" t="str">
        <f t="shared" si="492"/>
        <v/>
      </c>
      <c r="N493" s="346" t="str" cm="1">
        <f t="array" aca="1" ref="N49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IF(AND(_xlpm.baseRow,ISNA(MATCH($C493,'Tree List'!$C$3:$C$601,0)),SUMPRODUCT(--ISNUMBER(SEARCH(Tables2!$C$677:$C$772,$O493)))&gt;0),
Error!$B$57,
IF(AND(_xlpm.hasDM,$F493="Remove",$H493&lt;&gt;"",OR($I493="On-site replacement",$I493="Off-site replacement",$I493="Payment In Lieu")),
Error!$B$56,
IF(AND(_xlpm.hasDM,$F493="Remove",$H493&lt;&gt;"",$I493="Relocation"),
Error!$B$66,
IF(AND(OR(_xlpm.hasCN,_xlpm.hasPH,_xlpm.hasGR),$H493&lt;&gt;"",COUNTIF(Tables!$B$132:$B$134,$H493)&gt;0,$I493="N/A (No replacement required)"),
Error!$B$62,
IF(AND(_xlpm.baseRow,$E493&lt;&gt;"",ISNA(MATCH($E493,Tables!$B$225:$B$232,0))),
Error!$B$2,
IF(AND(_xlpm.baseRow,$F493&lt;&gt;"",ISNA(MATCH($F493,Tables!$B$234:$B$235,0))),
Error!$B$24,
IF(AND(_xlpm.baseRow,_xlpm.ECA_H&gt;0,_xlpm.Shore_H&gt;0),
Error!$B$16,
IF(AND(_xlpm.baseRow,$E493&lt;&gt;"",$D493=""),
Error!$B$3,
IF(AND(_xlpm.baseRow,OR($E493="Tier 3",$E493="Tier 4"),$C493&lt;&gt;"",$D493&gt;=24,COUNTIF(Tables2!$B$166:$B$674,$C493)&gt;0),
Error!$B$44,
IF(AND(_xlpm.baseRow,OR($E493="Tier 3",$E493="Tier 4"),$C493&lt;&gt;"",$D493&lt;&gt;"",COUNTIF(Tables2!$B$73:$B$152,$C493)&gt;0,
$D493&gt;=IFERROR(INDEX(Tables2!$C$73:$C$152,MATCH($C493,Tables2!$B$73:$B$152,0)),-1)),
Error!$B$44,
IF(AND(_xlpm.baseRow,OR($E493="Tier 2",$E493="Tier 2 Grove"),$C493&lt;&gt;"",$D493&gt;=12,COUNTIF(Tables2!$B$153:$B$162,$C493)&gt;0),
Error!$B$45,
IF(AND(_xlpm.baseRow,$E493="Tier 2 Grove",$D493&lt;12),
Error!$B$41,
IF(AND(_xlpm.baseRow,$E493="Tier 2",$D493&lt;5.88),
Error!$B$40,
IF(AND(_xlpm.baseRow,OR($E493="Tier 2",$E493="Tier 2 Grove"),$C493&lt;&gt;"",$D493&lt;12,$D493&gt;=6,COUNTIF(Tables2!$B$153:$B$162,$C493)&gt;0),
Error!$B$54,
IF(AND(_xlpm.baseRow,$E493="Tier 2",COUNTIF(Tables2!$B$166:$B$674,$C493)&gt;0,$D493&lt;24),
Error!$B$54,
IF(AND(_xlpm.baseRow,$E493="Tier 3",ISNA(MATCH($C493,Tables2!$B$153:$B$162,0)),OR($D493&lt;12,$D493&gt;=24)),
Error!$B$9,
IF(AND(_xlpm.baseRow,$E493="Tier 3",COUNTIF(Tables2!$B$153:$B$162,$C493)&gt;0,$D493&lt;12),
Error!$B$46,
IF(AND(_xlpm.baseRow,$E493="Tier 4",OR($D493&lt;6,$D493&gt;=12)),
Error!$B$10,
IF(AND(_xlpm.baseRow,$E493="&lt;6in DSH for Tree Points",OR($D493&gt;=6,$D493="")),
Error!$B$8,
IF(AND(_xlpm.baseRow,$E493="Street Tree for Green Factor",$F493&lt;&gt;"",$F493&lt;&gt;"Retain"),
Error!$B$14,
IF(AND($E493="&lt;6in DSH for Tree Points",$F493="Retain",$H493&lt;&gt;"",ISNA(MATCH($H493,Tables!$B$174:$B$174,0))),
Error!$B$15,
IF(AND($E493="Street Tree for Green Factor",$F493="Retain",$H493&lt;&gt;"",$H493&lt;&gt;"Zoning: Green Factor"),
Error!$B$15,
IF(AND($E493="ECA / Shoreline Tree",$F493="Remove",$H493&lt;&gt;"",ISNA(MATCH($H493,Tables!$B$189:$B$190,0))),
Error!$B$15,
IF(AND($E493="ECA / Shoreline Tree",$F493="Retain",$H493&lt;&gt;"",ISNA(MATCH($H493,Tables!$B$184:$B$186,0))),
Error!$B$15,
IF(AND($E493="Tier 4",$F493="Remove",$H493&lt;&gt;"",ISNA(MATCH($H493,Tables!$B$171,0))),
Error!$B$15,
IF(AND($E493="Tier 4",$F493="Retain",$H493&lt;&gt;"",ISNA(MATCH($H493,Tables!$B$166:$B$168,0))),
Error!$B$15,
IF(AND($E493="Tier 3",$F493="Retain",$H493&lt;&gt;"",ISNA(MATCH($H493,Tables!$B$158:$B$160,0))),
Error!$B$15,
IF(AND($E493="Tier 3",$F493="Remove",$H493&lt;&gt;"",ISNA(MATCH($H493,Tables!$B$163,0))),
Error!$B$15,
IF(AND(OR($E493="Tier 2",$E493="Tier 2 Grove"),$F493="Remove",$H493&lt;&gt;"",ISNA(MATCH($H493,Tables!$B$153:$B$155,0))),
Error!$B$15,
IF(AND(OR($E493="Tier 2",$E493="Tier 2 Grove"),$F493="Retain",$H493&lt;&gt;"",ISNA(MATCH($H493,Tables!$B$147:$B$150,0))),
Error!$B$15,
IF(AND($E493="Tier 1",$F493="Remove",$H493&lt;&gt;"",ISNA(MATCH($H493,Tables!$B$143:$B$144,0))),
Error!$B$15,
IF(AND($E493="Tier 1",$F493="Retain",$H493&lt;&gt;"",ISNA(MATCH($H493,Tables!$B$137:$B$140,0))),
Error!$B$15,
IF(AND($E493&lt;&gt;"Tier 2",$E493&lt;&gt;"Tier 2 Grove",$E493&lt;&gt;"Tier 3",$E493&lt;&gt;"Tier 4",$H493="Zoning: Green Factor",OR($D493="",$D493&lt;6)),
Error!$B$11,
IF(AND(_xlpm.baseRow,$D493&lt;6,$E493="&lt;6in DSH for Tree Points",_xlpm.TreePoints_H=0),
Error!$B$21,
IF(AND(_xlpm.baseRow,$E493&lt;&gt;"",$D493&lt;&gt;"",$F493=""),
Error!$B$4,
IF(AND(_xlpm.baseRow,$F493="Remove",OR($E493="Tier 1",$E493="Tier 2",$E493="Tier 2 Grove"),COUNTBLANK(_xlpm.HRange)&lt;3,_xlpm.uniqueH&gt;=2),
Error!$B$48,
IF(AND(_xlpm.baseRow,$F493="Retain",OR($E493="Tier 1",$E493="Tier 2",$E493="Tier 2 Grove"),COUNTIF(_xlpm.HRange,"Tree Code: Required to Retain Tier 1-2 Tree")=0),
Error!$B$47,
IF(AND(_xlpm.baseRow,$E493&lt;&gt;"",$D493&lt;&gt;"",$F493&lt;&gt;"",COUNTBLANK(_xlpm.HRange)=4),
Error!$B$5,
IF(AND($F493="Remove",$H493&lt;&gt;"",$I493=""),
Error!$B$18,
IF(AND($E493="Tier 4",$F493="Remove",$H493="Tree Protection Code: Tier 3 or Tier 4 Allowance",$H493&lt;&gt;"",ISNA(MATCH($I493,Tables!$B$200,0))),
Error!$B$17,
IF(AND($E493="Tier 3",$F493="Remove",$H493&lt;&gt;"",$H493="Tree Protection Code: Tier 3 or Tier 4 Allowance",OR($I493="",ISNA(MATCH($I493,Tables!$B$193:$B$197,0)))),
Error!$B$17,
IF(AND(OR($E493="Tier 2",$E493="Tier 2 Grove"),$F493="Remove",$H493="Tree Protection Code: Other removal allowance or exemption",$I493&lt;&gt;"",ISNA(MATCH($I493,Tables!$B$215:$B$218,0))),
Error!$B$17,
IF(AND(OR($E493="Tier 2",$E493="Tier 2 Grove"),$F493="Remove",$H493="Tree Protection Code: Development Capacity",$I493&lt;&gt;"",ISNA(MATCH($I493,Tables!$B$193:$B$197,0))),
Error!$B$17,
IF(AND(OR($E493="Tier 2",$E493="Tier 2 Grove"),$F493="Remove",$H493="Tree Protection Code: Necessary for Construction",$I493&lt;&gt;"",ISNA(MATCH($I493,Tables!$B$193:$B$197,0))),
Error!$B$17,
IF(AND($E493="Tier 1",$F493="Remove",$H493="Tree Protection Code: Special Exception",$I493&lt;&gt;"",ISNA(MATCH($I493,Tables!$B$215:$B$218,0))),
Error!$B$17,
IF(AND($E493="Tier 1",$F493="Remove",$H493="Tree Protection Code: Other removal allowance or exemption",$I493&lt;&gt;"",ISNA(MATCH($I493,Tables!$B$215:$B$218,0))),
Error!$B$17,
IF(AND($E493="ECA / Shoreline Tree",$F493="Remove",$H493&lt;&gt;"",OR($H493="Shoreline",$H493="Environmental Critical Area (ECA)"),ISNA(MATCH($I493,Tables!$B$209:$B$212,0))),
Error!$B$17,
IF(AND(_xlpm.baseRow,$F493="Retain",$E493="ECA / Shoreline Tree",_xlpm.ECA_Short=0),
Error!$B$61,
IF(AND($F493="Remove",ISNUMBER(MATCH($E493,{"Tier 1","Tier 2","Tier 3","Tier 4","Tier 2 Grove"},0)),ISNUMBER(MATCH($I493,{"On-site replacement","Off-site replacement"},0)),$J493="",$H493&lt;&gt;""),
Error!$B$19,
IF(AND(_xlpm.baseRow,$E493&lt;&gt;"",$D493&lt;&gt;"",$F493&lt;&gt;"",COUNTBLANK($B493:$C493)&gt;0,COUNTBLANK(_xlpm.HRange)&lt;&gt;4),
Error!$B$22,
IF(AND($H493="Zoning: Tree Points",$K493&lt;&gt;"",ISNA(MATCH($K493,Tables!$B$242:$B$253,0))),
Error!$B$58,
IF(AND($H493="Zoning: Tree Points",$K493="Small",$L493&lt;&gt;"",ISNA(MATCH($L493,Tables!$C$243:$C$244,0))),
Error!$B$59,
IF(AND($H493="Zoning: Tree Points",$K493="Small/Medium",$L493&lt;&gt;"",ISNA(MATCH($L493,Tables!$C$246:$C$247,0))),
Error!$B$59,
IF(AND($H493="Zoning: Tree Points",$K493="Medium/Large",$L493&lt;&gt;"",ISNA(MATCH($L493,Tables!$C$249:$C$250,0))),
Error!$B$59,
IF(AND($H493="Zoning: Tree Points",$K493="Large",$L493&lt;&gt;"",ISNA(MATCH($L493,Tables!$C$252:$C$253,0))),
Error!$B$59,
IF(AND($F493="Retain",$H493="Zoning: Tree Points",$C493&lt;&gt;"",$D493&lt;&gt;"",OR($K493="",$L493="",$M493="")),
Error!$B$20,
""
)))))))))))))))))))))))))))))))))))))))))))))))))))))))),
Error!$B$23))</f>
        <v/>
      </c>
      <c r="O493" s="343" t="str" cm="1">
        <f t="array" aca="1" ref="O493" ca="1">IFERROR(_xlfn.LET(
    _xlpm.txt, $C493,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94" spans="1:15" ht="15" thickBot="1" x14ac:dyDescent="0.35">
      <c r="A494" s="331"/>
      <c r="B494" s="616" t="str">
        <f t="shared" si="563"/>
        <v/>
      </c>
      <c r="C494" s="617" t="str">
        <f t="shared" si="564"/>
        <v/>
      </c>
      <c r="D494" s="618" t="str">
        <f t="shared" si="565"/>
        <v/>
      </c>
      <c r="E494" s="616" t="str">
        <f t="shared" si="566"/>
        <v/>
      </c>
      <c r="F494" s="616" t="str">
        <f t="shared" si="567"/>
        <v/>
      </c>
      <c r="G494" s="619" t="str">
        <f>IF(Tree_Table1[[#This Row],[Tree Status  &amp;]]="Retain", Tables!$B$237, IF(Tree_Table1[[#This Row],[Tree Status  &amp;]]="Remove", Tables!$B$238, ""))</f>
        <v/>
      </c>
      <c r="H494" s="329"/>
      <c r="I494" s="330"/>
      <c r="J494" s="455"/>
      <c r="K494" s="327" t="str">
        <f>IFERROR(
    IF(
        AND($H494="Zoning: Tree Points", NOT(ISNUMBER(SEARCH("sp.", $C494)))),
        VLOOKUP($C494, 'Tree List'!$C$3:$F$601, 4, FALSE),
        ""
    ),
"")</f>
        <v/>
      </c>
      <c r="L494" s="328" t="str" cm="1">
        <f t="array" ref="L494">IFERROR(
IF(
    AND($H494="Zoning: Tree Points", NOT(ISNUMBER(SEARCH("sp.", $C494)))),
    _xlfn.IFS(
        (COUNTIFS('Tree List'!$C$3:$C$601,$C494,'Tree List'!$D$3:$D$601,"Coniferous")
        + COUNTIFS('Tree List'!$C$3:$C$601,$C494,'Tree List'!$D$3:$D$601,"Deciduous Conifer")) &gt; 0,
            _xlfn.IFS($K494="Small",0.5,$K494="Small/Medium",1,$K494="Medium/Large",1.4,$K494="Large",1.8),
        (COUNTIFS('Tree List'!$C$3:$C$601,$C494,'Tree List'!$D$3:$D$601,"Deciduous")
        + COUNTIFS('Tree List'!$C$3:$C$601,$C494,'Tree List'!$D$3:$D$601,"Broadleaf Evergreen")) &gt; 0,
            _xlfn.IFS($K494="Small",0.4,$K494="Small/Medium",0.8,$K494="Medium/Large",1.2,$K494="Large",1.6)
    ),
    ""
),
"")</f>
        <v/>
      </c>
      <c r="M494" s="476" t="str">
        <f t="shared" si="492"/>
        <v/>
      </c>
      <c r="N494" s="347" t="str" cm="1">
        <f t="array" aca="1" ref="N49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IF(AND(_xlpm.baseRow,ISNA(MATCH($C494,'Tree List'!$C$3:$C$601,0)),SUMPRODUCT(--ISNUMBER(SEARCH(Tables2!$C$677:$C$772,$O494)))&gt;0),
Error!$B$57,
IF(AND(_xlpm.hasDM,$F494="Remove",$H494&lt;&gt;"",OR($I494="On-site replacement",$I494="Off-site replacement",$I494="Payment In Lieu")),
Error!$B$56,
IF(AND(_xlpm.hasDM,$F494="Remove",$H494&lt;&gt;"",$I494="Relocation"),
Error!$B$66,
IF(AND(OR(_xlpm.hasCN,_xlpm.hasPH,_xlpm.hasGR),$H494&lt;&gt;"",COUNTIF(Tables!$B$132:$B$134,$H494)&gt;0,$I494="N/A (No replacement required)"),
Error!$B$62,
IF(AND(_xlpm.baseRow,$E494&lt;&gt;"",ISNA(MATCH($E494,Tables!$B$225:$B$232,0))),
Error!$B$2,
IF(AND(_xlpm.baseRow,$F494&lt;&gt;"",ISNA(MATCH($F494,Tables!$B$234:$B$235,0))),
Error!$B$24,
IF(AND(_xlpm.baseRow,_xlpm.ECA_H&gt;0,_xlpm.Shore_H&gt;0),
Error!$B$16,
IF(AND(_xlpm.baseRow,$E494&lt;&gt;"",$D494=""),
Error!$B$3,
IF(AND(_xlpm.baseRow,OR($E494="Tier 3",$E494="Tier 4"),$C494&lt;&gt;"",$D494&gt;=24,COUNTIF(Tables2!$B$166:$B$674,$C494)&gt;0),
Error!$B$44,
IF(AND(_xlpm.baseRow,OR($E494="Tier 3",$E494="Tier 4"),$C494&lt;&gt;"",$D494&lt;&gt;"",COUNTIF(Tables2!$B$73:$B$152,$C494)&gt;0,
$D494&gt;=IFERROR(INDEX(Tables2!$C$73:$C$152,MATCH($C494,Tables2!$B$73:$B$152,0)),-1)),
Error!$B$44,
IF(AND(_xlpm.baseRow,OR($E494="Tier 2",$E494="Tier 2 Grove"),$C494&lt;&gt;"",$D494&gt;=12,COUNTIF(Tables2!$B$153:$B$162,$C494)&gt;0),
Error!$B$45,
IF(AND(_xlpm.baseRow,$E494="Tier 2 Grove",$D494&lt;12),
Error!$B$41,
IF(AND(_xlpm.baseRow,$E494="Tier 2",$D494&lt;5.88),
Error!$B$40,
IF(AND(_xlpm.baseRow,OR($E494="Tier 2",$E494="Tier 2 Grove"),$C494&lt;&gt;"",$D494&lt;12,$D494&gt;=6,COUNTIF(Tables2!$B$153:$B$162,$C494)&gt;0),
Error!$B$54,
IF(AND(_xlpm.baseRow,$E494="Tier 2",COUNTIF(Tables2!$B$166:$B$674,$C494)&gt;0,$D494&lt;24),
Error!$B$54,
IF(AND(_xlpm.baseRow,$E494="Tier 3",ISNA(MATCH($C494,Tables2!$B$153:$B$162,0)),OR($D494&lt;12,$D494&gt;=24)),
Error!$B$9,
IF(AND(_xlpm.baseRow,$E494="Tier 3",COUNTIF(Tables2!$B$153:$B$162,$C494)&gt;0,$D494&lt;12),
Error!$B$46,
IF(AND(_xlpm.baseRow,$E494="Tier 4",OR($D494&lt;6,$D494&gt;=12)),
Error!$B$10,
IF(AND(_xlpm.baseRow,$E494="&lt;6in DSH for Tree Points",OR($D494&gt;=6,$D494="")),
Error!$B$8,
IF(AND(_xlpm.baseRow,$E494="Street Tree for Green Factor",$F494&lt;&gt;"",$F494&lt;&gt;"Retain"),
Error!$B$14,
IF(AND($E494="&lt;6in DSH for Tree Points",$F494="Retain",$H494&lt;&gt;"",ISNA(MATCH($H494,Tables!$B$174:$B$174,0))),
Error!$B$15,
IF(AND($E494="Street Tree for Green Factor",$F494="Retain",$H494&lt;&gt;"",$H494&lt;&gt;"Zoning: Green Factor"),
Error!$B$15,
IF(AND($E494="ECA / Shoreline Tree",$F494="Remove",$H494&lt;&gt;"",ISNA(MATCH($H494,Tables!$B$189:$B$190,0))),
Error!$B$15,
IF(AND($E494="ECA / Shoreline Tree",$F494="Retain",$H494&lt;&gt;"",ISNA(MATCH($H494,Tables!$B$184:$B$186,0))),
Error!$B$15,
IF(AND($E494="Tier 4",$F494="Remove",$H494&lt;&gt;"",ISNA(MATCH($H494,Tables!$B$171,0))),
Error!$B$15,
IF(AND($E494="Tier 4",$F494="Retain",$H494&lt;&gt;"",ISNA(MATCH($H494,Tables!$B$166:$B$168,0))),
Error!$B$15,
IF(AND($E494="Tier 3",$F494="Retain",$H494&lt;&gt;"",ISNA(MATCH($H494,Tables!$B$158:$B$160,0))),
Error!$B$15,
IF(AND($E494="Tier 3",$F494="Remove",$H494&lt;&gt;"",ISNA(MATCH($H494,Tables!$B$163,0))),
Error!$B$15,
IF(AND(OR($E494="Tier 2",$E494="Tier 2 Grove"),$F494="Remove",$H494&lt;&gt;"",ISNA(MATCH($H494,Tables!$B$153:$B$155,0))),
Error!$B$15,
IF(AND(OR($E494="Tier 2",$E494="Tier 2 Grove"),$F494="Retain",$H494&lt;&gt;"",ISNA(MATCH($H494,Tables!$B$147:$B$150,0))),
Error!$B$15,
IF(AND($E494="Tier 1",$F494="Remove",$H494&lt;&gt;"",ISNA(MATCH($H494,Tables!$B$143:$B$144,0))),
Error!$B$15,
IF(AND($E494="Tier 1",$F494="Retain",$H494&lt;&gt;"",ISNA(MATCH($H494,Tables!$B$137:$B$140,0))),
Error!$B$15,
IF(AND($E494&lt;&gt;"Tier 2",$E494&lt;&gt;"Tier 2 Grove",$E494&lt;&gt;"Tier 3",$E494&lt;&gt;"Tier 4",$H494="Zoning: Green Factor",OR($D494="",$D494&lt;6)),
Error!$B$11,
IF(AND(_xlpm.baseRow,$D494&lt;6,$E494="&lt;6in DSH for Tree Points",_xlpm.TreePoints_H=0),
Error!$B$21,
IF(AND(_xlpm.baseRow,$E494&lt;&gt;"",$D494&lt;&gt;"",$F494=""),
Error!$B$4,
IF(AND(_xlpm.baseRow,$F494="Remove",OR($E494="Tier 1",$E494="Tier 2",$E494="Tier 2 Grove"),COUNTBLANK(_xlpm.HRange)&lt;3,_xlpm.uniqueH&gt;=2),
Error!$B$48,
IF(AND(_xlpm.baseRow,$F494="Retain",OR($E494="Tier 1",$E494="Tier 2",$E494="Tier 2 Grove"),COUNTIF(_xlpm.HRange,"Tree Code: Required to Retain Tier 1-2 Tree")=0),
Error!$B$47,
IF(AND(_xlpm.baseRow,$E494&lt;&gt;"",$D494&lt;&gt;"",$F494&lt;&gt;"",COUNTBLANK(_xlpm.HRange)=4),
Error!$B$5,
IF(AND($F494="Remove",$H494&lt;&gt;"",$I494=""),
Error!$B$18,
IF(AND($E494="Tier 4",$F494="Remove",$H494="Tree Protection Code: Tier 3 or Tier 4 Allowance",$H494&lt;&gt;"",ISNA(MATCH($I494,Tables!$B$200,0))),
Error!$B$17,
IF(AND($E494="Tier 3",$F494="Remove",$H494&lt;&gt;"",$H494="Tree Protection Code: Tier 3 or Tier 4 Allowance",OR($I494="",ISNA(MATCH($I494,Tables!$B$193:$B$197,0)))),
Error!$B$17,
IF(AND(OR($E494="Tier 2",$E494="Tier 2 Grove"),$F494="Remove",$H494="Tree Protection Code: Other removal allowance or exemption",$I494&lt;&gt;"",ISNA(MATCH($I494,Tables!$B$215:$B$218,0))),
Error!$B$17,
IF(AND(OR($E494="Tier 2",$E494="Tier 2 Grove"),$F494="Remove",$H494="Tree Protection Code: Development Capacity",$I494&lt;&gt;"",ISNA(MATCH($I494,Tables!$B$193:$B$197,0))),
Error!$B$17,
IF(AND(OR($E494="Tier 2",$E494="Tier 2 Grove"),$F494="Remove",$H494="Tree Protection Code: Necessary for Construction",$I494&lt;&gt;"",ISNA(MATCH($I494,Tables!$B$193:$B$197,0))),
Error!$B$17,
IF(AND($E494="Tier 1",$F494="Remove",$H494="Tree Protection Code: Special Exception",$I494&lt;&gt;"",ISNA(MATCH($I494,Tables!$B$215:$B$218,0))),
Error!$B$17,
IF(AND($E494="Tier 1",$F494="Remove",$H494="Tree Protection Code: Other removal allowance or exemption",$I494&lt;&gt;"",ISNA(MATCH($I494,Tables!$B$215:$B$218,0))),
Error!$B$17,
IF(AND($E494="ECA / Shoreline Tree",$F494="Remove",$H494&lt;&gt;"",OR($H494="Shoreline",$H494="Environmental Critical Area (ECA)"),ISNA(MATCH($I494,Tables!$B$209:$B$212,0))),
Error!$B$17,
IF(AND(_xlpm.baseRow,$F494="Retain",$E494="ECA / Shoreline Tree",_xlpm.ECA_Short=0),
Error!$B$61,
IF(AND($F494="Remove",ISNUMBER(MATCH($E494,{"Tier 1","Tier 2","Tier 3","Tier 4","Tier 2 Grove"},0)),ISNUMBER(MATCH($I494,{"On-site replacement","Off-site replacement"},0)),$J494="",$H494&lt;&gt;""),
Error!$B$19,
IF(AND(_xlpm.baseRow,$E494&lt;&gt;"",$D494&lt;&gt;"",$F494&lt;&gt;"",COUNTBLANK($B494:$C494)&gt;0,COUNTBLANK(_xlpm.HRange)&lt;&gt;4),
Error!$B$22,
IF(AND($H494="Zoning: Tree Points",$K494&lt;&gt;"",ISNA(MATCH($K494,Tables!$B$242:$B$253,0))),
Error!$B$58,
IF(AND($H494="Zoning: Tree Points",$K494="Small",$L494&lt;&gt;"",ISNA(MATCH($L494,Tables!$C$243:$C$244,0))),
Error!$B$59,
IF(AND($H494="Zoning: Tree Points",$K494="Small/Medium",$L494&lt;&gt;"",ISNA(MATCH($L494,Tables!$C$246:$C$247,0))),
Error!$B$59,
IF(AND($H494="Zoning: Tree Points",$K494="Medium/Large",$L494&lt;&gt;"",ISNA(MATCH($L494,Tables!$C$249:$C$250,0))),
Error!$B$59,
IF(AND($H494="Zoning: Tree Points",$K494="Large",$L494&lt;&gt;"",ISNA(MATCH($L494,Tables!$C$252:$C$253,0))),
Error!$B$59,
IF(AND($F494="Retain",$H494="Zoning: Tree Points",$C494&lt;&gt;"",$D494&lt;&gt;"",OR($K494="",$L494="",$M494="")),
Error!$B$20,
""
)))))))))))))))))))))))))))))))))))))))))))))))))))))))),
Error!$B$23))</f>
        <v/>
      </c>
      <c r="O494" s="343" t="str" cm="1">
        <f t="array" aca="1" ref="O494" ca="1">IFERROR(_xlfn.LET(
    _xlpm.txt, $C494,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95" spans="1:15" ht="15" thickBot="1" x14ac:dyDescent="0.35">
      <c r="A495" s="311">
        <v>122</v>
      </c>
      <c r="B495" s="312"/>
      <c r="C495" s="313"/>
      <c r="D495" s="478"/>
      <c r="E495" s="314"/>
      <c r="F495" s="314"/>
      <c r="G495" s="315" t="str">
        <f>IF(Tree_Table1[[#This Row],[Tree Status  &amp;]]="Retain", Tables!$B$237, IF(Tree_Table1[[#This Row],[Tree Status  &amp;]]="Remove", Tables!$B$238, ""))</f>
        <v/>
      </c>
      <c r="H495" s="316"/>
      <c r="I495" s="317"/>
      <c r="J495" s="452"/>
      <c r="K495" s="318" t="str">
        <f>IFERROR(
    IF(
        AND($H495="Zoning: Tree Points", NOT(ISNUMBER(SEARCH("sp.", $C495)))),
        VLOOKUP($C495, 'Tree List'!$C$3:$F$601, 4, FALSE),
        ""
    ),
"")</f>
        <v/>
      </c>
      <c r="L495" s="319" t="str" cm="1">
        <f t="array" ref="L495">IFERROR(
IF(
    AND($H495="Zoning: Tree Points", NOT(ISNUMBER(SEARCH("sp.", $C495)))),
    _xlfn.IFS(
        (COUNTIFS('Tree List'!$C$3:$C$601,$C495,'Tree List'!$D$3:$D$601,"Coniferous")
        + COUNTIFS('Tree List'!$C$3:$C$601,$C495,'Tree List'!$D$3:$D$601,"Deciduous Conifer")) &gt; 0,
            _xlfn.IFS($K495="Small",0.5,$K495="Small/Medium",1,$K495="Medium/Large",1.4,$K495="Large",1.8),
        (COUNTIFS('Tree List'!$C$3:$C$601,$C495,'Tree List'!$D$3:$D$601,"Deciduous")
        + COUNTIFS('Tree List'!$C$3:$C$601,$C495,'Tree List'!$D$3:$D$601,"Broadleaf Evergreen")) &gt; 0,
            _xlfn.IFS($K495="Small",0.4,$K495="Small/Medium",0.8,$K495="Medium/Large",1.2,$K495="Large",1.6)
    ),
    ""
),
"")</f>
        <v/>
      </c>
      <c r="M495" s="474" t="str">
        <f t="shared" si="492"/>
        <v/>
      </c>
      <c r="N495" s="620" t="str" cm="1">
        <f t="array" aca="1" ref="N49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IF(AND(_xlpm.baseRow,ISNA(MATCH($C495,'Tree List'!$C$3:$C$601,0)),SUMPRODUCT(--ISNUMBER(SEARCH(Tables2!$C$677:$C$772,$O495)))&gt;0),
Error!$B$57,
IF(AND(_xlpm.hasDM,$F495="Remove",$H495&lt;&gt;"",OR($I495="On-site replacement",$I495="Off-site replacement",$I495="Payment In Lieu")),
Error!$B$56,
IF(AND(_xlpm.hasDM,$F495="Remove",$H495&lt;&gt;"",$I495="Relocation"),
Error!$B$66,
IF(AND(OR(_xlpm.hasCN,_xlpm.hasPH,_xlpm.hasGR),$H495&lt;&gt;"",COUNTIF(Tables!$B$132:$B$134,$H495)&gt;0,$I495="N/A (No replacement required)"),
Error!$B$62,
IF(AND(_xlpm.baseRow,$E495&lt;&gt;"",ISNA(MATCH($E495,Tables!$B$225:$B$232,0))),
Error!$B$2,
IF(AND(_xlpm.baseRow,$F495&lt;&gt;"",ISNA(MATCH($F495,Tables!$B$234:$B$235,0))),
Error!$B$24,
IF(AND(_xlpm.baseRow,_xlpm.ECA_H&gt;0,_xlpm.Shore_H&gt;0),
Error!$B$16,
IF(AND(_xlpm.baseRow,$E495&lt;&gt;"",$D495=""),
Error!$B$3,
IF(AND(_xlpm.baseRow,OR($E495="Tier 3",$E495="Tier 4"),$C495&lt;&gt;"",$D495&gt;=24,COUNTIF(Tables2!$B$166:$B$674,$C495)&gt;0),
Error!$B$44,
IF(AND(_xlpm.baseRow,OR($E495="Tier 3",$E495="Tier 4"),$C495&lt;&gt;"",$D495&lt;&gt;"",COUNTIF(Tables2!$B$73:$B$152,$C495)&gt;0,
$D495&gt;=IFERROR(INDEX(Tables2!$C$73:$C$152,MATCH($C495,Tables2!$B$73:$B$152,0)),-1)),
Error!$B$44,
IF(AND(_xlpm.baseRow,OR($E495="Tier 2",$E495="Tier 2 Grove"),$C495&lt;&gt;"",$D495&gt;=12,COUNTIF(Tables2!$B$153:$B$162,$C495)&gt;0),
Error!$B$45,
IF(AND(_xlpm.baseRow,$E495="Tier 2 Grove",$D495&lt;12),
Error!$B$41,
IF(AND(_xlpm.baseRow,$E495="Tier 2",$D495&lt;5.88),
Error!$B$40,
IF(AND(_xlpm.baseRow,OR($E495="Tier 2",$E495="Tier 2 Grove"),$C495&lt;&gt;"",$D495&lt;12,$D495&gt;=6,COUNTIF(Tables2!$B$153:$B$162,$C495)&gt;0),
Error!$B$54,
IF(AND(_xlpm.baseRow,$E495="Tier 2",COUNTIF(Tables2!$B$166:$B$674,$C495)&gt;0,$D495&lt;24),
Error!$B$54,
IF(AND(_xlpm.baseRow,$E495="Tier 3",ISNA(MATCH($C495,Tables2!$B$153:$B$162,0)),OR($D495&lt;12,$D495&gt;=24)),
Error!$B$9,
IF(AND(_xlpm.baseRow,$E495="Tier 3",COUNTIF(Tables2!$B$153:$B$162,$C495)&gt;0,$D495&lt;12),
Error!$B$46,
IF(AND(_xlpm.baseRow,$E495="Tier 4",OR($D495&lt;6,$D495&gt;=12)),
Error!$B$10,
IF(AND(_xlpm.baseRow,$E495="&lt;6in DSH for Tree Points",OR($D495&gt;=6,$D495="")),
Error!$B$8,
IF(AND(_xlpm.baseRow,$E495="Street Tree for Green Factor",$F495&lt;&gt;"",$F495&lt;&gt;"Retain"),
Error!$B$14,
IF(AND($E495="&lt;6in DSH for Tree Points",$F495="Retain",$H495&lt;&gt;"",ISNA(MATCH($H495,Tables!$B$174:$B$174,0))),
Error!$B$15,
IF(AND($E495="Street Tree for Green Factor",$F495="Retain",$H495&lt;&gt;"",$H495&lt;&gt;"Zoning: Green Factor"),
Error!$B$15,
IF(AND($E495="ECA / Shoreline Tree",$F495="Remove",$H495&lt;&gt;"",ISNA(MATCH($H495,Tables!$B$189:$B$190,0))),
Error!$B$15,
IF(AND($E495="ECA / Shoreline Tree",$F495="Retain",$H495&lt;&gt;"",ISNA(MATCH($H495,Tables!$B$184:$B$186,0))),
Error!$B$15,
IF(AND($E495="Tier 4",$F495="Remove",$H495&lt;&gt;"",ISNA(MATCH($H495,Tables!$B$171,0))),
Error!$B$15,
IF(AND($E495="Tier 4",$F495="Retain",$H495&lt;&gt;"",ISNA(MATCH($H495,Tables!$B$166:$B$168,0))),
Error!$B$15,
IF(AND($E495="Tier 3",$F495="Retain",$H495&lt;&gt;"",ISNA(MATCH($H495,Tables!$B$158:$B$160,0))),
Error!$B$15,
IF(AND($E495="Tier 3",$F495="Remove",$H495&lt;&gt;"",ISNA(MATCH($H495,Tables!$B$163,0))),
Error!$B$15,
IF(AND(OR($E495="Tier 2",$E495="Tier 2 Grove"),$F495="Remove",$H495&lt;&gt;"",ISNA(MATCH($H495,Tables!$B$153:$B$155,0))),
Error!$B$15,
IF(AND(OR($E495="Tier 2",$E495="Tier 2 Grove"),$F495="Retain",$H495&lt;&gt;"",ISNA(MATCH($H495,Tables!$B$147:$B$150,0))),
Error!$B$15,
IF(AND($E495="Tier 1",$F495="Remove",$H495&lt;&gt;"",ISNA(MATCH($H495,Tables!$B$143:$B$144,0))),
Error!$B$15,
IF(AND($E495="Tier 1",$F495="Retain",$H495&lt;&gt;"",ISNA(MATCH($H495,Tables!$B$137:$B$140,0))),
Error!$B$15,
IF(AND($E495&lt;&gt;"Tier 2",$E495&lt;&gt;"Tier 2 Grove",$E495&lt;&gt;"Tier 3",$E495&lt;&gt;"Tier 4",$H495="Zoning: Green Factor",OR($D495="",$D495&lt;6)),
Error!$B$11,
IF(AND(_xlpm.baseRow,$D495&lt;6,$E495="&lt;6in DSH for Tree Points",_xlpm.TreePoints_H=0),
Error!$B$21,
IF(AND(_xlpm.baseRow,$E495&lt;&gt;"",$D495&lt;&gt;"",$F495=""),
Error!$B$4,
IF(AND(_xlpm.baseRow,$F495="Remove",OR($E495="Tier 1",$E495="Tier 2",$E495="Tier 2 Grove"),COUNTBLANK(_xlpm.HRange)&lt;3,_xlpm.uniqueH&gt;=2),
Error!$B$48,
IF(AND(_xlpm.baseRow,$F495="Retain",OR($E495="Tier 1",$E495="Tier 2",$E495="Tier 2 Grove"),COUNTIF(_xlpm.HRange,"Tree Code: Required to Retain Tier 1-2 Tree")=0),
Error!$B$47,
IF(AND(_xlpm.baseRow,$E495&lt;&gt;"",$D495&lt;&gt;"",$F495&lt;&gt;"",COUNTBLANK(_xlpm.HRange)=4),
Error!$B$5,
IF(AND($F495="Remove",$H495&lt;&gt;"",$I495=""),
Error!$B$18,
IF(AND($E495="Tier 4",$F495="Remove",$H495="Tree Protection Code: Tier 3 or Tier 4 Allowance",$H495&lt;&gt;"",ISNA(MATCH($I495,Tables!$B$200,0))),
Error!$B$17,
IF(AND($E495="Tier 3",$F495="Remove",$H495&lt;&gt;"",$H495="Tree Protection Code: Tier 3 or Tier 4 Allowance",OR($I495="",ISNA(MATCH($I495,Tables!$B$193:$B$197,0)))),
Error!$B$17,
IF(AND(OR($E495="Tier 2",$E495="Tier 2 Grove"),$F495="Remove",$H495="Tree Protection Code: Other removal allowance or exemption",$I495&lt;&gt;"",ISNA(MATCH($I495,Tables!$B$215:$B$218,0))),
Error!$B$17,
IF(AND(OR($E495="Tier 2",$E495="Tier 2 Grove"),$F495="Remove",$H495="Tree Protection Code: Development Capacity",$I495&lt;&gt;"",ISNA(MATCH($I495,Tables!$B$193:$B$197,0))),
Error!$B$17,
IF(AND(OR($E495="Tier 2",$E495="Tier 2 Grove"),$F495="Remove",$H495="Tree Protection Code: Necessary for Construction",$I495&lt;&gt;"",ISNA(MATCH($I495,Tables!$B$193:$B$197,0))),
Error!$B$17,
IF(AND($E495="Tier 1",$F495="Remove",$H495="Tree Protection Code: Special Exception",$I495&lt;&gt;"",ISNA(MATCH($I495,Tables!$B$215:$B$218,0))),
Error!$B$17,
IF(AND($E495="Tier 1",$F495="Remove",$H495="Tree Protection Code: Other removal allowance or exemption",$I495&lt;&gt;"",ISNA(MATCH($I495,Tables!$B$215:$B$218,0))),
Error!$B$17,
IF(AND($E495="ECA / Shoreline Tree",$F495="Remove",$H495&lt;&gt;"",OR($H495="Shoreline",$H495="Environmental Critical Area (ECA)"),ISNA(MATCH($I495,Tables!$B$209:$B$212,0))),
Error!$B$17,
IF(AND(_xlpm.baseRow,$F495="Retain",$E495="ECA / Shoreline Tree",_xlpm.ECA_Short=0),
Error!$B$61,
IF(AND($F495="Remove",ISNUMBER(MATCH($E495,{"Tier 1","Tier 2","Tier 3","Tier 4","Tier 2 Grove"},0)),ISNUMBER(MATCH($I495,{"On-site replacement","Off-site replacement"},0)),$J495="",$H495&lt;&gt;""),
Error!$B$19,
IF(AND(_xlpm.baseRow,$E495&lt;&gt;"",$D495&lt;&gt;"",$F495&lt;&gt;"",COUNTBLANK($B495:$C495)&gt;0,COUNTBLANK(_xlpm.HRange)&lt;&gt;4),
Error!$B$22,
IF(AND($H495="Zoning: Tree Points",$K495&lt;&gt;"",ISNA(MATCH($K495,Tables!$B$242:$B$253,0))),
Error!$B$58,
IF(AND($H495="Zoning: Tree Points",$K495="Small",$L495&lt;&gt;"",ISNA(MATCH($L495,Tables!$C$243:$C$244,0))),
Error!$B$59,
IF(AND($H495="Zoning: Tree Points",$K495="Small/Medium",$L495&lt;&gt;"",ISNA(MATCH($L495,Tables!$C$246:$C$247,0))),
Error!$B$59,
IF(AND($H495="Zoning: Tree Points",$K495="Medium/Large",$L495&lt;&gt;"",ISNA(MATCH($L495,Tables!$C$249:$C$250,0))),
Error!$B$59,
IF(AND($H495="Zoning: Tree Points",$K495="Large",$L495&lt;&gt;"",ISNA(MATCH($L495,Tables!$C$252:$C$253,0))),
Error!$B$59,
IF(AND($F495="Retain",$H495="Zoning: Tree Points",$C495&lt;&gt;"",$D495&lt;&gt;"",OR($K495="",$L495="",$M495="")),
Error!$B$20,
""
)))))))))))))))))))))))))))))))))))))))))))))))))))))))),
Error!$B$23))</f>
        <v/>
      </c>
      <c r="O495" s="343" t="str" cm="1">
        <f t="array" aca="1" ref="O495" ca="1">IFERROR(_xlfn.LET(
    _xlpm.txt, $C495,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96" spans="1:15" x14ac:dyDescent="0.3">
      <c r="A496" s="320"/>
      <c r="B496" s="616" t="str">
        <f t="shared" ref="B496:B498" si="568">IF($B495="", "", $B495)</f>
        <v/>
      </c>
      <c r="C496" s="617" t="str">
        <f t="shared" ref="C496:C498" si="569">IF($C495="", "", $C495)</f>
        <v/>
      </c>
      <c r="D496" s="618" t="str">
        <f t="shared" ref="D496:D498" si="570">IF($D495="", "", $D495)</f>
        <v/>
      </c>
      <c r="E496" s="616" t="str">
        <f t="shared" ref="E496:E498" si="571">IF($E495="", "", $E495)</f>
        <v/>
      </c>
      <c r="F496" s="616" t="str">
        <f t="shared" ref="F496:F498" si="572">IF($F495="", "", $F495)</f>
        <v/>
      </c>
      <c r="G496" s="619" t="str">
        <f>IF(Tree_Table1[[#This Row],[Tree Status  &amp;]]="Retain", Tables!$B$237, IF(Tree_Table1[[#This Row],[Tree Status  &amp;]]="Remove", Tables!$B$238, ""))</f>
        <v/>
      </c>
      <c r="H496" s="321"/>
      <c r="I496" s="322"/>
      <c r="J496" s="453"/>
      <c r="K496" s="323" t="str">
        <f>IFERROR(
    IF(
        AND($H496="Zoning: Tree Points", NOT(ISNUMBER(SEARCH("sp.", $C496)))),
        VLOOKUP($C496, 'Tree List'!$C$3:$F$601, 4, FALSE),
        ""
    ),
"")</f>
        <v/>
      </c>
      <c r="L496" s="324" t="str" cm="1">
        <f t="array" ref="L496">IFERROR(
IF(
    AND($H496="Zoning: Tree Points", NOT(ISNUMBER(SEARCH("sp.", $C496)))),
    _xlfn.IFS(
        (COUNTIFS('Tree List'!$C$3:$C$601,$C496,'Tree List'!$D$3:$D$601,"Coniferous")
        + COUNTIFS('Tree List'!$C$3:$C$601,$C496,'Tree List'!$D$3:$D$601,"Deciduous Conifer")) &gt; 0,
            _xlfn.IFS($K496="Small",0.5,$K496="Small/Medium",1,$K496="Medium/Large",1.4,$K496="Large",1.8),
        (COUNTIFS('Tree List'!$C$3:$C$601,$C496,'Tree List'!$D$3:$D$601,"Deciduous")
        + COUNTIFS('Tree List'!$C$3:$C$601,$C496,'Tree List'!$D$3:$D$601,"Broadleaf Evergreen")) &gt; 0,
            _xlfn.IFS($K496="Small",0.4,$K496="Small/Medium",0.8,$K496="Medium/Large",1.2,$K496="Large",1.6)
    ),
    ""
),
"")</f>
        <v/>
      </c>
      <c r="M496" s="475" t="str">
        <f t="shared" si="492"/>
        <v/>
      </c>
      <c r="N496" s="346" t="str" cm="1">
        <f t="array" aca="1" ref="N49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IF(AND(_xlpm.baseRow,ISNA(MATCH($C496,'Tree List'!$C$3:$C$601,0)),SUMPRODUCT(--ISNUMBER(SEARCH(Tables2!$C$677:$C$772,$O496)))&gt;0),
Error!$B$57,
IF(AND(_xlpm.hasDM,$F496="Remove",$H496&lt;&gt;"",OR($I496="On-site replacement",$I496="Off-site replacement",$I496="Payment In Lieu")),
Error!$B$56,
IF(AND(_xlpm.hasDM,$F496="Remove",$H496&lt;&gt;"",$I496="Relocation"),
Error!$B$66,
IF(AND(OR(_xlpm.hasCN,_xlpm.hasPH,_xlpm.hasGR),$H496&lt;&gt;"",COUNTIF(Tables!$B$132:$B$134,$H496)&gt;0,$I496="N/A (No replacement required)"),
Error!$B$62,
IF(AND(_xlpm.baseRow,$E496&lt;&gt;"",ISNA(MATCH($E496,Tables!$B$225:$B$232,0))),
Error!$B$2,
IF(AND(_xlpm.baseRow,$F496&lt;&gt;"",ISNA(MATCH($F496,Tables!$B$234:$B$235,0))),
Error!$B$24,
IF(AND(_xlpm.baseRow,_xlpm.ECA_H&gt;0,_xlpm.Shore_H&gt;0),
Error!$B$16,
IF(AND(_xlpm.baseRow,$E496&lt;&gt;"",$D496=""),
Error!$B$3,
IF(AND(_xlpm.baseRow,OR($E496="Tier 3",$E496="Tier 4"),$C496&lt;&gt;"",$D496&gt;=24,COUNTIF(Tables2!$B$166:$B$674,$C496)&gt;0),
Error!$B$44,
IF(AND(_xlpm.baseRow,OR($E496="Tier 3",$E496="Tier 4"),$C496&lt;&gt;"",$D496&lt;&gt;"",COUNTIF(Tables2!$B$73:$B$152,$C496)&gt;0,
$D496&gt;=IFERROR(INDEX(Tables2!$C$73:$C$152,MATCH($C496,Tables2!$B$73:$B$152,0)),-1)),
Error!$B$44,
IF(AND(_xlpm.baseRow,OR($E496="Tier 2",$E496="Tier 2 Grove"),$C496&lt;&gt;"",$D496&gt;=12,COUNTIF(Tables2!$B$153:$B$162,$C496)&gt;0),
Error!$B$45,
IF(AND(_xlpm.baseRow,$E496="Tier 2 Grove",$D496&lt;12),
Error!$B$41,
IF(AND(_xlpm.baseRow,$E496="Tier 2",$D496&lt;5.88),
Error!$B$40,
IF(AND(_xlpm.baseRow,OR($E496="Tier 2",$E496="Tier 2 Grove"),$C496&lt;&gt;"",$D496&lt;12,$D496&gt;=6,COUNTIF(Tables2!$B$153:$B$162,$C496)&gt;0),
Error!$B$54,
IF(AND(_xlpm.baseRow,$E496="Tier 2",COUNTIF(Tables2!$B$166:$B$674,$C496)&gt;0,$D496&lt;24),
Error!$B$54,
IF(AND(_xlpm.baseRow,$E496="Tier 3",ISNA(MATCH($C496,Tables2!$B$153:$B$162,0)),OR($D496&lt;12,$D496&gt;=24)),
Error!$B$9,
IF(AND(_xlpm.baseRow,$E496="Tier 3",COUNTIF(Tables2!$B$153:$B$162,$C496)&gt;0,$D496&lt;12),
Error!$B$46,
IF(AND(_xlpm.baseRow,$E496="Tier 4",OR($D496&lt;6,$D496&gt;=12)),
Error!$B$10,
IF(AND(_xlpm.baseRow,$E496="&lt;6in DSH for Tree Points",OR($D496&gt;=6,$D496="")),
Error!$B$8,
IF(AND(_xlpm.baseRow,$E496="Street Tree for Green Factor",$F496&lt;&gt;"",$F496&lt;&gt;"Retain"),
Error!$B$14,
IF(AND($E496="&lt;6in DSH for Tree Points",$F496="Retain",$H496&lt;&gt;"",ISNA(MATCH($H496,Tables!$B$174:$B$174,0))),
Error!$B$15,
IF(AND($E496="Street Tree for Green Factor",$F496="Retain",$H496&lt;&gt;"",$H496&lt;&gt;"Zoning: Green Factor"),
Error!$B$15,
IF(AND($E496="ECA / Shoreline Tree",$F496="Remove",$H496&lt;&gt;"",ISNA(MATCH($H496,Tables!$B$189:$B$190,0))),
Error!$B$15,
IF(AND($E496="ECA / Shoreline Tree",$F496="Retain",$H496&lt;&gt;"",ISNA(MATCH($H496,Tables!$B$184:$B$186,0))),
Error!$B$15,
IF(AND($E496="Tier 4",$F496="Remove",$H496&lt;&gt;"",ISNA(MATCH($H496,Tables!$B$171,0))),
Error!$B$15,
IF(AND($E496="Tier 4",$F496="Retain",$H496&lt;&gt;"",ISNA(MATCH($H496,Tables!$B$166:$B$168,0))),
Error!$B$15,
IF(AND($E496="Tier 3",$F496="Retain",$H496&lt;&gt;"",ISNA(MATCH($H496,Tables!$B$158:$B$160,0))),
Error!$B$15,
IF(AND($E496="Tier 3",$F496="Remove",$H496&lt;&gt;"",ISNA(MATCH($H496,Tables!$B$163,0))),
Error!$B$15,
IF(AND(OR($E496="Tier 2",$E496="Tier 2 Grove"),$F496="Remove",$H496&lt;&gt;"",ISNA(MATCH($H496,Tables!$B$153:$B$155,0))),
Error!$B$15,
IF(AND(OR($E496="Tier 2",$E496="Tier 2 Grove"),$F496="Retain",$H496&lt;&gt;"",ISNA(MATCH($H496,Tables!$B$147:$B$150,0))),
Error!$B$15,
IF(AND($E496="Tier 1",$F496="Remove",$H496&lt;&gt;"",ISNA(MATCH($H496,Tables!$B$143:$B$144,0))),
Error!$B$15,
IF(AND($E496="Tier 1",$F496="Retain",$H496&lt;&gt;"",ISNA(MATCH($H496,Tables!$B$137:$B$140,0))),
Error!$B$15,
IF(AND($E496&lt;&gt;"Tier 2",$E496&lt;&gt;"Tier 2 Grove",$E496&lt;&gt;"Tier 3",$E496&lt;&gt;"Tier 4",$H496="Zoning: Green Factor",OR($D496="",$D496&lt;6)),
Error!$B$11,
IF(AND(_xlpm.baseRow,$D496&lt;6,$E496="&lt;6in DSH for Tree Points",_xlpm.TreePoints_H=0),
Error!$B$21,
IF(AND(_xlpm.baseRow,$E496&lt;&gt;"",$D496&lt;&gt;"",$F496=""),
Error!$B$4,
IF(AND(_xlpm.baseRow,$F496="Remove",OR($E496="Tier 1",$E496="Tier 2",$E496="Tier 2 Grove"),COUNTBLANK(_xlpm.HRange)&lt;3,_xlpm.uniqueH&gt;=2),
Error!$B$48,
IF(AND(_xlpm.baseRow,$F496="Retain",OR($E496="Tier 1",$E496="Tier 2",$E496="Tier 2 Grove"),COUNTIF(_xlpm.HRange,"Tree Code: Required to Retain Tier 1-2 Tree")=0),
Error!$B$47,
IF(AND(_xlpm.baseRow,$E496&lt;&gt;"",$D496&lt;&gt;"",$F496&lt;&gt;"",COUNTBLANK(_xlpm.HRange)=4),
Error!$B$5,
IF(AND($F496="Remove",$H496&lt;&gt;"",$I496=""),
Error!$B$18,
IF(AND($E496="Tier 4",$F496="Remove",$H496="Tree Protection Code: Tier 3 or Tier 4 Allowance",$H496&lt;&gt;"",ISNA(MATCH($I496,Tables!$B$200,0))),
Error!$B$17,
IF(AND($E496="Tier 3",$F496="Remove",$H496&lt;&gt;"",$H496="Tree Protection Code: Tier 3 or Tier 4 Allowance",OR($I496="",ISNA(MATCH($I496,Tables!$B$193:$B$197,0)))),
Error!$B$17,
IF(AND(OR($E496="Tier 2",$E496="Tier 2 Grove"),$F496="Remove",$H496="Tree Protection Code: Other removal allowance or exemption",$I496&lt;&gt;"",ISNA(MATCH($I496,Tables!$B$215:$B$218,0))),
Error!$B$17,
IF(AND(OR($E496="Tier 2",$E496="Tier 2 Grove"),$F496="Remove",$H496="Tree Protection Code: Development Capacity",$I496&lt;&gt;"",ISNA(MATCH($I496,Tables!$B$193:$B$197,0))),
Error!$B$17,
IF(AND(OR($E496="Tier 2",$E496="Tier 2 Grove"),$F496="Remove",$H496="Tree Protection Code: Necessary for Construction",$I496&lt;&gt;"",ISNA(MATCH($I496,Tables!$B$193:$B$197,0))),
Error!$B$17,
IF(AND($E496="Tier 1",$F496="Remove",$H496="Tree Protection Code: Special Exception",$I496&lt;&gt;"",ISNA(MATCH($I496,Tables!$B$215:$B$218,0))),
Error!$B$17,
IF(AND($E496="Tier 1",$F496="Remove",$H496="Tree Protection Code: Other removal allowance or exemption",$I496&lt;&gt;"",ISNA(MATCH($I496,Tables!$B$215:$B$218,0))),
Error!$B$17,
IF(AND($E496="ECA / Shoreline Tree",$F496="Remove",$H496&lt;&gt;"",OR($H496="Shoreline",$H496="Environmental Critical Area (ECA)"),ISNA(MATCH($I496,Tables!$B$209:$B$212,0))),
Error!$B$17,
IF(AND(_xlpm.baseRow,$F496="Retain",$E496="ECA / Shoreline Tree",_xlpm.ECA_Short=0),
Error!$B$61,
IF(AND($F496="Remove",ISNUMBER(MATCH($E496,{"Tier 1","Tier 2","Tier 3","Tier 4","Tier 2 Grove"},0)),ISNUMBER(MATCH($I496,{"On-site replacement","Off-site replacement"},0)),$J496="",$H496&lt;&gt;""),
Error!$B$19,
IF(AND(_xlpm.baseRow,$E496&lt;&gt;"",$D496&lt;&gt;"",$F496&lt;&gt;"",COUNTBLANK($B496:$C496)&gt;0,COUNTBLANK(_xlpm.HRange)&lt;&gt;4),
Error!$B$22,
IF(AND($H496="Zoning: Tree Points",$K496&lt;&gt;"",ISNA(MATCH($K496,Tables!$B$242:$B$253,0))),
Error!$B$58,
IF(AND($H496="Zoning: Tree Points",$K496="Small",$L496&lt;&gt;"",ISNA(MATCH($L496,Tables!$C$243:$C$244,0))),
Error!$B$59,
IF(AND($H496="Zoning: Tree Points",$K496="Small/Medium",$L496&lt;&gt;"",ISNA(MATCH($L496,Tables!$C$246:$C$247,0))),
Error!$B$59,
IF(AND($H496="Zoning: Tree Points",$K496="Medium/Large",$L496&lt;&gt;"",ISNA(MATCH($L496,Tables!$C$249:$C$250,0))),
Error!$B$59,
IF(AND($H496="Zoning: Tree Points",$K496="Large",$L496&lt;&gt;"",ISNA(MATCH($L496,Tables!$C$252:$C$253,0))),
Error!$B$59,
IF(AND($F496="Retain",$H496="Zoning: Tree Points",$C496&lt;&gt;"",$D496&lt;&gt;"",OR($K496="",$L496="",$M496="")),
Error!$B$20,
""
)))))))))))))))))))))))))))))))))))))))))))))))))))))))),
Error!$B$23))</f>
        <v/>
      </c>
      <c r="O496" s="343" t="str" cm="1">
        <f t="array" aca="1" ref="O496" ca="1">IFERROR(_xlfn.LET(
    _xlpm.txt, $C496,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97" spans="1:15" x14ac:dyDescent="0.3">
      <c r="A497" s="320"/>
      <c r="B497" s="616" t="str">
        <f t="shared" si="568"/>
        <v/>
      </c>
      <c r="C497" s="617" t="str">
        <f t="shared" si="569"/>
        <v/>
      </c>
      <c r="D497" s="618" t="str">
        <f t="shared" si="570"/>
        <v/>
      </c>
      <c r="E497" s="616" t="str">
        <f t="shared" si="571"/>
        <v/>
      </c>
      <c r="F497" s="616" t="str">
        <f t="shared" si="572"/>
        <v/>
      </c>
      <c r="G497" s="619" t="str">
        <f>IF(Tree_Table1[[#This Row],[Tree Status  &amp;]]="Retain", Tables!$B$237, IF(Tree_Table1[[#This Row],[Tree Status  &amp;]]="Remove", Tables!$B$238, ""))</f>
        <v/>
      </c>
      <c r="H497" s="321"/>
      <c r="I497" s="322"/>
      <c r="J497" s="453"/>
      <c r="K497" s="323" t="str">
        <f>IFERROR(
    IF(
        AND($H497="Zoning: Tree Points", NOT(ISNUMBER(SEARCH("sp.", $C497)))),
        VLOOKUP($C497, 'Tree List'!$C$3:$F$601, 4, FALSE),
        ""
    ),
"")</f>
        <v/>
      </c>
      <c r="L497" s="324" t="str" cm="1">
        <f t="array" ref="L497">IFERROR(
IF(
    AND($H497="Zoning: Tree Points", NOT(ISNUMBER(SEARCH("sp.", $C497)))),
    _xlfn.IFS(
        (COUNTIFS('Tree List'!$C$3:$C$601,$C497,'Tree List'!$D$3:$D$601,"Coniferous")
        + COUNTIFS('Tree List'!$C$3:$C$601,$C497,'Tree List'!$D$3:$D$601,"Deciduous Conifer")) &gt; 0,
            _xlfn.IFS($K497="Small",0.5,$K497="Small/Medium",1,$K497="Medium/Large",1.4,$K497="Large",1.8),
        (COUNTIFS('Tree List'!$C$3:$C$601,$C497,'Tree List'!$D$3:$D$601,"Deciduous")
        + COUNTIFS('Tree List'!$C$3:$C$601,$C497,'Tree List'!$D$3:$D$601,"Broadleaf Evergreen")) &gt; 0,
            _xlfn.IFS($K497="Small",0.4,$K497="Small/Medium",0.8,$K497="Medium/Large",1.2,$K497="Large",1.6)
    ),
    ""
),
"")</f>
        <v/>
      </c>
      <c r="M497" s="475" t="str">
        <f t="shared" si="492"/>
        <v/>
      </c>
      <c r="N497" s="346" t="str" cm="1">
        <f t="array" aca="1" ref="N49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IF(AND(_xlpm.baseRow,ISNA(MATCH($C497,'Tree List'!$C$3:$C$601,0)),SUMPRODUCT(--ISNUMBER(SEARCH(Tables2!$C$677:$C$772,$O497)))&gt;0),
Error!$B$57,
IF(AND(_xlpm.hasDM,$F497="Remove",$H497&lt;&gt;"",OR($I497="On-site replacement",$I497="Off-site replacement",$I497="Payment In Lieu")),
Error!$B$56,
IF(AND(_xlpm.hasDM,$F497="Remove",$H497&lt;&gt;"",$I497="Relocation"),
Error!$B$66,
IF(AND(OR(_xlpm.hasCN,_xlpm.hasPH,_xlpm.hasGR),$H497&lt;&gt;"",COUNTIF(Tables!$B$132:$B$134,$H497)&gt;0,$I497="N/A (No replacement required)"),
Error!$B$62,
IF(AND(_xlpm.baseRow,$E497&lt;&gt;"",ISNA(MATCH($E497,Tables!$B$225:$B$232,0))),
Error!$B$2,
IF(AND(_xlpm.baseRow,$F497&lt;&gt;"",ISNA(MATCH($F497,Tables!$B$234:$B$235,0))),
Error!$B$24,
IF(AND(_xlpm.baseRow,_xlpm.ECA_H&gt;0,_xlpm.Shore_H&gt;0),
Error!$B$16,
IF(AND(_xlpm.baseRow,$E497&lt;&gt;"",$D497=""),
Error!$B$3,
IF(AND(_xlpm.baseRow,OR($E497="Tier 3",$E497="Tier 4"),$C497&lt;&gt;"",$D497&gt;=24,COUNTIF(Tables2!$B$166:$B$674,$C497)&gt;0),
Error!$B$44,
IF(AND(_xlpm.baseRow,OR($E497="Tier 3",$E497="Tier 4"),$C497&lt;&gt;"",$D497&lt;&gt;"",COUNTIF(Tables2!$B$73:$B$152,$C497)&gt;0,
$D497&gt;=IFERROR(INDEX(Tables2!$C$73:$C$152,MATCH($C497,Tables2!$B$73:$B$152,0)),-1)),
Error!$B$44,
IF(AND(_xlpm.baseRow,OR($E497="Tier 2",$E497="Tier 2 Grove"),$C497&lt;&gt;"",$D497&gt;=12,COUNTIF(Tables2!$B$153:$B$162,$C497)&gt;0),
Error!$B$45,
IF(AND(_xlpm.baseRow,$E497="Tier 2 Grove",$D497&lt;12),
Error!$B$41,
IF(AND(_xlpm.baseRow,$E497="Tier 2",$D497&lt;5.88),
Error!$B$40,
IF(AND(_xlpm.baseRow,OR($E497="Tier 2",$E497="Tier 2 Grove"),$C497&lt;&gt;"",$D497&lt;12,$D497&gt;=6,COUNTIF(Tables2!$B$153:$B$162,$C497)&gt;0),
Error!$B$54,
IF(AND(_xlpm.baseRow,$E497="Tier 2",COUNTIF(Tables2!$B$166:$B$674,$C497)&gt;0,$D497&lt;24),
Error!$B$54,
IF(AND(_xlpm.baseRow,$E497="Tier 3",ISNA(MATCH($C497,Tables2!$B$153:$B$162,0)),OR($D497&lt;12,$D497&gt;=24)),
Error!$B$9,
IF(AND(_xlpm.baseRow,$E497="Tier 3",COUNTIF(Tables2!$B$153:$B$162,$C497)&gt;0,$D497&lt;12),
Error!$B$46,
IF(AND(_xlpm.baseRow,$E497="Tier 4",OR($D497&lt;6,$D497&gt;=12)),
Error!$B$10,
IF(AND(_xlpm.baseRow,$E497="&lt;6in DSH for Tree Points",OR($D497&gt;=6,$D497="")),
Error!$B$8,
IF(AND(_xlpm.baseRow,$E497="Street Tree for Green Factor",$F497&lt;&gt;"",$F497&lt;&gt;"Retain"),
Error!$B$14,
IF(AND($E497="&lt;6in DSH for Tree Points",$F497="Retain",$H497&lt;&gt;"",ISNA(MATCH($H497,Tables!$B$174:$B$174,0))),
Error!$B$15,
IF(AND($E497="Street Tree for Green Factor",$F497="Retain",$H497&lt;&gt;"",$H497&lt;&gt;"Zoning: Green Factor"),
Error!$B$15,
IF(AND($E497="ECA / Shoreline Tree",$F497="Remove",$H497&lt;&gt;"",ISNA(MATCH($H497,Tables!$B$189:$B$190,0))),
Error!$B$15,
IF(AND($E497="ECA / Shoreline Tree",$F497="Retain",$H497&lt;&gt;"",ISNA(MATCH($H497,Tables!$B$184:$B$186,0))),
Error!$B$15,
IF(AND($E497="Tier 4",$F497="Remove",$H497&lt;&gt;"",ISNA(MATCH($H497,Tables!$B$171,0))),
Error!$B$15,
IF(AND($E497="Tier 4",$F497="Retain",$H497&lt;&gt;"",ISNA(MATCH($H497,Tables!$B$166:$B$168,0))),
Error!$B$15,
IF(AND($E497="Tier 3",$F497="Retain",$H497&lt;&gt;"",ISNA(MATCH($H497,Tables!$B$158:$B$160,0))),
Error!$B$15,
IF(AND($E497="Tier 3",$F497="Remove",$H497&lt;&gt;"",ISNA(MATCH($H497,Tables!$B$163,0))),
Error!$B$15,
IF(AND(OR($E497="Tier 2",$E497="Tier 2 Grove"),$F497="Remove",$H497&lt;&gt;"",ISNA(MATCH($H497,Tables!$B$153:$B$155,0))),
Error!$B$15,
IF(AND(OR($E497="Tier 2",$E497="Tier 2 Grove"),$F497="Retain",$H497&lt;&gt;"",ISNA(MATCH($H497,Tables!$B$147:$B$150,0))),
Error!$B$15,
IF(AND($E497="Tier 1",$F497="Remove",$H497&lt;&gt;"",ISNA(MATCH($H497,Tables!$B$143:$B$144,0))),
Error!$B$15,
IF(AND($E497="Tier 1",$F497="Retain",$H497&lt;&gt;"",ISNA(MATCH($H497,Tables!$B$137:$B$140,0))),
Error!$B$15,
IF(AND($E497&lt;&gt;"Tier 2",$E497&lt;&gt;"Tier 2 Grove",$E497&lt;&gt;"Tier 3",$E497&lt;&gt;"Tier 4",$H497="Zoning: Green Factor",OR($D497="",$D497&lt;6)),
Error!$B$11,
IF(AND(_xlpm.baseRow,$D497&lt;6,$E497="&lt;6in DSH for Tree Points",_xlpm.TreePoints_H=0),
Error!$B$21,
IF(AND(_xlpm.baseRow,$E497&lt;&gt;"",$D497&lt;&gt;"",$F497=""),
Error!$B$4,
IF(AND(_xlpm.baseRow,$F497="Remove",OR($E497="Tier 1",$E497="Tier 2",$E497="Tier 2 Grove"),COUNTBLANK(_xlpm.HRange)&lt;3,_xlpm.uniqueH&gt;=2),
Error!$B$48,
IF(AND(_xlpm.baseRow,$F497="Retain",OR($E497="Tier 1",$E497="Tier 2",$E497="Tier 2 Grove"),COUNTIF(_xlpm.HRange,"Tree Code: Required to Retain Tier 1-2 Tree")=0),
Error!$B$47,
IF(AND(_xlpm.baseRow,$E497&lt;&gt;"",$D497&lt;&gt;"",$F497&lt;&gt;"",COUNTBLANK(_xlpm.HRange)=4),
Error!$B$5,
IF(AND($F497="Remove",$H497&lt;&gt;"",$I497=""),
Error!$B$18,
IF(AND($E497="Tier 4",$F497="Remove",$H497="Tree Protection Code: Tier 3 or Tier 4 Allowance",$H497&lt;&gt;"",ISNA(MATCH($I497,Tables!$B$200,0))),
Error!$B$17,
IF(AND($E497="Tier 3",$F497="Remove",$H497&lt;&gt;"",$H497="Tree Protection Code: Tier 3 or Tier 4 Allowance",OR($I497="",ISNA(MATCH($I497,Tables!$B$193:$B$197,0)))),
Error!$B$17,
IF(AND(OR($E497="Tier 2",$E497="Tier 2 Grove"),$F497="Remove",$H497="Tree Protection Code: Other removal allowance or exemption",$I497&lt;&gt;"",ISNA(MATCH($I497,Tables!$B$215:$B$218,0))),
Error!$B$17,
IF(AND(OR($E497="Tier 2",$E497="Tier 2 Grove"),$F497="Remove",$H497="Tree Protection Code: Development Capacity",$I497&lt;&gt;"",ISNA(MATCH($I497,Tables!$B$193:$B$197,0))),
Error!$B$17,
IF(AND(OR($E497="Tier 2",$E497="Tier 2 Grove"),$F497="Remove",$H497="Tree Protection Code: Necessary for Construction",$I497&lt;&gt;"",ISNA(MATCH($I497,Tables!$B$193:$B$197,0))),
Error!$B$17,
IF(AND($E497="Tier 1",$F497="Remove",$H497="Tree Protection Code: Special Exception",$I497&lt;&gt;"",ISNA(MATCH($I497,Tables!$B$215:$B$218,0))),
Error!$B$17,
IF(AND($E497="Tier 1",$F497="Remove",$H497="Tree Protection Code: Other removal allowance or exemption",$I497&lt;&gt;"",ISNA(MATCH($I497,Tables!$B$215:$B$218,0))),
Error!$B$17,
IF(AND($E497="ECA / Shoreline Tree",$F497="Remove",$H497&lt;&gt;"",OR($H497="Shoreline",$H497="Environmental Critical Area (ECA)"),ISNA(MATCH($I497,Tables!$B$209:$B$212,0))),
Error!$B$17,
IF(AND(_xlpm.baseRow,$F497="Retain",$E497="ECA / Shoreline Tree",_xlpm.ECA_Short=0),
Error!$B$61,
IF(AND($F497="Remove",ISNUMBER(MATCH($E497,{"Tier 1","Tier 2","Tier 3","Tier 4","Tier 2 Grove"},0)),ISNUMBER(MATCH($I497,{"On-site replacement","Off-site replacement"},0)),$J497="",$H497&lt;&gt;""),
Error!$B$19,
IF(AND(_xlpm.baseRow,$E497&lt;&gt;"",$D497&lt;&gt;"",$F497&lt;&gt;"",COUNTBLANK($B497:$C497)&gt;0,COUNTBLANK(_xlpm.HRange)&lt;&gt;4),
Error!$B$22,
IF(AND($H497="Zoning: Tree Points",$K497&lt;&gt;"",ISNA(MATCH($K497,Tables!$B$242:$B$253,0))),
Error!$B$58,
IF(AND($H497="Zoning: Tree Points",$K497="Small",$L497&lt;&gt;"",ISNA(MATCH($L497,Tables!$C$243:$C$244,0))),
Error!$B$59,
IF(AND($H497="Zoning: Tree Points",$K497="Small/Medium",$L497&lt;&gt;"",ISNA(MATCH($L497,Tables!$C$246:$C$247,0))),
Error!$B$59,
IF(AND($H497="Zoning: Tree Points",$K497="Medium/Large",$L497&lt;&gt;"",ISNA(MATCH($L497,Tables!$C$249:$C$250,0))),
Error!$B$59,
IF(AND($H497="Zoning: Tree Points",$K497="Large",$L497&lt;&gt;"",ISNA(MATCH($L497,Tables!$C$252:$C$253,0))),
Error!$B$59,
IF(AND($F497="Retain",$H497="Zoning: Tree Points",$C497&lt;&gt;"",$D497&lt;&gt;"",OR($K497="",$L497="",$M497="")),
Error!$B$20,
""
)))))))))))))))))))))))))))))))))))))))))))))))))))))))),
Error!$B$23))</f>
        <v/>
      </c>
      <c r="O497" s="343" t="str" cm="1">
        <f t="array" aca="1" ref="O497" ca="1">IFERROR(_xlfn.LET(
    _xlpm.txt, $C497,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98" spans="1:15" ht="15" thickBot="1" x14ac:dyDescent="0.35">
      <c r="A498" s="331"/>
      <c r="B498" s="616" t="str">
        <f t="shared" si="568"/>
        <v/>
      </c>
      <c r="C498" s="617" t="str">
        <f t="shared" si="569"/>
        <v/>
      </c>
      <c r="D498" s="618" t="str">
        <f t="shared" si="570"/>
        <v/>
      </c>
      <c r="E498" s="616" t="str">
        <f t="shared" si="571"/>
        <v/>
      </c>
      <c r="F498" s="616" t="str">
        <f t="shared" si="572"/>
        <v/>
      </c>
      <c r="G498" s="619" t="str">
        <f>IF(Tree_Table1[[#This Row],[Tree Status  &amp;]]="Retain", Tables!$B$237, IF(Tree_Table1[[#This Row],[Tree Status  &amp;]]="Remove", Tables!$B$238, ""))</f>
        <v/>
      </c>
      <c r="H498" s="329"/>
      <c r="I498" s="330"/>
      <c r="J498" s="455"/>
      <c r="K498" s="327" t="str">
        <f>IFERROR(
    IF(
        AND($H498="Zoning: Tree Points", NOT(ISNUMBER(SEARCH("sp.", $C498)))),
        VLOOKUP($C498, 'Tree List'!$C$3:$F$601, 4, FALSE),
        ""
    ),
"")</f>
        <v/>
      </c>
      <c r="L498" s="328" t="str" cm="1">
        <f t="array" ref="L498">IFERROR(
IF(
    AND($H498="Zoning: Tree Points", NOT(ISNUMBER(SEARCH("sp.", $C498)))),
    _xlfn.IFS(
        (COUNTIFS('Tree List'!$C$3:$C$601,$C498,'Tree List'!$D$3:$D$601,"Coniferous")
        + COUNTIFS('Tree List'!$C$3:$C$601,$C498,'Tree List'!$D$3:$D$601,"Deciduous Conifer")) &gt; 0,
            _xlfn.IFS($K498="Small",0.5,$K498="Small/Medium",1,$K498="Medium/Large",1.4,$K498="Large",1.8),
        (COUNTIFS('Tree List'!$C$3:$C$601,$C498,'Tree List'!$D$3:$D$601,"Deciduous")
        + COUNTIFS('Tree List'!$C$3:$C$601,$C498,'Tree List'!$D$3:$D$601,"Broadleaf Evergreen")) &gt; 0,
            _xlfn.IFS($K498="Small",0.4,$K498="Small/Medium",0.8,$K498="Medium/Large",1.2,$K498="Large",1.6)
    ),
    ""
),
"")</f>
        <v/>
      </c>
      <c r="M498" s="476" t="str">
        <f t="shared" si="492"/>
        <v/>
      </c>
      <c r="N498" s="347" t="str" cm="1">
        <f t="array" aca="1" ref="N49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IF(AND(_xlpm.baseRow,ISNA(MATCH($C498,'Tree List'!$C$3:$C$601,0)),SUMPRODUCT(--ISNUMBER(SEARCH(Tables2!$C$677:$C$772,$O498)))&gt;0),
Error!$B$57,
IF(AND(_xlpm.hasDM,$F498="Remove",$H498&lt;&gt;"",OR($I498="On-site replacement",$I498="Off-site replacement",$I498="Payment In Lieu")),
Error!$B$56,
IF(AND(_xlpm.hasDM,$F498="Remove",$H498&lt;&gt;"",$I498="Relocation"),
Error!$B$66,
IF(AND(OR(_xlpm.hasCN,_xlpm.hasPH,_xlpm.hasGR),$H498&lt;&gt;"",COUNTIF(Tables!$B$132:$B$134,$H498)&gt;0,$I498="N/A (No replacement required)"),
Error!$B$62,
IF(AND(_xlpm.baseRow,$E498&lt;&gt;"",ISNA(MATCH($E498,Tables!$B$225:$B$232,0))),
Error!$B$2,
IF(AND(_xlpm.baseRow,$F498&lt;&gt;"",ISNA(MATCH($F498,Tables!$B$234:$B$235,0))),
Error!$B$24,
IF(AND(_xlpm.baseRow,_xlpm.ECA_H&gt;0,_xlpm.Shore_H&gt;0),
Error!$B$16,
IF(AND(_xlpm.baseRow,$E498&lt;&gt;"",$D498=""),
Error!$B$3,
IF(AND(_xlpm.baseRow,OR($E498="Tier 3",$E498="Tier 4"),$C498&lt;&gt;"",$D498&gt;=24,COUNTIF(Tables2!$B$166:$B$674,$C498)&gt;0),
Error!$B$44,
IF(AND(_xlpm.baseRow,OR($E498="Tier 3",$E498="Tier 4"),$C498&lt;&gt;"",$D498&lt;&gt;"",COUNTIF(Tables2!$B$73:$B$152,$C498)&gt;0,
$D498&gt;=IFERROR(INDEX(Tables2!$C$73:$C$152,MATCH($C498,Tables2!$B$73:$B$152,0)),-1)),
Error!$B$44,
IF(AND(_xlpm.baseRow,OR($E498="Tier 2",$E498="Tier 2 Grove"),$C498&lt;&gt;"",$D498&gt;=12,COUNTIF(Tables2!$B$153:$B$162,$C498)&gt;0),
Error!$B$45,
IF(AND(_xlpm.baseRow,$E498="Tier 2 Grove",$D498&lt;12),
Error!$B$41,
IF(AND(_xlpm.baseRow,$E498="Tier 2",$D498&lt;5.88),
Error!$B$40,
IF(AND(_xlpm.baseRow,OR($E498="Tier 2",$E498="Tier 2 Grove"),$C498&lt;&gt;"",$D498&lt;12,$D498&gt;=6,COUNTIF(Tables2!$B$153:$B$162,$C498)&gt;0),
Error!$B$54,
IF(AND(_xlpm.baseRow,$E498="Tier 2",COUNTIF(Tables2!$B$166:$B$674,$C498)&gt;0,$D498&lt;24),
Error!$B$54,
IF(AND(_xlpm.baseRow,$E498="Tier 3",ISNA(MATCH($C498,Tables2!$B$153:$B$162,0)),OR($D498&lt;12,$D498&gt;=24)),
Error!$B$9,
IF(AND(_xlpm.baseRow,$E498="Tier 3",COUNTIF(Tables2!$B$153:$B$162,$C498)&gt;0,$D498&lt;12),
Error!$B$46,
IF(AND(_xlpm.baseRow,$E498="Tier 4",OR($D498&lt;6,$D498&gt;=12)),
Error!$B$10,
IF(AND(_xlpm.baseRow,$E498="&lt;6in DSH for Tree Points",OR($D498&gt;=6,$D498="")),
Error!$B$8,
IF(AND(_xlpm.baseRow,$E498="Street Tree for Green Factor",$F498&lt;&gt;"",$F498&lt;&gt;"Retain"),
Error!$B$14,
IF(AND($E498="&lt;6in DSH for Tree Points",$F498="Retain",$H498&lt;&gt;"",ISNA(MATCH($H498,Tables!$B$174:$B$174,0))),
Error!$B$15,
IF(AND($E498="Street Tree for Green Factor",$F498="Retain",$H498&lt;&gt;"",$H498&lt;&gt;"Zoning: Green Factor"),
Error!$B$15,
IF(AND($E498="ECA / Shoreline Tree",$F498="Remove",$H498&lt;&gt;"",ISNA(MATCH($H498,Tables!$B$189:$B$190,0))),
Error!$B$15,
IF(AND($E498="ECA / Shoreline Tree",$F498="Retain",$H498&lt;&gt;"",ISNA(MATCH($H498,Tables!$B$184:$B$186,0))),
Error!$B$15,
IF(AND($E498="Tier 4",$F498="Remove",$H498&lt;&gt;"",ISNA(MATCH($H498,Tables!$B$171,0))),
Error!$B$15,
IF(AND($E498="Tier 4",$F498="Retain",$H498&lt;&gt;"",ISNA(MATCH($H498,Tables!$B$166:$B$168,0))),
Error!$B$15,
IF(AND($E498="Tier 3",$F498="Retain",$H498&lt;&gt;"",ISNA(MATCH($H498,Tables!$B$158:$B$160,0))),
Error!$B$15,
IF(AND($E498="Tier 3",$F498="Remove",$H498&lt;&gt;"",ISNA(MATCH($H498,Tables!$B$163,0))),
Error!$B$15,
IF(AND(OR($E498="Tier 2",$E498="Tier 2 Grove"),$F498="Remove",$H498&lt;&gt;"",ISNA(MATCH($H498,Tables!$B$153:$B$155,0))),
Error!$B$15,
IF(AND(OR($E498="Tier 2",$E498="Tier 2 Grove"),$F498="Retain",$H498&lt;&gt;"",ISNA(MATCH($H498,Tables!$B$147:$B$150,0))),
Error!$B$15,
IF(AND($E498="Tier 1",$F498="Remove",$H498&lt;&gt;"",ISNA(MATCH($H498,Tables!$B$143:$B$144,0))),
Error!$B$15,
IF(AND($E498="Tier 1",$F498="Retain",$H498&lt;&gt;"",ISNA(MATCH($H498,Tables!$B$137:$B$140,0))),
Error!$B$15,
IF(AND($E498&lt;&gt;"Tier 2",$E498&lt;&gt;"Tier 2 Grove",$E498&lt;&gt;"Tier 3",$E498&lt;&gt;"Tier 4",$H498="Zoning: Green Factor",OR($D498="",$D498&lt;6)),
Error!$B$11,
IF(AND(_xlpm.baseRow,$D498&lt;6,$E498="&lt;6in DSH for Tree Points",_xlpm.TreePoints_H=0),
Error!$B$21,
IF(AND(_xlpm.baseRow,$E498&lt;&gt;"",$D498&lt;&gt;"",$F498=""),
Error!$B$4,
IF(AND(_xlpm.baseRow,$F498="Remove",OR($E498="Tier 1",$E498="Tier 2",$E498="Tier 2 Grove"),COUNTBLANK(_xlpm.HRange)&lt;3,_xlpm.uniqueH&gt;=2),
Error!$B$48,
IF(AND(_xlpm.baseRow,$F498="Retain",OR($E498="Tier 1",$E498="Tier 2",$E498="Tier 2 Grove"),COUNTIF(_xlpm.HRange,"Tree Code: Required to Retain Tier 1-2 Tree")=0),
Error!$B$47,
IF(AND(_xlpm.baseRow,$E498&lt;&gt;"",$D498&lt;&gt;"",$F498&lt;&gt;"",COUNTBLANK(_xlpm.HRange)=4),
Error!$B$5,
IF(AND($F498="Remove",$H498&lt;&gt;"",$I498=""),
Error!$B$18,
IF(AND($E498="Tier 4",$F498="Remove",$H498="Tree Protection Code: Tier 3 or Tier 4 Allowance",$H498&lt;&gt;"",ISNA(MATCH($I498,Tables!$B$200,0))),
Error!$B$17,
IF(AND($E498="Tier 3",$F498="Remove",$H498&lt;&gt;"",$H498="Tree Protection Code: Tier 3 or Tier 4 Allowance",OR($I498="",ISNA(MATCH($I498,Tables!$B$193:$B$197,0)))),
Error!$B$17,
IF(AND(OR($E498="Tier 2",$E498="Tier 2 Grove"),$F498="Remove",$H498="Tree Protection Code: Other removal allowance or exemption",$I498&lt;&gt;"",ISNA(MATCH($I498,Tables!$B$215:$B$218,0))),
Error!$B$17,
IF(AND(OR($E498="Tier 2",$E498="Tier 2 Grove"),$F498="Remove",$H498="Tree Protection Code: Development Capacity",$I498&lt;&gt;"",ISNA(MATCH($I498,Tables!$B$193:$B$197,0))),
Error!$B$17,
IF(AND(OR($E498="Tier 2",$E498="Tier 2 Grove"),$F498="Remove",$H498="Tree Protection Code: Necessary for Construction",$I498&lt;&gt;"",ISNA(MATCH($I498,Tables!$B$193:$B$197,0))),
Error!$B$17,
IF(AND($E498="Tier 1",$F498="Remove",$H498="Tree Protection Code: Special Exception",$I498&lt;&gt;"",ISNA(MATCH($I498,Tables!$B$215:$B$218,0))),
Error!$B$17,
IF(AND($E498="Tier 1",$F498="Remove",$H498="Tree Protection Code: Other removal allowance or exemption",$I498&lt;&gt;"",ISNA(MATCH($I498,Tables!$B$215:$B$218,0))),
Error!$B$17,
IF(AND($E498="ECA / Shoreline Tree",$F498="Remove",$H498&lt;&gt;"",OR($H498="Shoreline",$H498="Environmental Critical Area (ECA)"),ISNA(MATCH($I498,Tables!$B$209:$B$212,0))),
Error!$B$17,
IF(AND(_xlpm.baseRow,$F498="Retain",$E498="ECA / Shoreline Tree",_xlpm.ECA_Short=0),
Error!$B$61,
IF(AND($F498="Remove",ISNUMBER(MATCH($E498,{"Tier 1","Tier 2","Tier 3","Tier 4","Tier 2 Grove"},0)),ISNUMBER(MATCH($I498,{"On-site replacement","Off-site replacement"},0)),$J498="",$H498&lt;&gt;""),
Error!$B$19,
IF(AND(_xlpm.baseRow,$E498&lt;&gt;"",$D498&lt;&gt;"",$F498&lt;&gt;"",COUNTBLANK($B498:$C498)&gt;0,COUNTBLANK(_xlpm.HRange)&lt;&gt;4),
Error!$B$22,
IF(AND($H498="Zoning: Tree Points",$K498&lt;&gt;"",ISNA(MATCH($K498,Tables!$B$242:$B$253,0))),
Error!$B$58,
IF(AND($H498="Zoning: Tree Points",$K498="Small",$L498&lt;&gt;"",ISNA(MATCH($L498,Tables!$C$243:$C$244,0))),
Error!$B$59,
IF(AND($H498="Zoning: Tree Points",$K498="Small/Medium",$L498&lt;&gt;"",ISNA(MATCH($L498,Tables!$C$246:$C$247,0))),
Error!$B$59,
IF(AND($H498="Zoning: Tree Points",$K498="Medium/Large",$L498&lt;&gt;"",ISNA(MATCH($L498,Tables!$C$249:$C$250,0))),
Error!$B$59,
IF(AND($H498="Zoning: Tree Points",$K498="Large",$L498&lt;&gt;"",ISNA(MATCH($L498,Tables!$C$252:$C$253,0))),
Error!$B$59,
IF(AND($F498="Retain",$H498="Zoning: Tree Points",$C498&lt;&gt;"",$D498&lt;&gt;"",OR($K498="",$L498="",$M498="")),
Error!$B$20,
""
)))))))))))))))))))))))))))))))))))))))))))))))))))))))),
Error!$B$23))</f>
        <v/>
      </c>
      <c r="O498" s="343" t="str" cm="1">
        <f t="array" aca="1" ref="O498" ca="1">IFERROR(_xlfn.LET(
    _xlpm.txt, $C498,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99" spans="1:15" ht="15" thickBot="1" x14ac:dyDescent="0.35">
      <c r="A499" s="311">
        <v>123</v>
      </c>
      <c r="B499" s="312"/>
      <c r="C499" s="313"/>
      <c r="D499" s="478"/>
      <c r="E499" s="314"/>
      <c r="F499" s="314"/>
      <c r="G499" s="315" t="str">
        <f>IF(Tree_Table1[[#This Row],[Tree Status  &amp;]]="Retain", Tables!$B$237, IF(Tree_Table1[[#This Row],[Tree Status  &amp;]]="Remove", Tables!$B$238, ""))</f>
        <v/>
      </c>
      <c r="H499" s="316"/>
      <c r="I499" s="317"/>
      <c r="J499" s="452"/>
      <c r="K499" s="318" t="str">
        <f>IFERROR(
    IF(
        AND($H499="Zoning: Tree Points", NOT(ISNUMBER(SEARCH("sp.", $C499)))),
        VLOOKUP($C499, 'Tree List'!$C$3:$F$601, 4, FALSE),
        ""
    ),
"")</f>
        <v/>
      </c>
      <c r="L499" s="319" t="str" cm="1">
        <f t="array" ref="L499">IFERROR(
IF(
    AND($H499="Zoning: Tree Points", NOT(ISNUMBER(SEARCH("sp.", $C499)))),
    _xlfn.IFS(
        (COUNTIFS('Tree List'!$C$3:$C$601,$C499,'Tree List'!$D$3:$D$601,"Coniferous")
        + COUNTIFS('Tree List'!$C$3:$C$601,$C499,'Tree List'!$D$3:$D$601,"Deciduous Conifer")) &gt; 0,
            _xlfn.IFS($K499="Small",0.5,$K499="Small/Medium",1,$K499="Medium/Large",1.4,$K499="Large",1.8),
        (COUNTIFS('Tree List'!$C$3:$C$601,$C499,'Tree List'!$D$3:$D$601,"Deciduous")
        + COUNTIFS('Tree List'!$C$3:$C$601,$C499,'Tree List'!$D$3:$D$601,"Broadleaf Evergreen")) &gt; 0,
            _xlfn.IFS($K499="Small",0.4,$K499="Small/Medium",0.8,$K499="Medium/Large",1.2,$K499="Large",1.6)
    ),
    ""
),
"")</f>
        <v/>
      </c>
      <c r="M499" s="474" t="str">
        <f t="shared" ref="M499:M562" si="573">IFERROR($D499*$L499,"")</f>
        <v/>
      </c>
      <c r="N499" s="620" t="str" cm="1">
        <f t="array" aca="1" ref="N49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IF(AND(_xlpm.baseRow,ISNA(MATCH($C499,'Tree List'!$C$3:$C$601,0)),SUMPRODUCT(--ISNUMBER(SEARCH(Tables2!$C$677:$C$772,$O499)))&gt;0),
Error!$B$57,
IF(AND(_xlpm.hasDM,$F499="Remove",$H499&lt;&gt;"",OR($I499="On-site replacement",$I499="Off-site replacement",$I499="Payment In Lieu")),
Error!$B$56,
IF(AND(_xlpm.hasDM,$F499="Remove",$H499&lt;&gt;"",$I499="Relocation"),
Error!$B$66,
IF(AND(OR(_xlpm.hasCN,_xlpm.hasPH,_xlpm.hasGR),$H499&lt;&gt;"",COUNTIF(Tables!$B$132:$B$134,$H499)&gt;0,$I499="N/A (No replacement required)"),
Error!$B$62,
IF(AND(_xlpm.baseRow,$E499&lt;&gt;"",ISNA(MATCH($E499,Tables!$B$225:$B$232,0))),
Error!$B$2,
IF(AND(_xlpm.baseRow,$F499&lt;&gt;"",ISNA(MATCH($F499,Tables!$B$234:$B$235,0))),
Error!$B$24,
IF(AND(_xlpm.baseRow,_xlpm.ECA_H&gt;0,_xlpm.Shore_H&gt;0),
Error!$B$16,
IF(AND(_xlpm.baseRow,$E499&lt;&gt;"",$D499=""),
Error!$B$3,
IF(AND(_xlpm.baseRow,OR($E499="Tier 3",$E499="Tier 4"),$C499&lt;&gt;"",$D499&gt;=24,COUNTIF(Tables2!$B$166:$B$674,$C499)&gt;0),
Error!$B$44,
IF(AND(_xlpm.baseRow,OR($E499="Tier 3",$E499="Tier 4"),$C499&lt;&gt;"",$D499&lt;&gt;"",COUNTIF(Tables2!$B$73:$B$152,$C499)&gt;0,
$D499&gt;=IFERROR(INDEX(Tables2!$C$73:$C$152,MATCH($C499,Tables2!$B$73:$B$152,0)),-1)),
Error!$B$44,
IF(AND(_xlpm.baseRow,OR($E499="Tier 2",$E499="Tier 2 Grove"),$C499&lt;&gt;"",$D499&gt;=12,COUNTIF(Tables2!$B$153:$B$162,$C499)&gt;0),
Error!$B$45,
IF(AND(_xlpm.baseRow,$E499="Tier 2 Grove",$D499&lt;12),
Error!$B$41,
IF(AND(_xlpm.baseRow,$E499="Tier 2",$D499&lt;5.88),
Error!$B$40,
IF(AND(_xlpm.baseRow,OR($E499="Tier 2",$E499="Tier 2 Grove"),$C499&lt;&gt;"",$D499&lt;12,$D499&gt;=6,COUNTIF(Tables2!$B$153:$B$162,$C499)&gt;0),
Error!$B$54,
IF(AND(_xlpm.baseRow,$E499="Tier 2",COUNTIF(Tables2!$B$166:$B$674,$C499)&gt;0,$D499&lt;24),
Error!$B$54,
IF(AND(_xlpm.baseRow,$E499="Tier 3",ISNA(MATCH($C499,Tables2!$B$153:$B$162,0)),OR($D499&lt;12,$D499&gt;=24)),
Error!$B$9,
IF(AND(_xlpm.baseRow,$E499="Tier 3",COUNTIF(Tables2!$B$153:$B$162,$C499)&gt;0,$D499&lt;12),
Error!$B$46,
IF(AND(_xlpm.baseRow,$E499="Tier 4",OR($D499&lt;6,$D499&gt;=12)),
Error!$B$10,
IF(AND(_xlpm.baseRow,$E499="&lt;6in DSH for Tree Points",OR($D499&gt;=6,$D499="")),
Error!$B$8,
IF(AND(_xlpm.baseRow,$E499="Street Tree for Green Factor",$F499&lt;&gt;"",$F499&lt;&gt;"Retain"),
Error!$B$14,
IF(AND($E499="&lt;6in DSH for Tree Points",$F499="Retain",$H499&lt;&gt;"",ISNA(MATCH($H499,Tables!$B$174:$B$174,0))),
Error!$B$15,
IF(AND($E499="Street Tree for Green Factor",$F499="Retain",$H499&lt;&gt;"",$H499&lt;&gt;"Zoning: Green Factor"),
Error!$B$15,
IF(AND($E499="ECA / Shoreline Tree",$F499="Remove",$H499&lt;&gt;"",ISNA(MATCH($H499,Tables!$B$189:$B$190,0))),
Error!$B$15,
IF(AND($E499="ECA / Shoreline Tree",$F499="Retain",$H499&lt;&gt;"",ISNA(MATCH($H499,Tables!$B$184:$B$186,0))),
Error!$B$15,
IF(AND($E499="Tier 4",$F499="Remove",$H499&lt;&gt;"",ISNA(MATCH($H499,Tables!$B$171,0))),
Error!$B$15,
IF(AND($E499="Tier 4",$F499="Retain",$H499&lt;&gt;"",ISNA(MATCH($H499,Tables!$B$166:$B$168,0))),
Error!$B$15,
IF(AND($E499="Tier 3",$F499="Retain",$H499&lt;&gt;"",ISNA(MATCH($H499,Tables!$B$158:$B$160,0))),
Error!$B$15,
IF(AND($E499="Tier 3",$F499="Remove",$H499&lt;&gt;"",ISNA(MATCH($H499,Tables!$B$163,0))),
Error!$B$15,
IF(AND(OR($E499="Tier 2",$E499="Tier 2 Grove"),$F499="Remove",$H499&lt;&gt;"",ISNA(MATCH($H499,Tables!$B$153:$B$155,0))),
Error!$B$15,
IF(AND(OR($E499="Tier 2",$E499="Tier 2 Grove"),$F499="Retain",$H499&lt;&gt;"",ISNA(MATCH($H499,Tables!$B$147:$B$150,0))),
Error!$B$15,
IF(AND($E499="Tier 1",$F499="Remove",$H499&lt;&gt;"",ISNA(MATCH($H499,Tables!$B$143:$B$144,0))),
Error!$B$15,
IF(AND($E499="Tier 1",$F499="Retain",$H499&lt;&gt;"",ISNA(MATCH($H499,Tables!$B$137:$B$140,0))),
Error!$B$15,
IF(AND($E499&lt;&gt;"Tier 2",$E499&lt;&gt;"Tier 2 Grove",$E499&lt;&gt;"Tier 3",$E499&lt;&gt;"Tier 4",$H499="Zoning: Green Factor",OR($D499="",$D499&lt;6)),
Error!$B$11,
IF(AND(_xlpm.baseRow,$D499&lt;6,$E499="&lt;6in DSH for Tree Points",_xlpm.TreePoints_H=0),
Error!$B$21,
IF(AND(_xlpm.baseRow,$E499&lt;&gt;"",$D499&lt;&gt;"",$F499=""),
Error!$B$4,
IF(AND(_xlpm.baseRow,$F499="Remove",OR($E499="Tier 1",$E499="Tier 2",$E499="Tier 2 Grove"),COUNTBLANK(_xlpm.HRange)&lt;3,_xlpm.uniqueH&gt;=2),
Error!$B$48,
IF(AND(_xlpm.baseRow,$F499="Retain",OR($E499="Tier 1",$E499="Tier 2",$E499="Tier 2 Grove"),COUNTIF(_xlpm.HRange,"Tree Code: Required to Retain Tier 1-2 Tree")=0),
Error!$B$47,
IF(AND(_xlpm.baseRow,$E499&lt;&gt;"",$D499&lt;&gt;"",$F499&lt;&gt;"",COUNTBLANK(_xlpm.HRange)=4),
Error!$B$5,
IF(AND($F499="Remove",$H499&lt;&gt;"",$I499=""),
Error!$B$18,
IF(AND($E499="Tier 4",$F499="Remove",$H499="Tree Protection Code: Tier 3 or Tier 4 Allowance",$H499&lt;&gt;"",ISNA(MATCH($I499,Tables!$B$200,0))),
Error!$B$17,
IF(AND($E499="Tier 3",$F499="Remove",$H499&lt;&gt;"",$H499="Tree Protection Code: Tier 3 or Tier 4 Allowance",OR($I499="",ISNA(MATCH($I499,Tables!$B$193:$B$197,0)))),
Error!$B$17,
IF(AND(OR($E499="Tier 2",$E499="Tier 2 Grove"),$F499="Remove",$H499="Tree Protection Code: Other removal allowance or exemption",$I499&lt;&gt;"",ISNA(MATCH($I499,Tables!$B$215:$B$218,0))),
Error!$B$17,
IF(AND(OR($E499="Tier 2",$E499="Tier 2 Grove"),$F499="Remove",$H499="Tree Protection Code: Development Capacity",$I499&lt;&gt;"",ISNA(MATCH($I499,Tables!$B$193:$B$197,0))),
Error!$B$17,
IF(AND(OR($E499="Tier 2",$E499="Tier 2 Grove"),$F499="Remove",$H499="Tree Protection Code: Necessary for Construction",$I499&lt;&gt;"",ISNA(MATCH($I499,Tables!$B$193:$B$197,0))),
Error!$B$17,
IF(AND($E499="Tier 1",$F499="Remove",$H499="Tree Protection Code: Special Exception",$I499&lt;&gt;"",ISNA(MATCH($I499,Tables!$B$215:$B$218,0))),
Error!$B$17,
IF(AND($E499="Tier 1",$F499="Remove",$H499="Tree Protection Code: Other removal allowance or exemption",$I499&lt;&gt;"",ISNA(MATCH($I499,Tables!$B$215:$B$218,0))),
Error!$B$17,
IF(AND($E499="ECA / Shoreline Tree",$F499="Remove",$H499&lt;&gt;"",OR($H499="Shoreline",$H499="Environmental Critical Area (ECA)"),ISNA(MATCH($I499,Tables!$B$209:$B$212,0))),
Error!$B$17,
IF(AND(_xlpm.baseRow,$F499="Retain",$E499="ECA / Shoreline Tree",_xlpm.ECA_Short=0),
Error!$B$61,
IF(AND($F499="Remove",ISNUMBER(MATCH($E499,{"Tier 1","Tier 2","Tier 3","Tier 4","Tier 2 Grove"},0)),ISNUMBER(MATCH($I499,{"On-site replacement","Off-site replacement"},0)),$J499="",$H499&lt;&gt;""),
Error!$B$19,
IF(AND(_xlpm.baseRow,$E499&lt;&gt;"",$D499&lt;&gt;"",$F499&lt;&gt;"",COUNTBLANK($B499:$C499)&gt;0,COUNTBLANK(_xlpm.HRange)&lt;&gt;4),
Error!$B$22,
IF(AND($H499="Zoning: Tree Points",$K499&lt;&gt;"",ISNA(MATCH($K499,Tables!$B$242:$B$253,0))),
Error!$B$58,
IF(AND($H499="Zoning: Tree Points",$K499="Small",$L499&lt;&gt;"",ISNA(MATCH($L499,Tables!$C$243:$C$244,0))),
Error!$B$59,
IF(AND($H499="Zoning: Tree Points",$K499="Small/Medium",$L499&lt;&gt;"",ISNA(MATCH($L499,Tables!$C$246:$C$247,0))),
Error!$B$59,
IF(AND($H499="Zoning: Tree Points",$K499="Medium/Large",$L499&lt;&gt;"",ISNA(MATCH($L499,Tables!$C$249:$C$250,0))),
Error!$B$59,
IF(AND($H499="Zoning: Tree Points",$K499="Large",$L499&lt;&gt;"",ISNA(MATCH($L499,Tables!$C$252:$C$253,0))),
Error!$B$59,
IF(AND($F499="Retain",$H499="Zoning: Tree Points",$C499&lt;&gt;"",$D499&lt;&gt;"",OR($K499="",$L499="",$M499="")),
Error!$B$20,
""
)))))))))))))))))))))))))))))))))))))))))))))))))))))))),
Error!$B$23))</f>
        <v/>
      </c>
      <c r="O499" s="343" t="str" cm="1">
        <f t="array" aca="1" ref="O499" ca="1">IFERROR(_xlfn.LET(
    _xlpm.txt, $C499,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00" spans="1:15" x14ac:dyDescent="0.3">
      <c r="A500" s="320"/>
      <c r="B500" s="616" t="str">
        <f t="shared" ref="B500:B502" si="574">IF($B499="", "", $B499)</f>
        <v/>
      </c>
      <c r="C500" s="617" t="str">
        <f t="shared" ref="C500:C502" si="575">IF($C499="", "", $C499)</f>
        <v/>
      </c>
      <c r="D500" s="618" t="str">
        <f t="shared" ref="D500:D502" si="576">IF($D499="", "", $D499)</f>
        <v/>
      </c>
      <c r="E500" s="616" t="str">
        <f t="shared" ref="E500:E502" si="577">IF($E499="", "", $E499)</f>
        <v/>
      </c>
      <c r="F500" s="616" t="str">
        <f t="shared" ref="F500:F502" si="578">IF($F499="", "", $F499)</f>
        <v/>
      </c>
      <c r="G500" s="619" t="str">
        <f>IF(Tree_Table1[[#This Row],[Tree Status  &amp;]]="Retain", Tables!$B$237, IF(Tree_Table1[[#This Row],[Tree Status  &amp;]]="Remove", Tables!$B$238, ""))</f>
        <v/>
      </c>
      <c r="H500" s="321"/>
      <c r="I500" s="322"/>
      <c r="J500" s="453"/>
      <c r="K500" s="323" t="str">
        <f>IFERROR(
    IF(
        AND($H500="Zoning: Tree Points", NOT(ISNUMBER(SEARCH("sp.", $C500)))),
        VLOOKUP($C500, 'Tree List'!$C$3:$F$601, 4, FALSE),
        ""
    ),
"")</f>
        <v/>
      </c>
      <c r="L500" s="324" t="str" cm="1">
        <f t="array" ref="L500">IFERROR(
IF(
    AND($H500="Zoning: Tree Points", NOT(ISNUMBER(SEARCH("sp.", $C500)))),
    _xlfn.IFS(
        (COUNTIFS('Tree List'!$C$3:$C$601,$C500,'Tree List'!$D$3:$D$601,"Coniferous")
        + COUNTIFS('Tree List'!$C$3:$C$601,$C500,'Tree List'!$D$3:$D$601,"Deciduous Conifer")) &gt; 0,
            _xlfn.IFS($K500="Small",0.5,$K500="Small/Medium",1,$K500="Medium/Large",1.4,$K500="Large",1.8),
        (COUNTIFS('Tree List'!$C$3:$C$601,$C500,'Tree List'!$D$3:$D$601,"Deciduous")
        + COUNTIFS('Tree List'!$C$3:$C$601,$C500,'Tree List'!$D$3:$D$601,"Broadleaf Evergreen")) &gt; 0,
            _xlfn.IFS($K500="Small",0.4,$K500="Small/Medium",0.8,$K500="Medium/Large",1.2,$K500="Large",1.6)
    ),
    ""
),
"")</f>
        <v/>
      </c>
      <c r="M500" s="475" t="str">
        <f t="shared" si="573"/>
        <v/>
      </c>
      <c r="N500" s="346" t="str" cm="1">
        <f t="array" aca="1" ref="N50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IF(AND(_xlpm.baseRow,ISNA(MATCH($C500,'Tree List'!$C$3:$C$601,0)),SUMPRODUCT(--ISNUMBER(SEARCH(Tables2!$C$677:$C$772,$O500)))&gt;0),
Error!$B$57,
IF(AND(_xlpm.hasDM,$F500="Remove",$H500&lt;&gt;"",OR($I500="On-site replacement",$I500="Off-site replacement",$I500="Payment In Lieu")),
Error!$B$56,
IF(AND(_xlpm.hasDM,$F500="Remove",$H500&lt;&gt;"",$I500="Relocation"),
Error!$B$66,
IF(AND(OR(_xlpm.hasCN,_xlpm.hasPH,_xlpm.hasGR),$H500&lt;&gt;"",COUNTIF(Tables!$B$132:$B$134,$H500)&gt;0,$I500="N/A (No replacement required)"),
Error!$B$62,
IF(AND(_xlpm.baseRow,$E500&lt;&gt;"",ISNA(MATCH($E500,Tables!$B$225:$B$232,0))),
Error!$B$2,
IF(AND(_xlpm.baseRow,$F500&lt;&gt;"",ISNA(MATCH($F500,Tables!$B$234:$B$235,0))),
Error!$B$24,
IF(AND(_xlpm.baseRow,_xlpm.ECA_H&gt;0,_xlpm.Shore_H&gt;0),
Error!$B$16,
IF(AND(_xlpm.baseRow,$E500&lt;&gt;"",$D500=""),
Error!$B$3,
IF(AND(_xlpm.baseRow,OR($E500="Tier 3",$E500="Tier 4"),$C500&lt;&gt;"",$D500&gt;=24,COUNTIF(Tables2!$B$166:$B$674,$C500)&gt;0),
Error!$B$44,
IF(AND(_xlpm.baseRow,OR($E500="Tier 3",$E500="Tier 4"),$C500&lt;&gt;"",$D500&lt;&gt;"",COUNTIF(Tables2!$B$73:$B$152,$C500)&gt;0,
$D500&gt;=IFERROR(INDEX(Tables2!$C$73:$C$152,MATCH($C500,Tables2!$B$73:$B$152,0)),-1)),
Error!$B$44,
IF(AND(_xlpm.baseRow,OR($E500="Tier 2",$E500="Tier 2 Grove"),$C500&lt;&gt;"",$D500&gt;=12,COUNTIF(Tables2!$B$153:$B$162,$C500)&gt;0),
Error!$B$45,
IF(AND(_xlpm.baseRow,$E500="Tier 2 Grove",$D500&lt;12),
Error!$B$41,
IF(AND(_xlpm.baseRow,$E500="Tier 2",$D500&lt;5.88),
Error!$B$40,
IF(AND(_xlpm.baseRow,OR($E500="Tier 2",$E500="Tier 2 Grove"),$C500&lt;&gt;"",$D500&lt;12,$D500&gt;=6,COUNTIF(Tables2!$B$153:$B$162,$C500)&gt;0),
Error!$B$54,
IF(AND(_xlpm.baseRow,$E500="Tier 2",COUNTIF(Tables2!$B$166:$B$674,$C500)&gt;0,$D500&lt;24),
Error!$B$54,
IF(AND(_xlpm.baseRow,$E500="Tier 3",ISNA(MATCH($C500,Tables2!$B$153:$B$162,0)),OR($D500&lt;12,$D500&gt;=24)),
Error!$B$9,
IF(AND(_xlpm.baseRow,$E500="Tier 3",COUNTIF(Tables2!$B$153:$B$162,$C500)&gt;0,$D500&lt;12),
Error!$B$46,
IF(AND(_xlpm.baseRow,$E500="Tier 4",OR($D500&lt;6,$D500&gt;=12)),
Error!$B$10,
IF(AND(_xlpm.baseRow,$E500="&lt;6in DSH for Tree Points",OR($D500&gt;=6,$D500="")),
Error!$B$8,
IF(AND(_xlpm.baseRow,$E500="Street Tree for Green Factor",$F500&lt;&gt;"",$F500&lt;&gt;"Retain"),
Error!$B$14,
IF(AND($E500="&lt;6in DSH for Tree Points",$F500="Retain",$H500&lt;&gt;"",ISNA(MATCH($H500,Tables!$B$174:$B$174,0))),
Error!$B$15,
IF(AND($E500="Street Tree for Green Factor",$F500="Retain",$H500&lt;&gt;"",$H500&lt;&gt;"Zoning: Green Factor"),
Error!$B$15,
IF(AND($E500="ECA / Shoreline Tree",$F500="Remove",$H500&lt;&gt;"",ISNA(MATCH($H500,Tables!$B$189:$B$190,0))),
Error!$B$15,
IF(AND($E500="ECA / Shoreline Tree",$F500="Retain",$H500&lt;&gt;"",ISNA(MATCH($H500,Tables!$B$184:$B$186,0))),
Error!$B$15,
IF(AND($E500="Tier 4",$F500="Remove",$H500&lt;&gt;"",ISNA(MATCH($H500,Tables!$B$171,0))),
Error!$B$15,
IF(AND($E500="Tier 4",$F500="Retain",$H500&lt;&gt;"",ISNA(MATCH($H500,Tables!$B$166:$B$168,0))),
Error!$B$15,
IF(AND($E500="Tier 3",$F500="Retain",$H500&lt;&gt;"",ISNA(MATCH($H500,Tables!$B$158:$B$160,0))),
Error!$B$15,
IF(AND($E500="Tier 3",$F500="Remove",$H500&lt;&gt;"",ISNA(MATCH($H500,Tables!$B$163,0))),
Error!$B$15,
IF(AND(OR($E500="Tier 2",$E500="Tier 2 Grove"),$F500="Remove",$H500&lt;&gt;"",ISNA(MATCH($H500,Tables!$B$153:$B$155,0))),
Error!$B$15,
IF(AND(OR($E500="Tier 2",$E500="Tier 2 Grove"),$F500="Retain",$H500&lt;&gt;"",ISNA(MATCH($H500,Tables!$B$147:$B$150,0))),
Error!$B$15,
IF(AND($E500="Tier 1",$F500="Remove",$H500&lt;&gt;"",ISNA(MATCH($H500,Tables!$B$143:$B$144,0))),
Error!$B$15,
IF(AND($E500="Tier 1",$F500="Retain",$H500&lt;&gt;"",ISNA(MATCH($H500,Tables!$B$137:$B$140,0))),
Error!$B$15,
IF(AND($E500&lt;&gt;"Tier 2",$E500&lt;&gt;"Tier 2 Grove",$E500&lt;&gt;"Tier 3",$E500&lt;&gt;"Tier 4",$H500="Zoning: Green Factor",OR($D500="",$D500&lt;6)),
Error!$B$11,
IF(AND(_xlpm.baseRow,$D500&lt;6,$E500="&lt;6in DSH for Tree Points",_xlpm.TreePoints_H=0),
Error!$B$21,
IF(AND(_xlpm.baseRow,$E500&lt;&gt;"",$D500&lt;&gt;"",$F500=""),
Error!$B$4,
IF(AND(_xlpm.baseRow,$F500="Remove",OR($E500="Tier 1",$E500="Tier 2",$E500="Tier 2 Grove"),COUNTBLANK(_xlpm.HRange)&lt;3,_xlpm.uniqueH&gt;=2),
Error!$B$48,
IF(AND(_xlpm.baseRow,$F500="Retain",OR($E500="Tier 1",$E500="Tier 2",$E500="Tier 2 Grove"),COUNTIF(_xlpm.HRange,"Tree Code: Required to Retain Tier 1-2 Tree")=0),
Error!$B$47,
IF(AND(_xlpm.baseRow,$E500&lt;&gt;"",$D500&lt;&gt;"",$F500&lt;&gt;"",COUNTBLANK(_xlpm.HRange)=4),
Error!$B$5,
IF(AND($F500="Remove",$H500&lt;&gt;"",$I500=""),
Error!$B$18,
IF(AND($E500="Tier 4",$F500="Remove",$H500="Tree Protection Code: Tier 3 or Tier 4 Allowance",$H500&lt;&gt;"",ISNA(MATCH($I500,Tables!$B$200,0))),
Error!$B$17,
IF(AND($E500="Tier 3",$F500="Remove",$H500&lt;&gt;"",$H500="Tree Protection Code: Tier 3 or Tier 4 Allowance",OR($I500="",ISNA(MATCH($I500,Tables!$B$193:$B$197,0)))),
Error!$B$17,
IF(AND(OR($E500="Tier 2",$E500="Tier 2 Grove"),$F500="Remove",$H500="Tree Protection Code: Other removal allowance or exemption",$I500&lt;&gt;"",ISNA(MATCH($I500,Tables!$B$215:$B$218,0))),
Error!$B$17,
IF(AND(OR($E500="Tier 2",$E500="Tier 2 Grove"),$F500="Remove",$H500="Tree Protection Code: Development Capacity",$I500&lt;&gt;"",ISNA(MATCH($I500,Tables!$B$193:$B$197,0))),
Error!$B$17,
IF(AND(OR($E500="Tier 2",$E500="Tier 2 Grove"),$F500="Remove",$H500="Tree Protection Code: Necessary for Construction",$I500&lt;&gt;"",ISNA(MATCH($I500,Tables!$B$193:$B$197,0))),
Error!$B$17,
IF(AND($E500="Tier 1",$F500="Remove",$H500="Tree Protection Code: Special Exception",$I500&lt;&gt;"",ISNA(MATCH($I500,Tables!$B$215:$B$218,0))),
Error!$B$17,
IF(AND($E500="Tier 1",$F500="Remove",$H500="Tree Protection Code: Other removal allowance or exemption",$I500&lt;&gt;"",ISNA(MATCH($I500,Tables!$B$215:$B$218,0))),
Error!$B$17,
IF(AND($E500="ECA / Shoreline Tree",$F500="Remove",$H500&lt;&gt;"",OR($H500="Shoreline",$H500="Environmental Critical Area (ECA)"),ISNA(MATCH($I500,Tables!$B$209:$B$212,0))),
Error!$B$17,
IF(AND(_xlpm.baseRow,$F500="Retain",$E500="ECA / Shoreline Tree",_xlpm.ECA_Short=0),
Error!$B$61,
IF(AND($F500="Remove",ISNUMBER(MATCH($E500,{"Tier 1","Tier 2","Tier 3","Tier 4","Tier 2 Grove"},0)),ISNUMBER(MATCH($I500,{"On-site replacement","Off-site replacement"},0)),$J500="",$H500&lt;&gt;""),
Error!$B$19,
IF(AND(_xlpm.baseRow,$E500&lt;&gt;"",$D500&lt;&gt;"",$F500&lt;&gt;"",COUNTBLANK($B500:$C500)&gt;0,COUNTBLANK(_xlpm.HRange)&lt;&gt;4),
Error!$B$22,
IF(AND($H500="Zoning: Tree Points",$K500&lt;&gt;"",ISNA(MATCH($K500,Tables!$B$242:$B$253,0))),
Error!$B$58,
IF(AND($H500="Zoning: Tree Points",$K500="Small",$L500&lt;&gt;"",ISNA(MATCH($L500,Tables!$C$243:$C$244,0))),
Error!$B$59,
IF(AND($H500="Zoning: Tree Points",$K500="Small/Medium",$L500&lt;&gt;"",ISNA(MATCH($L500,Tables!$C$246:$C$247,0))),
Error!$B$59,
IF(AND($H500="Zoning: Tree Points",$K500="Medium/Large",$L500&lt;&gt;"",ISNA(MATCH($L500,Tables!$C$249:$C$250,0))),
Error!$B$59,
IF(AND($H500="Zoning: Tree Points",$K500="Large",$L500&lt;&gt;"",ISNA(MATCH($L500,Tables!$C$252:$C$253,0))),
Error!$B$59,
IF(AND($F500="Retain",$H500="Zoning: Tree Points",$C500&lt;&gt;"",$D500&lt;&gt;"",OR($K500="",$L500="",$M500="")),
Error!$B$20,
""
)))))))))))))))))))))))))))))))))))))))))))))))))))))))),
Error!$B$23))</f>
        <v/>
      </c>
      <c r="O500" s="343" t="str" cm="1">
        <f t="array" aca="1" ref="O500" ca="1">IFERROR(_xlfn.LET(
    _xlpm.txt, $C500,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01" spans="1:15" x14ac:dyDescent="0.3">
      <c r="A501" s="320"/>
      <c r="B501" s="616" t="str">
        <f t="shared" si="574"/>
        <v/>
      </c>
      <c r="C501" s="617" t="str">
        <f t="shared" si="575"/>
        <v/>
      </c>
      <c r="D501" s="618" t="str">
        <f t="shared" si="576"/>
        <v/>
      </c>
      <c r="E501" s="616" t="str">
        <f t="shared" si="577"/>
        <v/>
      </c>
      <c r="F501" s="616" t="str">
        <f t="shared" si="578"/>
        <v/>
      </c>
      <c r="G501" s="619" t="str">
        <f>IF(Tree_Table1[[#This Row],[Tree Status  &amp;]]="Retain", Tables!$B$237, IF(Tree_Table1[[#This Row],[Tree Status  &amp;]]="Remove", Tables!$B$238, ""))</f>
        <v/>
      </c>
      <c r="H501" s="321"/>
      <c r="I501" s="322"/>
      <c r="J501" s="453"/>
      <c r="K501" s="323" t="str">
        <f>IFERROR(
    IF(
        AND($H501="Zoning: Tree Points", NOT(ISNUMBER(SEARCH("sp.", $C501)))),
        VLOOKUP($C501, 'Tree List'!$C$3:$F$601, 4, FALSE),
        ""
    ),
"")</f>
        <v/>
      </c>
      <c r="L501" s="324" t="str" cm="1">
        <f t="array" ref="L501">IFERROR(
IF(
    AND($H501="Zoning: Tree Points", NOT(ISNUMBER(SEARCH("sp.", $C501)))),
    _xlfn.IFS(
        (COUNTIFS('Tree List'!$C$3:$C$601,$C501,'Tree List'!$D$3:$D$601,"Coniferous")
        + COUNTIFS('Tree List'!$C$3:$C$601,$C501,'Tree List'!$D$3:$D$601,"Deciduous Conifer")) &gt; 0,
            _xlfn.IFS($K501="Small",0.5,$K501="Small/Medium",1,$K501="Medium/Large",1.4,$K501="Large",1.8),
        (COUNTIFS('Tree List'!$C$3:$C$601,$C501,'Tree List'!$D$3:$D$601,"Deciduous")
        + COUNTIFS('Tree List'!$C$3:$C$601,$C501,'Tree List'!$D$3:$D$601,"Broadleaf Evergreen")) &gt; 0,
            _xlfn.IFS($K501="Small",0.4,$K501="Small/Medium",0.8,$K501="Medium/Large",1.2,$K501="Large",1.6)
    ),
    ""
),
"")</f>
        <v/>
      </c>
      <c r="M501" s="475" t="str">
        <f t="shared" si="573"/>
        <v/>
      </c>
      <c r="N501" s="346" t="str" cm="1">
        <f t="array" aca="1" ref="N50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IF(AND(_xlpm.baseRow,ISNA(MATCH($C501,'Tree List'!$C$3:$C$601,0)),SUMPRODUCT(--ISNUMBER(SEARCH(Tables2!$C$677:$C$772,$O501)))&gt;0),
Error!$B$57,
IF(AND(_xlpm.hasDM,$F501="Remove",$H501&lt;&gt;"",OR($I501="On-site replacement",$I501="Off-site replacement",$I501="Payment In Lieu")),
Error!$B$56,
IF(AND(_xlpm.hasDM,$F501="Remove",$H501&lt;&gt;"",$I501="Relocation"),
Error!$B$66,
IF(AND(OR(_xlpm.hasCN,_xlpm.hasPH,_xlpm.hasGR),$H501&lt;&gt;"",COUNTIF(Tables!$B$132:$B$134,$H501)&gt;0,$I501="N/A (No replacement required)"),
Error!$B$62,
IF(AND(_xlpm.baseRow,$E501&lt;&gt;"",ISNA(MATCH($E501,Tables!$B$225:$B$232,0))),
Error!$B$2,
IF(AND(_xlpm.baseRow,$F501&lt;&gt;"",ISNA(MATCH($F501,Tables!$B$234:$B$235,0))),
Error!$B$24,
IF(AND(_xlpm.baseRow,_xlpm.ECA_H&gt;0,_xlpm.Shore_H&gt;0),
Error!$B$16,
IF(AND(_xlpm.baseRow,$E501&lt;&gt;"",$D501=""),
Error!$B$3,
IF(AND(_xlpm.baseRow,OR($E501="Tier 3",$E501="Tier 4"),$C501&lt;&gt;"",$D501&gt;=24,COUNTIF(Tables2!$B$166:$B$674,$C501)&gt;0),
Error!$B$44,
IF(AND(_xlpm.baseRow,OR($E501="Tier 3",$E501="Tier 4"),$C501&lt;&gt;"",$D501&lt;&gt;"",COUNTIF(Tables2!$B$73:$B$152,$C501)&gt;0,
$D501&gt;=IFERROR(INDEX(Tables2!$C$73:$C$152,MATCH($C501,Tables2!$B$73:$B$152,0)),-1)),
Error!$B$44,
IF(AND(_xlpm.baseRow,OR($E501="Tier 2",$E501="Tier 2 Grove"),$C501&lt;&gt;"",$D501&gt;=12,COUNTIF(Tables2!$B$153:$B$162,$C501)&gt;0),
Error!$B$45,
IF(AND(_xlpm.baseRow,$E501="Tier 2 Grove",$D501&lt;12),
Error!$B$41,
IF(AND(_xlpm.baseRow,$E501="Tier 2",$D501&lt;5.88),
Error!$B$40,
IF(AND(_xlpm.baseRow,OR($E501="Tier 2",$E501="Tier 2 Grove"),$C501&lt;&gt;"",$D501&lt;12,$D501&gt;=6,COUNTIF(Tables2!$B$153:$B$162,$C501)&gt;0),
Error!$B$54,
IF(AND(_xlpm.baseRow,$E501="Tier 2",COUNTIF(Tables2!$B$166:$B$674,$C501)&gt;0,$D501&lt;24),
Error!$B$54,
IF(AND(_xlpm.baseRow,$E501="Tier 3",ISNA(MATCH($C501,Tables2!$B$153:$B$162,0)),OR($D501&lt;12,$D501&gt;=24)),
Error!$B$9,
IF(AND(_xlpm.baseRow,$E501="Tier 3",COUNTIF(Tables2!$B$153:$B$162,$C501)&gt;0,$D501&lt;12),
Error!$B$46,
IF(AND(_xlpm.baseRow,$E501="Tier 4",OR($D501&lt;6,$D501&gt;=12)),
Error!$B$10,
IF(AND(_xlpm.baseRow,$E501="&lt;6in DSH for Tree Points",OR($D501&gt;=6,$D501="")),
Error!$B$8,
IF(AND(_xlpm.baseRow,$E501="Street Tree for Green Factor",$F501&lt;&gt;"",$F501&lt;&gt;"Retain"),
Error!$B$14,
IF(AND($E501="&lt;6in DSH for Tree Points",$F501="Retain",$H501&lt;&gt;"",ISNA(MATCH($H501,Tables!$B$174:$B$174,0))),
Error!$B$15,
IF(AND($E501="Street Tree for Green Factor",$F501="Retain",$H501&lt;&gt;"",$H501&lt;&gt;"Zoning: Green Factor"),
Error!$B$15,
IF(AND($E501="ECA / Shoreline Tree",$F501="Remove",$H501&lt;&gt;"",ISNA(MATCH($H501,Tables!$B$189:$B$190,0))),
Error!$B$15,
IF(AND($E501="ECA / Shoreline Tree",$F501="Retain",$H501&lt;&gt;"",ISNA(MATCH($H501,Tables!$B$184:$B$186,0))),
Error!$B$15,
IF(AND($E501="Tier 4",$F501="Remove",$H501&lt;&gt;"",ISNA(MATCH($H501,Tables!$B$171,0))),
Error!$B$15,
IF(AND($E501="Tier 4",$F501="Retain",$H501&lt;&gt;"",ISNA(MATCH($H501,Tables!$B$166:$B$168,0))),
Error!$B$15,
IF(AND($E501="Tier 3",$F501="Retain",$H501&lt;&gt;"",ISNA(MATCH($H501,Tables!$B$158:$B$160,0))),
Error!$B$15,
IF(AND($E501="Tier 3",$F501="Remove",$H501&lt;&gt;"",ISNA(MATCH($H501,Tables!$B$163,0))),
Error!$B$15,
IF(AND(OR($E501="Tier 2",$E501="Tier 2 Grove"),$F501="Remove",$H501&lt;&gt;"",ISNA(MATCH($H501,Tables!$B$153:$B$155,0))),
Error!$B$15,
IF(AND(OR($E501="Tier 2",$E501="Tier 2 Grove"),$F501="Retain",$H501&lt;&gt;"",ISNA(MATCH($H501,Tables!$B$147:$B$150,0))),
Error!$B$15,
IF(AND($E501="Tier 1",$F501="Remove",$H501&lt;&gt;"",ISNA(MATCH($H501,Tables!$B$143:$B$144,0))),
Error!$B$15,
IF(AND($E501="Tier 1",$F501="Retain",$H501&lt;&gt;"",ISNA(MATCH($H501,Tables!$B$137:$B$140,0))),
Error!$B$15,
IF(AND($E501&lt;&gt;"Tier 2",$E501&lt;&gt;"Tier 2 Grove",$E501&lt;&gt;"Tier 3",$E501&lt;&gt;"Tier 4",$H501="Zoning: Green Factor",OR($D501="",$D501&lt;6)),
Error!$B$11,
IF(AND(_xlpm.baseRow,$D501&lt;6,$E501="&lt;6in DSH for Tree Points",_xlpm.TreePoints_H=0),
Error!$B$21,
IF(AND(_xlpm.baseRow,$E501&lt;&gt;"",$D501&lt;&gt;"",$F501=""),
Error!$B$4,
IF(AND(_xlpm.baseRow,$F501="Remove",OR($E501="Tier 1",$E501="Tier 2",$E501="Tier 2 Grove"),COUNTBLANK(_xlpm.HRange)&lt;3,_xlpm.uniqueH&gt;=2),
Error!$B$48,
IF(AND(_xlpm.baseRow,$F501="Retain",OR($E501="Tier 1",$E501="Tier 2",$E501="Tier 2 Grove"),COUNTIF(_xlpm.HRange,"Tree Code: Required to Retain Tier 1-2 Tree")=0),
Error!$B$47,
IF(AND(_xlpm.baseRow,$E501&lt;&gt;"",$D501&lt;&gt;"",$F501&lt;&gt;"",COUNTBLANK(_xlpm.HRange)=4),
Error!$B$5,
IF(AND($F501="Remove",$H501&lt;&gt;"",$I501=""),
Error!$B$18,
IF(AND($E501="Tier 4",$F501="Remove",$H501="Tree Protection Code: Tier 3 or Tier 4 Allowance",$H501&lt;&gt;"",ISNA(MATCH($I501,Tables!$B$200,0))),
Error!$B$17,
IF(AND($E501="Tier 3",$F501="Remove",$H501&lt;&gt;"",$H501="Tree Protection Code: Tier 3 or Tier 4 Allowance",OR($I501="",ISNA(MATCH($I501,Tables!$B$193:$B$197,0)))),
Error!$B$17,
IF(AND(OR($E501="Tier 2",$E501="Tier 2 Grove"),$F501="Remove",$H501="Tree Protection Code: Other removal allowance or exemption",$I501&lt;&gt;"",ISNA(MATCH($I501,Tables!$B$215:$B$218,0))),
Error!$B$17,
IF(AND(OR($E501="Tier 2",$E501="Tier 2 Grove"),$F501="Remove",$H501="Tree Protection Code: Development Capacity",$I501&lt;&gt;"",ISNA(MATCH($I501,Tables!$B$193:$B$197,0))),
Error!$B$17,
IF(AND(OR($E501="Tier 2",$E501="Tier 2 Grove"),$F501="Remove",$H501="Tree Protection Code: Necessary for Construction",$I501&lt;&gt;"",ISNA(MATCH($I501,Tables!$B$193:$B$197,0))),
Error!$B$17,
IF(AND($E501="Tier 1",$F501="Remove",$H501="Tree Protection Code: Special Exception",$I501&lt;&gt;"",ISNA(MATCH($I501,Tables!$B$215:$B$218,0))),
Error!$B$17,
IF(AND($E501="Tier 1",$F501="Remove",$H501="Tree Protection Code: Other removal allowance or exemption",$I501&lt;&gt;"",ISNA(MATCH($I501,Tables!$B$215:$B$218,0))),
Error!$B$17,
IF(AND($E501="ECA / Shoreline Tree",$F501="Remove",$H501&lt;&gt;"",OR($H501="Shoreline",$H501="Environmental Critical Area (ECA)"),ISNA(MATCH($I501,Tables!$B$209:$B$212,0))),
Error!$B$17,
IF(AND(_xlpm.baseRow,$F501="Retain",$E501="ECA / Shoreline Tree",_xlpm.ECA_Short=0),
Error!$B$61,
IF(AND($F501="Remove",ISNUMBER(MATCH($E501,{"Tier 1","Tier 2","Tier 3","Tier 4","Tier 2 Grove"},0)),ISNUMBER(MATCH($I501,{"On-site replacement","Off-site replacement"},0)),$J501="",$H501&lt;&gt;""),
Error!$B$19,
IF(AND(_xlpm.baseRow,$E501&lt;&gt;"",$D501&lt;&gt;"",$F501&lt;&gt;"",COUNTBLANK($B501:$C501)&gt;0,COUNTBLANK(_xlpm.HRange)&lt;&gt;4),
Error!$B$22,
IF(AND($H501="Zoning: Tree Points",$K501&lt;&gt;"",ISNA(MATCH($K501,Tables!$B$242:$B$253,0))),
Error!$B$58,
IF(AND($H501="Zoning: Tree Points",$K501="Small",$L501&lt;&gt;"",ISNA(MATCH($L501,Tables!$C$243:$C$244,0))),
Error!$B$59,
IF(AND($H501="Zoning: Tree Points",$K501="Small/Medium",$L501&lt;&gt;"",ISNA(MATCH($L501,Tables!$C$246:$C$247,0))),
Error!$B$59,
IF(AND($H501="Zoning: Tree Points",$K501="Medium/Large",$L501&lt;&gt;"",ISNA(MATCH($L501,Tables!$C$249:$C$250,0))),
Error!$B$59,
IF(AND($H501="Zoning: Tree Points",$K501="Large",$L501&lt;&gt;"",ISNA(MATCH($L501,Tables!$C$252:$C$253,0))),
Error!$B$59,
IF(AND($F501="Retain",$H501="Zoning: Tree Points",$C501&lt;&gt;"",$D501&lt;&gt;"",OR($K501="",$L501="",$M501="")),
Error!$B$20,
""
)))))))))))))))))))))))))))))))))))))))))))))))))))))))),
Error!$B$23))</f>
        <v/>
      </c>
      <c r="O501" s="343" t="str" cm="1">
        <f t="array" aca="1" ref="O501" ca="1">IFERROR(_xlfn.LET(
    _xlpm.txt, $C501,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02" spans="1:15" ht="15" thickBot="1" x14ac:dyDescent="0.35">
      <c r="A502" s="331"/>
      <c r="B502" s="616" t="str">
        <f t="shared" si="574"/>
        <v/>
      </c>
      <c r="C502" s="617" t="str">
        <f t="shared" si="575"/>
        <v/>
      </c>
      <c r="D502" s="618" t="str">
        <f t="shared" si="576"/>
        <v/>
      </c>
      <c r="E502" s="616" t="str">
        <f t="shared" si="577"/>
        <v/>
      </c>
      <c r="F502" s="616" t="str">
        <f t="shared" si="578"/>
        <v/>
      </c>
      <c r="G502" s="619" t="str">
        <f>IF(Tree_Table1[[#This Row],[Tree Status  &amp;]]="Retain", Tables!$B$237, IF(Tree_Table1[[#This Row],[Tree Status  &amp;]]="Remove", Tables!$B$238, ""))</f>
        <v/>
      </c>
      <c r="H502" s="329"/>
      <c r="I502" s="330"/>
      <c r="J502" s="455"/>
      <c r="K502" s="327" t="str">
        <f>IFERROR(
    IF(
        AND($H502="Zoning: Tree Points", NOT(ISNUMBER(SEARCH("sp.", $C502)))),
        VLOOKUP($C502, 'Tree List'!$C$3:$F$601, 4, FALSE),
        ""
    ),
"")</f>
        <v/>
      </c>
      <c r="L502" s="328" t="str" cm="1">
        <f t="array" ref="L502">IFERROR(
IF(
    AND($H502="Zoning: Tree Points", NOT(ISNUMBER(SEARCH("sp.", $C502)))),
    _xlfn.IFS(
        (COUNTIFS('Tree List'!$C$3:$C$601,$C502,'Tree List'!$D$3:$D$601,"Coniferous")
        + COUNTIFS('Tree List'!$C$3:$C$601,$C502,'Tree List'!$D$3:$D$601,"Deciduous Conifer")) &gt; 0,
            _xlfn.IFS($K502="Small",0.5,$K502="Small/Medium",1,$K502="Medium/Large",1.4,$K502="Large",1.8),
        (COUNTIFS('Tree List'!$C$3:$C$601,$C502,'Tree List'!$D$3:$D$601,"Deciduous")
        + COUNTIFS('Tree List'!$C$3:$C$601,$C502,'Tree List'!$D$3:$D$601,"Broadleaf Evergreen")) &gt; 0,
            _xlfn.IFS($K502="Small",0.4,$K502="Small/Medium",0.8,$K502="Medium/Large",1.2,$K502="Large",1.6)
    ),
    ""
),
"")</f>
        <v/>
      </c>
      <c r="M502" s="476" t="str">
        <f t="shared" si="573"/>
        <v/>
      </c>
      <c r="N502" s="347" t="str" cm="1">
        <f t="array" aca="1" ref="N50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IF(AND(_xlpm.baseRow,ISNA(MATCH($C502,'Tree List'!$C$3:$C$601,0)),SUMPRODUCT(--ISNUMBER(SEARCH(Tables2!$C$677:$C$772,$O502)))&gt;0),
Error!$B$57,
IF(AND(_xlpm.hasDM,$F502="Remove",$H502&lt;&gt;"",OR($I502="On-site replacement",$I502="Off-site replacement",$I502="Payment In Lieu")),
Error!$B$56,
IF(AND(_xlpm.hasDM,$F502="Remove",$H502&lt;&gt;"",$I502="Relocation"),
Error!$B$66,
IF(AND(OR(_xlpm.hasCN,_xlpm.hasPH,_xlpm.hasGR),$H502&lt;&gt;"",COUNTIF(Tables!$B$132:$B$134,$H502)&gt;0,$I502="N/A (No replacement required)"),
Error!$B$62,
IF(AND(_xlpm.baseRow,$E502&lt;&gt;"",ISNA(MATCH($E502,Tables!$B$225:$B$232,0))),
Error!$B$2,
IF(AND(_xlpm.baseRow,$F502&lt;&gt;"",ISNA(MATCH($F502,Tables!$B$234:$B$235,0))),
Error!$B$24,
IF(AND(_xlpm.baseRow,_xlpm.ECA_H&gt;0,_xlpm.Shore_H&gt;0),
Error!$B$16,
IF(AND(_xlpm.baseRow,$E502&lt;&gt;"",$D502=""),
Error!$B$3,
IF(AND(_xlpm.baseRow,OR($E502="Tier 3",$E502="Tier 4"),$C502&lt;&gt;"",$D502&gt;=24,COUNTIF(Tables2!$B$166:$B$674,$C502)&gt;0),
Error!$B$44,
IF(AND(_xlpm.baseRow,OR($E502="Tier 3",$E502="Tier 4"),$C502&lt;&gt;"",$D502&lt;&gt;"",COUNTIF(Tables2!$B$73:$B$152,$C502)&gt;0,
$D502&gt;=IFERROR(INDEX(Tables2!$C$73:$C$152,MATCH($C502,Tables2!$B$73:$B$152,0)),-1)),
Error!$B$44,
IF(AND(_xlpm.baseRow,OR($E502="Tier 2",$E502="Tier 2 Grove"),$C502&lt;&gt;"",$D502&gt;=12,COUNTIF(Tables2!$B$153:$B$162,$C502)&gt;0),
Error!$B$45,
IF(AND(_xlpm.baseRow,$E502="Tier 2 Grove",$D502&lt;12),
Error!$B$41,
IF(AND(_xlpm.baseRow,$E502="Tier 2",$D502&lt;5.88),
Error!$B$40,
IF(AND(_xlpm.baseRow,OR($E502="Tier 2",$E502="Tier 2 Grove"),$C502&lt;&gt;"",$D502&lt;12,$D502&gt;=6,COUNTIF(Tables2!$B$153:$B$162,$C502)&gt;0),
Error!$B$54,
IF(AND(_xlpm.baseRow,$E502="Tier 2",COUNTIF(Tables2!$B$166:$B$674,$C502)&gt;0,$D502&lt;24),
Error!$B$54,
IF(AND(_xlpm.baseRow,$E502="Tier 3",ISNA(MATCH($C502,Tables2!$B$153:$B$162,0)),OR($D502&lt;12,$D502&gt;=24)),
Error!$B$9,
IF(AND(_xlpm.baseRow,$E502="Tier 3",COUNTIF(Tables2!$B$153:$B$162,$C502)&gt;0,$D502&lt;12),
Error!$B$46,
IF(AND(_xlpm.baseRow,$E502="Tier 4",OR($D502&lt;6,$D502&gt;=12)),
Error!$B$10,
IF(AND(_xlpm.baseRow,$E502="&lt;6in DSH for Tree Points",OR($D502&gt;=6,$D502="")),
Error!$B$8,
IF(AND(_xlpm.baseRow,$E502="Street Tree for Green Factor",$F502&lt;&gt;"",$F502&lt;&gt;"Retain"),
Error!$B$14,
IF(AND($E502="&lt;6in DSH for Tree Points",$F502="Retain",$H502&lt;&gt;"",ISNA(MATCH($H502,Tables!$B$174:$B$174,0))),
Error!$B$15,
IF(AND($E502="Street Tree for Green Factor",$F502="Retain",$H502&lt;&gt;"",$H502&lt;&gt;"Zoning: Green Factor"),
Error!$B$15,
IF(AND($E502="ECA / Shoreline Tree",$F502="Remove",$H502&lt;&gt;"",ISNA(MATCH($H502,Tables!$B$189:$B$190,0))),
Error!$B$15,
IF(AND($E502="ECA / Shoreline Tree",$F502="Retain",$H502&lt;&gt;"",ISNA(MATCH($H502,Tables!$B$184:$B$186,0))),
Error!$B$15,
IF(AND($E502="Tier 4",$F502="Remove",$H502&lt;&gt;"",ISNA(MATCH($H502,Tables!$B$171,0))),
Error!$B$15,
IF(AND($E502="Tier 4",$F502="Retain",$H502&lt;&gt;"",ISNA(MATCH($H502,Tables!$B$166:$B$168,0))),
Error!$B$15,
IF(AND($E502="Tier 3",$F502="Retain",$H502&lt;&gt;"",ISNA(MATCH($H502,Tables!$B$158:$B$160,0))),
Error!$B$15,
IF(AND($E502="Tier 3",$F502="Remove",$H502&lt;&gt;"",ISNA(MATCH($H502,Tables!$B$163,0))),
Error!$B$15,
IF(AND(OR($E502="Tier 2",$E502="Tier 2 Grove"),$F502="Remove",$H502&lt;&gt;"",ISNA(MATCH($H502,Tables!$B$153:$B$155,0))),
Error!$B$15,
IF(AND(OR($E502="Tier 2",$E502="Tier 2 Grove"),$F502="Retain",$H502&lt;&gt;"",ISNA(MATCH($H502,Tables!$B$147:$B$150,0))),
Error!$B$15,
IF(AND($E502="Tier 1",$F502="Remove",$H502&lt;&gt;"",ISNA(MATCH($H502,Tables!$B$143:$B$144,0))),
Error!$B$15,
IF(AND($E502="Tier 1",$F502="Retain",$H502&lt;&gt;"",ISNA(MATCH($H502,Tables!$B$137:$B$140,0))),
Error!$B$15,
IF(AND($E502&lt;&gt;"Tier 2",$E502&lt;&gt;"Tier 2 Grove",$E502&lt;&gt;"Tier 3",$E502&lt;&gt;"Tier 4",$H502="Zoning: Green Factor",OR($D502="",$D502&lt;6)),
Error!$B$11,
IF(AND(_xlpm.baseRow,$D502&lt;6,$E502="&lt;6in DSH for Tree Points",_xlpm.TreePoints_H=0),
Error!$B$21,
IF(AND(_xlpm.baseRow,$E502&lt;&gt;"",$D502&lt;&gt;"",$F502=""),
Error!$B$4,
IF(AND(_xlpm.baseRow,$F502="Remove",OR($E502="Tier 1",$E502="Tier 2",$E502="Tier 2 Grove"),COUNTBLANK(_xlpm.HRange)&lt;3,_xlpm.uniqueH&gt;=2),
Error!$B$48,
IF(AND(_xlpm.baseRow,$F502="Retain",OR($E502="Tier 1",$E502="Tier 2",$E502="Tier 2 Grove"),COUNTIF(_xlpm.HRange,"Tree Code: Required to Retain Tier 1-2 Tree")=0),
Error!$B$47,
IF(AND(_xlpm.baseRow,$E502&lt;&gt;"",$D502&lt;&gt;"",$F502&lt;&gt;"",COUNTBLANK(_xlpm.HRange)=4),
Error!$B$5,
IF(AND($F502="Remove",$H502&lt;&gt;"",$I502=""),
Error!$B$18,
IF(AND($E502="Tier 4",$F502="Remove",$H502="Tree Protection Code: Tier 3 or Tier 4 Allowance",$H502&lt;&gt;"",ISNA(MATCH($I502,Tables!$B$200,0))),
Error!$B$17,
IF(AND($E502="Tier 3",$F502="Remove",$H502&lt;&gt;"",$H502="Tree Protection Code: Tier 3 or Tier 4 Allowance",OR($I502="",ISNA(MATCH($I502,Tables!$B$193:$B$197,0)))),
Error!$B$17,
IF(AND(OR($E502="Tier 2",$E502="Tier 2 Grove"),$F502="Remove",$H502="Tree Protection Code: Other removal allowance or exemption",$I502&lt;&gt;"",ISNA(MATCH($I502,Tables!$B$215:$B$218,0))),
Error!$B$17,
IF(AND(OR($E502="Tier 2",$E502="Tier 2 Grove"),$F502="Remove",$H502="Tree Protection Code: Development Capacity",$I502&lt;&gt;"",ISNA(MATCH($I502,Tables!$B$193:$B$197,0))),
Error!$B$17,
IF(AND(OR($E502="Tier 2",$E502="Tier 2 Grove"),$F502="Remove",$H502="Tree Protection Code: Necessary for Construction",$I502&lt;&gt;"",ISNA(MATCH($I502,Tables!$B$193:$B$197,0))),
Error!$B$17,
IF(AND($E502="Tier 1",$F502="Remove",$H502="Tree Protection Code: Special Exception",$I502&lt;&gt;"",ISNA(MATCH($I502,Tables!$B$215:$B$218,0))),
Error!$B$17,
IF(AND($E502="Tier 1",$F502="Remove",$H502="Tree Protection Code: Other removal allowance or exemption",$I502&lt;&gt;"",ISNA(MATCH($I502,Tables!$B$215:$B$218,0))),
Error!$B$17,
IF(AND($E502="ECA / Shoreline Tree",$F502="Remove",$H502&lt;&gt;"",OR($H502="Shoreline",$H502="Environmental Critical Area (ECA)"),ISNA(MATCH($I502,Tables!$B$209:$B$212,0))),
Error!$B$17,
IF(AND(_xlpm.baseRow,$F502="Retain",$E502="ECA / Shoreline Tree",_xlpm.ECA_Short=0),
Error!$B$61,
IF(AND($F502="Remove",ISNUMBER(MATCH($E502,{"Tier 1","Tier 2","Tier 3","Tier 4","Tier 2 Grove"},0)),ISNUMBER(MATCH($I502,{"On-site replacement","Off-site replacement"},0)),$J502="",$H502&lt;&gt;""),
Error!$B$19,
IF(AND(_xlpm.baseRow,$E502&lt;&gt;"",$D502&lt;&gt;"",$F502&lt;&gt;"",COUNTBLANK($B502:$C502)&gt;0,COUNTBLANK(_xlpm.HRange)&lt;&gt;4),
Error!$B$22,
IF(AND($H502="Zoning: Tree Points",$K502&lt;&gt;"",ISNA(MATCH($K502,Tables!$B$242:$B$253,0))),
Error!$B$58,
IF(AND($H502="Zoning: Tree Points",$K502="Small",$L502&lt;&gt;"",ISNA(MATCH($L502,Tables!$C$243:$C$244,0))),
Error!$B$59,
IF(AND($H502="Zoning: Tree Points",$K502="Small/Medium",$L502&lt;&gt;"",ISNA(MATCH($L502,Tables!$C$246:$C$247,0))),
Error!$B$59,
IF(AND($H502="Zoning: Tree Points",$K502="Medium/Large",$L502&lt;&gt;"",ISNA(MATCH($L502,Tables!$C$249:$C$250,0))),
Error!$B$59,
IF(AND($H502="Zoning: Tree Points",$K502="Large",$L502&lt;&gt;"",ISNA(MATCH($L502,Tables!$C$252:$C$253,0))),
Error!$B$59,
IF(AND($F502="Retain",$H502="Zoning: Tree Points",$C502&lt;&gt;"",$D502&lt;&gt;"",OR($K502="",$L502="",$M502="")),
Error!$B$20,
""
)))))))))))))))))))))))))))))))))))))))))))))))))))))))),
Error!$B$23))</f>
        <v/>
      </c>
      <c r="O502" s="343" t="str" cm="1">
        <f t="array" aca="1" ref="O502" ca="1">IFERROR(_xlfn.LET(
    _xlpm.txt, $C502,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03" spans="1:15" ht="15" thickBot="1" x14ac:dyDescent="0.35">
      <c r="A503" s="311">
        <v>124</v>
      </c>
      <c r="B503" s="312"/>
      <c r="C503" s="313"/>
      <c r="D503" s="478"/>
      <c r="E503" s="314"/>
      <c r="F503" s="314"/>
      <c r="G503" s="315" t="str">
        <f>IF(Tree_Table1[[#This Row],[Tree Status  &amp;]]="Retain", Tables!$B$237, IF(Tree_Table1[[#This Row],[Tree Status  &amp;]]="Remove", Tables!$B$238, ""))</f>
        <v/>
      </c>
      <c r="H503" s="316"/>
      <c r="I503" s="317"/>
      <c r="J503" s="452"/>
      <c r="K503" s="318" t="str">
        <f>IFERROR(
    IF(
        AND($H503="Zoning: Tree Points", NOT(ISNUMBER(SEARCH("sp.", $C503)))),
        VLOOKUP($C503, 'Tree List'!$C$3:$F$601, 4, FALSE),
        ""
    ),
"")</f>
        <v/>
      </c>
      <c r="L503" s="319" t="str" cm="1">
        <f t="array" ref="L503">IFERROR(
IF(
    AND($H503="Zoning: Tree Points", NOT(ISNUMBER(SEARCH("sp.", $C503)))),
    _xlfn.IFS(
        (COUNTIFS('Tree List'!$C$3:$C$601,$C503,'Tree List'!$D$3:$D$601,"Coniferous")
        + COUNTIFS('Tree List'!$C$3:$C$601,$C503,'Tree List'!$D$3:$D$601,"Deciduous Conifer")) &gt; 0,
            _xlfn.IFS($K503="Small",0.5,$K503="Small/Medium",1,$K503="Medium/Large",1.4,$K503="Large",1.8),
        (COUNTIFS('Tree List'!$C$3:$C$601,$C503,'Tree List'!$D$3:$D$601,"Deciduous")
        + COUNTIFS('Tree List'!$C$3:$C$601,$C503,'Tree List'!$D$3:$D$601,"Broadleaf Evergreen")) &gt; 0,
            _xlfn.IFS($K503="Small",0.4,$K503="Small/Medium",0.8,$K503="Medium/Large",1.2,$K503="Large",1.6)
    ),
    ""
),
"")</f>
        <v/>
      </c>
      <c r="M503" s="474" t="str">
        <f t="shared" si="573"/>
        <v/>
      </c>
      <c r="N503" s="620" t="str" cm="1">
        <f t="array" aca="1" ref="N50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IF(AND(_xlpm.baseRow,ISNA(MATCH($C503,'Tree List'!$C$3:$C$601,0)),SUMPRODUCT(--ISNUMBER(SEARCH(Tables2!$C$677:$C$772,$O503)))&gt;0),
Error!$B$57,
IF(AND(_xlpm.hasDM,$F503="Remove",$H503&lt;&gt;"",OR($I503="On-site replacement",$I503="Off-site replacement",$I503="Payment In Lieu")),
Error!$B$56,
IF(AND(_xlpm.hasDM,$F503="Remove",$H503&lt;&gt;"",$I503="Relocation"),
Error!$B$66,
IF(AND(OR(_xlpm.hasCN,_xlpm.hasPH,_xlpm.hasGR),$H503&lt;&gt;"",COUNTIF(Tables!$B$132:$B$134,$H503)&gt;0,$I503="N/A (No replacement required)"),
Error!$B$62,
IF(AND(_xlpm.baseRow,$E503&lt;&gt;"",ISNA(MATCH($E503,Tables!$B$225:$B$232,0))),
Error!$B$2,
IF(AND(_xlpm.baseRow,$F503&lt;&gt;"",ISNA(MATCH($F503,Tables!$B$234:$B$235,0))),
Error!$B$24,
IF(AND(_xlpm.baseRow,_xlpm.ECA_H&gt;0,_xlpm.Shore_H&gt;0),
Error!$B$16,
IF(AND(_xlpm.baseRow,$E503&lt;&gt;"",$D503=""),
Error!$B$3,
IF(AND(_xlpm.baseRow,OR($E503="Tier 3",$E503="Tier 4"),$C503&lt;&gt;"",$D503&gt;=24,COUNTIF(Tables2!$B$166:$B$674,$C503)&gt;0),
Error!$B$44,
IF(AND(_xlpm.baseRow,OR($E503="Tier 3",$E503="Tier 4"),$C503&lt;&gt;"",$D503&lt;&gt;"",COUNTIF(Tables2!$B$73:$B$152,$C503)&gt;0,
$D503&gt;=IFERROR(INDEX(Tables2!$C$73:$C$152,MATCH($C503,Tables2!$B$73:$B$152,0)),-1)),
Error!$B$44,
IF(AND(_xlpm.baseRow,OR($E503="Tier 2",$E503="Tier 2 Grove"),$C503&lt;&gt;"",$D503&gt;=12,COUNTIF(Tables2!$B$153:$B$162,$C503)&gt;0),
Error!$B$45,
IF(AND(_xlpm.baseRow,$E503="Tier 2 Grove",$D503&lt;12),
Error!$B$41,
IF(AND(_xlpm.baseRow,$E503="Tier 2",$D503&lt;5.88),
Error!$B$40,
IF(AND(_xlpm.baseRow,OR($E503="Tier 2",$E503="Tier 2 Grove"),$C503&lt;&gt;"",$D503&lt;12,$D503&gt;=6,COUNTIF(Tables2!$B$153:$B$162,$C503)&gt;0),
Error!$B$54,
IF(AND(_xlpm.baseRow,$E503="Tier 2",COUNTIF(Tables2!$B$166:$B$674,$C503)&gt;0,$D503&lt;24),
Error!$B$54,
IF(AND(_xlpm.baseRow,$E503="Tier 3",ISNA(MATCH($C503,Tables2!$B$153:$B$162,0)),OR($D503&lt;12,$D503&gt;=24)),
Error!$B$9,
IF(AND(_xlpm.baseRow,$E503="Tier 3",COUNTIF(Tables2!$B$153:$B$162,$C503)&gt;0,$D503&lt;12),
Error!$B$46,
IF(AND(_xlpm.baseRow,$E503="Tier 4",OR($D503&lt;6,$D503&gt;=12)),
Error!$B$10,
IF(AND(_xlpm.baseRow,$E503="&lt;6in DSH for Tree Points",OR($D503&gt;=6,$D503="")),
Error!$B$8,
IF(AND(_xlpm.baseRow,$E503="Street Tree for Green Factor",$F503&lt;&gt;"",$F503&lt;&gt;"Retain"),
Error!$B$14,
IF(AND($E503="&lt;6in DSH for Tree Points",$F503="Retain",$H503&lt;&gt;"",ISNA(MATCH($H503,Tables!$B$174:$B$174,0))),
Error!$B$15,
IF(AND($E503="Street Tree for Green Factor",$F503="Retain",$H503&lt;&gt;"",$H503&lt;&gt;"Zoning: Green Factor"),
Error!$B$15,
IF(AND($E503="ECA / Shoreline Tree",$F503="Remove",$H503&lt;&gt;"",ISNA(MATCH($H503,Tables!$B$189:$B$190,0))),
Error!$B$15,
IF(AND($E503="ECA / Shoreline Tree",$F503="Retain",$H503&lt;&gt;"",ISNA(MATCH($H503,Tables!$B$184:$B$186,0))),
Error!$B$15,
IF(AND($E503="Tier 4",$F503="Remove",$H503&lt;&gt;"",ISNA(MATCH($H503,Tables!$B$171,0))),
Error!$B$15,
IF(AND($E503="Tier 4",$F503="Retain",$H503&lt;&gt;"",ISNA(MATCH($H503,Tables!$B$166:$B$168,0))),
Error!$B$15,
IF(AND($E503="Tier 3",$F503="Retain",$H503&lt;&gt;"",ISNA(MATCH($H503,Tables!$B$158:$B$160,0))),
Error!$B$15,
IF(AND($E503="Tier 3",$F503="Remove",$H503&lt;&gt;"",ISNA(MATCH($H503,Tables!$B$163,0))),
Error!$B$15,
IF(AND(OR($E503="Tier 2",$E503="Tier 2 Grove"),$F503="Remove",$H503&lt;&gt;"",ISNA(MATCH($H503,Tables!$B$153:$B$155,0))),
Error!$B$15,
IF(AND(OR($E503="Tier 2",$E503="Tier 2 Grove"),$F503="Retain",$H503&lt;&gt;"",ISNA(MATCH($H503,Tables!$B$147:$B$150,0))),
Error!$B$15,
IF(AND($E503="Tier 1",$F503="Remove",$H503&lt;&gt;"",ISNA(MATCH($H503,Tables!$B$143:$B$144,0))),
Error!$B$15,
IF(AND($E503="Tier 1",$F503="Retain",$H503&lt;&gt;"",ISNA(MATCH($H503,Tables!$B$137:$B$140,0))),
Error!$B$15,
IF(AND($E503&lt;&gt;"Tier 2",$E503&lt;&gt;"Tier 2 Grove",$E503&lt;&gt;"Tier 3",$E503&lt;&gt;"Tier 4",$H503="Zoning: Green Factor",OR($D503="",$D503&lt;6)),
Error!$B$11,
IF(AND(_xlpm.baseRow,$D503&lt;6,$E503="&lt;6in DSH for Tree Points",_xlpm.TreePoints_H=0),
Error!$B$21,
IF(AND(_xlpm.baseRow,$E503&lt;&gt;"",$D503&lt;&gt;"",$F503=""),
Error!$B$4,
IF(AND(_xlpm.baseRow,$F503="Remove",OR($E503="Tier 1",$E503="Tier 2",$E503="Tier 2 Grove"),COUNTBLANK(_xlpm.HRange)&lt;3,_xlpm.uniqueH&gt;=2),
Error!$B$48,
IF(AND(_xlpm.baseRow,$F503="Retain",OR($E503="Tier 1",$E503="Tier 2",$E503="Tier 2 Grove"),COUNTIF(_xlpm.HRange,"Tree Code: Required to Retain Tier 1-2 Tree")=0),
Error!$B$47,
IF(AND(_xlpm.baseRow,$E503&lt;&gt;"",$D503&lt;&gt;"",$F503&lt;&gt;"",COUNTBLANK(_xlpm.HRange)=4),
Error!$B$5,
IF(AND($F503="Remove",$H503&lt;&gt;"",$I503=""),
Error!$B$18,
IF(AND($E503="Tier 4",$F503="Remove",$H503="Tree Protection Code: Tier 3 or Tier 4 Allowance",$H503&lt;&gt;"",ISNA(MATCH($I503,Tables!$B$200,0))),
Error!$B$17,
IF(AND($E503="Tier 3",$F503="Remove",$H503&lt;&gt;"",$H503="Tree Protection Code: Tier 3 or Tier 4 Allowance",OR($I503="",ISNA(MATCH($I503,Tables!$B$193:$B$197,0)))),
Error!$B$17,
IF(AND(OR($E503="Tier 2",$E503="Tier 2 Grove"),$F503="Remove",$H503="Tree Protection Code: Other removal allowance or exemption",$I503&lt;&gt;"",ISNA(MATCH($I503,Tables!$B$215:$B$218,0))),
Error!$B$17,
IF(AND(OR($E503="Tier 2",$E503="Tier 2 Grove"),$F503="Remove",$H503="Tree Protection Code: Development Capacity",$I503&lt;&gt;"",ISNA(MATCH($I503,Tables!$B$193:$B$197,0))),
Error!$B$17,
IF(AND(OR($E503="Tier 2",$E503="Tier 2 Grove"),$F503="Remove",$H503="Tree Protection Code: Necessary for Construction",$I503&lt;&gt;"",ISNA(MATCH($I503,Tables!$B$193:$B$197,0))),
Error!$B$17,
IF(AND($E503="Tier 1",$F503="Remove",$H503="Tree Protection Code: Special Exception",$I503&lt;&gt;"",ISNA(MATCH($I503,Tables!$B$215:$B$218,0))),
Error!$B$17,
IF(AND($E503="Tier 1",$F503="Remove",$H503="Tree Protection Code: Other removal allowance or exemption",$I503&lt;&gt;"",ISNA(MATCH($I503,Tables!$B$215:$B$218,0))),
Error!$B$17,
IF(AND($E503="ECA / Shoreline Tree",$F503="Remove",$H503&lt;&gt;"",OR($H503="Shoreline",$H503="Environmental Critical Area (ECA)"),ISNA(MATCH($I503,Tables!$B$209:$B$212,0))),
Error!$B$17,
IF(AND(_xlpm.baseRow,$F503="Retain",$E503="ECA / Shoreline Tree",_xlpm.ECA_Short=0),
Error!$B$61,
IF(AND($F503="Remove",ISNUMBER(MATCH($E503,{"Tier 1","Tier 2","Tier 3","Tier 4","Tier 2 Grove"},0)),ISNUMBER(MATCH($I503,{"On-site replacement","Off-site replacement"},0)),$J503="",$H503&lt;&gt;""),
Error!$B$19,
IF(AND(_xlpm.baseRow,$E503&lt;&gt;"",$D503&lt;&gt;"",$F503&lt;&gt;"",COUNTBLANK($B503:$C503)&gt;0,COUNTBLANK(_xlpm.HRange)&lt;&gt;4),
Error!$B$22,
IF(AND($H503="Zoning: Tree Points",$K503&lt;&gt;"",ISNA(MATCH($K503,Tables!$B$242:$B$253,0))),
Error!$B$58,
IF(AND($H503="Zoning: Tree Points",$K503="Small",$L503&lt;&gt;"",ISNA(MATCH($L503,Tables!$C$243:$C$244,0))),
Error!$B$59,
IF(AND($H503="Zoning: Tree Points",$K503="Small/Medium",$L503&lt;&gt;"",ISNA(MATCH($L503,Tables!$C$246:$C$247,0))),
Error!$B$59,
IF(AND($H503="Zoning: Tree Points",$K503="Medium/Large",$L503&lt;&gt;"",ISNA(MATCH($L503,Tables!$C$249:$C$250,0))),
Error!$B$59,
IF(AND($H503="Zoning: Tree Points",$K503="Large",$L503&lt;&gt;"",ISNA(MATCH($L503,Tables!$C$252:$C$253,0))),
Error!$B$59,
IF(AND($F503="Retain",$H503="Zoning: Tree Points",$C503&lt;&gt;"",$D503&lt;&gt;"",OR($K503="",$L503="",$M503="")),
Error!$B$20,
""
)))))))))))))))))))))))))))))))))))))))))))))))))))))))),
Error!$B$23))</f>
        <v/>
      </c>
      <c r="O503" s="343" t="str" cm="1">
        <f t="array" aca="1" ref="O503" ca="1">IFERROR(_xlfn.LET(
    _xlpm.txt, $C503,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04" spans="1:15" x14ac:dyDescent="0.3">
      <c r="A504" s="320"/>
      <c r="B504" s="616" t="str">
        <f t="shared" ref="B504:B506" si="579">IF($B503="", "", $B503)</f>
        <v/>
      </c>
      <c r="C504" s="617" t="str">
        <f t="shared" ref="C504:C506" si="580">IF($C503="", "", $C503)</f>
        <v/>
      </c>
      <c r="D504" s="618" t="str">
        <f t="shared" ref="D504:D506" si="581">IF($D503="", "", $D503)</f>
        <v/>
      </c>
      <c r="E504" s="616" t="str">
        <f t="shared" ref="E504:E506" si="582">IF($E503="", "", $E503)</f>
        <v/>
      </c>
      <c r="F504" s="616" t="str">
        <f t="shared" ref="F504:F506" si="583">IF($F503="", "", $F503)</f>
        <v/>
      </c>
      <c r="G504" s="619" t="str">
        <f>IF(Tree_Table1[[#This Row],[Tree Status  &amp;]]="Retain", Tables!$B$237, IF(Tree_Table1[[#This Row],[Tree Status  &amp;]]="Remove", Tables!$B$238, ""))</f>
        <v/>
      </c>
      <c r="H504" s="321"/>
      <c r="I504" s="322"/>
      <c r="J504" s="453"/>
      <c r="K504" s="323" t="str">
        <f>IFERROR(
    IF(
        AND($H504="Zoning: Tree Points", NOT(ISNUMBER(SEARCH("sp.", $C504)))),
        VLOOKUP($C504, 'Tree List'!$C$3:$F$601, 4, FALSE),
        ""
    ),
"")</f>
        <v/>
      </c>
      <c r="L504" s="324" t="str" cm="1">
        <f t="array" ref="L504">IFERROR(
IF(
    AND($H504="Zoning: Tree Points", NOT(ISNUMBER(SEARCH("sp.", $C504)))),
    _xlfn.IFS(
        (COUNTIFS('Tree List'!$C$3:$C$601,$C504,'Tree List'!$D$3:$D$601,"Coniferous")
        + COUNTIFS('Tree List'!$C$3:$C$601,$C504,'Tree List'!$D$3:$D$601,"Deciduous Conifer")) &gt; 0,
            _xlfn.IFS($K504="Small",0.5,$K504="Small/Medium",1,$K504="Medium/Large",1.4,$K504="Large",1.8),
        (COUNTIFS('Tree List'!$C$3:$C$601,$C504,'Tree List'!$D$3:$D$601,"Deciduous")
        + COUNTIFS('Tree List'!$C$3:$C$601,$C504,'Tree List'!$D$3:$D$601,"Broadleaf Evergreen")) &gt; 0,
            _xlfn.IFS($K504="Small",0.4,$K504="Small/Medium",0.8,$K504="Medium/Large",1.2,$K504="Large",1.6)
    ),
    ""
),
"")</f>
        <v/>
      </c>
      <c r="M504" s="475" t="str">
        <f t="shared" si="573"/>
        <v/>
      </c>
      <c r="N504" s="346" t="str" cm="1">
        <f t="array" aca="1" ref="N50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IF(AND(_xlpm.baseRow,ISNA(MATCH($C504,'Tree List'!$C$3:$C$601,0)),SUMPRODUCT(--ISNUMBER(SEARCH(Tables2!$C$677:$C$772,$O504)))&gt;0),
Error!$B$57,
IF(AND(_xlpm.hasDM,$F504="Remove",$H504&lt;&gt;"",OR($I504="On-site replacement",$I504="Off-site replacement",$I504="Payment In Lieu")),
Error!$B$56,
IF(AND(_xlpm.hasDM,$F504="Remove",$H504&lt;&gt;"",$I504="Relocation"),
Error!$B$66,
IF(AND(OR(_xlpm.hasCN,_xlpm.hasPH,_xlpm.hasGR),$H504&lt;&gt;"",COUNTIF(Tables!$B$132:$B$134,$H504)&gt;0,$I504="N/A (No replacement required)"),
Error!$B$62,
IF(AND(_xlpm.baseRow,$E504&lt;&gt;"",ISNA(MATCH($E504,Tables!$B$225:$B$232,0))),
Error!$B$2,
IF(AND(_xlpm.baseRow,$F504&lt;&gt;"",ISNA(MATCH($F504,Tables!$B$234:$B$235,0))),
Error!$B$24,
IF(AND(_xlpm.baseRow,_xlpm.ECA_H&gt;0,_xlpm.Shore_H&gt;0),
Error!$B$16,
IF(AND(_xlpm.baseRow,$E504&lt;&gt;"",$D504=""),
Error!$B$3,
IF(AND(_xlpm.baseRow,OR($E504="Tier 3",$E504="Tier 4"),$C504&lt;&gt;"",$D504&gt;=24,COUNTIF(Tables2!$B$166:$B$674,$C504)&gt;0),
Error!$B$44,
IF(AND(_xlpm.baseRow,OR($E504="Tier 3",$E504="Tier 4"),$C504&lt;&gt;"",$D504&lt;&gt;"",COUNTIF(Tables2!$B$73:$B$152,$C504)&gt;0,
$D504&gt;=IFERROR(INDEX(Tables2!$C$73:$C$152,MATCH($C504,Tables2!$B$73:$B$152,0)),-1)),
Error!$B$44,
IF(AND(_xlpm.baseRow,OR($E504="Tier 2",$E504="Tier 2 Grove"),$C504&lt;&gt;"",$D504&gt;=12,COUNTIF(Tables2!$B$153:$B$162,$C504)&gt;0),
Error!$B$45,
IF(AND(_xlpm.baseRow,$E504="Tier 2 Grove",$D504&lt;12),
Error!$B$41,
IF(AND(_xlpm.baseRow,$E504="Tier 2",$D504&lt;5.88),
Error!$B$40,
IF(AND(_xlpm.baseRow,OR($E504="Tier 2",$E504="Tier 2 Grove"),$C504&lt;&gt;"",$D504&lt;12,$D504&gt;=6,COUNTIF(Tables2!$B$153:$B$162,$C504)&gt;0),
Error!$B$54,
IF(AND(_xlpm.baseRow,$E504="Tier 2",COUNTIF(Tables2!$B$166:$B$674,$C504)&gt;0,$D504&lt;24),
Error!$B$54,
IF(AND(_xlpm.baseRow,$E504="Tier 3",ISNA(MATCH($C504,Tables2!$B$153:$B$162,0)),OR($D504&lt;12,$D504&gt;=24)),
Error!$B$9,
IF(AND(_xlpm.baseRow,$E504="Tier 3",COUNTIF(Tables2!$B$153:$B$162,$C504)&gt;0,$D504&lt;12),
Error!$B$46,
IF(AND(_xlpm.baseRow,$E504="Tier 4",OR($D504&lt;6,$D504&gt;=12)),
Error!$B$10,
IF(AND(_xlpm.baseRow,$E504="&lt;6in DSH for Tree Points",OR($D504&gt;=6,$D504="")),
Error!$B$8,
IF(AND(_xlpm.baseRow,$E504="Street Tree for Green Factor",$F504&lt;&gt;"",$F504&lt;&gt;"Retain"),
Error!$B$14,
IF(AND($E504="&lt;6in DSH for Tree Points",$F504="Retain",$H504&lt;&gt;"",ISNA(MATCH($H504,Tables!$B$174:$B$174,0))),
Error!$B$15,
IF(AND($E504="Street Tree for Green Factor",$F504="Retain",$H504&lt;&gt;"",$H504&lt;&gt;"Zoning: Green Factor"),
Error!$B$15,
IF(AND($E504="ECA / Shoreline Tree",$F504="Remove",$H504&lt;&gt;"",ISNA(MATCH($H504,Tables!$B$189:$B$190,0))),
Error!$B$15,
IF(AND($E504="ECA / Shoreline Tree",$F504="Retain",$H504&lt;&gt;"",ISNA(MATCH($H504,Tables!$B$184:$B$186,0))),
Error!$B$15,
IF(AND($E504="Tier 4",$F504="Remove",$H504&lt;&gt;"",ISNA(MATCH($H504,Tables!$B$171,0))),
Error!$B$15,
IF(AND($E504="Tier 4",$F504="Retain",$H504&lt;&gt;"",ISNA(MATCH($H504,Tables!$B$166:$B$168,0))),
Error!$B$15,
IF(AND($E504="Tier 3",$F504="Retain",$H504&lt;&gt;"",ISNA(MATCH($H504,Tables!$B$158:$B$160,0))),
Error!$B$15,
IF(AND($E504="Tier 3",$F504="Remove",$H504&lt;&gt;"",ISNA(MATCH($H504,Tables!$B$163,0))),
Error!$B$15,
IF(AND(OR($E504="Tier 2",$E504="Tier 2 Grove"),$F504="Remove",$H504&lt;&gt;"",ISNA(MATCH($H504,Tables!$B$153:$B$155,0))),
Error!$B$15,
IF(AND(OR($E504="Tier 2",$E504="Tier 2 Grove"),$F504="Retain",$H504&lt;&gt;"",ISNA(MATCH($H504,Tables!$B$147:$B$150,0))),
Error!$B$15,
IF(AND($E504="Tier 1",$F504="Remove",$H504&lt;&gt;"",ISNA(MATCH($H504,Tables!$B$143:$B$144,0))),
Error!$B$15,
IF(AND($E504="Tier 1",$F504="Retain",$H504&lt;&gt;"",ISNA(MATCH($H504,Tables!$B$137:$B$140,0))),
Error!$B$15,
IF(AND($E504&lt;&gt;"Tier 2",$E504&lt;&gt;"Tier 2 Grove",$E504&lt;&gt;"Tier 3",$E504&lt;&gt;"Tier 4",$H504="Zoning: Green Factor",OR($D504="",$D504&lt;6)),
Error!$B$11,
IF(AND(_xlpm.baseRow,$D504&lt;6,$E504="&lt;6in DSH for Tree Points",_xlpm.TreePoints_H=0),
Error!$B$21,
IF(AND(_xlpm.baseRow,$E504&lt;&gt;"",$D504&lt;&gt;"",$F504=""),
Error!$B$4,
IF(AND(_xlpm.baseRow,$F504="Remove",OR($E504="Tier 1",$E504="Tier 2",$E504="Tier 2 Grove"),COUNTBLANK(_xlpm.HRange)&lt;3,_xlpm.uniqueH&gt;=2),
Error!$B$48,
IF(AND(_xlpm.baseRow,$F504="Retain",OR($E504="Tier 1",$E504="Tier 2",$E504="Tier 2 Grove"),COUNTIF(_xlpm.HRange,"Tree Code: Required to Retain Tier 1-2 Tree")=0),
Error!$B$47,
IF(AND(_xlpm.baseRow,$E504&lt;&gt;"",$D504&lt;&gt;"",$F504&lt;&gt;"",COUNTBLANK(_xlpm.HRange)=4),
Error!$B$5,
IF(AND($F504="Remove",$H504&lt;&gt;"",$I504=""),
Error!$B$18,
IF(AND($E504="Tier 4",$F504="Remove",$H504="Tree Protection Code: Tier 3 or Tier 4 Allowance",$H504&lt;&gt;"",ISNA(MATCH($I504,Tables!$B$200,0))),
Error!$B$17,
IF(AND($E504="Tier 3",$F504="Remove",$H504&lt;&gt;"",$H504="Tree Protection Code: Tier 3 or Tier 4 Allowance",OR($I504="",ISNA(MATCH($I504,Tables!$B$193:$B$197,0)))),
Error!$B$17,
IF(AND(OR($E504="Tier 2",$E504="Tier 2 Grove"),$F504="Remove",$H504="Tree Protection Code: Other removal allowance or exemption",$I504&lt;&gt;"",ISNA(MATCH($I504,Tables!$B$215:$B$218,0))),
Error!$B$17,
IF(AND(OR($E504="Tier 2",$E504="Tier 2 Grove"),$F504="Remove",$H504="Tree Protection Code: Development Capacity",$I504&lt;&gt;"",ISNA(MATCH($I504,Tables!$B$193:$B$197,0))),
Error!$B$17,
IF(AND(OR($E504="Tier 2",$E504="Tier 2 Grove"),$F504="Remove",$H504="Tree Protection Code: Necessary for Construction",$I504&lt;&gt;"",ISNA(MATCH($I504,Tables!$B$193:$B$197,0))),
Error!$B$17,
IF(AND($E504="Tier 1",$F504="Remove",$H504="Tree Protection Code: Special Exception",$I504&lt;&gt;"",ISNA(MATCH($I504,Tables!$B$215:$B$218,0))),
Error!$B$17,
IF(AND($E504="Tier 1",$F504="Remove",$H504="Tree Protection Code: Other removal allowance or exemption",$I504&lt;&gt;"",ISNA(MATCH($I504,Tables!$B$215:$B$218,0))),
Error!$B$17,
IF(AND($E504="ECA / Shoreline Tree",$F504="Remove",$H504&lt;&gt;"",OR($H504="Shoreline",$H504="Environmental Critical Area (ECA)"),ISNA(MATCH($I504,Tables!$B$209:$B$212,0))),
Error!$B$17,
IF(AND(_xlpm.baseRow,$F504="Retain",$E504="ECA / Shoreline Tree",_xlpm.ECA_Short=0),
Error!$B$61,
IF(AND($F504="Remove",ISNUMBER(MATCH($E504,{"Tier 1","Tier 2","Tier 3","Tier 4","Tier 2 Grove"},0)),ISNUMBER(MATCH($I504,{"On-site replacement","Off-site replacement"},0)),$J504="",$H504&lt;&gt;""),
Error!$B$19,
IF(AND(_xlpm.baseRow,$E504&lt;&gt;"",$D504&lt;&gt;"",$F504&lt;&gt;"",COUNTBLANK($B504:$C504)&gt;0,COUNTBLANK(_xlpm.HRange)&lt;&gt;4),
Error!$B$22,
IF(AND($H504="Zoning: Tree Points",$K504&lt;&gt;"",ISNA(MATCH($K504,Tables!$B$242:$B$253,0))),
Error!$B$58,
IF(AND($H504="Zoning: Tree Points",$K504="Small",$L504&lt;&gt;"",ISNA(MATCH($L504,Tables!$C$243:$C$244,0))),
Error!$B$59,
IF(AND($H504="Zoning: Tree Points",$K504="Small/Medium",$L504&lt;&gt;"",ISNA(MATCH($L504,Tables!$C$246:$C$247,0))),
Error!$B$59,
IF(AND($H504="Zoning: Tree Points",$K504="Medium/Large",$L504&lt;&gt;"",ISNA(MATCH($L504,Tables!$C$249:$C$250,0))),
Error!$B$59,
IF(AND($H504="Zoning: Tree Points",$K504="Large",$L504&lt;&gt;"",ISNA(MATCH($L504,Tables!$C$252:$C$253,0))),
Error!$B$59,
IF(AND($F504="Retain",$H504="Zoning: Tree Points",$C504&lt;&gt;"",$D504&lt;&gt;"",OR($K504="",$L504="",$M504="")),
Error!$B$20,
""
)))))))))))))))))))))))))))))))))))))))))))))))))))))))),
Error!$B$23))</f>
        <v/>
      </c>
      <c r="O504" s="343" t="str" cm="1">
        <f t="array" aca="1" ref="O504" ca="1">IFERROR(_xlfn.LET(
    _xlpm.txt, $C504,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05" spans="1:15" x14ac:dyDescent="0.3">
      <c r="A505" s="320"/>
      <c r="B505" s="616" t="str">
        <f t="shared" si="579"/>
        <v/>
      </c>
      <c r="C505" s="617" t="str">
        <f t="shared" si="580"/>
        <v/>
      </c>
      <c r="D505" s="618" t="str">
        <f t="shared" si="581"/>
        <v/>
      </c>
      <c r="E505" s="616" t="str">
        <f t="shared" si="582"/>
        <v/>
      </c>
      <c r="F505" s="616" t="str">
        <f t="shared" si="583"/>
        <v/>
      </c>
      <c r="G505" s="619" t="str">
        <f>IF(Tree_Table1[[#This Row],[Tree Status  &amp;]]="Retain", Tables!$B$237, IF(Tree_Table1[[#This Row],[Tree Status  &amp;]]="Remove", Tables!$B$238, ""))</f>
        <v/>
      </c>
      <c r="H505" s="321"/>
      <c r="I505" s="322"/>
      <c r="J505" s="453"/>
      <c r="K505" s="323" t="str">
        <f>IFERROR(
    IF(
        AND($H505="Zoning: Tree Points", NOT(ISNUMBER(SEARCH("sp.", $C505)))),
        VLOOKUP($C505, 'Tree List'!$C$3:$F$601, 4, FALSE),
        ""
    ),
"")</f>
        <v/>
      </c>
      <c r="L505" s="324" t="str" cm="1">
        <f t="array" ref="L505">IFERROR(
IF(
    AND($H505="Zoning: Tree Points", NOT(ISNUMBER(SEARCH("sp.", $C505)))),
    _xlfn.IFS(
        (COUNTIFS('Tree List'!$C$3:$C$601,$C505,'Tree List'!$D$3:$D$601,"Coniferous")
        + COUNTIFS('Tree List'!$C$3:$C$601,$C505,'Tree List'!$D$3:$D$601,"Deciduous Conifer")) &gt; 0,
            _xlfn.IFS($K505="Small",0.5,$K505="Small/Medium",1,$K505="Medium/Large",1.4,$K505="Large",1.8),
        (COUNTIFS('Tree List'!$C$3:$C$601,$C505,'Tree List'!$D$3:$D$601,"Deciduous")
        + COUNTIFS('Tree List'!$C$3:$C$601,$C505,'Tree List'!$D$3:$D$601,"Broadleaf Evergreen")) &gt; 0,
            _xlfn.IFS($K505="Small",0.4,$K505="Small/Medium",0.8,$K505="Medium/Large",1.2,$K505="Large",1.6)
    ),
    ""
),
"")</f>
        <v/>
      </c>
      <c r="M505" s="475" t="str">
        <f t="shared" si="573"/>
        <v/>
      </c>
      <c r="N505" s="346" t="str" cm="1">
        <f t="array" aca="1" ref="N50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IF(AND(_xlpm.baseRow,ISNA(MATCH($C505,'Tree List'!$C$3:$C$601,0)),SUMPRODUCT(--ISNUMBER(SEARCH(Tables2!$C$677:$C$772,$O505)))&gt;0),
Error!$B$57,
IF(AND(_xlpm.hasDM,$F505="Remove",$H505&lt;&gt;"",OR($I505="On-site replacement",$I505="Off-site replacement",$I505="Payment In Lieu")),
Error!$B$56,
IF(AND(_xlpm.hasDM,$F505="Remove",$H505&lt;&gt;"",$I505="Relocation"),
Error!$B$66,
IF(AND(OR(_xlpm.hasCN,_xlpm.hasPH,_xlpm.hasGR),$H505&lt;&gt;"",COUNTIF(Tables!$B$132:$B$134,$H505)&gt;0,$I505="N/A (No replacement required)"),
Error!$B$62,
IF(AND(_xlpm.baseRow,$E505&lt;&gt;"",ISNA(MATCH($E505,Tables!$B$225:$B$232,0))),
Error!$B$2,
IF(AND(_xlpm.baseRow,$F505&lt;&gt;"",ISNA(MATCH($F505,Tables!$B$234:$B$235,0))),
Error!$B$24,
IF(AND(_xlpm.baseRow,_xlpm.ECA_H&gt;0,_xlpm.Shore_H&gt;0),
Error!$B$16,
IF(AND(_xlpm.baseRow,$E505&lt;&gt;"",$D505=""),
Error!$B$3,
IF(AND(_xlpm.baseRow,OR($E505="Tier 3",$E505="Tier 4"),$C505&lt;&gt;"",$D505&gt;=24,COUNTIF(Tables2!$B$166:$B$674,$C505)&gt;0),
Error!$B$44,
IF(AND(_xlpm.baseRow,OR($E505="Tier 3",$E505="Tier 4"),$C505&lt;&gt;"",$D505&lt;&gt;"",COUNTIF(Tables2!$B$73:$B$152,$C505)&gt;0,
$D505&gt;=IFERROR(INDEX(Tables2!$C$73:$C$152,MATCH($C505,Tables2!$B$73:$B$152,0)),-1)),
Error!$B$44,
IF(AND(_xlpm.baseRow,OR($E505="Tier 2",$E505="Tier 2 Grove"),$C505&lt;&gt;"",$D505&gt;=12,COUNTIF(Tables2!$B$153:$B$162,$C505)&gt;0),
Error!$B$45,
IF(AND(_xlpm.baseRow,$E505="Tier 2 Grove",$D505&lt;12),
Error!$B$41,
IF(AND(_xlpm.baseRow,$E505="Tier 2",$D505&lt;5.88),
Error!$B$40,
IF(AND(_xlpm.baseRow,OR($E505="Tier 2",$E505="Tier 2 Grove"),$C505&lt;&gt;"",$D505&lt;12,$D505&gt;=6,COUNTIF(Tables2!$B$153:$B$162,$C505)&gt;0),
Error!$B$54,
IF(AND(_xlpm.baseRow,$E505="Tier 2",COUNTIF(Tables2!$B$166:$B$674,$C505)&gt;0,$D505&lt;24),
Error!$B$54,
IF(AND(_xlpm.baseRow,$E505="Tier 3",ISNA(MATCH($C505,Tables2!$B$153:$B$162,0)),OR($D505&lt;12,$D505&gt;=24)),
Error!$B$9,
IF(AND(_xlpm.baseRow,$E505="Tier 3",COUNTIF(Tables2!$B$153:$B$162,$C505)&gt;0,$D505&lt;12),
Error!$B$46,
IF(AND(_xlpm.baseRow,$E505="Tier 4",OR($D505&lt;6,$D505&gt;=12)),
Error!$B$10,
IF(AND(_xlpm.baseRow,$E505="&lt;6in DSH for Tree Points",OR($D505&gt;=6,$D505="")),
Error!$B$8,
IF(AND(_xlpm.baseRow,$E505="Street Tree for Green Factor",$F505&lt;&gt;"",$F505&lt;&gt;"Retain"),
Error!$B$14,
IF(AND($E505="&lt;6in DSH for Tree Points",$F505="Retain",$H505&lt;&gt;"",ISNA(MATCH($H505,Tables!$B$174:$B$174,0))),
Error!$B$15,
IF(AND($E505="Street Tree for Green Factor",$F505="Retain",$H505&lt;&gt;"",$H505&lt;&gt;"Zoning: Green Factor"),
Error!$B$15,
IF(AND($E505="ECA / Shoreline Tree",$F505="Remove",$H505&lt;&gt;"",ISNA(MATCH($H505,Tables!$B$189:$B$190,0))),
Error!$B$15,
IF(AND($E505="ECA / Shoreline Tree",$F505="Retain",$H505&lt;&gt;"",ISNA(MATCH($H505,Tables!$B$184:$B$186,0))),
Error!$B$15,
IF(AND($E505="Tier 4",$F505="Remove",$H505&lt;&gt;"",ISNA(MATCH($H505,Tables!$B$171,0))),
Error!$B$15,
IF(AND($E505="Tier 4",$F505="Retain",$H505&lt;&gt;"",ISNA(MATCH($H505,Tables!$B$166:$B$168,0))),
Error!$B$15,
IF(AND($E505="Tier 3",$F505="Retain",$H505&lt;&gt;"",ISNA(MATCH($H505,Tables!$B$158:$B$160,0))),
Error!$B$15,
IF(AND($E505="Tier 3",$F505="Remove",$H505&lt;&gt;"",ISNA(MATCH($H505,Tables!$B$163,0))),
Error!$B$15,
IF(AND(OR($E505="Tier 2",$E505="Tier 2 Grove"),$F505="Remove",$H505&lt;&gt;"",ISNA(MATCH($H505,Tables!$B$153:$B$155,0))),
Error!$B$15,
IF(AND(OR($E505="Tier 2",$E505="Tier 2 Grove"),$F505="Retain",$H505&lt;&gt;"",ISNA(MATCH($H505,Tables!$B$147:$B$150,0))),
Error!$B$15,
IF(AND($E505="Tier 1",$F505="Remove",$H505&lt;&gt;"",ISNA(MATCH($H505,Tables!$B$143:$B$144,0))),
Error!$B$15,
IF(AND($E505="Tier 1",$F505="Retain",$H505&lt;&gt;"",ISNA(MATCH($H505,Tables!$B$137:$B$140,0))),
Error!$B$15,
IF(AND($E505&lt;&gt;"Tier 2",$E505&lt;&gt;"Tier 2 Grove",$E505&lt;&gt;"Tier 3",$E505&lt;&gt;"Tier 4",$H505="Zoning: Green Factor",OR($D505="",$D505&lt;6)),
Error!$B$11,
IF(AND(_xlpm.baseRow,$D505&lt;6,$E505="&lt;6in DSH for Tree Points",_xlpm.TreePoints_H=0),
Error!$B$21,
IF(AND(_xlpm.baseRow,$E505&lt;&gt;"",$D505&lt;&gt;"",$F505=""),
Error!$B$4,
IF(AND(_xlpm.baseRow,$F505="Remove",OR($E505="Tier 1",$E505="Tier 2",$E505="Tier 2 Grove"),COUNTBLANK(_xlpm.HRange)&lt;3,_xlpm.uniqueH&gt;=2),
Error!$B$48,
IF(AND(_xlpm.baseRow,$F505="Retain",OR($E505="Tier 1",$E505="Tier 2",$E505="Tier 2 Grove"),COUNTIF(_xlpm.HRange,"Tree Code: Required to Retain Tier 1-2 Tree")=0),
Error!$B$47,
IF(AND(_xlpm.baseRow,$E505&lt;&gt;"",$D505&lt;&gt;"",$F505&lt;&gt;"",COUNTBLANK(_xlpm.HRange)=4),
Error!$B$5,
IF(AND($F505="Remove",$H505&lt;&gt;"",$I505=""),
Error!$B$18,
IF(AND($E505="Tier 4",$F505="Remove",$H505="Tree Protection Code: Tier 3 or Tier 4 Allowance",$H505&lt;&gt;"",ISNA(MATCH($I505,Tables!$B$200,0))),
Error!$B$17,
IF(AND($E505="Tier 3",$F505="Remove",$H505&lt;&gt;"",$H505="Tree Protection Code: Tier 3 or Tier 4 Allowance",OR($I505="",ISNA(MATCH($I505,Tables!$B$193:$B$197,0)))),
Error!$B$17,
IF(AND(OR($E505="Tier 2",$E505="Tier 2 Grove"),$F505="Remove",$H505="Tree Protection Code: Other removal allowance or exemption",$I505&lt;&gt;"",ISNA(MATCH($I505,Tables!$B$215:$B$218,0))),
Error!$B$17,
IF(AND(OR($E505="Tier 2",$E505="Tier 2 Grove"),$F505="Remove",$H505="Tree Protection Code: Development Capacity",$I505&lt;&gt;"",ISNA(MATCH($I505,Tables!$B$193:$B$197,0))),
Error!$B$17,
IF(AND(OR($E505="Tier 2",$E505="Tier 2 Grove"),$F505="Remove",$H505="Tree Protection Code: Necessary for Construction",$I505&lt;&gt;"",ISNA(MATCH($I505,Tables!$B$193:$B$197,0))),
Error!$B$17,
IF(AND($E505="Tier 1",$F505="Remove",$H505="Tree Protection Code: Special Exception",$I505&lt;&gt;"",ISNA(MATCH($I505,Tables!$B$215:$B$218,0))),
Error!$B$17,
IF(AND($E505="Tier 1",$F505="Remove",$H505="Tree Protection Code: Other removal allowance or exemption",$I505&lt;&gt;"",ISNA(MATCH($I505,Tables!$B$215:$B$218,0))),
Error!$B$17,
IF(AND($E505="ECA / Shoreline Tree",$F505="Remove",$H505&lt;&gt;"",OR($H505="Shoreline",$H505="Environmental Critical Area (ECA)"),ISNA(MATCH($I505,Tables!$B$209:$B$212,0))),
Error!$B$17,
IF(AND(_xlpm.baseRow,$F505="Retain",$E505="ECA / Shoreline Tree",_xlpm.ECA_Short=0),
Error!$B$61,
IF(AND($F505="Remove",ISNUMBER(MATCH($E505,{"Tier 1","Tier 2","Tier 3","Tier 4","Tier 2 Grove"},0)),ISNUMBER(MATCH($I505,{"On-site replacement","Off-site replacement"},0)),$J505="",$H505&lt;&gt;""),
Error!$B$19,
IF(AND(_xlpm.baseRow,$E505&lt;&gt;"",$D505&lt;&gt;"",$F505&lt;&gt;"",COUNTBLANK($B505:$C505)&gt;0,COUNTBLANK(_xlpm.HRange)&lt;&gt;4),
Error!$B$22,
IF(AND($H505="Zoning: Tree Points",$K505&lt;&gt;"",ISNA(MATCH($K505,Tables!$B$242:$B$253,0))),
Error!$B$58,
IF(AND($H505="Zoning: Tree Points",$K505="Small",$L505&lt;&gt;"",ISNA(MATCH($L505,Tables!$C$243:$C$244,0))),
Error!$B$59,
IF(AND($H505="Zoning: Tree Points",$K505="Small/Medium",$L505&lt;&gt;"",ISNA(MATCH($L505,Tables!$C$246:$C$247,0))),
Error!$B$59,
IF(AND($H505="Zoning: Tree Points",$K505="Medium/Large",$L505&lt;&gt;"",ISNA(MATCH($L505,Tables!$C$249:$C$250,0))),
Error!$B$59,
IF(AND($H505="Zoning: Tree Points",$K505="Large",$L505&lt;&gt;"",ISNA(MATCH($L505,Tables!$C$252:$C$253,0))),
Error!$B$59,
IF(AND($F505="Retain",$H505="Zoning: Tree Points",$C505&lt;&gt;"",$D505&lt;&gt;"",OR($K505="",$L505="",$M505="")),
Error!$B$20,
""
)))))))))))))))))))))))))))))))))))))))))))))))))))))))),
Error!$B$23))</f>
        <v/>
      </c>
      <c r="O505" s="343" t="str" cm="1">
        <f t="array" aca="1" ref="O505" ca="1">IFERROR(_xlfn.LET(
    _xlpm.txt, $C505,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06" spans="1:15" ht="15" thickBot="1" x14ac:dyDescent="0.35">
      <c r="A506" s="331"/>
      <c r="B506" s="616" t="str">
        <f t="shared" si="579"/>
        <v/>
      </c>
      <c r="C506" s="617" t="str">
        <f t="shared" si="580"/>
        <v/>
      </c>
      <c r="D506" s="618" t="str">
        <f t="shared" si="581"/>
        <v/>
      </c>
      <c r="E506" s="616" t="str">
        <f t="shared" si="582"/>
        <v/>
      </c>
      <c r="F506" s="616" t="str">
        <f t="shared" si="583"/>
        <v/>
      </c>
      <c r="G506" s="619" t="str">
        <f>IF(Tree_Table1[[#This Row],[Tree Status  &amp;]]="Retain", Tables!$B$237, IF(Tree_Table1[[#This Row],[Tree Status  &amp;]]="Remove", Tables!$B$238, ""))</f>
        <v/>
      </c>
      <c r="H506" s="329"/>
      <c r="I506" s="330"/>
      <c r="J506" s="455"/>
      <c r="K506" s="327" t="str">
        <f>IFERROR(
    IF(
        AND($H506="Zoning: Tree Points", NOT(ISNUMBER(SEARCH("sp.", $C506)))),
        VLOOKUP($C506, 'Tree List'!$C$3:$F$601, 4, FALSE),
        ""
    ),
"")</f>
        <v/>
      </c>
      <c r="L506" s="328" t="str" cm="1">
        <f t="array" ref="L506">IFERROR(
IF(
    AND($H506="Zoning: Tree Points", NOT(ISNUMBER(SEARCH("sp.", $C506)))),
    _xlfn.IFS(
        (COUNTIFS('Tree List'!$C$3:$C$601,$C506,'Tree List'!$D$3:$D$601,"Coniferous")
        + COUNTIFS('Tree List'!$C$3:$C$601,$C506,'Tree List'!$D$3:$D$601,"Deciduous Conifer")) &gt; 0,
            _xlfn.IFS($K506="Small",0.5,$K506="Small/Medium",1,$K506="Medium/Large",1.4,$K506="Large",1.8),
        (COUNTIFS('Tree List'!$C$3:$C$601,$C506,'Tree List'!$D$3:$D$601,"Deciduous")
        + COUNTIFS('Tree List'!$C$3:$C$601,$C506,'Tree List'!$D$3:$D$601,"Broadleaf Evergreen")) &gt; 0,
            _xlfn.IFS($K506="Small",0.4,$K506="Small/Medium",0.8,$K506="Medium/Large",1.2,$K506="Large",1.6)
    ),
    ""
),
"")</f>
        <v/>
      </c>
      <c r="M506" s="476" t="str">
        <f t="shared" si="573"/>
        <v/>
      </c>
      <c r="N506" s="347" t="str" cm="1">
        <f t="array" aca="1" ref="N50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IF(AND(_xlpm.baseRow,ISNA(MATCH($C506,'Tree List'!$C$3:$C$601,0)),SUMPRODUCT(--ISNUMBER(SEARCH(Tables2!$C$677:$C$772,$O506)))&gt;0),
Error!$B$57,
IF(AND(_xlpm.hasDM,$F506="Remove",$H506&lt;&gt;"",OR($I506="On-site replacement",$I506="Off-site replacement",$I506="Payment In Lieu")),
Error!$B$56,
IF(AND(_xlpm.hasDM,$F506="Remove",$H506&lt;&gt;"",$I506="Relocation"),
Error!$B$66,
IF(AND(OR(_xlpm.hasCN,_xlpm.hasPH,_xlpm.hasGR),$H506&lt;&gt;"",COUNTIF(Tables!$B$132:$B$134,$H506)&gt;0,$I506="N/A (No replacement required)"),
Error!$B$62,
IF(AND(_xlpm.baseRow,$E506&lt;&gt;"",ISNA(MATCH($E506,Tables!$B$225:$B$232,0))),
Error!$B$2,
IF(AND(_xlpm.baseRow,$F506&lt;&gt;"",ISNA(MATCH($F506,Tables!$B$234:$B$235,0))),
Error!$B$24,
IF(AND(_xlpm.baseRow,_xlpm.ECA_H&gt;0,_xlpm.Shore_H&gt;0),
Error!$B$16,
IF(AND(_xlpm.baseRow,$E506&lt;&gt;"",$D506=""),
Error!$B$3,
IF(AND(_xlpm.baseRow,OR($E506="Tier 3",$E506="Tier 4"),$C506&lt;&gt;"",$D506&gt;=24,COUNTIF(Tables2!$B$166:$B$674,$C506)&gt;0),
Error!$B$44,
IF(AND(_xlpm.baseRow,OR($E506="Tier 3",$E506="Tier 4"),$C506&lt;&gt;"",$D506&lt;&gt;"",COUNTIF(Tables2!$B$73:$B$152,$C506)&gt;0,
$D506&gt;=IFERROR(INDEX(Tables2!$C$73:$C$152,MATCH($C506,Tables2!$B$73:$B$152,0)),-1)),
Error!$B$44,
IF(AND(_xlpm.baseRow,OR($E506="Tier 2",$E506="Tier 2 Grove"),$C506&lt;&gt;"",$D506&gt;=12,COUNTIF(Tables2!$B$153:$B$162,$C506)&gt;0),
Error!$B$45,
IF(AND(_xlpm.baseRow,$E506="Tier 2 Grove",$D506&lt;12),
Error!$B$41,
IF(AND(_xlpm.baseRow,$E506="Tier 2",$D506&lt;5.88),
Error!$B$40,
IF(AND(_xlpm.baseRow,OR($E506="Tier 2",$E506="Tier 2 Grove"),$C506&lt;&gt;"",$D506&lt;12,$D506&gt;=6,COUNTIF(Tables2!$B$153:$B$162,$C506)&gt;0),
Error!$B$54,
IF(AND(_xlpm.baseRow,$E506="Tier 2",COUNTIF(Tables2!$B$166:$B$674,$C506)&gt;0,$D506&lt;24),
Error!$B$54,
IF(AND(_xlpm.baseRow,$E506="Tier 3",ISNA(MATCH($C506,Tables2!$B$153:$B$162,0)),OR($D506&lt;12,$D506&gt;=24)),
Error!$B$9,
IF(AND(_xlpm.baseRow,$E506="Tier 3",COUNTIF(Tables2!$B$153:$B$162,$C506)&gt;0,$D506&lt;12),
Error!$B$46,
IF(AND(_xlpm.baseRow,$E506="Tier 4",OR($D506&lt;6,$D506&gt;=12)),
Error!$B$10,
IF(AND(_xlpm.baseRow,$E506="&lt;6in DSH for Tree Points",OR($D506&gt;=6,$D506="")),
Error!$B$8,
IF(AND(_xlpm.baseRow,$E506="Street Tree for Green Factor",$F506&lt;&gt;"",$F506&lt;&gt;"Retain"),
Error!$B$14,
IF(AND($E506="&lt;6in DSH for Tree Points",$F506="Retain",$H506&lt;&gt;"",ISNA(MATCH($H506,Tables!$B$174:$B$174,0))),
Error!$B$15,
IF(AND($E506="Street Tree for Green Factor",$F506="Retain",$H506&lt;&gt;"",$H506&lt;&gt;"Zoning: Green Factor"),
Error!$B$15,
IF(AND($E506="ECA / Shoreline Tree",$F506="Remove",$H506&lt;&gt;"",ISNA(MATCH($H506,Tables!$B$189:$B$190,0))),
Error!$B$15,
IF(AND($E506="ECA / Shoreline Tree",$F506="Retain",$H506&lt;&gt;"",ISNA(MATCH($H506,Tables!$B$184:$B$186,0))),
Error!$B$15,
IF(AND($E506="Tier 4",$F506="Remove",$H506&lt;&gt;"",ISNA(MATCH($H506,Tables!$B$171,0))),
Error!$B$15,
IF(AND($E506="Tier 4",$F506="Retain",$H506&lt;&gt;"",ISNA(MATCH($H506,Tables!$B$166:$B$168,0))),
Error!$B$15,
IF(AND($E506="Tier 3",$F506="Retain",$H506&lt;&gt;"",ISNA(MATCH($H506,Tables!$B$158:$B$160,0))),
Error!$B$15,
IF(AND($E506="Tier 3",$F506="Remove",$H506&lt;&gt;"",ISNA(MATCH($H506,Tables!$B$163,0))),
Error!$B$15,
IF(AND(OR($E506="Tier 2",$E506="Tier 2 Grove"),$F506="Remove",$H506&lt;&gt;"",ISNA(MATCH($H506,Tables!$B$153:$B$155,0))),
Error!$B$15,
IF(AND(OR($E506="Tier 2",$E506="Tier 2 Grove"),$F506="Retain",$H506&lt;&gt;"",ISNA(MATCH($H506,Tables!$B$147:$B$150,0))),
Error!$B$15,
IF(AND($E506="Tier 1",$F506="Remove",$H506&lt;&gt;"",ISNA(MATCH($H506,Tables!$B$143:$B$144,0))),
Error!$B$15,
IF(AND($E506="Tier 1",$F506="Retain",$H506&lt;&gt;"",ISNA(MATCH($H506,Tables!$B$137:$B$140,0))),
Error!$B$15,
IF(AND($E506&lt;&gt;"Tier 2",$E506&lt;&gt;"Tier 2 Grove",$E506&lt;&gt;"Tier 3",$E506&lt;&gt;"Tier 4",$H506="Zoning: Green Factor",OR($D506="",$D506&lt;6)),
Error!$B$11,
IF(AND(_xlpm.baseRow,$D506&lt;6,$E506="&lt;6in DSH for Tree Points",_xlpm.TreePoints_H=0),
Error!$B$21,
IF(AND(_xlpm.baseRow,$E506&lt;&gt;"",$D506&lt;&gt;"",$F506=""),
Error!$B$4,
IF(AND(_xlpm.baseRow,$F506="Remove",OR($E506="Tier 1",$E506="Tier 2",$E506="Tier 2 Grove"),COUNTBLANK(_xlpm.HRange)&lt;3,_xlpm.uniqueH&gt;=2),
Error!$B$48,
IF(AND(_xlpm.baseRow,$F506="Retain",OR($E506="Tier 1",$E506="Tier 2",$E506="Tier 2 Grove"),COUNTIF(_xlpm.HRange,"Tree Code: Required to Retain Tier 1-2 Tree")=0),
Error!$B$47,
IF(AND(_xlpm.baseRow,$E506&lt;&gt;"",$D506&lt;&gt;"",$F506&lt;&gt;"",COUNTBLANK(_xlpm.HRange)=4),
Error!$B$5,
IF(AND($F506="Remove",$H506&lt;&gt;"",$I506=""),
Error!$B$18,
IF(AND($E506="Tier 4",$F506="Remove",$H506="Tree Protection Code: Tier 3 or Tier 4 Allowance",$H506&lt;&gt;"",ISNA(MATCH($I506,Tables!$B$200,0))),
Error!$B$17,
IF(AND($E506="Tier 3",$F506="Remove",$H506&lt;&gt;"",$H506="Tree Protection Code: Tier 3 or Tier 4 Allowance",OR($I506="",ISNA(MATCH($I506,Tables!$B$193:$B$197,0)))),
Error!$B$17,
IF(AND(OR($E506="Tier 2",$E506="Tier 2 Grove"),$F506="Remove",$H506="Tree Protection Code: Other removal allowance or exemption",$I506&lt;&gt;"",ISNA(MATCH($I506,Tables!$B$215:$B$218,0))),
Error!$B$17,
IF(AND(OR($E506="Tier 2",$E506="Tier 2 Grove"),$F506="Remove",$H506="Tree Protection Code: Development Capacity",$I506&lt;&gt;"",ISNA(MATCH($I506,Tables!$B$193:$B$197,0))),
Error!$B$17,
IF(AND(OR($E506="Tier 2",$E506="Tier 2 Grove"),$F506="Remove",$H506="Tree Protection Code: Necessary for Construction",$I506&lt;&gt;"",ISNA(MATCH($I506,Tables!$B$193:$B$197,0))),
Error!$B$17,
IF(AND($E506="Tier 1",$F506="Remove",$H506="Tree Protection Code: Special Exception",$I506&lt;&gt;"",ISNA(MATCH($I506,Tables!$B$215:$B$218,0))),
Error!$B$17,
IF(AND($E506="Tier 1",$F506="Remove",$H506="Tree Protection Code: Other removal allowance or exemption",$I506&lt;&gt;"",ISNA(MATCH($I506,Tables!$B$215:$B$218,0))),
Error!$B$17,
IF(AND($E506="ECA / Shoreline Tree",$F506="Remove",$H506&lt;&gt;"",OR($H506="Shoreline",$H506="Environmental Critical Area (ECA)"),ISNA(MATCH($I506,Tables!$B$209:$B$212,0))),
Error!$B$17,
IF(AND(_xlpm.baseRow,$F506="Retain",$E506="ECA / Shoreline Tree",_xlpm.ECA_Short=0),
Error!$B$61,
IF(AND($F506="Remove",ISNUMBER(MATCH($E506,{"Tier 1","Tier 2","Tier 3","Tier 4","Tier 2 Grove"},0)),ISNUMBER(MATCH($I506,{"On-site replacement","Off-site replacement"},0)),$J506="",$H506&lt;&gt;""),
Error!$B$19,
IF(AND(_xlpm.baseRow,$E506&lt;&gt;"",$D506&lt;&gt;"",$F506&lt;&gt;"",COUNTBLANK($B506:$C506)&gt;0,COUNTBLANK(_xlpm.HRange)&lt;&gt;4),
Error!$B$22,
IF(AND($H506="Zoning: Tree Points",$K506&lt;&gt;"",ISNA(MATCH($K506,Tables!$B$242:$B$253,0))),
Error!$B$58,
IF(AND($H506="Zoning: Tree Points",$K506="Small",$L506&lt;&gt;"",ISNA(MATCH($L506,Tables!$C$243:$C$244,0))),
Error!$B$59,
IF(AND($H506="Zoning: Tree Points",$K506="Small/Medium",$L506&lt;&gt;"",ISNA(MATCH($L506,Tables!$C$246:$C$247,0))),
Error!$B$59,
IF(AND($H506="Zoning: Tree Points",$K506="Medium/Large",$L506&lt;&gt;"",ISNA(MATCH($L506,Tables!$C$249:$C$250,0))),
Error!$B$59,
IF(AND($H506="Zoning: Tree Points",$K506="Large",$L506&lt;&gt;"",ISNA(MATCH($L506,Tables!$C$252:$C$253,0))),
Error!$B$59,
IF(AND($F506="Retain",$H506="Zoning: Tree Points",$C506&lt;&gt;"",$D506&lt;&gt;"",OR($K506="",$L506="",$M506="")),
Error!$B$20,
""
)))))))))))))))))))))))))))))))))))))))))))))))))))))))),
Error!$B$23))</f>
        <v/>
      </c>
      <c r="O506" s="343" t="str" cm="1">
        <f t="array" aca="1" ref="O506" ca="1">IFERROR(_xlfn.LET(
    _xlpm.txt, $C506,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07" spans="1:15" ht="15" thickBot="1" x14ac:dyDescent="0.35">
      <c r="A507" s="311">
        <v>125</v>
      </c>
      <c r="B507" s="312"/>
      <c r="C507" s="313"/>
      <c r="D507" s="478"/>
      <c r="E507" s="314"/>
      <c r="F507" s="314"/>
      <c r="G507" s="315" t="str">
        <f>IF(Tree_Table1[[#This Row],[Tree Status  &amp;]]="Retain", Tables!$B$237, IF(Tree_Table1[[#This Row],[Tree Status  &amp;]]="Remove", Tables!$B$238, ""))</f>
        <v/>
      </c>
      <c r="H507" s="316"/>
      <c r="I507" s="317"/>
      <c r="J507" s="452"/>
      <c r="K507" s="318" t="str">
        <f>IFERROR(
    IF(
        AND($H507="Zoning: Tree Points", NOT(ISNUMBER(SEARCH("sp.", $C507)))),
        VLOOKUP($C507, 'Tree List'!$C$3:$F$601, 4, FALSE),
        ""
    ),
"")</f>
        <v/>
      </c>
      <c r="L507" s="319" t="str" cm="1">
        <f t="array" ref="L507">IFERROR(
IF(
    AND($H507="Zoning: Tree Points", NOT(ISNUMBER(SEARCH("sp.", $C507)))),
    _xlfn.IFS(
        (COUNTIFS('Tree List'!$C$3:$C$601,$C507,'Tree List'!$D$3:$D$601,"Coniferous")
        + COUNTIFS('Tree List'!$C$3:$C$601,$C507,'Tree List'!$D$3:$D$601,"Deciduous Conifer")) &gt; 0,
            _xlfn.IFS($K507="Small",0.5,$K507="Small/Medium",1,$K507="Medium/Large",1.4,$K507="Large",1.8),
        (COUNTIFS('Tree List'!$C$3:$C$601,$C507,'Tree List'!$D$3:$D$601,"Deciduous")
        + COUNTIFS('Tree List'!$C$3:$C$601,$C507,'Tree List'!$D$3:$D$601,"Broadleaf Evergreen")) &gt; 0,
            _xlfn.IFS($K507="Small",0.4,$K507="Small/Medium",0.8,$K507="Medium/Large",1.2,$K507="Large",1.6)
    ),
    ""
),
"")</f>
        <v/>
      </c>
      <c r="M507" s="474" t="str">
        <f t="shared" si="573"/>
        <v/>
      </c>
      <c r="N507" s="620" t="str" cm="1">
        <f t="array" aca="1" ref="N50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IF(AND(_xlpm.baseRow,ISNA(MATCH($C507,'Tree List'!$C$3:$C$601,0)),SUMPRODUCT(--ISNUMBER(SEARCH(Tables2!$C$677:$C$772,$O507)))&gt;0),
Error!$B$57,
IF(AND(_xlpm.hasDM,$F507="Remove",$H507&lt;&gt;"",OR($I507="On-site replacement",$I507="Off-site replacement",$I507="Payment In Lieu")),
Error!$B$56,
IF(AND(_xlpm.hasDM,$F507="Remove",$H507&lt;&gt;"",$I507="Relocation"),
Error!$B$66,
IF(AND(OR(_xlpm.hasCN,_xlpm.hasPH,_xlpm.hasGR),$H507&lt;&gt;"",COUNTIF(Tables!$B$132:$B$134,$H507)&gt;0,$I507="N/A (No replacement required)"),
Error!$B$62,
IF(AND(_xlpm.baseRow,$E507&lt;&gt;"",ISNA(MATCH($E507,Tables!$B$225:$B$232,0))),
Error!$B$2,
IF(AND(_xlpm.baseRow,$F507&lt;&gt;"",ISNA(MATCH($F507,Tables!$B$234:$B$235,0))),
Error!$B$24,
IF(AND(_xlpm.baseRow,_xlpm.ECA_H&gt;0,_xlpm.Shore_H&gt;0),
Error!$B$16,
IF(AND(_xlpm.baseRow,$E507&lt;&gt;"",$D507=""),
Error!$B$3,
IF(AND(_xlpm.baseRow,OR($E507="Tier 3",$E507="Tier 4"),$C507&lt;&gt;"",$D507&gt;=24,COUNTIF(Tables2!$B$166:$B$674,$C507)&gt;0),
Error!$B$44,
IF(AND(_xlpm.baseRow,OR($E507="Tier 3",$E507="Tier 4"),$C507&lt;&gt;"",$D507&lt;&gt;"",COUNTIF(Tables2!$B$73:$B$152,$C507)&gt;0,
$D507&gt;=IFERROR(INDEX(Tables2!$C$73:$C$152,MATCH($C507,Tables2!$B$73:$B$152,0)),-1)),
Error!$B$44,
IF(AND(_xlpm.baseRow,OR($E507="Tier 2",$E507="Tier 2 Grove"),$C507&lt;&gt;"",$D507&gt;=12,COUNTIF(Tables2!$B$153:$B$162,$C507)&gt;0),
Error!$B$45,
IF(AND(_xlpm.baseRow,$E507="Tier 2 Grove",$D507&lt;12),
Error!$B$41,
IF(AND(_xlpm.baseRow,$E507="Tier 2",$D507&lt;5.88),
Error!$B$40,
IF(AND(_xlpm.baseRow,OR($E507="Tier 2",$E507="Tier 2 Grove"),$C507&lt;&gt;"",$D507&lt;12,$D507&gt;=6,COUNTIF(Tables2!$B$153:$B$162,$C507)&gt;0),
Error!$B$54,
IF(AND(_xlpm.baseRow,$E507="Tier 2",COUNTIF(Tables2!$B$166:$B$674,$C507)&gt;0,$D507&lt;24),
Error!$B$54,
IF(AND(_xlpm.baseRow,$E507="Tier 3",ISNA(MATCH($C507,Tables2!$B$153:$B$162,0)),OR($D507&lt;12,$D507&gt;=24)),
Error!$B$9,
IF(AND(_xlpm.baseRow,$E507="Tier 3",COUNTIF(Tables2!$B$153:$B$162,$C507)&gt;0,$D507&lt;12),
Error!$B$46,
IF(AND(_xlpm.baseRow,$E507="Tier 4",OR($D507&lt;6,$D507&gt;=12)),
Error!$B$10,
IF(AND(_xlpm.baseRow,$E507="&lt;6in DSH for Tree Points",OR($D507&gt;=6,$D507="")),
Error!$B$8,
IF(AND(_xlpm.baseRow,$E507="Street Tree for Green Factor",$F507&lt;&gt;"",$F507&lt;&gt;"Retain"),
Error!$B$14,
IF(AND($E507="&lt;6in DSH for Tree Points",$F507="Retain",$H507&lt;&gt;"",ISNA(MATCH($H507,Tables!$B$174:$B$174,0))),
Error!$B$15,
IF(AND($E507="Street Tree for Green Factor",$F507="Retain",$H507&lt;&gt;"",$H507&lt;&gt;"Zoning: Green Factor"),
Error!$B$15,
IF(AND($E507="ECA / Shoreline Tree",$F507="Remove",$H507&lt;&gt;"",ISNA(MATCH($H507,Tables!$B$189:$B$190,0))),
Error!$B$15,
IF(AND($E507="ECA / Shoreline Tree",$F507="Retain",$H507&lt;&gt;"",ISNA(MATCH($H507,Tables!$B$184:$B$186,0))),
Error!$B$15,
IF(AND($E507="Tier 4",$F507="Remove",$H507&lt;&gt;"",ISNA(MATCH($H507,Tables!$B$171,0))),
Error!$B$15,
IF(AND($E507="Tier 4",$F507="Retain",$H507&lt;&gt;"",ISNA(MATCH($H507,Tables!$B$166:$B$168,0))),
Error!$B$15,
IF(AND($E507="Tier 3",$F507="Retain",$H507&lt;&gt;"",ISNA(MATCH($H507,Tables!$B$158:$B$160,0))),
Error!$B$15,
IF(AND($E507="Tier 3",$F507="Remove",$H507&lt;&gt;"",ISNA(MATCH($H507,Tables!$B$163,0))),
Error!$B$15,
IF(AND(OR($E507="Tier 2",$E507="Tier 2 Grove"),$F507="Remove",$H507&lt;&gt;"",ISNA(MATCH($H507,Tables!$B$153:$B$155,0))),
Error!$B$15,
IF(AND(OR($E507="Tier 2",$E507="Tier 2 Grove"),$F507="Retain",$H507&lt;&gt;"",ISNA(MATCH($H507,Tables!$B$147:$B$150,0))),
Error!$B$15,
IF(AND($E507="Tier 1",$F507="Remove",$H507&lt;&gt;"",ISNA(MATCH($H507,Tables!$B$143:$B$144,0))),
Error!$B$15,
IF(AND($E507="Tier 1",$F507="Retain",$H507&lt;&gt;"",ISNA(MATCH($H507,Tables!$B$137:$B$140,0))),
Error!$B$15,
IF(AND($E507&lt;&gt;"Tier 2",$E507&lt;&gt;"Tier 2 Grove",$E507&lt;&gt;"Tier 3",$E507&lt;&gt;"Tier 4",$H507="Zoning: Green Factor",OR($D507="",$D507&lt;6)),
Error!$B$11,
IF(AND(_xlpm.baseRow,$D507&lt;6,$E507="&lt;6in DSH for Tree Points",_xlpm.TreePoints_H=0),
Error!$B$21,
IF(AND(_xlpm.baseRow,$E507&lt;&gt;"",$D507&lt;&gt;"",$F507=""),
Error!$B$4,
IF(AND(_xlpm.baseRow,$F507="Remove",OR($E507="Tier 1",$E507="Tier 2",$E507="Tier 2 Grove"),COUNTBLANK(_xlpm.HRange)&lt;3,_xlpm.uniqueH&gt;=2),
Error!$B$48,
IF(AND(_xlpm.baseRow,$F507="Retain",OR($E507="Tier 1",$E507="Tier 2",$E507="Tier 2 Grove"),COUNTIF(_xlpm.HRange,"Tree Code: Required to Retain Tier 1-2 Tree")=0),
Error!$B$47,
IF(AND(_xlpm.baseRow,$E507&lt;&gt;"",$D507&lt;&gt;"",$F507&lt;&gt;"",COUNTBLANK(_xlpm.HRange)=4),
Error!$B$5,
IF(AND($F507="Remove",$H507&lt;&gt;"",$I507=""),
Error!$B$18,
IF(AND($E507="Tier 4",$F507="Remove",$H507="Tree Protection Code: Tier 3 or Tier 4 Allowance",$H507&lt;&gt;"",ISNA(MATCH($I507,Tables!$B$200,0))),
Error!$B$17,
IF(AND($E507="Tier 3",$F507="Remove",$H507&lt;&gt;"",$H507="Tree Protection Code: Tier 3 or Tier 4 Allowance",OR($I507="",ISNA(MATCH($I507,Tables!$B$193:$B$197,0)))),
Error!$B$17,
IF(AND(OR($E507="Tier 2",$E507="Tier 2 Grove"),$F507="Remove",$H507="Tree Protection Code: Other removal allowance or exemption",$I507&lt;&gt;"",ISNA(MATCH($I507,Tables!$B$215:$B$218,0))),
Error!$B$17,
IF(AND(OR($E507="Tier 2",$E507="Tier 2 Grove"),$F507="Remove",$H507="Tree Protection Code: Development Capacity",$I507&lt;&gt;"",ISNA(MATCH($I507,Tables!$B$193:$B$197,0))),
Error!$B$17,
IF(AND(OR($E507="Tier 2",$E507="Tier 2 Grove"),$F507="Remove",$H507="Tree Protection Code: Necessary for Construction",$I507&lt;&gt;"",ISNA(MATCH($I507,Tables!$B$193:$B$197,0))),
Error!$B$17,
IF(AND($E507="Tier 1",$F507="Remove",$H507="Tree Protection Code: Special Exception",$I507&lt;&gt;"",ISNA(MATCH($I507,Tables!$B$215:$B$218,0))),
Error!$B$17,
IF(AND($E507="Tier 1",$F507="Remove",$H507="Tree Protection Code: Other removal allowance or exemption",$I507&lt;&gt;"",ISNA(MATCH($I507,Tables!$B$215:$B$218,0))),
Error!$B$17,
IF(AND($E507="ECA / Shoreline Tree",$F507="Remove",$H507&lt;&gt;"",OR($H507="Shoreline",$H507="Environmental Critical Area (ECA)"),ISNA(MATCH($I507,Tables!$B$209:$B$212,0))),
Error!$B$17,
IF(AND(_xlpm.baseRow,$F507="Retain",$E507="ECA / Shoreline Tree",_xlpm.ECA_Short=0),
Error!$B$61,
IF(AND($F507="Remove",ISNUMBER(MATCH($E507,{"Tier 1","Tier 2","Tier 3","Tier 4","Tier 2 Grove"},0)),ISNUMBER(MATCH($I507,{"On-site replacement","Off-site replacement"},0)),$J507="",$H507&lt;&gt;""),
Error!$B$19,
IF(AND(_xlpm.baseRow,$E507&lt;&gt;"",$D507&lt;&gt;"",$F507&lt;&gt;"",COUNTBLANK($B507:$C507)&gt;0,COUNTBLANK(_xlpm.HRange)&lt;&gt;4),
Error!$B$22,
IF(AND($H507="Zoning: Tree Points",$K507&lt;&gt;"",ISNA(MATCH($K507,Tables!$B$242:$B$253,0))),
Error!$B$58,
IF(AND($H507="Zoning: Tree Points",$K507="Small",$L507&lt;&gt;"",ISNA(MATCH($L507,Tables!$C$243:$C$244,0))),
Error!$B$59,
IF(AND($H507="Zoning: Tree Points",$K507="Small/Medium",$L507&lt;&gt;"",ISNA(MATCH($L507,Tables!$C$246:$C$247,0))),
Error!$B$59,
IF(AND($H507="Zoning: Tree Points",$K507="Medium/Large",$L507&lt;&gt;"",ISNA(MATCH($L507,Tables!$C$249:$C$250,0))),
Error!$B$59,
IF(AND($H507="Zoning: Tree Points",$K507="Large",$L507&lt;&gt;"",ISNA(MATCH($L507,Tables!$C$252:$C$253,0))),
Error!$B$59,
IF(AND($F507="Retain",$H507="Zoning: Tree Points",$C507&lt;&gt;"",$D507&lt;&gt;"",OR($K507="",$L507="",$M507="")),
Error!$B$20,
""
)))))))))))))))))))))))))))))))))))))))))))))))))))))))),
Error!$B$23))</f>
        <v/>
      </c>
      <c r="O507" s="343" t="str" cm="1">
        <f t="array" aca="1" ref="O507" ca="1">IFERROR(_xlfn.LET(
    _xlpm.txt, $C507,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08" spans="1:15" x14ac:dyDescent="0.3">
      <c r="A508" s="320"/>
      <c r="B508" s="616" t="str">
        <f t="shared" ref="B508:B510" si="584">IF($B507="", "", $B507)</f>
        <v/>
      </c>
      <c r="C508" s="617" t="str">
        <f t="shared" ref="C508:C510" si="585">IF($C507="", "", $C507)</f>
        <v/>
      </c>
      <c r="D508" s="618" t="str">
        <f t="shared" ref="D508:D510" si="586">IF($D507="", "", $D507)</f>
        <v/>
      </c>
      <c r="E508" s="616" t="str">
        <f t="shared" ref="E508:E510" si="587">IF($E507="", "", $E507)</f>
        <v/>
      </c>
      <c r="F508" s="616" t="str">
        <f t="shared" ref="F508:F510" si="588">IF($F507="", "", $F507)</f>
        <v/>
      </c>
      <c r="G508" s="619" t="str">
        <f>IF(Tree_Table1[[#This Row],[Tree Status  &amp;]]="Retain", Tables!$B$237, IF(Tree_Table1[[#This Row],[Tree Status  &amp;]]="Remove", Tables!$B$238, ""))</f>
        <v/>
      </c>
      <c r="H508" s="321"/>
      <c r="I508" s="322"/>
      <c r="J508" s="453"/>
      <c r="K508" s="323" t="str">
        <f>IFERROR(
    IF(
        AND($H508="Zoning: Tree Points", NOT(ISNUMBER(SEARCH("sp.", $C508)))),
        VLOOKUP($C508, 'Tree List'!$C$3:$F$601, 4, FALSE),
        ""
    ),
"")</f>
        <v/>
      </c>
      <c r="L508" s="324" t="str" cm="1">
        <f t="array" ref="L508">IFERROR(
IF(
    AND($H508="Zoning: Tree Points", NOT(ISNUMBER(SEARCH("sp.", $C508)))),
    _xlfn.IFS(
        (COUNTIFS('Tree List'!$C$3:$C$601,$C508,'Tree List'!$D$3:$D$601,"Coniferous")
        + COUNTIFS('Tree List'!$C$3:$C$601,$C508,'Tree List'!$D$3:$D$601,"Deciduous Conifer")) &gt; 0,
            _xlfn.IFS($K508="Small",0.5,$K508="Small/Medium",1,$K508="Medium/Large",1.4,$K508="Large",1.8),
        (COUNTIFS('Tree List'!$C$3:$C$601,$C508,'Tree List'!$D$3:$D$601,"Deciduous")
        + COUNTIFS('Tree List'!$C$3:$C$601,$C508,'Tree List'!$D$3:$D$601,"Broadleaf Evergreen")) &gt; 0,
            _xlfn.IFS($K508="Small",0.4,$K508="Small/Medium",0.8,$K508="Medium/Large",1.2,$K508="Large",1.6)
    ),
    ""
),
"")</f>
        <v/>
      </c>
      <c r="M508" s="475" t="str">
        <f t="shared" si="573"/>
        <v/>
      </c>
      <c r="N508" s="346" t="str" cm="1">
        <f t="array" aca="1" ref="N50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IF(AND(_xlpm.baseRow,ISNA(MATCH($C508,'Tree List'!$C$3:$C$601,0)),SUMPRODUCT(--ISNUMBER(SEARCH(Tables2!$C$677:$C$772,$O508)))&gt;0),
Error!$B$57,
IF(AND(_xlpm.hasDM,$F508="Remove",$H508&lt;&gt;"",OR($I508="On-site replacement",$I508="Off-site replacement",$I508="Payment In Lieu")),
Error!$B$56,
IF(AND(_xlpm.hasDM,$F508="Remove",$H508&lt;&gt;"",$I508="Relocation"),
Error!$B$66,
IF(AND(OR(_xlpm.hasCN,_xlpm.hasPH,_xlpm.hasGR),$H508&lt;&gt;"",COUNTIF(Tables!$B$132:$B$134,$H508)&gt;0,$I508="N/A (No replacement required)"),
Error!$B$62,
IF(AND(_xlpm.baseRow,$E508&lt;&gt;"",ISNA(MATCH($E508,Tables!$B$225:$B$232,0))),
Error!$B$2,
IF(AND(_xlpm.baseRow,$F508&lt;&gt;"",ISNA(MATCH($F508,Tables!$B$234:$B$235,0))),
Error!$B$24,
IF(AND(_xlpm.baseRow,_xlpm.ECA_H&gt;0,_xlpm.Shore_H&gt;0),
Error!$B$16,
IF(AND(_xlpm.baseRow,$E508&lt;&gt;"",$D508=""),
Error!$B$3,
IF(AND(_xlpm.baseRow,OR($E508="Tier 3",$E508="Tier 4"),$C508&lt;&gt;"",$D508&gt;=24,COUNTIF(Tables2!$B$166:$B$674,$C508)&gt;0),
Error!$B$44,
IF(AND(_xlpm.baseRow,OR($E508="Tier 3",$E508="Tier 4"),$C508&lt;&gt;"",$D508&lt;&gt;"",COUNTIF(Tables2!$B$73:$B$152,$C508)&gt;0,
$D508&gt;=IFERROR(INDEX(Tables2!$C$73:$C$152,MATCH($C508,Tables2!$B$73:$B$152,0)),-1)),
Error!$B$44,
IF(AND(_xlpm.baseRow,OR($E508="Tier 2",$E508="Tier 2 Grove"),$C508&lt;&gt;"",$D508&gt;=12,COUNTIF(Tables2!$B$153:$B$162,$C508)&gt;0),
Error!$B$45,
IF(AND(_xlpm.baseRow,$E508="Tier 2 Grove",$D508&lt;12),
Error!$B$41,
IF(AND(_xlpm.baseRow,$E508="Tier 2",$D508&lt;5.88),
Error!$B$40,
IF(AND(_xlpm.baseRow,OR($E508="Tier 2",$E508="Tier 2 Grove"),$C508&lt;&gt;"",$D508&lt;12,$D508&gt;=6,COUNTIF(Tables2!$B$153:$B$162,$C508)&gt;0),
Error!$B$54,
IF(AND(_xlpm.baseRow,$E508="Tier 2",COUNTIF(Tables2!$B$166:$B$674,$C508)&gt;0,$D508&lt;24),
Error!$B$54,
IF(AND(_xlpm.baseRow,$E508="Tier 3",ISNA(MATCH($C508,Tables2!$B$153:$B$162,0)),OR($D508&lt;12,$D508&gt;=24)),
Error!$B$9,
IF(AND(_xlpm.baseRow,$E508="Tier 3",COUNTIF(Tables2!$B$153:$B$162,$C508)&gt;0,$D508&lt;12),
Error!$B$46,
IF(AND(_xlpm.baseRow,$E508="Tier 4",OR($D508&lt;6,$D508&gt;=12)),
Error!$B$10,
IF(AND(_xlpm.baseRow,$E508="&lt;6in DSH for Tree Points",OR($D508&gt;=6,$D508="")),
Error!$B$8,
IF(AND(_xlpm.baseRow,$E508="Street Tree for Green Factor",$F508&lt;&gt;"",$F508&lt;&gt;"Retain"),
Error!$B$14,
IF(AND($E508="&lt;6in DSH for Tree Points",$F508="Retain",$H508&lt;&gt;"",ISNA(MATCH($H508,Tables!$B$174:$B$174,0))),
Error!$B$15,
IF(AND($E508="Street Tree for Green Factor",$F508="Retain",$H508&lt;&gt;"",$H508&lt;&gt;"Zoning: Green Factor"),
Error!$B$15,
IF(AND($E508="ECA / Shoreline Tree",$F508="Remove",$H508&lt;&gt;"",ISNA(MATCH($H508,Tables!$B$189:$B$190,0))),
Error!$B$15,
IF(AND($E508="ECA / Shoreline Tree",$F508="Retain",$H508&lt;&gt;"",ISNA(MATCH($H508,Tables!$B$184:$B$186,0))),
Error!$B$15,
IF(AND($E508="Tier 4",$F508="Remove",$H508&lt;&gt;"",ISNA(MATCH($H508,Tables!$B$171,0))),
Error!$B$15,
IF(AND($E508="Tier 4",$F508="Retain",$H508&lt;&gt;"",ISNA(MATCH($H508,Tables!$B$166:$B$168,0))),
Error!$B$15,
IF(AND($E508="Tier 3",$F508="Retain",$H508&lt;&gt;"",ISNA(MATCH($H508,Tables!$B$158:$B$160,0))),
Error!$B$15,
IF(AND($E508="Tier 3",$F508="Remove",$H508&lt;&gt;"",ISNA(MATCH($H508,Tables!$B$163,0))),
Error!$B$15,
IF(AND(OR($E508="Tier 2",$E508="Tier 2 Grove"),$F508="Remove",$H508&lt;&gt;"",ISNA(MATCH($H508,Tables!$B$153:$B$155,0))),
Error!$B$15,
IF(AND(OR($E508="Tier 2",$E508="Tier 2 Grove"),$F508="Retain",$H508&lt;&gt;"",ISNA(MATCH($H508,Tables!$B$147:$B$150,0))),
Error!$B$15,
IF(AND($E508="Tier 1",$F508="Remove",$H508&lt;&gt;"",ISNA(MATCH($H508,Tables!$B$143:$B$144,0))),
Error!$B$15,
IF(AND($E508="Tier 1",$F508="Retain",$H508&lt;&gt;"",ISNA(MATCH($H508,Tables!$B$137:$B$140,0))),
Error!$B$15,
IF(AND($E508&lt;&gt;"Tier 2",$E508&lt;&gt;"Tier 2 Grove",$E508&lt;&gt;"Tier 3",$E508&lt;&gt;"Tier 4",$H508="Zoning: Green Factor",OR($D508="",$D508&lt;6)),
Error!$B$11,
IF(AND(_xlpm.baseRow,$D508&lt;6,$E508="&lt;6in DSH for Tree Points",_xlpm.TreePoints_H=0),
Error!$B$21,
IF(AND(_xlpm.baseRow,$E508&lt;&gt;"",$D508&lt;&gt;"",$F508=""),
Error!$B$4,
IF(AND(_xlpm.baseRow,$F508="Remove",OR($E508="Tier 1",$E508="Tier 2",$E508="Tier 2 Grove"),COUNTBLANK(_xlpm.HRange)&lt;3,_xlpm.uniqueH&gt;=2),
Error!$B$48,
IF(AND(_xlpm.baseRow,$F508="Retain",OR($E508="Tier 1",$E508="Tier 2",$E508="Tier 2 Grove"),COUNTIF(_xlpm.HRange,"Tree Code: Required to Retain Tier 1-2 Tree")=0),
Error!$B$47,
IF(AND(_xlpm.baseRow,$E508&lt;&gt;"",$D508&lt;&gt;"",$F508&lt;&gt;"",COUNTBLANK(_xlpm.HRange)=4),
Error!$B$5,
IF(AND($F508="Remove",$H508&lt;&gt;"",$I508=""),
Error!$B$18,
IF(AND($E508="Tier 4",$F508="Remove",$H508="Tree Protection Code: Tier 3 or Tier 4 Allowance",$H508&lt;&gt;"",ISNA(MATCH($I508,Tables!$B$200,0))),
Error!$B$17,
IF(AND($E508="Tier 3",$F508="Remove",$H508&lt;&gt;"",$H508="Tree Protection Code: Tier 3 or Tier 4 Allowance",OR($I508="",ISNA(MATCH($I508,Tables!$B$193:$B$197,0)))),
Error!$B$17,
IF(AND(OR($E508="Tier 2",$E508="Tier 2 Grove"),$F508="Remove",$H508="Tree Protection Code: Other removal allowance or exemption",$I508&lt;&gt;"",ISNA(MATCH($I508,Tables!$B$215:$B$218,0))),
Error!$B$17,
IF(AND(OR($E508="Tier 2",$E508="Tier 2 Grove"),$F508="Remove",$H508="Tree Protection Code: Development Capacity",$I508&lt;&gt;"",ISNA(MATCH($I508,Tables!$B$193:$B$197,0))),
Error!$B$17,
IF(AND(OR($E508="Tier 2",$E508="Tier 2 Grove"),$F508="Remove",$H508="Tree Protection Code: Necessary for Construction",$I508&lt;&gt;"",ISNA(MATCH($I508,Tables!$B$193:$B$197,0))),
Error!$B$17,
IF(AND($E508="Tier 1",$F508="Remove",$H508="Tree Protection Code: Special Exception",$I508&lt;&gt;"",ISNA(MATCH($I508,Tables!$B$215:$B$218,0))),
Error!$B$17,
IF(AND($E508="Tier 1",$F508="Remove",$H508="Tree Protection Code: Other removal allowance or exemption",$I508&lt;&gt;"",ISNA(MATCH($I508,Tables!$B$215:$B$218,0))),
Error!$B$17,
IF(AND($E508="ECA / Shoreline Tree",$F508="Remove",$H508&lt;&gt;"",OR($H508="Shoreline",$H508="Environmental Critical Area (ECA)"),ISNA(MATCH($I508,Tables!$B$209:$B$212,0))),
Error!$B$17,
IF(AND(_xlpm.baseRow,$F508="Retain",$E508="ECA / Shoreline Tree",_xlpm.ECA_Short=0),
Error!$B$61,
IF(AND($F508="Remove",ISNUMBER(MATCH($E508,{"Tier 1","Tier 2","Tier 3","Tier 4","Tier 2 Grove"},0)),ISNUMBER(MATCH($I508,{"On-site replacement","Off-site replacement"},0)),$J508="",$H508&lt;&gt;""),
Error!$B$19,
IF(AND(_xlpm.baseRow,$E508&lt;&gt;"",$D508&lt;&gt;"",$F508&lt;&gt;"",COUNTBLANK($B508:$C508)&gt;0,COUNTBLANK(_xlpm.HRange)&lt;&gt;4),
Error!$B$22,
IF(AND($H508="Zoning: Tree Points",$K508&lt;&gt;"",ISNA(MATCH($K508,Tables!$B$242:$B$253,0))),
Error!$B$58,
IF(AND($H508="Zoning: Tree Points",$K508="Small",$L508&lt;&gt;"",ISNA(MATCH($L508,Tables!$C$243:$C$244,0))),
Error!$B$59,
IF(AND($H508="Zoning: Tree Points",$K508="Small/Medium",$L508&lt;&gt;"",ISNA(MATCH($L508,Tables!$C$246:$C$247,0))),
Error!$B$59,
IF(AND($H508="Zoning: Tree Points",$K508="Medium/Large",$L508&lt;&gt;"",ISNA(MATCH($L508,Tables!$C$249:$C$250,0))),
Error!$B$59,
IF(AND($H508="Zoning: Tree Points",$K508="Large",$L508&lt;&gt;"",ISNA(MATCH($L508,Tables!$C$252:$C$253,0))),
Error!$B$59,
IF(AND($F508="Retain",$H508="Zoning: Tree Points",$C508&lt;&gt;"",$D508&lt;&gt;"",OR($K508="",$L508="",$M508="")),
Error!$B$20,
""
)))))))))))))))))))))))))))))))))))))))))))))))))))))))),
Error!$B$23))</f>
        <v/>
      </c>
      <c r="O508" s="343" t="str" cm="1">
        <f t="array" aca="1" ref="O508" ca="1">IFERROR(_xlfn.LET(
    _xlpm.txt, $C508,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09" spans="1:15" x14ac:dyDescent="0.3">
      <c r="A509" s="320"/>
      <c r="B509" s="616" t="str">
        <f t="shared" si="584"/>
        <v/>
      </c>
      <c r="C509" s="617" t="str">
        <f t="shared" si="585"/>
        <v/>
      </c>
      <c r="D509" s="618" t="str">
        <f t="shared" si="586"/>
        <v/>
      </c>
      <c r="E509" s="616" t="str">
        <f t="shared" si="587"/>
        <v/>
      </c>
      <c r="F509" s="616" t="str">
        <f t="shared" si="588"/>
        <v/>
      </c>
      <c r="G509" s="619" t="str">
        <f>IF(Tree_Table1[[#This Row],[Tree Status  &amp;]]="Retain", Tables!$B$237, IF(Tree_Table1[[#This Row],[Tree Status  &amp;]]="Remove", Tables!$B$238, ""))</f>
        <v/>
      </c>
      <c r="H509" s="321"/>
      <c r="I509" s="322"/>
      <c r="J509" s="453"/>
      <c r="K509" s="323" t="str">
        <f>IFERROR(
    IF(
        AND($H509="Zoning: Tree Points", NOT(ISNUMBER(SEARCH("sp.", $C509)))),
        VLOOKUP($C509, 'Tree List'!$C$3:$F$601, 4, FALSE),
        ""
    ),
"")</f>
        <v/>
      </c>
      <c r="L509" s="324" t="str" cm="1">
        <f t="array" ref="L509">IFERROR(
IF(
    AND($H509="Zoning: Tree Points", NOT(ISNUMBER(SEARCH("sp.", $C509)))),
    _xlfn.IFS(
        (COUNTIFS('Tree List'!$C$3:$C$601,$C509,'Tree List'!$D$3:$D$601,"Coniferous")
        + COUNTIFS('Tree List'!$C$3:$C$601,$C509,'Tree List'!$D$3:$D$601,"Deciduous Conifer")) &gt; 0,
            _xlfn.IFS($K509="Small",0.5,$K509="Small/Medium",1,$K509="Medium/Large",1.4,$K509="Large",1.8),
        (COUNTIFS('Tree List'!$C$3:$C$601,$C509,'Tree List'!$D$3:$D$601,"Deciduous")
        + COUNTIFS('Tree List'!$C$3:$C$601,$C509,'Tree List'!$D$3:$D$601,"Broadleaf Evergreen")) &gt; 0,
            _xlfn.IFS($K509="Small",0.4,$K509="Small/Medium",0.8,$K509="Medium/Large",1.2,$K509="Large",1.6)
    ),
    ""
),
"")</f>
        <v/>
      </c>
      <c r="M509" s="475" t="str">
        <f t="shared" si="573"/>
        <v/>
      </c>
      <c r="N509" s="346" t="str" cm="1">
        <f t="array" aca="1" ref="N50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IF(AND(_xlpm.baseRow,ISNA(MATCH($C509,'Tree List'!$C$3:$C$601,0)),SUMPRODUCT(--ISNUMBER(SEARCH(Tables2!$C$677:$C$772,$O509)))&gt;0),
Error!$B$57,
IF(AND(_xlpm.hasDM,$F509="Remove",$H509&lt;&gt;"",OR($I509="On-site replacement",$I509="Off-site replacement",$I509="Payment In Lieu")),
Error!$B$56,
IF(AND(_xlpm.hasDM,$F509="Remove",$H509&lt;&gt;"",$I509="Relocation"),
Error!$B$66,
IF(AND(OR(_xlpm.hasCN,_xlpm.hasPH,_xlpm.hasGR),$H509&lt;&gt;"",COUNTIF(Tables!$B$132:$B$134,$H509)&gt;0,$I509="N/A (No replacement required)"),
Error!$B$62,
IF(AND(_xlpm.baseRow,$E509&lt;&gt;"",ISNA(MATCH($E509,Tables!$B$225:$B$232,0))),
Error!$B$2,
IF(AND(_xlpm.baseRow,$F509&lt;&gt;"",ISNA(MATCH($F509,Tables!$B$234:$B$235,0))),
Error!$B$24,
IF(AND(_xlpm.baseRow,_xlpm.ECA_H&gt;0,_xlpm.Shore_H&gt;0),
Error!$B$16,
IF(AND(_xlpm.baseRow,$E509&lt;&gt;"",$D509=""),
Error!$B$3,
IF(AND(_xlpm.baseRow,OR($E509="Tier 3",$E509="Tier 4"),$C509&lt;&gt;"",$D509&gt;=24,COUNTIF(Tables2!$B$166:$B$674,$C509)&gt;0),
Error!$B$44,
IF(AND(_xlpm.baseRow,OR($E509="Tier 3",$E509="Tier 4"),$C509&lt;&gt;"",$D509&lt;&gt;"",COUNTIF(Tables2!$B$73:$B$152,$C509)&gt;0,
$D509&gt;=IFERROR(INDEX(Tables2!$C$73:$C$152,MATCH($C509,Tables2!$B$73:$B$152,0)),-1)),
Error!$B$44,
IF(AND(_xlpm.baseRow,OR($E509="Tier 2",$E509="Tier 2 Grove"),$C509&lt;&gt;"",$D509&gt;=12,COUNTIF(Tables2!$B$153:$B$162,$C509)&gt;0),
Error!$B$45,
IF(AND(_xlpm.baseRow,$E509="Tier 2 Grove",$D509&lt;12),
Error!$B$41,
IF(AND(_xlpm.baseRow,$E509="Tier 2",$D509&lt;5.88),
Error!$B$40,
IF(AND(_xlpm.baseRow,OR($E509="Tier 2",$E509="Tier 2 Grove"),$C509&lt;&gt;"",$D509&lt;12,$D509&gt;=6,COUNTIF(Tables2!$B$153:$B$162,$C509)&gt;0),
Error!$B$54,
IF(AND(_xlpm.baseRow,$E509="Tier 2",COUNTIF(Tables2!$B$166:$B$674,$C509)&gt;0,$D509&lt;24),
Error!$B$54,
IF(AND(_xlpm.baseRow,$E509="Tier 3",ISNA(MATCH($C509,Tables2!$B$153:$B$162,0)),OR($D509&lt;12,$D509&gt;=24)),
Error!$B$9,
IF(AND(_xlpm.baseRow,$E509="Tier 3",COUNTIF(Tables2!$B$153:$B$162,$C509)&gt;0,$D509&lt;12),
Error!$B$46,
IF(AND(_xlpm.baseRow,$E509="Tier 4",OR($D509&lt;6,$D509&gt;=12)),
Error!$B$10,
IF(AND(_xlpm.baseRow,$E509="&lt;6in DSH for Tree Points",OR($D509&gt;=6,$D509="")),
Error!$B$8,
IF(AND(_xlpm.baseRow,$E509="Street Tree for Green Factor",$F509&lt;&gt;"",$F509&lt;&gt;"Retain"),
Error!$B$14,
IF(AND($E509="&lt;6in DSH for Tree Points",$F509="Retain",$H509&lt;&gt;"",ISNA(MATCH($H509,Tables!$B$174:$B$174,0))),
Error!$B$15,
IF(AND($E509="Street Tree for Green Factor",$F509="Retain",$H509&lt;&gt;"",$H509&lt;&gt;"Zoning: Green Factor"),
Error!$B$15,
IF(AND($E509="ECA / Shoreline Tree",$F509="Remove",$H509&lt;&gt;"",ISNA(MATCH($H509,Tables!$B$189:$B$190,0))),
Error!$B$15,
IF(AND($E509="ECA / Shoreline Tree",$F509="Retain",$H509&lt;&gt;"",ISNA(MATCH($H509,Tables!$B$184:$B$186,0))),
Error!$B$15,
IF(AND($E509="Tier 4",$F509="Remove",$H509&lt;&gt;"",ISNA(MATCH($H509,Tables!$B$171,0))),
Error!$B$15,
IF(AND($E509="Tier 4",$F509="Retain",$H509&lt;&gt;"",ISNA(MATCH($H509,Tables!$B$166:$B$168,0))),
Error!$B$15,
IF(AND($E509="Tier 3",$F509="Retain",$H509&lt;&gt;"",ISNA(MATCH($H509,Tables!$B$158:$B$160,0))),
Error!$B$15,
IF(AND($E509="Tier 3",$F509="Remove",$H509&lt;&gt;"",ISNA(MATCH($H509,Tables!$B$163,0))),
Error!$B$15,
IF(AND(OR($E509="Tier 2",$E509="Tier 2 Grove"),$F509="Remove",$H509&lt;&gt;"",ISNA(MATCH($H509,Tables!$B$153:$B$155,0))),
Error!$B$15,
IF(AND(OR($E509="Tier 2",$E509="Tier 2 Grove"),$F509="Retain",$H509&lt;&gt;"",ISNA(MATCH($H509,Tables!$B$147:$B$150,0))),
Error!$B$15,
IF(AND($E509="Tier 1",$F509="Remove",$H509&lt;&gt;"",ISNA(MATCH($H509,Tables!$B$143:$B$144,0))),
Error!$B$15,
IF(AND($E509="Tier 1",$F509="Retain",$H509&lt;&gt;"",ISNA(MATCH($H509,Tables!$B$137:$B$140,0))),
Error!$B$15,
IF(AND($E509&lt;&gt;"Tier 2",$E509&lt;&gt;"Tier 2 Grove",$E509&lt;&gt;"Tier 3",$E509&lt;&gt;"Tier 4",$H509="Zoning: Green Factor",OR($D509="",$D509&lt;6)),
Error!$B$11,
IF(AND(_xlpm.baseRow,$D509&lt;6,$E509="&lt;6in DSH for Tree Points",_xlpm.TreePoints_H=0),
Error!$B$21,
IF(AND(_xlpm.baseRow,$E509&lt;&gt;"",$D509&lt;&gt;"",$F509=""),
Error!$B$4,
IF(AND(_xlpm.baseRow,$F509="Remove",OR($E509="Tier 1",$E509="Tier 2",$E509="Tier 2 Grove"),COUNTBLANK(_xlpm.HRange)&lt;3,_xlpm.uniqueH&gt;=2),
Error!$B$48,
IF(AND(_xlpm.baseRow,$F509="Retain",OR($E509="Tier 1",$E509="Tier 2",$E509="Tier 2 Grove"),COUNTIF(_xlpm.HRange,"Tree Code: Required to Retain Tier 1-2 Tree")=0),
Error!$B$47,
IF(AND(_xlpm.baseRow,$E509&lt;&gt;"",$D509&lt;&gt;"",$F509&lt;&gt;"",COUNTBLANK(_xlpm.HRange)=4),
Error!$B$5,
IF(AND($F509="Remove",$H509&lt;&gt;"",$I509=""),
Error!$B$18,
IF(AND($E509="Tier 4",$F509="Remove",$H509="Tree Protection Code: Tier 3 or Tier 4 Allowance",$H509&lt;&gt;"",ISNA(MATCH($I509,Tables!$B$200,0))),
Error!$B$17,
IF(AND($E509="Tier 3",$F509="Remove",$H509&lt;&gt;"",$H509="Tree Protection Code: Tier 3 or Tier 4 Allowance",OR($I509="",ISNA(MATCH($I509,Tables!$B$193:$B$197,0)))),
Error!$B$17,
IF(AND(OR($E509="Tier 2",$E509="Tier 2 Grove"),$F509="Remove",$H509="Tree Protection Code: Other removal allowance or exemption",$I509&lt;&gt;"",ISNA(MATCH($I509,Tables!$B$215:$B$218,0))),
Error!$B$17,
IF(AND(OR($E509="Tier 2",$E509="Tier 2 Grove"),$F509="Remove",$H509="Tree Protection Code: Development Capacity",$I509&lt;&gt;"",ISNA(MATCH($I509,Tables!$B$193:$B$197,0))),
Error!$B$17,
IF(AND(OR($E509="Tier 2",$E509="Tier 2 Grove"),$F509="Remove",$H509="Tree Protection Code: Necessary for Construction",$I509&lt;&gt;"",ISNA(MATCH($I509,Tables!$B$193:$B$197,0))),
Error!$B$17,
IF(AND($E509="Tier 1",$F509="Remove",$H509="Tree Protection Code: Special Exception",$I509&lt;&gt;"",ISNA(MATCH($I509,Tables!$B$215:$B$218,0))),
Error!$B$17,
IF(AND($E509="Tier 1",$F509="Remove",$H509="Tree Protection Code: Other removal allowance or exemption",$I509&lt;&gt;"",ISNA(MATCH($I509,Tables!$B$215:$B$218,0))),
Error!$B$17,
IF(AND($E509="ECA / Shoreline Tree",$F509="Remove",$H509&lt;&gt;"",OR($H509="Shoreline",$H509="Environmental Critical Area (ECA)"),ISNA(MATCH($I509,Tables!$B$209:$B$212,0))),
Error!$B$17,
IF(AND(_xlpm.baseRow,$F509="Retain",$E509="ECA / Shoreline Tree",_xlpm.ECA_Short=0),
Error!$B$61,
IF(AND($F509="Remove",ISNUMBER(MATCH($E509,{"Tier 1","Tier 2","Tier 3","Tier 4","Tier 2 Grove"},0)),ISNUMBER(MATCH($I509,{"On-site replacement","Off-site replacement"},0)),$J509="",$H509&lt;&gt;""),
Error!$B$19,
IF(AND(_xlpm.baseRow,$E509&lt;&gt;"",$D509&lt;&gt;"",$F509&lt;&gt;"",COUNTBLANK($B509:$C509)&gt;0,COUNTBLANK(_xlpm.HRange)&lt;&gt;4),
Error!$B$22,
IF(AND($H509="Zoning: Tree Points",$K509&lt;&gt;"",ISNA(MATCH($K509,Tables!$B$242:$B$253,0))),
Error!$B$58,
IF(AND($H509="Zoning: Tree Points",$K509="Small",$L509&lt;&gt;"",ISNA(MATCH($L509,Tables!$C$243:$C$244,0))),
Error!$B$59,
IF(AND($H509="Zoning: Tree Points",$K509="Small/Medium",$L509&lt;&gt;"",ISNA(MATCH($L509,Tables!$C$246:$C$247,0))),
Error!$B$59,
IF(AND($H509="Zoning: Tree Points",$K509="Medium/Large",$L509&lt;&gt;"",ISNA(MATCH($L509,Tables!$C$249:$C$250,0))),
Error!$B$59,
IF(AND($H509="Zoning: Tree Points",$K509="Large",$L509&lt;&gt;"",ISNA(MATCH($L509,Tables!$C$252:$C$253,0))),
Error!$B$59,
IF(AND($F509="Retain",$H509="Zoning: Tree Points",$C509&lt;&gt;"",$D509&lt;&gt;"",OR($K509="",$L509="",$M509="")),
Error!$B$20,
""
)))))))))))))))))))))))))))))))))))))))))))))))))))))))),
Error!$B$23))</f>
        <v/>
      </c>
      <c r="O509" s="343" t="str" cm="1">
        <f t="array" aca="1" ref="O509" ca="1">IFERROR(_xlfn.LET(
    _xlpm.txt, $C509,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10" spans="1:15" ht="15" thickBot="1" x14ac:dyDescent="0.35">
      <c r="A510" s="331"/>
      <c r="B510" s="616" t="str">
        <f t="shared" si="584"/>
        <v/>
      </c>
      <c r="C510" s="617" t="str">
        <f t="shared" si="585"/>
        <v/>
      </c>
      <c r="D510" s="618" t="str">
        <f t="shared" si="586"/>
        <v/>
      </c>
      <c r="E510" s="616" t="str">
        <f t="shared" si="587"/>
        <v/>
      </c>
      <c r="F510" s="616" t="str">
        <f t="shared" si="588"/>
        <v/>
      </c>
      <c r="G510" s="619" t="str">
        <f>IF(Tree_Table1[[#This Row],[Tree Status  &amp;]]="Retain", Tables!$B$237, IF(Tree_Table1[[#This Row],[Tree Status  &amp;]]="Remove", Tables!$B$238, ""))</f>
        <v/>
      </c>
      <c r="H510" s="329"/>
      <c r="I510" s="330"/>
      <c r="J510" s="455"/>
      <c r="K510" s="327" t="str">
        <f>IFERROR(
    IF(
        AND($H510="Zoning: Tree Points", NOT(ISNUMBER(SEARCH("sp.", $C510)))),
        VLOOKUP($C510, 'Tree List'!$C$3:$F$601, 4, FALSE),
        ""
    ),
"")</f>
        <v/>
      </c>
      <c r="L510" s="328" t="str" cm="1">
        <f t="array" ref="L510">IFERROR(
IF(
    AND($H510="Zoning: Tree Points", NOT(ISNUMBER(SEARCH("sp.", $C510)))),
    _xlfn.IFS(
        (COUNTIFS('Tree List'!$C$3:$C$601,$C510,'Tree List'!$D$3:$D$601,"Coniferous")
        + COUNTIFS('Tree List'!$C$3:$C$601,$C510,'Tree List'!$D$3:$D$601,"Deciduous Conifer")) &gt; 0,
            _xlfn.IFS($K510="Small",0.5,$K510="Small/Medium",1,$K510="Medium/Large",1.4,$K510="Large",1.8),
        (COUNTIFS('Tree List'!$C$3:$C$601,$C510,'Tree List'!$D$3:$D$601,"Deciduous")
        + COUNTIFS('Tree List'!$C$3:$C$601,$C510,'Tree List'!$D$3:$D$601,"Broadleaf Evergreen")) &gt; 0,
            _xlfn.IFS($K510="Small",0.4,$K510="Small/Medium",0.8,$K510="Medium/Large",1.2,$K510="Large",1.6)
    ),
    ""
),
"")</f>
        <v/>
      </c>
      <c r="M510" s="476" t="str">
        <f t="shared" si="573"/>
        <v/>
      </c>
      <c r="N510" s="347" t="str" cm="1">
        <f t="array" aca="1" ref="N51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IF(AND(_xlpm.baseRow,ISNA(MATCH($C510,'Tree List'!$C$3:$C$601,0)),SUMPRODUCT(--ISNUMBER(SEARCH(Tables2!$C$677:$C$772,$O510)))&gt;0),
Error!$B$57,
IF(AND(_xlpm.hasDM,$F510="Remove",$H510&lt;&gt;"",OR($I510="On-site replacement",$I510="Off-site replacement",$I510="Payment In Lieu")),
Error!$B$56,
IF(AND(_xlpm.hasDM,$F510="Remove",$H510&lt;&gt;"",$I510="Relocation"),
Error!$B$66,
IF(AND(OR(_xlpm.hasCN,_xlpm.hasPH,_xlpm.hasGR),$H510&lt;&gt;"",COUNTIF(Tables!$B$132:$B$134,$H510)&gt;0,$I510="N/A (No replacement required)"),
Error!$B$62,
IF(AND(_xlpm.baseRow,$E510&lt;&gt;"",ISNA(MATCH($E510,Tables!$B$225:$B$232,0))),
Error!$B$2,
IF(AND(_xlpm.baseRow,$F510&lt;&gt;"",ISNA(MATCH($F510,Tables!$B$234:$B$235,0))),
Error!$B$24,
IF(AND(_xlpm.baseRow,_xlpm.ECA_H&gt;0,_xlpm.Shore_H&gt;0),
Error!$B$16,
IF(AND(_xlpm.baseRow,$E510&lt;&gt;"",$D510=""),
Error!$B$3,
IF(AND(_xlpm.baseRow,OR($E510="Tier 3",$E510="Tier 4"),$C510&lt;&gt;"",$D510&gt;=24,COUNTIF(Tables2!$B$166:$B$674,$C510)&gt;0),
Error!$B$44,
IF(AND(_xlpm.baseRow,OR($E510="Tier 3",$E510="Tier 4"),$C510&lt;&gt;"",$D510&lt;&gt;"",COUNTIF(Tables2!$B$73:$B$152,$C510)&gt;0,
$D510&gt;=IFERROR(INDEX(Tables2!$C$73:$C$152,MATCH($C510,Tables2!$B$73:$B$152,0)),-1)),
Error!$B$44,
IF(AND(_xlpm.baseRow,OR($E510="Tier 2",$E510="Tier 2 Grove"),$C510&lt;&gt;"",$D510&gt;=12,COUNTIF(Tables2!$B$153:$B$162,$C510)&gt;0),
Error!$B$45,
IF(AND(_xlpm.baseRow,$E510="Tier 2 Grove",$D510&lt;12),
Error!$B$41,
IF(AND(_xlpm.baseRow,$E510="Tier 2",$D510&lt;5.88),
Error!$B$40,
IF(AND(_xlpm.baseRow,OR($E510="Tier 2",$E510="Tier 2 Grove"),$C510&lt;&gt;"",$D510&lt;12,$D510&gt;=6,COUNTIF(Tables2!$B$153:$B$162,$C510)&gt;0),
Error!$B$54,
IF(AND(_xlpm.baseRow,$E510="Tier 2",COUNTIF(Tables2!$B$166:$B$674,$C510)&gt;0,$D510&lt;24),
Error!$B$54,
IF(AND(_xlpm.baseRow,$E510="Tier 3",ISNA(MATCH($C510,Tables2!$B$153:$B$162,0)),OR($D510&lt;12,$D510&gt;=24)),
Error!$B$9,
IF(AND(_xlpm.baseRow,$E510="Tier 3",COUNTIF(Tables2!$B$153:$B$162,$C510)&gt;0,$D510&lt;12),
Error!$B$46,
IF(AND(_xlpm.baseRow,$E510="Tier 4",OR($D510&lt;6,$D510&gt;=12)),
Error!$B$10,
IF(AND(_xlpm.baseRow,$E510="&lt;6in DSH for Tree Points",OR($D510&gt;=6,$D510="")),
Error!$B$8,
IF(AND(_xlpm.baseRow,$E510="Street Tree for Green Factor",$F510&lt;&gt;"",$F510&lt;&gt;"Retain"),
Error!$B$14,
IF(AND($E510="&lt;6in DSH for Tree Points",$F510="Retain",$H510&lt;&gt;"",ISNA(MATCH($H510,Tables!$B$174:$B$174,0))),
Error!$B$15,
IF(AND($E510="Street Tree for Green Factor",$F510="Retain",$H510&lt;&gt;"",$H510&lt;&gt;"Zoning: Green Factor"),
Error!$B$15,
IF(AND($E510="ECA / Shoreline Tree",$F510="Remove",$H510&lt;&gt;"",ISNA(MATCH($H510,Tables!$B$189:$B$190,0))),
Error!$B$15,
IF(AND($E510="ECA / Shoreline Tree",$F510="Retain",$H510&lt;&gt;"",ISNA(MATCH($H510,Tables!$B$184:$B$186,0))),
Error!$B$15,
IF(AND($E510="Tier 4",$F510="Remove",$H510&lt;&gt;"",ISNA(MATCH($H510,Tables!$B$171,0))),
Error!$B$15,
IF(AND($E510="Tier 4",$F510="Retain",$H510&lt;&gt;"",ISNA(MATCH($H510,Tables!$B$166:$B$168,0))),
Error!$B$15,
IF(AND($E510="Tier 3",$F510="Retain",$H510&lt;&gt;"",ISNA(MATCH($H510,Tables!$B$158:$B$160,0))),
Error!$B$15,
IF(AND($E510="Tier 3",$F510="Remove",$H510&lt;&gt;"",ISNA(MATCH($H510,Tables!$B$163,0))),
Error!$B$15,
IF(AND(OR($E510="Tier 2",$E510="Tier 2 Grove"),$F510="Remove",$H510&lt;&gt;"",ISNA(MATCH($H510,Tables!$B$153:$B$155,0))),
Error!$B$15,
IF(AND(OR($E510="Tier 2",$E510="Tier 2 Grove"),$F510="Retain",$H510&lt;&gt;"",ISNA(MATCH($H510,Tables!$B$147:$B$150,0))),
Error!$B$15,
IF(AND($E510="Tier 1",$F510="Remove",$H510&lt;&gt;"",ISNA(MATCH($H510,Tables!$B$143:$B$144,0))),
Error!$B$15,
IF(AND($E510="Tier 1",$F510="Retain",$H510&lt;&gt;"",ISNA(MATCH($H510,Tables!$B$137:$B$140,0))),
Error!$B$15,
IF(AND($E510&lt;&gt;"Tier 2",$E510&lt;&gt;"Tier 2 Grove",$E510&lt;&gt;"Tier 3",$E510&lt;&gt;"Tier 4",$H510="Zoning: Green Factor",OR($D510="",$D510&lt;6)),
Error!$B$11,
IF(AND(_xlpm.baseRow,$D510&lt;6,$E510="&lt;6in DSH for Tree Points",_xlpm.TreePoints_H=0),
Error!$B$21,
IF(AND(_xlpm.baseRow,$E510&lt;&gt;"",$D510&lt;&gt;"",$F510=""),
Error!$B$4,
IF(AND(_xlpm.baseRow,$F510="Remove",OR($E510="Tier 1",$E510="Tier 2",$E510="Tier 2 Grove"),COUNTBLANK(_xlpm.HRange)&lt;3,_xlpm.uniqueH&gt;=2),
Error!$B$48,
IF(AND(_xlpm.baseRow,$F510="Retain",OR($E510="Tier 1",$E510="Tier 2",$E510="Tier 2 Grove"),COUNTIF(_xlpm.HRange,"Tree Code: Required to Retain Tier 1-2 Tree")=0),
Error!$B$47,
IF(AND(_xlpm.baseRow,$E510&lt;&gt;"",$D510&lt;&gt;"",$F510&lt;&gt;"",COUNTBLANK(_xlpm.HRange)=4),
Error!$B$5,
IF(AND($F510="Remove",$H510&lt;&gt;"",$I510=""),
Error!$B$18,
IF(AND($E510="Tier 4",$F510="Remove",$H510="Tree Protection Code: Tier 3 or Tier 4 Allowance",$H510&lt;&gt;"",ISNA(MATCH($I510,Tables!$B$200,0))),
Error!$B$17,
IF(AND($E510="Tier 3",$F510="Remove",$H510&lt;&gt;"",$H510="Tree Protection Code: Tier 3 or Tier 4 Allowance",OR($I510="",ISNA(MATCH($I510,Tables!$B$193:$B$197,0)))),
Error!$B$17,
IF(AND(OR($E510="Tier 2",$E510="Tier 2 Grove"),$F510="Remove",$H510="Tree Protection Code: Other removal allowance or exemption",$I510&lt;&gt;"",ISNA(MATCH($I510,Tables!$B$215:$B$218,0))),
Error!$B$17,
IF(AND(OR($E510="Tier 2",$E510="Tier 2 Grove"),$F510="Remove",$H510="Tree Protection Code: Development Capacity",$I510&lt;&gt;"",ISNA(MATCH($I510,Tables!$B$193:$B$197,0))),
Error!$B$17,
IF(AND(OR($E510="Tier 2",$E510="Tier 2 Grove"),$F510="Remove",$H510="Tree Protection Code: Necessary for Construction",$I510&lt;&gt;"",ISNA(MATCH($I510,Tables!$B$193:$B$197,0))),
Error!$B$17,
IF(AND($E510="Tier 1",$F510="Remove",$H510="Tree Protection Code: Special Exception",$I510&lt;&gt;"",ISNA(MATCH($I510,Tables!$B$215:$B$218,0))),
Error!$B$17,
IF(AND($E510="Tier 1",$F510="Remove",$H510="Tree Protection Code: Other removal allowance or exemption",$I510&lt;&gt;"",ISNA(MATCH($I510,Tables!$B$215:$B$218,0))),
Error!$B$17,
IF(AND($E510="ECA / Shoreline Tree",$F510="Remove",$H510&lt;&gt;"",OR($H510="Shoreline",$H510="Environmental Critical Area (ECA)"),ISNA(MATCH($I510,Tables!$B$209:$B$212,0))),
Error!$B$17,
IF(AND(_xlpm.baseRow,$F510="Retain",$E510="ECA / Shoreline Tree",_xlpm.ECA_Short=0),
Error!$B$61,
IF(AND($F510="Remove",ISNUMBER(MATCH($E510,{"Tier 1","Tier 2","Tier 3","Tier 4","Tier 2 Grove"},0)),ISNUMBER(MATCH($I510,{"On-site replacement","Off-site replacement"},0)),$J510="",$H510&lt;&gt;""),
Error!$B$19,
IF(AND(_xlpm.baseRow,$E510&lt;&gt;"",$D510&lt;&gt;"",$F510&lt;&gt;"",COUNTBLANK($B510:$C510)&gt;0,COUNTBLANK(_xlpm.HRange)&lt;&gt;4),
Error!$B$22,
IF(AND($H510="Zoning: Tree Points",$K510&lt;&gt;"",ISNA(MATCH($K510,Tables!$B$242:$B$253,0))),
Error!$B$58,
IF(AND($H510="Zoning: Tree Points",$K510="Small",$L510&lt;&gt;"",ISNA(MATCH($L510,Tables!$C$243:$C$244,0))),
Error!$B$59,
IF(AND($H510="Zoning: Tree Points",$K510="Small/Medium",$L510&lt;&gt;"",ISNA(MATCH($L510,Tables!$C$246:$C$247,0))),
Error!$B$59,
IF(AND($H510="Zoning: Tree Points",$K510="Medium/Large",$L510&lt;&gt;"",ISNA(MATCH($L510,Tables!$C$249:$C$250,0))),
Error!$B$59,
IF(AND($H510="Zoning: Tree Points",$K510="Large",$L510&lt;&gt;"",ISNA(MATCH($L510,Tables!$C$252:$C$253,0))),
Error!$B$59,
IF(AND($F510="Retain",$H510="Zoning: Tree Points",$C510&lt;&gt;"",$D510&lt;&gt;"",OR($K510="",$L510="",$M510="")),
Error!$B$20,
""
)))))))))))))))))))))))))))))))))))))))))))))))))))))))),
Error!$B$23))</f>
        <v/>
      </c>
      <c r="O510" s="343" t="str" cm="1">
        <f t="array" aca="1" ref="O510" ca="1">IFERROR(_xlfn.LET(
    _xlpm.txt, $C510,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11" spans="1:15" ht="15" thickBot="1" x14ac:dyDescent="0.35">
      <c r="A511" s="311">
        <v>126</v>
      </c>
      <c r="B511" s="312"/>
      <c r="C511" s="313"/>
      <c r="D511" s="478"/>
      <c r="E511" s="314"/>
      <c r="F511" s="314"/>
      <c r="G511" s="315" t="str">
        <f>IF(Tree_Table1[[#This Row],[Tree Status  &amp;]]="Retain", Tables!$B$237, IF(Tree_Table1[[#This Row],[Tree Status  &amp;]]="Remove", Tables!$B$238, ""))</f>
        <v/>
      </c>
      <c r="H511" s="316"/>
      <c r="I511" s="317"/>
      <c r="J511" s="452"/>
      <c r="K511" s="318" t="str">
        <f>IFERROR(
    IF(
        AND($H511="Zoning: Tree Points", NOT(ISNUMBER(SEARCH("sp.", $C511)))),
        VLOOKUP($C511, 'Tree List'!$C$3:$F$601, 4, FALSE),
        ""
    ),
"")</f>
        <v/>
      </c>
      <c r="L511" s="319" t="str" cm="1">
        <f t="array" ref="L511">IFERROR(
IF(
    AND($H511="Zoning: Tree Points", NOT(ISNUMBER(SEARCH("sp.", $C511)))),
    _xlfn.IFS(
        (COUNTIFS('Tree List'!$C$3:$C$601,$C511,'Tree List'!$D$3:$D$601,"Coniferous")
        + COUNTIFS('Tree List'!$C$3:$C$601,$C511,'Tree List'!$D$3:$D$601,"Deciduous Conifer")) &gt; 0,
            _xlfn.IFS($K511="Small",0.5,$K511="Small/Medium",1,$K511="Medium/Large",1.4,$K511="Large",1.8),
        (COUNTIFS('Tree List'!$C$3:$C$601,$C511,'Tree List'!$D$3:$D$601,"Deciduous")
        + COUNTIFS('Tree List'!$C$3:$C$601,$C511,'Tree List'!$D$3:$D$601,"Broadleaf Evergreen")) &gt; 0,
            _xlfn.IFS($K511="Small",0.4,$K511="Small/Medium",0.8,$K511="Medium/Large",1.2,$K511="Large",1.6)
    ),
    ""
),
"")</f>
        <v/>
      </c>
      <c r="M511" s="474" t="str">
        <f t="shared" si="573"/>
        <v/>
      </c>
      <c r="N511" s="620" t="str" cm="1">
        <f t="array" aca="1" ref="N51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IF(AND(_xlpm.baseRow,ISNA(MATCH($C511,'Tree List'!$C$3:$C$601,0)),SUMPRODUCT(--ISNUMBER(SEARCH(Tables2!$C$677:$C$772,$O511)))&gt;0),
Error!$B$57,
IF(AND(_xlpm.hasDM,$F511="Remove",$H511&lt;&gt;"",OR($I511="On-site replacement",$I511="Off-site replacement",$I511="Payment In Lieu")),
Error!$B$56,
IF(AND(_xlpm.hasDM,$F511="Remove",$H511&lt;&gt;"",$I511="Relocation"),
Error!$B$66,
IF(AND(OR(_xlpm.hasCN,_xlpm.hasPH,_xlpm.hasGR),$H511&lt;&gt;"",COUNTIF(Tables!$B$132:$B$134,$H511)&gt;0,$I511="N/A (No replacement required)"),
Error!$B$62,
IF(AND(_xlpm.baseRow,$E511&lt;&gt;"",ISNA(MATCH($E511,Tables!$B$225:$B$232,0))),
Error!$B$2,
IF(AND(_xlpm.baseRow,$F511&lt;&gt;"",ISNA(MATCH($F511,Tables!$B$234:$B$235,0))),
Error!$B$24,
IF(AND(_xlpm.baseRow,_xlpm.ECA_H&gt;0,_xlpm.Shore_H&gt;0),
Error!$B$16,
IF(AND(_xlpm.baseRow,$E511&lt;&gt;"",$D511=""),
Error!$B$3,
IF(AND(_xlpm.baseRow,OR($E511="Tier 3",$E511="Tier 4"),$C511&lt;&gt;"",$D511&gt;=24,COUNTIF(Tables2!$B$166:$B$674,$C511)&gt;0),
Error!$B$44,
IF(AND(_xlpm.baseRow,OR($E511="Tier 3",$E511="Tier 4"),$C511&lt;&gt;"",$D511&lt;&gt;"",COUNTIF(Tables2!$B$73:$B$152,$C511)&gt;0,
$D511&gt;=IFERROR(INDEX(Tables2!$C$73:$C$152,MATCH($C511,Tables2!$B$73:$B$152,0)),-1)),
Error!$B$44,
IF(AND(_xlpm.baseRow,OR($E511="Tier 2",$E511="Tier 2 Grove"),$C511&lt;&gt;"",$D511&gt;=12,COUNTIF(Tables2!$B$153:$B$162,$C511)&gt;0),
Error!$B$45,
IF(AND(_xlpm.baseRow,$E511="Tier 2 Grove",$D511&lt;12),
Error!$B$41,
IF(AND(_xlpm.baseRow,$E511="Tier 2",$D511&lt;5.88),
Error!$B$40,
IF(AND(_xlpm.baseRow,OR($E511="Tier 2",$E511="Tier 2 Grove"),$C511&lt;&gt;"",$D511&lt;12,$D511&gt;=6,COUNTIF(Tables2!$B$153:$B$162,$C511)&gt;0),
Error!$B$54,
IF(AND(_xlpm.baseRow,$E511="Tier 2",COUNTIF(Tables2!$B$166:$B$674,$C511)&gt;0,$D511&lt;24),
Error!$B$54,
IF(AND(_xlpm.baseRow,$E511="Tier 3",ISNA(MATCH($C511,Tables2!$B$153:$B$162,0)),OR($D511&lt;12,$D511&gt;=24)),
Error!$B$9,
IF(AND(_xlpm.baseRow,$E511="Tier 3",COUNTIF(Tables2!$B$153:$B$162,$C511)&gt;0,$D511&lt;12),
Error!$B$46,
IF(AND(_xlpm.baseRow,$E511="Tier 4",OR($D511&lt;6,$D511&gt;=12)),
Error!$B$10,
IF(AND(_xlpm.baseRow,$E511="&lt;6in DSH for Tree Points",OR($D511&gt;=6,$D511="")),
Error!$B$8,
IF(AND(_xlpm.baseRow,$E511="Street Tree for Green Factor",$F511&lt;&gt;"",$F511&lt;&gt;"Retain"),
Error!$B$14,
IF(AND($E511="&lt;6in DSH for Tree Points",$F511="Retain",$H511&lt;&gt;"",ISNA(MATCH($H511,Tables!$B$174:$B$174,0))),
Error!$B$15,
IF(AND($E511="Street Tree for Green Factor",$F511="Retain",$H511&lt;&gt;"",$H511&lt;&gt;"Zoning: Green Factor"),
Error!$B$15,
IF(AND($E511="ECA / Shoreline Tree",$F511="Remove",$H511&lt;&gt;"",ISNA(MATCH($H511,Tables!$B$189:$B$190,0))),
Error!$B$15,
IF(AND($E511="ECA / Shoreline Tree",$F511="Retain",$H511&lt;&gt;"",ISNA(MATCH($H511,Tables!$B$184:$B$186,0))),
Error!$B$15,
IF(AND($E511="Tier 4",$F511="Remove",$H511&lt;&gt;"",ISNA(MATCH($H511,Tables!$B$171,0))),
Error!$B$15,
IF(AND($E511="Tier 4",$F511="Retain",$H511&lt;&gt;"",ISNA(MATCH($H511,Tables!$B$166:$B$168,0))),
Error!$B$15,
IF(AND($E511="Tier 3",$F511="Retain",$H511&lt;&gt;"",ISNA(MATCH($H511,Tables!$B$158:$B$160,0))),
Error!$B$15,
IF(AND($E511="Tier 3",$F511="Remove",$H511&lt;&gt;"",ISNA(MATCH($H511,Tables!$B$163,0))),
Error!$B$15,
IF(AND(OR($E511="Tier 2",$E511="Tier 2 Grove"),$F511="Remove",$H511&lt;&gt;"",ISNA(MATCH($H511,Tables!$B$153:$B$155,0))),
Error!$B$15,
IF(AND(OR($E511="Tier 2",$E511="Tier 2 Grove"),$F511="Retain",$H511&lt;&gt;"",ISNA(MATCH($H511,Tables!$B$147:$B$150,0))),
Error!$B$15,
IF(AND($E511="Tier 1",$F511="Remove",$H511&lt;&gt;"",ISNA(MATCH($H511,Tables!$B$143:$B$144,0))),
Error!$B$15,
IF(AND($E511="Tier 1",$F511="Retain",$H511&lt;&gt;"",ISNA(MATCH($H511,Tables!$B$137:$B$140,0))),
Error!$B$15,
IF(AND($E511&lt;&gt;"Tier 2",$E511&lt;&gt;"Tier 2 Grove",$E511&lt;&gt;"Tier 3",$E511&lt;&gt;"Tier 4",$H511="Zoning: Green Factor",OR($D511="",$D511&lt;6)),
Error!$B$11,
IF(AND(_xlpm.baseRow,$D511&lt;6,$E511="&lt;6in DSH for Tree Points",_xlpm.TreePoints_H=0),
Error!$B$21,
IF(AND(_xlpm.baseRow,$E511&lt;&gt;"",$D511&lt;&gt;"",$F511=""),
Error!$B$4,
IF(AND(_xlpm.baseRow,$F511="Remove",OR($E511="Tier 1",$E511="Tier 2",$E511="Tier 2 Grove"),COUNTBLANK(_xlpm.HRange)&lt;3,_xlpm.uniqueH&gt;=2),
Error!$B$48,
IF(AND(_xlpm.baseRow,$F511="Retain",OR($E511="Tier 1",$E511="Tier 2",$E511="Tier 2 Grove"),COUNTIF(_xlpm.HRange,"Tree Code: Required to Retain Tier 1-2 Tree")=0),
Error!$B$47,
IF(AND(_xlpm.baseRow,$E511&lt;&gt;"",$D511&lt;&gt;"",$F511&lt;&gt;"",COUNTBLANK(_xlpm.HRange)=4),
Error!$B$5,
IF(AND($F511="Remove",$H511&lt;&gt;"",$I511=""),
Error!$B$18,
IF(AND($E511="Tier 4",$F511="Remove",$H511="Tree Protection Code: Tier 3 or Tier 4 Allowance",$H511&lt;&gt;"",ISNA(MATCH($I511,Tables!$B$200,0))),
Error!$B$17,
IF(AND($E511="Tier 3",$F511="Remove",$H511&lt;&gt;"",$H511="Tree Protection Code: Tier 3 or Tier 4 Allowance",OR($I511="",ISNA(MATCH($I511,Tables!$B$193:$B$197,0)))),
Error!$B$17,
IF(AND(OR($E511="Tier 2",$E511="Tier 2 Grove"),$F511="Remove",$H511="Tree Protection Code: Other removal allowance or exemption",$I511&lt;&gt;"",ISNA(MATCH($I511,Tables!$B$215:$B$218,0))),
Error!$B$17,
IF(AND(OR($E511="Tier 2",$E511="Tier 2 Grove"),$F511="Remove",$H511="Tree Protection Code: Development Capacity",$I511&lt;&gt;"",ISNA(MATCH($I511,Tables!$B$193:$B$197,0))),
Error!$B$17,
IF(AND(OR($E511="Tier 2",$E511="Tier 2 Grove"),$F511="Remove",$H511="Tree Protection Code: Necessary for Construction",$I511&lt;&gt;"",ISNA(MATCH($I511,Tables!$B$193:$B$197,0))),
Error!$B$17,
IF(AND($E511="Tier 1",$F511="Remove",$H511="Tree Protection Code: Special Exception",$I511&lt;&gt;"",ISNA(MATCH($I511,Tables!$B$215:$B$218,0))),
Error!$B$17,
IF(AND($E511="Tier 1",$F511="Remove",$H511="Tree Protection Code: Other removal allowance or exemption",$I511&lt;&gt;"",ISNA(MATCH($I511,Tables!$B$215:$B$218,0))),
Error!$B$17,
IF(AND($E511="ECA / Shoreline Tree",$F511="Remove",$H511&lt;&gt;"",OR($H511="Shoreline",$H511="Environmental Critical Area (ECA)"),ISNA(MATCH($I511,Tables!$B$209:$B$212,0))),
Error!$B$17,
IF(AND(_xlpm.baseRow,$F511="Retain",$E511="ECA / Shoreline Tree",_xlpm.ECA_Short=0),
Error!$B$61,
IF(AND($F511="Remove",ISNUMBER(MATCH($E511,{"Tier 1","Tier 2","Tier 3","Tier 4","Tier 2 Grove"},0)),ISNUMBER(MATCH($I511,{"On-site replacement","Off-site replacement"},0)),$J511="",$H511&lt;&gt;""),
Error!$B$19,
IF(AND(_xlpm.baseRow,$E511&lt;&gt;"",$D511&lt;&gt;"",$F511&lt;&gt;"",COUNTBLANK($B511:$C511)&gt;0,COUNTBLANK(_xlpm.HRange)&lt;&gt;4),
Error!$B$22,
IF(AND($H511="Zoning: Tree Points",$K511&lt;&gt;"",ISNA(MATCH($K511,Tables!$B$242:$B$253,0))),
Error!$B$58,
IF(AND($H511="Zoning: Tree Points",$K511="Small",$L511&lt;&gt;"",ISNA(MATCH($L511,Tables!$C$243:$C$244,0))),
Error!$B$59,
IF(AND($H511="Zoning: Tree Points",$K511="Small/Medium",$L511&lt;&gt;"",ISNA(MATCH($L511,Tables!$C$246:$C$247,0))),
Error!$B$59,
IF(AND($H511="Zoning: Tree Points",$K511="Medium/Large",$L511&lt;&gt;"",ISNA(MATCH($L511,Tables!$C$249:$C$250,0))),
Error!$B$59,
IF(AND($H511="Zoning: Tree Points",$K511="Large",$L511&lt;&gt;"",ISNA(MATCH($L511,Tables!$C$252:$C$253,0))),
Error!$B$59,
IF(AND($F511="Retain",$H511="Zoning: Tree Points",$C511&lt;&gt;"",$D511&lt;&gt;"",OR($K511="",$L511="",$M511="")),
Error!$B$20,
""
)))))))))))))))))))))))))))))))))))))))))))))))))))))))),
Error!$B$23))</f>
        <v/>
      </c>
      <c r="O511" s="343" t="str" cm="1">
        <f t="array" aca="1" ref="O511" ca="1">IFERROR(_xlfn.LET(
    _xlpm.txt, $C511,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12" spans="1:15" x14ac:dyDescent="0.3">
      <c r="A512" s="320"/>
      <c r="B512" s="616" t="str">
        <f t="shared" ref="B512:B514" si="589">IF($B511="", "", $B511)</f>
        <v/>
      </c>
      <c r="C512" s="617" t="str">
        <f t="shared" ref="C512:C514" si="590">IF($C511="", "", $C511)</f>
        <v/>
      </c>
      <c r="D512" s="618" t="str">
        <f t="shared" ref="D512:D514" si="591">IF($D511="", "", $D511)</f>
        <v/>
      </c>
      <c r="E512" s="616" t="str">
        <f t="shared" ref="E512:E514" si="592">IF($E511="", "", $E511)</f>
        <v/>
      </c>
      <c r="F512" s="616" t="str">
        <f t="shared" ref="F512:F514" si="593">IF($F511="", "", $F511)</f>
        <v/>
      </c>
      <c r="G512" s="619" t="str">
        <f>IF(Tree_Table1[[#This Row],[Tree Status  &amp;]]="Retain", Tables!$B$237, IF(Tree_Table1[[#This Row],[Tree Status  &amp;]]="Remove", Tables!$B$238, ""))</f>
        <v/>
      </c>
      <c r="H512" s="321"/>
      <c r="I512" s="322"/>
      <c r="J512" s="453"/>
      <c r="K512" s="323" t="str">
        <f>IFERROR(
    IF(
        AND($H512="Zoning: Tree Points", NOT(ISNUMBER(SEARCH("sp.", $C512)))),
        VLOOKUP($C512, 'Tree List'!$C$3:$F$601, 4, FALSE),
        ""
    ),
"")</f>
        <v/>
      </c>
      <c r="L512" s="324" t="str" cm="1">
        <f t="array" ref="L512">IFERROR(
IF(
    AND($H512="Zoning: Tree Points", NOT(ISNUMBER(SEARCH("sp.", $C512)))),
    _xlfn.IFS(
        (COUNTIFS('Tree List'!$C$3:$C$601,$C512,'Tree List'!$D$3:$D$601,"Coniferous")
        + COUNTIFS('Tree List'!$C$3:$C$601,$C512,'Tree List'!$D$3:$D$601,"Deciduous Conifer")) &gt; 0,
            _xlfn.IFS($K512="Small",0.5,$K512="Small/Medium",1,$K512="Medium/Large",1.4,$K512="Large",1.8),
        (COUNTIFS('Tree List'!$C$3:$C$601,$C512,'Tree List'!$D$3:$D$601,"Deciduous")
        + COUNTIFS('Tree List'!$C$3:$C$601,$C512,'Tree List'!$D$3:$D$601,"Broadleaf Evergreen")) &gt; 0,
            _xlfn.IFS($K512="Small",0.4,$K512="Small/Medium",0.8,$K512="Medium/Large",1.2,$K512="Large",1.6)
    ),
    ""
),
"")</f>
        <v/>
      </c>
      <c r="M512" s="475" t="str">
        <f t="shared" si="573"/>
        <v/>
      </c>
      <c r="N512" s="346" t="str" cm="1">
        <f t="array" aca="1" ref="N51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IF(AND(_xlpm.baseRow,ISNA(MATCH($C512,'Tree List'!$C$3:$C$601,0)),SUMPRODUCT(--ISNUMBER(SEARCH(Tables2!$C$677:$C$772,$O512)))&gt;0),
Error!$B$57,
IF(AND(_xlpm.hasDM,$F512="Remove",$H512&lt;&gt;"",OR($I512="On-site replacement",$I512="Off-site replacement",$I512="Payment In Lieu")),
Error!$B$56,
IF(AND(_xlpm.hasDM,$F512="Remove",$H512&lt;&gt;"",$I512="Relocation"),
Error!$B$66,
IF(AND(OR(_xlpm.hasCN,_xlpm.hasPH,_xlpm.hasGR),$H512&lt;&gt;"",COUNTIF(Tables!$B$132:$B$134,$H512)&gt;0,$I512="N/A (No replacement required)"),
Error!$B$62,
IF(AND(_xlpm.baseRow,$E512&lt;&gt;"",ISNA(MATCH($E512,Tables!$B$225:$B$232,0))),
Error!$B$2,
IF(AND(_xlpm.baseRow,$F512&lt;&gt;"",ISNA(MATCH($F512,Tables!$B$234:$B$235,0))),
Error!$B$24,
IF(AND(_xlpm.baseRow,_xlpm.ECA_H&gt;0,_xlpm.Shore_H&gt;0),
Error!$B$16,
IF(AND(_xlpm.baseRow,$E512&lt;&gt;"",$D512=""),
Error!$B$3,
IF(AND(_xlpm.baseRow,OR($E512="Tier 3",$E512="Tier 4"),$C512&lt;&gt;"",$D512&gt;=24,COUNTIF(Tables2!$B$166:$B$674,$C512)&gt;0),
Error!$B$44,
IF(AND(_xlpm.baseRow,OR($E512="Tier 3",$E512="Tier 4"),$C512&lt;&gt;"",$D512&lt;&gt;"",COUNTIF(Tables2!$B$73:$B$152,$C512)&gt;0,
$D512&gt;=IFERROR(INDEX(Tables2!$C$73:$C$152,MATCH($C512,Tables2!$B$73:$B$152,0)),-1)),
Error!$B$44,
IF(AND(_xlpm.baseRow,OR($E512="Tier 2",$E512="Tier 2 Grove"),$C512&lt;&gt;"",$D512&gt;=12,COUNTIF(Tables2!$B$153:$B$162,$C512)&gt;0),
Error!$B$45,
IF(AND(_xlpm.baseRow,$E512="Tier 2 Grove",$D512&lt;12),
Error!$B$41,
IF(AND(_xlpm.baseRow,$E512="Tier 2",$D512&lt;5.88),
Error!$B$40,
IF(AND(_xlpm.baseRow,OR($E512="Tier 2",$E512="Tier 2 Grove"),$C512&lt;&gt;"",$D512&lt;12,$D512&gt;=6,COUNTIF(Tables2!$B$153:$B$162,$C512)&gt;0),
Error!$B$54,
IF(AND(_xlpm.baseRow,$E512="Tier 2",COUNTIF(Tables2!$B$166:$B$674,$C512)&gt;0,$D512&lt;24),
Error!$B$54,
IF(AND(_xlpm.baseRow,$E512="Tier 3",ISNA(MATCH($C512,Tables2!$B$153:$B$162,0)),OR($D512&lt;12,$D512&gt;=24)),
Error!$B$9,
IF(AND(_xlpm.baseRow,$E512="Tier 3",COUNTIF(Tables2!$B$153:$B$162,$C512)&gt;0,$D512&lt;12),
Error!$B$46,
IF(AND(_xlpm.baseRow,$E512="Tier 4",OR($D512&lt;6,$D512&gt;=12)),
Error!$B$10,
IF(AND(_xlpm.baseRow,$E512="&lt;6in DSH for Tree Points",OR($D512&gt;=6,$D512="")),
Error!$B$8,
IF(AND(_xlpm.baseRow,$E512="Street Tree for Green Factor",$F512&lt;&gt;"",$F512&lt;&gt;"Retain"),
Error!$B$14,
IF(AND($E512="&lt;6in DSH for Tree Points",$F512="Retain",$H512&lt;&gt;"",ISNA(MATCH($H512,Tables!$B$174:$B$174,0))),
Error!$B$15,
IF(AND($E512="Street Tree for Green Factor",$F512="Retain",$H512&lt;&gt;"",$H512&lt;&gt;"Zoning: Green Factor"),
Error!$B$15,
IF(AND($E512="ECA / Shoreline Tree",$F512="Remove",$H512&lt;&gt;"",ISNA(MATCH($H512,Tables!$B$189:$B$190,0))),
Error!$B$15,
IF(AND($E512="ECA / Shoreline Tree",$F512="Retain",$H512&lt;&gt;"",ISNA(MATCH($H512,Tables!$B$184:$B$186,0))),
Error!$B$15,
IF(AND($E512="Tier 4",$F512="Remove",$H512&lt;&gt;"",ISNA(MATCH($H512,Tables!$B$171,0))),
Error!$B$15,
IF(AND($E512="Tier 4",$F512="Retain",$H512&lt;&gt;"",ISNA(MATCH($H512,Tables!$B$166:$B$168,0))),
Error!$B$15,
IF(AND($E512="Tier 3",$F512="Retain",$H512&lt;&gt;"",ISNA(MATCH($H512,Tables!$B$158:$B$160,0))),
Error!$B$15,
IF(AND($E512="Tier 3",$F512="Remove",$H512&lt;&gt;"",ISNA(MATCH($H512,Tables!$B$163,0))),
Error!$B$15,
IF(AND(OR($E512="Tier 2",$E512="Tier 2 Grove"),$F512="Remove",$H512&lt;&gt;"",ISNA(MATCH($H512,Tables!$B$153:$B$155,0))),
Error!$B$15,
IF(AND(OR($E512="Tier 2",$E512="Tier 2 Grove"),$F512="Retain",$H512&lt;&gt;"",ISNA(MATCH($H512,Tables!$B$147:$B$150,0))),
Error!$B$15,
IF(AND($E512="Tier 1",$F512="Remove",$H512&lt;&gt;"",ISNA(MATCH($H512,Tables!$B$143:$B$144,0))),
Error!$B$15,
IF(AND($E512="Tier 1",$F512="Retain",$H512&lt;&gt;"",ISNA(MATCH($H512,Tables!$B$137:$B$140,0))),
Error!$B$15,
IF(AND($E512&lt;&gt;"Tier 2",$E512&lt;&gt;"Tier 2 Grove",$E512&lt;&gt;"Tier 3",$E512&lt;&gt;"Tier 4",$H512="Zoning: Green Factor",OR($D512="",$D512&lt;6)),
Error!$B$11,
IF(AND(_xlpm.baseRow,$D512&lt;6,$E512="&lt;6in DSH for Tree Points",_xlpm.TreePoints_H=0),
Error!$B$21,
IF(AND(_xlpm.baseRow,$E512&lt;&gt;"",$D512&lt;&gt;"",$F512=""),
Error!$B$4,
IF(AND(_xlpm.baseRow,$F512="Remove",OR($E512="Tier 1",$E512="Tier 2",$E512="Tier 2 Grove"),COUNTBLANK(_xlpm.HRange)&lt;3,_xlpm.uniqueH&gt;=2),
Error!$B$48,
IF(AND(_xlpm.baseRow,$F512="Retain",OR($E512="Tier 1",$E512="Tier 2",$E512="Tier 2 Grove"),COUNTIF(_xlpm.HRange,"Tree Code: Required to Retain Tier 1-2 Tree")=0),
Error!$B$47,
IF(AND(_xlpm.baseRow,$E512&lt;&gt;"",$D512&lt;&gt;"",$F512&lt;&gt;"",COUNTBLANK(_xlpm.HRange)=4),
Error!$B$5,
IF(AND($F512="Remove",$H512&lt;&gt;"",$I512=""),
Error!$B$18,
IF(AND($E512="Tier 4",$F512="Remove",$H512="Tree Protection Code: Tier 3 or Tier 4 Allowance",$H512&lt;&gt;"",ISNA(MATCH($I512,Tables!$B$200,0))),
Error!$B$17,
IF(AND($E512="Tier 3",$F512="Remove",$H512&lt;&gt;"",$H512="Tree Protection Code: Tier 3 or Tier 4 Allowance",OR($I512="",ISNA(MATCH($I512,Tables!$B$193:$B$197,0)))),
Error!$B$17,
IF(AND(OR($E512="Tier 2",$E512="Tier 2 Grove"),$F512="Remove",$H512="Tree Protection Code: Other removal allowance or exemption",$I512&lt;&gt;"",ISNA(MATCH($I512,Tables!$B$215:$B$218,0))),
Error!$B$17,
IF(AND(OR($E512="Tier 2",$E512="Tier 2 Grove"),$F512="Remove",$H512="Tree Protection Code: Development Capacity",$I512&lt;&gt;"",ISNA(MATCH($I512,Tables!$B$193:$B$197,0))),
Error!$B$17,
IF(AND(OR($E512="Tier 2",$E512="Tier 2 Grove"),$F512="Remove",$H512="Tree Protection Code: Necessary for Construction",$I512&lt;&gt;"",ISNA(MATCH($I512,Tables!$B$193:$B$197,0))),
Error!$B$17,
IF(AND($E512="Tier 1",$F512="Remove",$H512="Tree Protection Code: Special Exception",$I512&lt;&gt;"",ISNA(MATCH($I512,Tables!$B$215:$B$218,0))),
Error!$B$17,
IF(AND($E512="Tier 1",$F512="Remove",$H512="Tree Protection Code: Other removal allowance or exemption",$I512&lt;&gt;"",ISNA(MATCH($I512,Tables!$B$215:$B$218,0))),
Error!$B$17,
IF(AND($E512="ECA / Shoreline Tree",$F512="Remove",$H512&lt;&gt;"",OR($H512="Shoreline",$H512="Environmental Critical Area (ECA)"),ISNA(MATCH($I512,Tables!$B$209:$B$212,0))),
Error!$B$17,
IF(AND(_xlpm.baseRow,$F512="Retain",$E512="ECA / Shoreline Tree",_xlpm.ECA_Short=0),
Error!$B$61,
IF(AND($F512="Remove",ISNUMBER(MATCH($E512,{"Tier 1","Tier 2","Tier 3","Tier 4","Tier 2 Grove"},0)),ISNUMBER(MATCH($I512,{"On-site replacement","Off-site replacement"},0)),$J512="",$H512&lt;&gt;""),
Error!$B$19,
IF(AND(_xlpm.baseRow,$E512&lt;&gt;"",$D512&lt;&gt;"",$F512&lt;&gt;"",COUNTBLANK($B512:$C512)&gt;0,COUNTBLANK(_xlpm.HRange)&lt;&gt;4),
Error!$B$22,
IF(AND($H512="Zoning: Tree Points",$K512&lt;&gt;"",ISNA(MATCH($K512,Tables!$B$242:$B$253,0))),
Error!$B$58,
IF(AND($H512="Zoning: Tree Points",$K512="Small",$L512&lt;&gt;"",ISNA(MATCH($L512,Tables!$C$243:$C$244,0))),
Error!$B$59,
IF(AND($H512="Zoning: Tree Points",$K512="Small/Medium",$L512&lt;&gt;"",ISNA(MATCH($L512,Tables!$C$246:$C$247,0))),
Error!$B$59,
IF(AND($H512="Zoning: Tree Points",$K512="Medium/Large",$L512&lt;&gt;"",ISNA(MATCH($L512,Tables!$C$249:$C$250,0))),
Error!$B$59,
IF(AND($H512="Zoning: Tree Points",$K512="Large",$L512&lt;&gt;"",ISNA(MATCH($L512,Tables!$C$252:$C$253,0))),
Error!$B$59,
IF(AND($F512="Retain",$H512="Zoning: Tree Points",$C512&lt;&gt;"",$D512&lt;&gt;"",OR($K512="",$L512="",$M512="")),
Error!$B$20,
""
)))))))))))))))))))))))))))))))))))))))))))))))))))))))),
Error!$B$23))</f>
        <v/>
      </c>
      <c r="O512" s="343" t="str" cm="1">
        <f t="array" aca="1" ref="O512" ca="1">IFERROR(_xlfn.LET(
    _xlpm.txt, $C512,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13" spans="1:15" x14ac:dyDescent="0.3">
      <c r="A513" s="320"/>
      <c r="B513" s="616" t="str">
        <f t="shared" si="589"/>
        <v/>
      </c>
      <c r="C513" s="617" t="str">
        <f t="shared" si="590"/>
        <v/>
      </c>
      <c r="D513" s="618" t="str">
        <f t="shared" si="591"/>
        <v/>
      </c>
      <c r="E513" s="616" t="str">
        <f t="shared" si="592"/>
        <v/>
      </c>
      <c r="F513" s="616" t="str">
        <f t="shared" si="593"/>
        <v/>
      </c>
      <c r="G513" s="619" t="str">
        <f>IF(Tree_Table1[[#This Row],[Tree Status  &amp;]]="Retain", Tables!$B$237, IF(Tree_Table1[[#This Row],[Tree Status  &amp;]]="Remove", Tables!$B$238, ""))</f>
        <v/>
      </c>
      <c r="H513" s="321"/>
      <c r="I513" s="322"/>
      <c r="J513" s="453"/>
      <c r="K513" s="323" t="str">
        <f>IFERROR(
    IF(
        AND($H513="Zoning: Tree Points", NOT(ISNUMBER(SEARCH("sp.", $C513)))),
        VLOOKUP($C513, 'Tree List'!$C$3:$F$601, 4, FALSE),
        ""
    ),
"")</f>
        <v/>
      </c>
      <c r="L513" s="324" t="str" cm="1">
        <f t="array" ref="L513">IFERROR(
IF(
    AND($H513="Zoning: Tree Points", NOT(ISNUMBER(SEARCH("sp.", $C513)))),
    _xlfn.IFS(
        (COUNTIFS('Tree List'!$C$3:$C$601,$C513,'Tree List'!$D$3:$D$601,"Coniferous")
        + COUNTIFS('Tree List'!$C$3:$C$601,$C513,'Tree List'!$D$3:$D$601,"Deciduous Conifer")) &gt; 0,
            _xlfn.IFS($K513="Small",0.5,$K513="Small/Medium",1,$K513="Medium/Large",1.4,$K513="Large",1.8),
        (COUNTIFS('Tree List'!$C$3:$C$601,$C513,'Tree List'!$D$3:$D$601,"Deciduous")
        + COUNTIFS('Tree List'!$C$3:$C$601,$C513,'Tree List'!$D$3:$D$601,"Broadleaf Evergreen")) &gt; 0,
            _xlfn.IFS($K513="Small",0.4,$K513="Small/Medium",0.8,$K513="Medium/Large",1.2,$K513="Large",1.6)
    ),
    ""
),
"")</f>
        <v/>
      </c>
      <c r="M513" s="475" t="str">
        <f t="shared" si="573"/>
        <v/>
      </c>
      <c r="N513" s="346" t="str" cm="1">
        <f t="array" aca="1" ref="N51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IF(AND(_xlpm.baseRow,ISNA(MATCH($C513,'Tree List'!$C$3:$C$601,0)),SUMPRODUCT(--ISNUMBER(SEARCH(Tables2!$C$677:$C$772,$O513)))&gt;0),
Error!$B$57,
IF(AND(_xlpm.hasDM,$F513="Remove",$H513&lt;&gt;"",OR($I513="On-site replacement",$I513="Off-site replacement",$I513="Payment In Lieu")),
Error!$B$56,
IF(AND(_xlpm.hasDM,$F513="Remove",$H513&lt;&gt;"",$I513="Relocation"),
Error!$B$66,
IF(AND(OR(_xlpm.hasCN,_xlpm.hasPH,_xlpm.hasGR),$H513&lt;&gt;"",COUNTIF(Tables!$B$132:$B$134,$H513)&gt;0,$I513="N/A (No replacement required)"),
Error!$B$62,
IF(AND(_xlpm.baseRow,$E513&lt;&gt;"",ISNA(MATCH($E513,Tables!$B$225:$B$232,0))),
Error!$B$2,
IF(AND(_xlpm.baseRow,$F513&lt;&gt;"",ISNA(MATCH($F513,Tables!$B$234:$B$235,0))),
Error!$B$24,
IF(AND(_xlpm.baseRow,_xlpm.ECA_H&gt;0,_xlpm.Shore_H&gt;0),
Error!$B$16,
IF(AND(_xlpm.baseRow,$E513&lt;&gt;"",$D513=""),
Error!$B$3,
IF(AND(_xlpm.baseRow,OR($E513="Tier 3",$E513="Tier 4"),$C513&lt;&gt;"",$D513&gt;=24,COUNTIF(Tables2!$B$166:$B$674,$C513)&gt;0),
Error!$B$44,
IF(AND(_xlpm.baseRow,OR($E513="Tier 3",$E513="Tier 4"),$C513&lt;&gt;"",$D513&lt;&gt;"",COUNTIF(Tables2!$B$73:$B$152,$C513)&gt;0,
$D513&gt;=IFERROR(INDEX(Tables2!$C$73:$C$152,MATCH($C513,Tables2!$B$73:$B$152,0)),-1)),
Error!$B$44,
IF(AND(_xlpm.baseRow,OR($E513="Tier 2",$E513="Tier 2 Grove"),$C513&lt;&gt;"",$D513&gt;=12,COUNTIF(Tables2!$B$153:$B$162,$C513)&gt;0),
Error!$B$45,
IF(AND(_xlpm.baseRow,$E513="Tier 2 Grove",$D513&lt;12),
Error!$B$41,
IF(AND(_xlpm.baseRow,$E513="Tier 2",$D513&lt;5.88),
Error!$B$40,
IF(AND(_xlpm.baseRow,OR($E513="Tier 2",$E513="Tier 2 Grove"),$C513&lt;&gt;"",$D513&lt;12,$D513&gt;=6,COUNTIF(Tables2!$B$153:$B$162,$C513)&gt;0),
Error!$B$54,
IF(AND(_xlpm.baseRow,$E513="Tier 2",COUNTIF(Tables2!$B$166:$B$674,$C513)&gt;0,$D513&lt;24),
Error!$B$54,
IF(AND(_xlpm.baseRow,$E513="Tier 3",ISNA(MATCH($C513,Tables2!$B$153:$B$162,0)),OR($D513&lt;12,$D513&gt;=24)),
Error!$B$9,
IF(AND(_xlpm.baseRow,$E513="Tier 3",COUNTIF(Tables2!$B$153:$B$162,$C513)&gt;0,$D513&lt;12),
Error!$B$46,
IF(AND(_xlpm.baseRow,$E513="Tier 4",OR($D513&lt;6,$D513&gt;=12)),
Error!$B$10,
IF(AND(_xlpm.baseRow,$E513="&lt;6in DSH for Tree Points",OR($D513&gt;=6,$D513="")),
Error!$B$8,
IF(AND(_xlpm.baseRow,$E513="Street Tree for Green Factor",$F513&lt;&gt;"",$F513&lt;&gt;"Retain"),
Error!$B$14,
IF(AND($E513="&lt;6in DSH for Tree Points",$F513="Retain",$H513&lt;&gt;"",ISNA(MATCH($H513,Tables!$B$174:$B$174,0))),
Error!$B$15,
IF(AND($E513="Street Tree for Green Factor",$F513="Retain",$H513&lt;&gt;"",$H513&lt;&gt;"Zoning: Green Factor"),
Error!$B$15,
IF(AND($E513="ECA / Shoreline Tree",$F513="Remove",$H513&lt;&gt;"",ISNA(MATCH($H513,Tables!$B$189:$B$190,0))),
Error!$B$15,
IF(AND($E513="ECA / Shoreline Tree",$F513="Retain",$H513&lt;&gt;"",ISNA(MATCH($H513,Tables!$B$184:$B$186,0))),
Error!$B$15,
IF(AND($E513="Tier 4",$F513="Remove",$H513&lt;&gt;"",ISNA(MATCH($H513,Tables!$B$171,0))),
Error!$B$15,
IF(AND($E513="Tier 4",$F513="Retain",$H513&lt;&gt;"",ISNA(MATCH($H513,Tables!$B$166:$B$168,0))),
Error!$B$15,
IF(AND($E513="Tier 3",$F513="Retain",$H513&lt;&gt;"",ISNA(MATCH($H513,Tables!$B$158:$B$160,0))),
Error!$B$15,
IF(AND($E513="Tier 3",$F513="Remove",$H513&lt;&gt;"",ISNA(MATCH($H513,Tables!$B$163,0))),
Error!$B$15,
IF(AND(OR($E513="Tier 2",$E513="Tier 2 Grove"),$F513="Remove",$H513&lt;&gt;"",ISNA(MATCH($H513,Tables!$B$153:$B$155,0))),
Error!$B$15,
IF(AND(OR($E513="Tier 2",$E513="Tier 2 Grove"),$F513="Retain",$H513&lt;&gt;"",ISNA(MATCH($H513,Tables!$B$147:$B$150,0))),
Error!$B$15,
IF(AND($E513="Tier 1",$F513="Remove",$H513&lt;&gt;"",ISNA(MATCH($H513,Tables!$B$143:$B$144,0))),
Error!$B$15,
IF(AND($E513="Tier 1",$F513="Retain",$H513&lt;&gt;"",ISNA(MATCH($H513,Tables!$B$137:$B$140,0))),
Error!$B$15,
IF(AND($E513&lt;&gt;"Tier 2",$E513&lt;&gt;"Tier 2 Grove",$E513&lt;&gt;"Tier 3",$E513&lt;&gt;"Tier 4",$H513="Zoning: Green Factor",OR($D513="",$D513&lt;6)),
Error!$B$11,
IF(AND(_xlpm.baseRow,$D513&lt;6,$E513="&lt;6in DSH for Tree Points",_xlpm.TreePoints_H=0),
Error!$B$21,
IF(AND(_xlpm.baseRow,$E513&lt;&gt;"",$D513&lt;&gt;"",$F513=""),
Error!$B$4,
IF(AND(_xlpm.baseRow,$F513="Remove",OR($E513="Tier 1",$E513="Tier 2",$E513="Tier 2 Grove"),COUNTBLANK(_xlpm.HRange)&lt;3,_xlpm.uniqueH&gt;=2),
Error!$B$48,
IF(AND(_xlpm.baseRow,$F513="Retain",OR($E513="Tier 1",$E513="Tier 2",$E513="Tier 2 Grove"),COUNTIF(_xlpm.HRange,"Tree Code: Required to Retain Tier 1-2 Tree")=0),
Error!$B$47,
IF(AND(_xlpm.baseRow,$E513&lt;&gt;"",$D513&lt;&gt;"",$F513&lt;&gt;"",COUNTBLANK(_xlpm.HRange)=4),
Error!$B$5,
IF(AND($F513="Remove",$H513&lt;&gt;"",$I513=""),
Error!$B$18,
IF(AND($E513="Tier 4",$F513="Remove",$H513="Tree Protection Code: Tier 3 or Tier 4 Allowance",$H513&lt;&gt;"",ISNA(MATCH($I513,Tables!$B$200,0))),
Error!$B$17,
IF(AND($E513="Tier 3",$F513="Remove",$H513&lt;&gt;"",$H513="Tree Protection Code: Tier 3 or Tier 4 Allowance",OR($I513="",ISNA(MATCH($I513,Tables!$B$193:$B$197,0)))),
Error!$B$17,
IF(AND(OR($E513="Tier 2",$E513="Tier 2 Grove"),$F513="Remove",$H513="Tree Protection Code: Other removal allowance or exemption",$I513&lt;&gt;"",ISNA(MATCH($I513,Tables!$B$215:$B$218,0))),
Error!$B$17,
IF(AND(OR($E513="Tier 2",$E513="Tier 2 Grove"),$F513="Remove",$H513="Tree Protection Code: Development Capacity",$I513&lt;&gt;"",ISNA(MATCH($I513,Tables!$B$193:$B$197,0))),
Error!$B$17,
IF(AND(OR($E513="Tier 2",$E513="Tier 2 Grove"),$F513="Remove",$H513="Tree Protection Code: Necessary for Construction",$I513&lt;&gt;"",ISNA(MATCH($I513,Tables!$B$193:$B$197,0))),
Error!$B$17,
IF(AND($E513="Tier 1",$F513="Remove",$H513="Tree Protection Code: Special Exception",$I513&lt;&gt;"",ISNA(MATCH($I513,Tables!$B$215:$B$218,0))),
Error!$B$17,
IF(AND($E513="Tier 1",$F513="Remove",$H513="Tree Protection Code: Other removal allowance or exemption",$I513&lt;&gt;"",ISNA(MATCH($I513,Tables!$B$215:$B$218,0))),
Error!$B$17,
IF(AND($E513="ECA / Shoreline Tree",$F513="Remove",$H513&lt;&gt;"",OR($H513="Shoreline",$H513="Environmental Critical Area (ECA)"),ISNA(MATCH($I513,Tables!$B$209:$B$212,0))),
Error!$B$17,
IF(AND(_xlpm.baseRow,$F513="Retain",$E513="ECA / Shoreline Tree",_xlpm.ECA_Short=0),
Error!$B$61,
IF(AND($F513="Remove",ISNUMBER(MATCH($E513,{"Tier 1","Tier 2","Tier 3","Tier 4","Tier 2 Grove"},0)),ISNUMBER(MATCH($I513,{"On-site replacement","Off-site replacement"},0)),$J513="",$H513&lt;&gt;""),
Error!$B$19,
IF(AND(_xlpm.baseRow,$E513&lt;&gt;"",$D513&lt;&gt;"",$F513&lt;&gt;"",COUNTBLANK($B513:$C513)&gt;0,COUNTBLANK(_xlpm.HRange)&lt;&gt;4),
Error!$B$22,
IF(AND($H513="Zoning: Tree Points",$K513&lt;&gt;"",ISNA(MATCH($K513,Tables!$B$242:$B$253,0))),
Error!$B$58,
IF(AND($H513="Zoning: Tree Points",$K513="Small",$L513&lt;&gt;"",ISNA(MATCH($L513,Tables!$C$243:$C$244,0))),
Error!$B$59,
IF(AND($H513="Zoning: Tree Points",$K513="Small/Medium",$L513&lt;&gt;"",ISNA(MATCH($L513,Tables!$C$246:$C$247,0))),
Error!$B$59,
IF(AND($H513="Zoning: Tree Points",$K513="Medium/Large",$L513&lt;&gt;"",ISNA(MATCH($L513,Tables!$C$249:$C$250,0))),
Error!$B$59,
IF(AND($H513="Zoning: Tree Points",$K513="Large",$L513&lt;&gt;"",ISNA(MATCH($L513,Tables!$C$252:$C$253,0))),
Error!$B$59,
IF(AND($F513="Retain",$H513="Zoning: Tree Points",$C513&lt;&gt;"",$D513&lt;&gt;"",OR($K513="",$L513="",$M513="")),
Error!$B$20,
""
)))))))))))))))))))))))))))))))))))))))))))))))))))))))),
Error!$B$23))</f>
        <v/>
      </c>
      <c r="O513" s="343" t="str" cm="1">
        <f t="array" aca="1" ref="O513" ca="1">IFERROR(_xlfn.LET(
    _xlpm.txt, $C513,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14" spans="1:15" ht="15" thickBot="1" x14ac:dyDescent="0.35">
      <c r="A514" s="331"/>
      <c r="B514" s="616" t="str">
        <f t="shared" si="589"/>
        <v/>
      </c>
      <c r="C514" s="617" t="str">
        <f t="shared" si="590"/>
        <v/>
      </c>
      <c r="D514" s="618" t="str">
        <f t="shared" si="591"/>
        <v/>
      </c>
      <c r="E514" s="616" t="str">
        <f t="shared" si="592"/>
        <v/>
      </c>
      <c r="F514" s="616" t="str">
        <f t="shared" si="593"/>
        <v/>
      </c>
      <c r="G514" s="619" t="str">
        <f>IF(Tree_Table1[[#This Row],[Tree Status  &amp;]]="Retain", Tables!$B$237, IF(Tree_Table1[[#This Row],[Tree Status  &amp;]]="Remove", Tables!$B$238, ""))</f>
        <v/>
      </c>
      <c r="H514" s="329"/>
      <c r="I514" s="330"/>
      <c r="J514" s="455"/>
      <c r="K514" s="327" t="str">
        <f>IFERROR(
    IF(
        AND($H514="Zoning: Tree Points", NOT(ISNUMBER(SEARCH("sp.", $C514)))),
        VLOOKUP($C514, 'Tree List'!$C$3:$F$601, 4, FALSE),
        ""
    ),
"")</f>
        <v/>
      </c>
      <c r="L514" s="328" t="str" cm="1">
        <f t="array" ref="L514">IFERROR(
IF(
    AND($H514="Zoning: Tree Points", NOT(ISNUMBER(SEARCH("sp.", $C514)))),
    _xlfn.IFS(
        (COUNTIFS('Tree List'!$C$3:$C$601,$C514,'Tree List'!$D$3:$D$601,"Coniferous")
        + COUNTIFS('Tree List'!$C$3:$C$601,$C514,'Tree List'!$D$3:$D$601,"Deciduous Conifer")) &gt; 0,
            _xlfn.IFS($K514="Small",0.5,$K514="Small/Medium",1,$K514="Medium/Large",1.4,$K514="Large",1.8),
        (COUNTIFS('Tree List'!$C$3:$C$601,$C514,'Tree List'!$D$3:$D$601,"Deciduous")
        + COUNTIFS('Tree List'!$C$3:$C$601,$C514,'Tree List'!$D$3:$D$601,"Broadleaf Evergreen")) &gt; 0,
            _xlfn.IFS($K514="Small",0.4,$K514="Small/Medium",0.8,$K514="Medium/Large",1.2,$K514="Large",1.6)
    ),
    ""
),
"")</f>
        <v/>
      </c>
      <c r="M514" s="476" t="str">
        <f t="shared" si="573"/>
        <v/>
      </c>
      <c r="N514" s="347" t="str" cm="1">
        <f t="array" aca="1" ref="N51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IF(AND(_xlpm.baseRow,ISNA(MATCH($C514,'Tree List'!$C$3:$C$601,0)),SUMPRODUCT(--ISNUMBER(SEARCH(Tables2!$C$677:$C$772,$O514)))&gt;0),
Error!$B$57,
IF(AND(_xlpm.hasDM,$F514="Remove",$H514&lt;&gt;"",OR($I514="On-site replacement",$I514="Off-site replacement",$I514="Payment In Lieu")),
Error!$B$56,
IF(AND(_xlpm.hasDM,$F514="Remove",$H514&lt;&gt;"",$I514="Relocation"),
Error!$B$66,
IF(AND(OR(_xlpm.hasCN,_xlpm.hasPH,_xlpm.hasGR),$H514&lt;&gt;"",COUNTIF(Tables!$B$132:$B$134,$H514)&gt;0,$I514="N/A (No replacement required)"),
Error!$B$62,
IF(AND(_xlpm.baseRow,$E514&lt;&gt;"",ISNA(MATCH($E514,Tables!$B$225:$B$232,0))),
Error!$B$2,
IF(AND(_xlpm.baseRow,$F514&lt;&gt;"",ISNA(MATCH($F514,Tables!$B$234:$B$235,0))),
Error!$B$24,
IF(AND(_xlpm.baseRow,_xlpm.ECA_H&gt;0,_xlpm.Shore_H&gt;0),
Error!$B$16,
IF(AND(_xlpm.baseRow,$E514&lt;&gt;"",$D514=""),
Error!$B$3,
IF(AND(_xlpm.baseRow,OR($E514="Tier 3",$E514="Tier 4"),$C514&lt;&gt;"",$D514&gt;=24,COUNTIF(Tables2!$B$166:$B$674,$C514)&gt;0),
Error!$B$44,
IF(AND(_xlpm.baseRow,OR($E514="Tier 3",$E514="Tier 4"),$C514&lt;&gt;"",$D514&lt;&gt;"",COUNTIF(Tables2!$B$73:$B$152,$C514)&gt;0,
$D514&gt;=IFERROR(INDEX(Tables2!$C$73:$C$152,MATCH($C514,Tables2!$B$73:$B$152,0)),-1)),
Error!$B$44,
IF(AND(_xlpm.baseRow,OR($E514="Tier 2",$E514="Tier 2 Grove"),$C514&lt;&gt;"",$D514&gt;=12,COUNTIF(Tables2!$B$153:$B$162,$C514)&gt;0),
Error!$B$45,
IF(AND(_xlpm.baseRow,$E514="Tier 2 Grove",$D514&lt;12),
Error!$B$41,
IF(AND(_xlpm.baseRow,$E514="Tier 2",$D514&lt;5.88),
Error!$B$40,
IF(AND(_xlpm.baseRow,OR($E514="Tier 2",$E514="Tier 2 Grove"),$C514&lt;&gt;"",$D514&lt;12,$D514&gt;=6,COUNTIF(Tables2!$B$153:$B$162,$C514)&gt;0),
Error!$B$54,
IF(AND(_xlpm.baseRow,$E514="Tier 2",COUNTIF(Tables2!$B$166:$B$674,$C514)&gt;0,$D514&lt;24),
Error!$B$54,
IF(AND(_xlpm.baseRow,$E514="Tier 3",ISNA(MATCH($C514,Tables2!$B$153:$B$162,0)),OR($D514&lt;12,$D514&gt;=24)),
Error!$B$9,
IF(AND(_xlpm.baseRow,$E514="Tier 3",COUNTIF(Tables2!$B$153:$B$162,$C514)&gt;0,$D514&lt;12),
Error!$B$46,
IF(AND(_xlpm.baseRow,$E514="Tier 4",OR($D514&lt;6,$D514&gt;=12)),
Error!$B$10,
IF(AND(_xlpm.baseRow,$E514="&lt;6in DSH for Tree Points",OR($D514&gt;=6,$D514="")),
Error!$B$8,
IF(AND(_xlpm.baseRow,$E514="Street Tree for Green Factor",$F514&lt;&gt;"",$F514&lt;&gt;"Retain"),
Error!$B$14,
IF(AND($E514="&lt;6in DSH for Tree Points",$F514="Retain",$H514&lt;&gt;"",ISNA(MATCH($H514,Tables!$B$174:$B$174,0))),
Error!$B$15,
IF(AND($E514="Street Tree for Green Factor",$F514="Retain",$H514&lt;&gt;"",$H514&lt;&gt;"Zoning: Green Factor"),
Error!$B$15,
IF(AND($E514="ECA / Shoreline Tree",$F514="Remove",$H514&lt;&gt;"",ISNA(MATCH($H514,Tables!$B$189:$B$190,0))),
Error!$B$15,
IF(AND($E514="ECA / Shoreline Tree",$F514="Retain",$H514&lt;&gt;"",ISNA(MATCH($H514,Tables!$B$184:$B$186,0))),
Error!$B$15,
IF(AND($E514="Tier 4",$F514="Remove",$H514&lt;&gt;"",ISNA(MATCH($H514,Tables!$B$171,0))),
Error!$B$15,
IF(AND($E514="Tier 4",$F514="Retain",$H514&lt;&gt;"",ISNA(MATCH($H514,Tables!$B$166:$B$168,0))),
Error!$B$15,
IF(AND($E514="Tier 3",$F514="Retain",$H514&lt;&gt;"",ISNA(MATCH($H514,Tables!$B$158:$B$160,0))),
Error!$B$15,
IF(AND($E514="Tier 3",$F514="Remove",$H514&lt;&gt;"",ISNA(MATCH($H514,Tables!$B$163,0))),
Error!$B$15,
IF(AND(OR($E514="Tier 2",$E514="Tier 2 Grove"),$F514="Remove",$H514&lt;&gt;"",ISNA(MATCH($H514,Tables!$B$153:$B$155,0))),
Error!$B$15,
IF(AND(OR($E514="Tier 2",$E514="Tier 2 Grove"),$F514="Retain",$H514&lt;&gt;"",ISNA(MATCH($H514,Tables!$B$147:$B$150,0))),
Error!$B$15,
IF(AND($E514="Tier 1",$F514="Remove",$H514&lt;&gt;"",ISNA(MATCH($H514,Tables!$B$143:$B$144,0))),
Error!$B$15,
IF(AND($E514="Tier 1",$F514="Retain",$H514&lt;&gt;"",ISNA(MATCH($H514,Tables!$B$137:$B$140,0))),
Error!$B$15,
IF(AND($E514&lt;&gt;"Tier 2",$E514&lt;&gt;"Tier 2 Grove",$E514&lt;&gt;"Tier 3",$E514&lt;&gt;"Tier 4",$H514="Zoning: Green Factor",OR($D514="",$D514&lt;6)),
Error!$B$11,
IF(AND(_xlpm.baseRow,$D514&lt;6,$E514="&lt;6in DSH for Tree Points",_xlpm.TreePoints_H=0),
Error!$B$21,
IF(AND(_xlpm.baseRow,$E514&lt;&gt;"",$D514&lt;&gt;"",$F514=""),
Error!$B$4,
IF(AND(_xlpm.baseRow,$F514="Remove",OR($E514="Tier 1",$E514="Tier 2",$E514="Tier 2 Grove"),COUNTBLANK(_xlpm.HRange)&lt;3,_xlpm.uniqueH&gt;=2),
Error!$B$48,
IF(AND(_xlpm.baseRow,$F514="Retain",OR($E514="Tier 1",$E514="Tier 2",$E514="Tier 2 Grove"),COUNTIF(_xlpm.HRange,"Tree Code: Required to Retain Tier 1-2 Tree")=0),
Error!$B$47,
IF(AND(_xlpm.baseRow,$E514&lt;&gt;"",$D514&lt;&gt;"",$F514&lt;&gt;"",COUNTBLANK(_xlpm.HRange)=4),
Error!$B$5,
IF(AND($F514="Remove",$H514&lt;&gt;"",$I514=""),
Error!$B$18,
IF(AND($E514="Tier 4",$F514="Remove",$H514="Tree Protection Code: Tier 3 or Tier 4 Allowance",$H514&lt;&gt;"",ISNA(MATCH($I514,Tables!$B$200,0))),
Error!$B$17,
IF(AND($E514="Tier 3",$F514="Remove",$H514&lt;&gt;"",$H514="Tree Protection Code: Tier 3 or Tier 4 Allowance",OR($I514="",ISNA(MATCH($I514,Tables!$B$193:$B$197,0)))),
Error!$B$17,
IF(AND(OR($E514="Tier 2",$E514="Tier 2 Grove"),$F514="Remove",$H514="Tree Protection Code: Other removal allowance or exemption",$I514&lt;&gt;"",ISNA(MATCH($I514,Tables!$B$215:$B$218,0))),
Error!$B$17,
IF(AND(OR($E514="Tier 2",$E514="Tier 2 Grove"),$F514="Remove",$H514="Tree Protection Code: Development Capacity",$I514&lt;&gt;"",ISNA(MATCH($I514,Tables!$B$193:$B$197,0))),
Error!$B$17,
IF(AND(OR($E514="Tier 2",$E514="Tier 2 Grove"),$F514="Remove",$H514="Tree Protection Code: Necessary for Construction",$I514&lt;&gt;"",ISNA(MATCH($I514,Tables!$B$193:$B$197,0))),
Error!$B$17,
IF(AND($E514="Tier 1",$F514="Remove",$H514="Tree Protection Code: Special Exception",$I514&lt;&gt;"",ISNA(MATCH($I514,Tables!$B$215:$B$218,0))),
Error!$B$17,
IF(AND($E514="Tier 1",$F514="Remove",$H514="Tree Protection Code: Other removal allowance or exemption",$I514&lt;&gt;"",ISNA(MATCH($I514,Tables!$B$215:$B$218,0))),
Error!$B$17,
IF(AND($E514="ECA / Shoreline Tree",$F514="Remove",$H514&lt;&gt;"",OR($H514="Shoreline",$H514="Environmental Critical Area (ECA)"),ISNA(MATCH($I514,Tables!$B$209:$B$212,0))),
Error!$B$17,
IF(AND(_xlpm.baseRow,$F514="Retain",$E514="ECA / Shoreline Tree",_xlpm.ECA_Short=0),
Error!$B$61,
IF(AND($F514="Remove",ISNUMBER(MATCH($E514,{"Tier 1","Tier 2","Tier 3","Tier 4","Tier 2 Grove"},0)),ISNUMBER(MATCH($I514,{"On-site replacement","Off-site replacement"},0)),$J514="",$H514&lt;&gt;""),
Error!$B$19,
IF(AND(_xlpm.baseRow,$E514&lt;&gt;"",$D514&lt;&gt;"",$F514&lt;&gt;"",COUNTBLANK($B514:$C514)&gt;0,COUNTBLANK(_xlpm.HRange)&lt;&gt;4),
Error!$B$22,
IF(AND($H514="Zoning: Tree Points",$K514&lt;&gt;"",ISNA(MATCH($K514,Tables!$B$242:$B$253,0))),
Error!$B$58,
IF(AND($H514="Zoning: Tree Points",$K514="Small",$L514&lt;&gt;"",ISNA(MATCH($L514,Tables!$C$243:$C$244,0))),
Error!$B$59,
IF(AND($H514="Zoning: Tree Points",$K514="Small/Medium",$L514&lt;&gt;"",ISNA(MATCH($L514,Tables!$C$246:$C$247,0))),
Error!$B$59,
IF(AND($H514="Zoning: Tree Points",$K514="Medium/Large",$L514&lt;&gt;"",ISNA(MATCH($L514,Tables!$C$249:$C$250,0))),
Error!$B$59,
IF(AND($H514="Zoning: Tree Points",$K514="Large",$L514&lt;&gt;"",ISNA(MATCH($L514,Tables!$C$252:$C$253,0))),
Error!$B$59,
IF(AND($F514="Retain",$H514="Zoning: Tree Points",$C514&lt;&gt;"",$D514&lt;&gt;"",OR($K514="",$L514="",$M514="")),
Error!$B$20,
""
)))))))))))))))))))))))))))))))))))))))))))))))))))))))),
Error!$B$23))</f>
        <v/>
      </c>
      <c r="O514" s="343" t="str" cm="1">
        <f t="array" aca="1" ref="O514" ca="1">IFERROR(_xlfn.LET(
    _xlpm.txt, $C514,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15" spans="1:15" ht="15" thickBot="1" x14ac:dyDescent="0.35">
      <c r="A515" s="311">
        <v>127</v>
      </c>
      <c r="B515" s="312"/>
      <c r="C515" s="313"/>
      <c r="D515" s="478"/>
      <c r="E515" s="314"/>
      <c r="F515" s="314"/>
      <c r="G515" s="315" t="str">
        <f>IF(Tree_Table1[[#This Row],[Tree Status  &amp;]]="Retain", Tables!$B$237, IF(Tree_Table1[[#This Row],[Tree Status  &amp;]]="Remove", Tables!$B$238, ""))</f>
        <v/>
      </c>
      <c r="H515" s="316"/>
      <c r="I515" s="317"/>
      <c r="J515" s="452"/>
      <c r="K515" s="318" t="str">
        <f>IFERROR(
    IF(
        AND($H515="Zoning: Tree Points", NOT(ISNUMBER(SEARCH("sp.", $C515)))),
        VLOOKUP($C515, 'Tree List'!$C$3:$F$601, 4, FALSE),
        ""
    ),
"")</f>
        <v/>
      </c>
      <c r="L515" s="319" t="str" cm="1">
        <f t="array" ref="L515">IFERROR(
IF(
    AND($H515="Zoning: Tree Points", NOT(ISNUMBER(SEARCH("sp.", $C515)))),
    _xlfn.IFS(
        (COUNTIFS('Tree List'!$C$3:$C$601,$C515,'Tree List'!$D$3:$D$601,"Coniferous")
        + COUNTIFS('Tree List'!$C$3:$C$601,$C515,'Tree List'!$D$3:$D$601,"Deciduous Conifer")) &gt; 0,
            _xlfn.IFS($K515="Small",0.5,$K515="Small/Medium",1,$K515="Medium/Large",1.4,$K515="Large",1.8),
        (COUNTIFS('Tree List'!$C$3:$C$601,$C515,'Tree List'!$D$3:$D$601,"Deciduous")
        + COUNTIFS('Tree List'!$C$3:$C$601,$C515,'Tree List'!$D$3:$D$601,"Broadleaf Evergreen")) &gt; 0,
            _xlfn.IFS($K515="Small",0.4,$K515="Small/Medium",0.8,$K515="Medium/Large",1.2,$K515="Large",1.6)
    ),
    ""
),
"")</f>
        <v/>
      </c>
      <c r="M515" s="474" t="str">
        <f t="shared" si="573"/>
        <v/>
      </c>
      <c r="N515" s="620" t="str" cm="1">
        <f t="array" aca="1" ref="N51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IF(AND(_xlpm.baseRow,ISNA(MATCH($C515,'Tree List'!$C$3:$C$601,0)),SUMPRODUCT(--ISNUMBER(SEARCH(Tables2!$C$677:$C$772,$O515)))&gt;0),
Error!$B$57,
IF(AND(_xlpm.hasDM,$F515="Remove",$H515&lt;&gt;"",OR($I515="On-site replacement",$I515="Off-site replacement",$I515="Payment In Lieu")),
Error!$B$56,
IF(AND(_xlpm.hasDM,$F515="Remove",$H515&lt;&gt;"",$I515="Relocation"),
Error!$B$66,
IF(AND(OR(_xlpm.hasCN,_xlpm.hasPH,_xlpm.hasGR),$H515&lt;&gt;"",COUNTIF(Tables!$B$132:$B$134,$H515)&gt;0,$I515="N/A (No replacement required)"),
Error!$B$62,
IF(AND(_xlpm.baseRow,$E515&lt;&gt;"",ISNA(MATCH($E515,Tables!$B$225:$B$232,0))),
Error!$B$2,
IF(AND(_xlpm.baseRow,$F515&lt;&gt;"",ISNA(MATCH($F515,Tables!$B$234:$B$235,0))),
Error!$B$24,
IF(AND(_xlpm.baseRow,_xlpm.ECA_H&gt;0,_xlpm.Shore_H&gt;0),
Error!$B$16,
IF(AND(_xlpm.baseRow,$E515&lt;&gt;"",$D515=""),
Error!$B$3,
IF(AND(_xlpm.baseRow,OR($E515="Tier 3",$E515="Tier 4"),$C515&lt;&gt;"",$D515&gt;=24,COUNTIF(Tables2!$B$166:$B$674,$C515)&gt;0),
Error!$B$44,
IF(AND(_xlpm.baseRow,OR($E515="Tier 3",$E515="Tier 4"),$C515&lt;&gt;"",$D515&lt;&gt;"",COUNTIF(Tables2!$B$73:$B$152,$C515)&gt;0,
$D515&gt;=IFERROR(INDEX(Tables2!$C$73:$C$152,MATCH($C515,Tables2!$B$73:$B$152,0)),-1)),
Error!$B$44,
IF(AND(_xlpm.baseRow,OR($E515="Tier 2",$E515="Tier 2 Grove"),$C515&lt;&gt;"",$D515&gt;=12,COUNTIF(Tables2!$B$153:$B$162,$C515)&gt;0),
Error!$B$45,
IF(AND(_xlpm.baseRow,$E515="Tier 2 Grove",$D515&lt;12),
Error!$B$41,
IF(AND(_xlpm.baseRow,$E515="Tier 2",$D515&lt;5.88),
Error!$B$40,
IF(AND(_xlpm.baseRow,OR($E515="Tier 2",$E515="Tier 2 Grove"),$C515&lt;&gt;"",$D515&lt;12,$D515&gt;=6,COUNTIF(Tables2!$B$153:$B$162,$C515)&gt;0),
Error!$B$54,
IF(AND(_xlpm.baseRow,$E515="Tier 2",COUNTIF(Tables2!$B$166:$B$674,$C515)&gt;0,$D515&lt;24),
Error!$B$54,
IF(AND(_xlpm.baseRow,$E515="Tier 3",ISNA(MATCH($C515,Tables2!$B$153:$B$162,0)),OR($D515&lt;12,$D515&gt;=24)),
Error!$B$9,
IF(AND(_xlpm.baseRow,$E515="Tier 3",COUNTIF(Tables2!$B$153:$B$162,$C515)&gt;0,$D515&lt;12),
Error!$B$46,
IF(AND(_xlpm.baseRow,$E515="Tier 4",OR($D515&lt;6,$D515&gt;=12)),
Error!$B$10,
IF(AND(_xlpm.baseRow,$E515="&lt;6in DSH for Tree Points",OR($D515&gt;=6,$D515="")),
Error!$B$8,
IF(AND(_xlpm.baseRow,$E515="Street Tree for Green Factor",$F515&lt;&gt;"",$F515&lt;&gt;"Retain"),
Error!$B$14,
IF(AND($E515="&lt;6in DSH for Tree Points",$F515="Retain",$H515&lt;&gt;"",ISNA(MATCH($H515,Tables!$B$174:$B$174,0))),
Error!$B$15,
IF(AND($E515="Street Tree for Green Factor",$F515="Retain",$H515&lt;&gt;"",$H515&lt;&gt;"Zoning: Green Factor"),
Error!$B$15,
IF(AND($E515="ECA / Shoreline Tree",$F515="Remove",$H515&lt;&gt;"",ISNA(MATCH($H515,Tables!$B$189:$B$190,0))),
Error!$B$15,
IF(AND($E515="ECA / Shoreline Tree",$F515="Retain",$H515&lt;&gt;"",ISNA(MATCH($H515,Tables!$B$184:$B$186,0))),
Error!$B$15,
IF(AND($E515="Tier 4",$F515="Remove",$H515&lt;&gt;"",ISNA(MATCH($H515,Tables!$B$171,0))),
Error!$B$15,
IF(AND($E515="Tier 4",$F515="Retain",$H515&lt;&gt;"",ISNA(MATCH($H515,Tables!$B$166:$B$168,0))),
Error!$B$15,
IF(AND($E515="Tier 3",$F515="Retain",$H515&lt;&gt;"",ISNA(MATCH($H515,Tables!$B$158:$B$160,0))),
Error!$B$15,
IF(AND($E515="Tier 3",$F515="Remove",$H515&lt;&gt;"",ISNA(MATCH($H515,Tables!$B$163,0))),
Error!$B$15,
IF(AND(OR($E515="Tier 2",$E515="Tier 2 Grove"),$F515="Remove",$H515&lt;&gt;"",ISNA(MATCH($H515,Tables!$B$153:$B$155,0))),
Error!$B$15,
IF(AND(OR($E515="Tier 2",$E515="Tier 2 Grove"),$F515="Retain",$H515&lt;&gt;"",ISNA(MATCH($H515,Tables!$B$147:$B$150,0))),
Error!$B$15,
IF(AND($E515="Tier 1",$F515="Remove",$H515&lt;&gt;"",ISNA(MATCH($H515,Tables!$B$143:$B$144,0))),
Error!$B$15,
IF(AND($E515="Tier 1",$F515="Retain",$H515&lt;&gt;"",ISNA(MATCH($H515,Tables!$B$137:$B$140,0))),
Error!$B$15,
IF(AND($E515&lt;&gt;"Tier 2",$E515&lt;&gt;"Tier 2 Grove",$E515&lt;&gt;"Tier 3",$E515&lt;&gt;"Tier 4",$H515="Zoning: Green Factor",OR($D515="",$D515&lt;6)),
Error!$B$11,
IF(AND(_xlpm.baseRow,$D515&lt;6,$E515="&lt;6in DSH for Tree Points",_xlpm.TreePoints_H=0),
Error!$B$21,
IF(AND(_xlpm.baseRow,$E515&lt;&gt;"",$D515&lt;&gt;"",$F515=""),
Error!$B$4,
IF(AND(_xlpm.baseRow,$F515="Remove",OR($E515="Tier 1",$E515="Tier 2",$E515="Tier 2 Grove"),COUNTBLANK(_xlpm.HRange)&lt;3,_xlpm.uniqueH&gt;=2),
Error!$B$48,
IF(AND(_xlpm.baseRow,$F515="Retain",OR($E515="Tier 1",$E515="Tier 2",$E515="Tier 2 Grove"),COUNTIF(_xlpm.HRange,"Tree Code: Required to Retain Tier 1-2 Tree")=0),
Error!$B$47,
IF(AND(_xlpm.baseRow,$E515&lt;&gt;"",$D515&lt;&gt;"",$F515&lt;&gt;"",COUNTBLANK(_xlpm.HRange)=4),
Error!$B$5,
IF(AND($F515="Remove",$H515&lt;&gt;"",$I515=""),
Error!$B$18,
IF(AND($E515="Tier 4",$F515="Remove",$H515="Tree Protection Code: Tier 3 or Tier 4 Allowance",$H515&lt;&gt;"",ISNA(MATCH($I515,Tables!$B$200,0))),
Error!$B$17,
IF(AND($E515="Tier 3",$F515="Remove",$H515&lt;&gt;"",$H515="Tree Protection Code: Tier 3 or Tier 4 Allowance",OR($I515="",ISNA(MATCH($I515,Tables!$B$193:$B$197,0)))),
Error!$B$17,
IF(AND(OR($E515="Tier 2",$E515="Tier 2 Grove"),$F515="Remove",$H515="Tree Protection Code: Other removal allowance or exemption",$I515&lt;&gt;"",ISNA(MATCH($I515,Tables!$B$215:$B$218,0))),
Error!$B$17,
IF(AND(OR($E515="Tier 2",$E515="Tier 2 Grove"),$F515="Remove",$H515="Tree Protection Code: Development Capacity",$I515&lt;&gt;"",ISNA(MATCH($I515,Tables!$B$193:$B$197,0))),
Error!$B$17,
IF(AND(OR($E515="Tier 2",$E515="Tier 2 Grove"),$F515="Remove",$H515="Tree Protection Code: Necessary for Construction",$I515&lt;&gt;"",ISNA(MATCH($I515,Tables!$B$193:$B$197,0))),
Error!$B$17,
IF(AND($E515="Tier 1",$F515="Remove",$H515="Tree Protection Code: Special Exception",$I515&lt;&gt;"",ISNA(MATCH($I515,Tables!$B$215:$B$218,0))),
Error!$B$17,
IF(AND($E515="Tier 1",$F515="Remove",$H515="Tree Protection Code: Other removal allowance or exemption",$I515&lt;&gt;"",ISNA(MATCH($I515,Tables!$B$215:$B$218,0))),
Error!$B$17,
IF(AND($E515="ECA / Shoreline Tree",$F515="Remove",$H515&lt;&gt;"",OR($H515="Shoreline",$H515="Environmental Critical Area (ECA)"),ISNA(MATCH($I515,Tables!$B$209:$B$212,0))),
Error!$B$17,
IF(AND(_xlpm.baseRow,$F515="Retain",$E515="ECA / Shoreline Tree",_xlpm.ECA_Short=0),
Error!$B$61,
IF(AND($F515="Remove",ISNUMBER(MATCH($E515,{"Tier 1","Tier 2","Tier 3","Tier 4","Tier 2 Grove"},0)),ISNUMBER(MATCH($I515,{"On-site replacement","Off-site replacement"},0)),$J515="",$H515&lt;&gt;""),
Error!$B$19,
IF(AND(_xlpm.baseRow,$E515&lt;&gt;"",$D515&lt;&gt;"",$F515&lt;&gt;"",COUNTBLANK($B515:$C515)&gt;0,COUNTBLANK(_xlpm.HRange)&lt;&gt;4),
Error!$B$22,
IF(AND($H515="Zoning: Tree Points",$K515&lt;&gt;"",ISNA(MATCH($K515,Tables!$B$242:$B$253,0))),
Error!$B$58,
IF(AND($H515="Zoning: Tree Points",$K515="Small",$L515&lt;&gt;"",ISNA(MATCH($L515,Tables!$C$243:$C$244,0))),
Error!$B$59,
IF(AND($H515="Zoning: Tree Points",$K515="Small/Medium",$L515&lt;&gt;"",ISNA(MATCH($L515,Tables!$C$246:$C$247,0))),
Error!$B$59,
IF(AND($H515="Zoning: Tree Points",$K515="Medium/Large",$L515&lt;&gt;"",ISNA(MATCH($L515,Tables!$C$249:$C$250,0))),
Error!$B$59,
IF(AND($H515="Zoning: Tree Points",$K515="Large",$L515&lt;&gt;"",ISNA(MATCH($L515,Tables!$C$252:$C$253,0))),
Error!$B$59,
IF(AND($F515="Retain",$H515="Zoning: Tree Points",$C515&lt;&gt;"",$D515&lt;&gt;"",OR($K515="",$L515="",$M515="")),
Error!$B$20,
""
)))))))))))))))))))))))))))))))))))))))))))))))))))))))),
Error!$B$23))</f>
        <v/>
      </c>
      <c r="O515" s="343" t="str" cm="1">
        <f t="array" aca="1" ref="O515" ca="1">IFERROR(_xlfn.LET(
    _xlpm.txt, $C515,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16" spans="1:15" x14ac:dyDescent="0.3">
      <c r="A516" s="320"/>
      <c r="B516" s="616" t="str">
        <f t="shared" ref="B516:B518" si="594">IF($B515="", "", $B515)</f>
        <v/>
      </c>
      <c r="C516" s="617" t="str">
        <f t="shared" ref="C516:C518" si="595">IF($C515="", "", $C515)</f>
        <v/>
      </c>
      <c r="D516" s="618" t="str">
        <f t="shared" ref="D516:D518" si="596">IF($D515="", "", $D515)</f>
        <v/>
      </c>
      <c r="E516" s="616" t="str">
        <f t="shared" ref="E516:E518" si="597">IF($E515="", "", $E515)</f>
        <v/>
      </c>
      <c r="F516" s="616" t="str">
        <f t="shared" ref="F516:F518" si="598">IF($F515="", "", $F515)</f>
        <v/>
      </c>
      <c r="G516" s="619" t="str">
        <f>IF(Tree_Table1[[#This Row],[Tree Status  &amp;]]="Retain", Tables!$B$237, IF(Tree_Table1[[#This Row],[Tree Status  &amp;]]="Remove", Tables!$B$238, ""))</f>
        <v/>
      </c>
      <c r="H516" s="321"/>
      <c r="I516" s="322"/>
      <c r="J516" s="453"/>
      <c r="K516" s="323" t="str">
        <f>IFERROR(
    IF(
        AND($H516="Zoning: Tree Points", NOT(ISNUMBER(SEARCH("sp.", $C516)))),
        VLOOKUP($C516, 'Tree List'!$C$3:$F$601, 4, FALSE),
        ""
    ),
"")</f>
        <v/>
      </c>
      <c r="L516" s="324" t="str" cm="1">
        <f t="array" ref="L516">IFERROR(
IF(
    AND($H516="Zoning: Tree Points", NOT(ISNUMBER(SEARCH("sp.", $C516)))),
    _xlfn.IFS(
        (COUNTIFS('Tree List'!$C$3:$C$601,$C516,'Tree List'!$D$3:$D$601,"Coniferous")
        + COUNTIFS('Tree List'!$C$3:$C$601,$C516,'Tree List'!$D$3:$D$601,"Deciduous Conifer")) &gt; 0,
            _xlfn.IFS($K516="Small",0.5,$K516="Small/Medium",1,$K516="Medium/Large",1.4,$K516="Large",1.8),
        (COUNTIFS('Tree List'!$C$3:$C$601,$C516,'Tree List'!$D$3:$D$601,"Deciduous")
        + COUNTIFS('Tree List'!$C$3:$C$601,$C516,'Tree List'!$D$3:$D$601,"Broadleaf Evergreen")) &gt; 0,
            _xlfn.IFS($K516="Small",0.4,$K516="Small/Medium",0.8,$K516="Medium/Large",1.2,$K516="Large",1.6)
    ),
    ""
),
"")</f>
        <v/>
      </c>
      <c r="M516" s="475" t="str">
        <f t="shared" si="573"/>
        <v/>
      </c>
      <c r="N516" s="346" t="str" cm="1">
        <f t="array" aca="1" ref="N51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IF(AND(_xlpm.baseRow,ISNA(MATCH($C516,'Tree List'!$C$3:$C$601,0)),SUMPRODUCT(--ISNUMBER(SEARCH(Tables2!$C$677:$C$772,$O516)))&gt;0),
Error!$B$57,
IF(AND(_xlpm.hasDM,$F516="Remove",$H516&lt;&gt;"",OR($I516="On-site replacement",$I516="Off-site replacement",$I516="Payment In Lieu")),
Error!$B$56,
IF(AND(_xlpm.hasDM,$F516="Remove",$H516&lt;&gt;"",$I516="Relocation"),
Error!$B$66,
IF(AND(OR(_xlpm.hasCN,_xlpm.hasPH,_xlpm.hasGR),$H516&lt;&gt;"",COUNTIF(Tables!$B$132:$B$134,$H516)&gt;0,$I516="N/A (No replacement required)"),
Error!$B$62,
IF(AND(_xlpm.baseRow,$E516&lt;&gt;"",ISNA(MATCH($E516,Tables!$B$225:$B$232,0))),
Error!$B$2,
IF(AND(_xlpm.baseRow,$F516&lt;&gt;"",ISNA(MATCH($F516,Tables!$B$234:$B$235,0))),
Error!$B$24,
IF(AND(_xlpm.baseRow,_xlpm.ECA_H&gt;0,_xlpm.Shore_H&gt;0),
Error!$B$16,
IF(AND(_xlpm.baseRow,$E516&lt;&gt;"",$D516=""),
Error!$B$3,
IF(AND(_xlpm.baseRow,OR($E516="Tier 3",$E516="Tier 4"),$C516&lt;&gt;"",$D516&gt;=24,COUNTIF(Tables2!$B$166:$B$674,$C516)&gt;0),
Error!$B$44,
IF(AND(_xlpm.baseRow,OR($E516="Tier 3",$E516="Tier 4"),$C516&lt;&gt;"",$D516&lt;&gt;"",COUNTIF(Tables2!$B$73:$B$152,$C516)&gt;0,
$D516&gt;=IFERROR(INDEX(Tables2!$C$73:$C$152,MATCH($C516,Tables2!$B$73:$B$152,0)),-1)),
Error!$B$44,
IF(AND(_xlpm.baseRow,OR($E516="Tier 2",$E516="Tier 2 Grove"),$C516&lt;&gt;"",$D516&gt;=12,COUNTIF(Tables2!$B$153:$B$162,$C516)&gt;0),
Error!$B$45,
IF(AND(_xlpm.baseRow,$E516="Tier 2 Grove",$D516&lt;12),
Error!$B$41,
IF(AND(_xlpm.baseRow,$E516="Tier 2",$D516&lt;5.88),
Error!$B$40,
IF(AND(_xlpm.baseRow,OR($E516="Tier 2",$E516="Tier 2 Grove"),$C516&lt;&gt;"",$D516&lt;12,$D516&gt;=6,COUNTIF(Tables2!$B$153:$B$162,$C516)&gt;0),
Error!$B$54,
IF(AND(_xlpm.baseRow,$E516="Tier 2",COUNTIF(Tables2!$B$166:$B$674,$C516)&gt;0,$D516&lt;24),
Error!$B$54,
IF(AND(_xlpm.baseRow,$E516="Tier 3",ISNA(MATCH($C516,Tables2!$B$153:$B$162,0)),OR($D516&lt;12,$D516&gt;=24)),
Error!$B$9,
IF(AND(_xlpm.baseRow,$E516="Tier 3",COUNTIF(Tables2!$B$153:$B$162,$C516)&gt;0,$D516&lt;12),
Error!$B$46,
IF(AND(_xlpm.baseRow,$E516="Tier 4",OR($D516&lt;6,$D516&gt;=12)),
Error!$B$10,
IF(AND(_xlpm.baseRow,$E516="&lt;6in DSH for Tree Points",OR($D516&gt;=6,$D516="")),
Error!$B$8,
IF(AND(_xlpm.baseRow,$E516="Street Tree for Green Factor",$F516&lt;&gt;"",$F516&lt;&gt;"Retain"),
Error!$B$14,
IF(AND($E516="&lt;6in DSH for Tree Points",$F516="Retain",$H516&lt;&gt;"",ISNA(MATCH($H516,Tables!$B$174:$B$174,0))),
Error!$B$15,
IF(AND($E516="Street Tree for Green Factor",$F516="Retain",$H516&lt;&gt;"",$H516&lt;&gt;"Zoning: Green Factor"),
Error!$B$15,
IF(AND($E516="ECA / Shoreline Tree",$F516="Remove",$H516&lt;&gt;"",ISNA(MATCH($H516,Tables!$B$189:$B$190,0))),
Error!$B$15,
IF(AND($E516="ECA / Shoreline Tree",$F516="Retain",$H516&lt;&gt;"",ISNA(MATCH($H516,Tables!$B$184:$B$186,0))),
Error!$B$15,
IF(AND($E516="Tier 4",$F516="Remove",$H516&lt;&gt;"",ISNA(MATCH($H516,Tables!$B$171,0))),
Error!$B$15,
IF(AND($E516="Tier 4",$F516="Retain",$H516&lt;&gt;"",ISNA(MATCH($H516,Tables!$B$166:$B$168,0))),
Error!$B$15,
IF(AND($E516="Tier 3",$F516="Retain",$H516&lt;&gt;"",ISNA(MATCH($H516,Tables!$B$158:$B$160,0))),
Error!$B$15,
IF(AND($E516="Tier 3",$F516="Remove",$H516&lt;&gt;"",ISNA(MATCH($H516,Tables!$B$163,0))),
Error!$B$15,
IF(AND(OR($E516="Tier 2",$E516="Tier 2 Grove"),$F516="Remove",$H516&lt;&gt;"",ISNA(MATCH($H516,Tables!$B$153:$B$155,0))),
Error!$B$15,
IF(AND(OR($E516="Tier 2",$E516="Tier 2 Grove"),$F516="Retain",$H516&lt;&gt;"",ISNA(MATCH($H516,Tables!$B$147:$B$150,0))),
Error!$B$15,
IF(AND($E516="Tier 1",$F516="Remove",$H516&lt;&gt;"",ISNA(MATCH($H516,Tables!$B$143:$B$144,0))),
Error!$B$15,
IF(AND($E516="Tier 1",$F516="Retain",$H516&lt;&gt;"",ISNA(MATCH($H516,Tables!$B$137:$B$140,0))),
Error!$B$15,
IF(AND($E516&lt;&gt;"Tier 2",$E516&lt;&gt;"Tier 2 Grove",$E516&lt;&gt;"Tier 3",$E516&lt;&gt;"Tier 4",$H516="Zoning: Green Factor",OR($D516="",$D516&lt;6)),
Error!$B$11,
IF(AND(_xlpm.baseRow,$D516&lt;6,$E516="&lt;6in DSH for Tree Points",_xlpm.TreePoints_H=0),
Error!$B$21,
IF(AND(_xlpm.baseRow,$E516&lt;&gt;"",$D516&lt;&gt;"",$F516=""),
Error!$B$4,
IF(AND(_xlpm.baseRow,$F516="Remove",OR($E516="Tier 1",$E516="Tier 2",$E516="Tier 2 Grove"),COUNTBLANK(_xlpm.HRange)&lt;3,_xlpm.uniqueH&gt;=2),
Error!$B$48,
IF(AND(_xlpm.baseRow,$F516="Retain",OR($E516="Tier 1",$E516="Tier 2",$E516="Tier 2 Grove"),COUNTIF(_xlpm.HRange,"Tree Code: Required to Retain Tier 1-2 Tree")=0),
Error!$B$47,
IF(AND(_xlpm.baseRow,$E516&lt;&gt;"",$D516&lt;&gt;"",$F516&lt;&gt;"",COUNTBLANK(_xlpm.HRange)=4),
Error!$B$5,
IF(AND($F516="Remove",$H516&lt;&gt;"",$I516=""),
Error!$B$18,
IF(AND($E516="Tier 4",$F516="Remove",$H516="Tree Protection Code: Tier 3 or Tier 4 Allowance",$H516&lt;&gt;"",ISNA(MATCH($I516,Tables!$B$200,0))),
Error!$B$17,
IF(AND($E516="Tier 3",$F516="Remove",$H516&lt;&gt;"",$H516="Tree Protection Code: Tier 3 or Tier 4 Allowance",OR($I516="",ISNA(MATCH($I516,Tables!$B$193:$B$197,0)))),
Error!$B$17,
IF(AND(OR($E516="Tier 2",$E516="Tier 2 Grove"),$F516="Remove",$H516="Tree Protection Code: Other removal allowance or exemption",$I516&lt;&gt;"",ISNA(MATCH($I516,Tables!$B$215:$B$218,0))),
Error!$B$17,
IF(AND(OR($E516="Tier 2",$E516="Tier 2 Grove"),$F516="Remove",$H516="Tree Protection Code: Development Capacity",$I516&lt;&gt;"",ISNA(MATCH($I516,Tables!$B$193:$B$197,0))),
Error!$B$17,
IF(AND(OR($E516="Tier 2",$E516="Tier 2 Grove"),$F516="Remove",$H516="Tree Protection Code: Necessary for Construction",$I516&lt;&gt;"",ISNA(MATCH($I516,Tables!$B$193:$B$197,0))),
Error!$B$17,
IF(AND($E516="Tier 1",$F516="Remove",$H516="Tree Protection Code: Special Exception",$I516&lt;&gt;"",ISNA(MATCH($I516,Tables!$B$215:$B$218,0))),
Error!$B$17,
IF(AND($E516="Tier 1",$F516="Remove",$H516="Tree Protection Code: Other removal allowance or exemption",$I516&lt;&gt;"",ISNA(MATCH($I516,Tables!$B$215:$B$218,0))),
Error!$B$17,
IF(AND($E516="ECA / Shoreline Tree",$F516="Remove",$H516&lt;&gt;"",OR($H516="Shoreline",$H516="Environmental Critical Area (ECA)"),ISNA(MATCH($I516,Tables!$B$209:$B$212,0))),
Error!$B$17,
IF(AND(_xlpm.baseRow,$F516="Retain",$E516="ECA / Shoreline Tree",_xlpm.ECA_Short=0),
Error!$B$61,
IF(AND($F516="Remove",ISNUMBER(MATCH($E516,{"Tier 1","Tier 2","Tier 3","Tier 4","Tier 2 Grove"},0)),ISNUMBER(MATCH($I516,{"On-site replacement","Off-site replacement"},0)),$J516="",$H516&lt;&gt;""),
Error!$B$19,
IF(AND(_xlpm.baseRow,$E516&lt;&gt;"",$D516&lt;&gt;"",$F516&lt;&gt;"",COUNTBLANK($B516:$C516)&gt;0,COUNTBLANK(_xlpm.HRange)&lt;&gt;4),
Error!$B$22,
IF(AND($H516="Zoning: Tree Points",$K516&lt;&gt;"",ISNA(MATCH($K516,Tables!$B$242:$B$253,0))),
Error!$B$58,
IF(AND($H516="Zoning: Tree Points",$K516="Small",$L516&lt;&gt;"",ISNA(MATCH($L516,Tables!$C$243:$C$244,0))),
Error!$B$59,
IF(AND($H516="Zoning: Tree Points",$K516="Small/Medium",$L516&lt;&gt;"",ISNA(MATCH($L516,Tables!$C$246:$C$247,0))),
Error!$B$59,
IF(AND($H516="Zoning: Tree Points",$K516="Medium/Large",$L516&lt;&gt;"",ISNA(MATCH($L516,Tables!$C$249:$C$250,0))),
Error!$B$59,
IF(AND($H516="Zoning: Tree Points",$K516="Large",$L516&lt;&gt;"",ISNA(MATCH($L516,Tables!$C$252:$C$253,0))),
Error!$B$59,
IF(AND($F516="Retain",$H516="Zoning: Tree Points",$C516&lt;&gt;"",$D516&lt;&gt;"",OR($K516="",$L516="",$M516="")),
Error!$B$20,
""
)))))))))))))))))))))))))))))))))))))))))))))))))))))))),
Error!$B$23))</f>
        <v/>
      </c>
      <c r="O516" s="343" t="str" cm="1">
        <f t="array" aca="1" ref="O516" ca="1">IFERROR(_xlfn.LET(
    _xlpm.txt, $C516,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17" spans="1:15" x14ac:dyDescent="0.3">
      <c r="A517" s="320"/>
      <c r="B517" s="616" t="str">
        <f t="shared" si="594"/>
        <v/>
      </c>
      <c r="C517" s="617" t="str">
        <f t="shared" si="595"/>
        <v/>
      </c>
      <c r="D517" s="618" t="str">
        <f t="shared" si="596"/>
        <v/>
      </c>
      <c r="E517" s="616" t="str">
        <f t="shared" si="597"/>
        <v/>
      </c>
      <c r="F517" s="616" t="str">
        <f t="shared" si="598"/>
        <v/>
      </c>
      <c r="G517" s="619" t="str">
        <f>IF(Tree_Table1[[#This Row],[Tree Status  &amp;]]="Retain", Tables!$B$237, IF(Tree_Table1[[#This Row],[Tree Status  &amp;]]="Remove", Tables!$B$238, ""))</f>
        <v/>
      </c>
      <c r="H517" s="321"/>
      <c r="I517" s="322"/>
      <c r="J517" s="453"/>
      <c r="K517" s="323" t="str">
        <f>IFERROR(
    IF(
        AND($H517="Zoning: Tree Points", NOT(ISNUMBER(SEARCH("sp.", $C517)))),
        VLOOKUP($C517, 'Tree List'!$C$3:$F$601, 4, FALSE),
        ""
    ),
"")</f>
        <v/>
      </c>
      <c r="L517" s="324" t="str" cm="1">
        <f t="array" ref="L517">IFERROR(
IF(
    AND($H517="Zoning: Tree Points", NOT(ISNUMBER(SEARCH("sp.", $C517)))),
    _xlfn.IFS(
        (COUNTIFS('Tree List'!$C$3:$C$601,$C517,'Tree List'!$D$3:$D$601,"Coniferous")
        + COUNTIFS('Tree List'!$C$3:$C$601,$C517,'Tree List'!$D$3:$D$601,"Deciduous Conifer")) &gt; 0,
            _xlfn.IFS($K517="Small",0.5,$K517="Small/Medium",1,$K517="Medium/Large",1.4,$K517="Large",1.8),
        (COUNTIFS('Tree List'!$C$3:$C$601,$C517,'Tree List'!$D$3:$D$601,"Deciduous")
        + COUNTIFS('Tree List'!$C$3:$C$601,$C517,'Tree List'!$D$3:$D$601,"Broadleaf Evergreen")) &gt; 0,
            _xlfn.IFS($K517="Small",0.4,$K517="Small/Medium",0.8,$K517="Medium/Large",1.2,$K517="Large",1.6)
    ),
    ""
),
"")</f>
        <v/>
      </c>
      <c r="M517" s="475" t="str">
        <f t="shared" si="573"/>
        <v/>
      </c>
      <c r="N517" s="346" t="str" cm="1">
        <f t="array" aca="1" ref="N51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IF(AND(_xlpm.baseRow,ISNA(MATCH($C517,'Tree List'!$C$3:$C$601,0)),SUMPRODUCT(--ISNUMBER(SEARCH(Tables2!$C$677:$C$772,$O517)))&gt;0),
Error!$B$57,
IF(AND(_xlpm.hasDM,$F517="Remove",$H517&lt;&gt;"",OR($I517="On-site replacement",$I517="Off-site replacement",$I517="Payment In Lieu")),
Error!$B$56,
IF(AND(_xlpm.hasDM,$F517="Remove",$H517&lt;&gt;"",$I517="Relocation"),
Error!$B$66,
IF(AND(OR(_xlpm.hasCN,_xlpm.hasPH,_xlpm.hasGR),$H517&lt;&gt;"",COUNTIF(Tables!$B$132:$B$134,$H517)&gt;0,$I517="N/A (No replacement required)"),
Error!$B$62,
IF(AND(_xlpm.baseRow,$E517&lt;&gt;"",ISNA(MATCH($E517,Tables!$B$225:$B$232,0))),
Error!$B$2,
IF(AND(_xlpm.baseRow,$F517&lt;&gt;"",ISNA(MATCH($F517,Tables!$B$234:$B$235,0))),
Error!$B$24,
IF(AND(_xlpm.baseRow,_xlpm.ECA_H&gt;0,_xlpm.Shore_H&gt;0),
Error!$B$16,
IF(AND(_xlpm.baseRow,$E517&lt;&gt;"",$D517=""),
Error!$B$3,
IF(AND(_xlpm.baseRow,OR($E517="Tier 3",$E517="Tier 4"),$C517&lt;&gt;"",$D517&gt;=24,COUNTIF(Tables2!$B$166:$B$674,$C517)&gt;0),
Error!$B$44,
IF(AND(_xlpm.baseRow,OR($E517="Tier 3",$E517="Tier 4"),$C517&lt;&gt;"",$D517&lt;&gt;"",COUNTIF(Tables2!$B$73:$B$152,$C517)&gt;0,
$D517&gt;=IFERROR(INDEX(Tables2!$C$73:$C$152,MATCH($C517,Tables2!$B$73:$B$152,0)),-1)),
Error!$B$44,
IF(AND(_xlpm.baseRow,OR($E517="Tier 2",$E517="Tier 2 Grove"),$C517&lt;&gt;"",$D517&gt;=12,COUNTIF(Tables2!$B$153:$B$162,$C517)&gt;0),
Error!$B$45,
IF(AND(_xlpm.baseRow,$E517="Tier 2 Grove",$D517&lt;12),
Error!$B$41,
IF(AND(_xlpm.baseRow,$E517="Tier 2",$D517&lt;5.88),
Error!$B$40,
IF(AND(_xlpm.baseRow,OR($E517="Tier 2",$E517="Tier 2 Grove"),$C517&lt;&gt;"",$D517&lt;12,$D517&gt;=6,COUNTIF(Tables2!$B$153:$B$162,$C517)&gt;0),
Error!$B$54,
IF(AND(_xlpm.baseRow,$E517="Tier 2",COUNTIF(Tables2!$B$166:$B$674,$C517)&gt;0,$D517&lt;24),
Error!$B$54,
IF(AND(_xlpm.baseRow,$E517="Tier 3",ISNA(MATCH($C517,Tables2!$B$153:$B$162,0)),OR($D517&lt;12,$D517&gt;=24)),
Error!$B$9,
IF(AND(_xlpm.baseRow,$E517="Tier 3",COUNTIF(Tables2!$B$153:$B$162,$C517)&gt;0,$D517&lt;12),
Error!$B$46,
IF(AND(_xlpm.baseRow,$E517="Tier 4",OR($D517&lt;6,$D517&gt;=12)),
Error!$B$10,
IF(AND(_xlpm.baseRow,$E517="&lt;6in DSH for Tree Points",OR($D517&gt;=6,$D517="")),
Error!$B$8,
IF(AND(_xlpm.baseRow,$E517="Street Tree for Green Factor",$F517&lt;&gt;"",$F517&lt;&gt;"Retain"),
Error!$B$14,
IF(AND($E517="&lt;6in DSH for Tree Points",$F517="Retain",$H517&lt;&gt;"",ISNA(MATCH($H517,Tables!$B$174:$B$174,0))),
Error!$B$15,
IF(AND($E517="Street Tree for Green Factor",$F517="Retain",$H517&lt;&gt;"",$H517&lt;&gt;"Zoning: Green Factor"),
Error!$B$15,
IF(AND($E517="ECA / Shoreline Tree",$F517="Remove",$H517&lt;&gt;"",ISNA(MATCH($H517,Tables!$B$189:$B$190,0))),
Error!$B$15,
IF(AND($E517="ECA / Shoreline Tree",$F517="Retain",$H517&lt;&gt;"",ISNA(MATCH($H517,Tables!$B$184:$B$186,0))),
Error!$B$15,
IF(AND($E517="Tier 4",$F517="Remove",$H517&lt;&gt;"",ISNA(MATCH($H517,Tables!$B$171,0))),
Error!$B$15,
IF(AND($E517="Tier 4",$F517="Retain",$H517&lt;&gt;"",ISNA(MATCH($H517,Tables!$B$166:$B$168,0))),
Error!$B$15,
IF(AND($E517="Tier 3",$F517="Retain",$H517&lt;&gt;"",ISNA(MATCH($H517,Tables!$B$158:$B$160,0))),
Error!$B$15,
IF(AND($E517="Tier 3",$F517="Remove",$H517&lt;&gt;"",ISNA(MATCH($H517,Tables!$B$163,0))),
Error!$B$15,
IF(AND(OR($E517="Tier 2",$E517="Tier 2 Grove"),$F517="Remove",$H517&lt;&gt;"",ISNA(MATCH($H517,Tables!$B$153:$B$155,0))),
Error!$B$15,
IF(AND(OR($E517="Tier 2",$E517="Tier 2 Grove"),$F517="Retain",$H517&lt;&gt;"",ISNA(MATCH($H517,Tables!$B$147:$B$150,0))),
Error!$B$15,
IF(AND($E517="Tier 1",$F517="Remove",$H517&lt;&gt;"",ISNA(MATCH($H517,Tables!$B$143:$B$144,0))),
Error!$B$15,
IF(AND($E517="Tier 1",$F517="Retain",$H517&lt;&gt;"",ISNA(MATCH($H517,Tables!$B$137:$B$140,0))),
Error!$B$15,
IF(AND($E517&lt;&gt;"Tier 2",$E517&lt;&gt;"Tier 2 Grove",$E517&lt;&gt;"Tier 3",$E517&lt;&gt;"Tier 4",$H517="Zoning: Green Factor",OR($D517="",$D517&lt;6)),
Error!$B$11,
IF(AND(_xlpm.baseRow,$D517&lt;6,$E517="&lt;6in DSH for Tree Points",_xlpm.TreePoints_H=0),
Error!$B$21,
IF(AND(_xlpm.baseRow,$E517&lt;&gt;"",$D517&lt;&gt;"",$F517=""),
Error!$B$4,
IF(AND(_xlpm.baseRow,$F517="Remove",OR($E517="Tier 1",$E517="Tier 2",$E517="Tier 2 Grove"),COUNTBLANK(_xlpm.HRange)&lt;3,_xlpm.uniqueH&gt;=2),
Error!$B$48,
IF(AND(_xlpm.baseRow,$F517="Retain",OR($E517="Tier 1",$E517="Tier 2",$E517="Tier 2 Grove"),COUNTIF(_xlpm.HRange,"Tree Code: Required to Retain Tier 1-2 Tree")=0),
Error!$B$47,
IF(AND(_xlpm.baseRow,$E517&lt;&gt;"",$D517&lt;&gt;"",$F517&lt;&gt;"",COUNTBLANK(_xlpm.HRange)=4),
Error!$B$5,
IF(AND($F517="Remove",$H517&lt;&gt;"",$I517=""),
Error!$B$18,
IF(AND($E517="Tier 4",$F517="Remove",$H517="Tree Protection Code: Tier 3 or Tier 4 Allowance",$H517&lt;&gt;"",ISNA(MATCH($I517,Tables!$B$200,0))),
Error!$B$17,
IF(AND($E517="Tier 3",$F517="Remove",$H517&lt;&gt;"",$H517="Tree Protection Code: Tier 3 or Tier 4 Allowance",OR($I517="",ISNA(MATCH($I517,Tables!$B$193:$B$197,0)))),
Error!$B$17,
IF(AND(OR($E517="Tier 2",$E517="Tier 2 Grove"),$F517="Remove",$H517="Tree Protection Code: Other removal allowance or exemption",$I517&lt;&gt;"",ISNA(MATCH($I517,Tables!$B$215:$B$218,0))),
Error!$B$17,
IF(AND(OR($E517="Tier 2",$E517="Tier 2 Grove"),$F517="Remove",$H517="Tree Protection Code: Development Capacity",$I517&lt;&gt;"",ISNA(MATCH($I517,Tables!$B$193:$B$197,0))),
Error!$B$17,
IF(AND(OR($E517="Tier 2",$E517="Tier 2 Grove"),$F517="Remove",$H517="Tree Protection Code: Necessary for Construction",$I517&lt;&gt;"",ISNA(MATCH($I517,Tables!$B$193:$B$197,0))),
Error!$B$17,
IF(AND($E517="Tier 1",$F517="Remove",$H517="Tree Protection Code: Special Exception",$I517&lt;&gt;"",ISNA(MATCH($I517,Tables!$B$215:$B$218,0))),
Error!$B$17,
IF(AND($E517="Tier 1",$F517="Remove",$H517="Tree Protection Code: Other removal allowance or exemption",$I517&lt;&gt;"",ISNA(MATCH($I517,Tables!$B$215:$B$218,0))),
Error!$B$17,
IF(AND($E517="ECA / Shoreline Tree",$F517="Remove",$H517&lt;&gt;"",OR($H517="Shoreline",$H517="Environmental Critical Area (ECA)"),ISNA(MATCH($I517,Tables!$B$209:$B$212,0))),
Error!$B$17,
IF(AND(_xlpm.baseRow,$F517="Retain",$E517="ECA / Shoreline Tree",_xlpm.ECA_Short=0),
Error!$B$61,
IF(AND($F517="Remove",ISNUMBER(MATCH($E517,{"Tier 1","Tier 2","Tier 3","Tier 4","Tier 2 Grove"},0)),ISNUMBER(MATCH($I517,{"On-site replacement","Off-site replacement"},0)),$J517="",$H517&lt;&gt;""),
Error!$B$19,
IF(AND(_xlpm.baseRow,$E517&lt;&gt;"",$D517&lt;&gt;"",$F517&lt;&gt;"",COUNTBLANK($B517:$C517)&gt;0,COUNTBLANK(_xlpm.HRange)&lt;&gt;4),
Error!$B$22,
IF(AND($H517="Zoning: Tree Points",$K517&lt;&gt;"",ISNA(MATCH($K517,Tables!$B$242:$B$253,0))),
Error!$B$58,
IF(AND($H517="Zoning: Tree Points",$K517="Small",$L517&lt;&gt;"",ISNA(MATCH($L517,Tables!$C$243:$C$244,0))),
Error!$B$59,
IF(AND($H517="Zoning: Tree Points",$K517="Small/Medium",$L517&lt;&gt;"",ISNA(MATCH($L517,Tables!$C$246:$C$247,0))),
Error!$B$59,
IF(AND($H517="Zoning: Tree Points",$K517="Medium/Large",$L517&lt;&gt;"",ISNA(MATCH($L517,Tables!$C$249:$C$250,0))),
Error!$B$59,
IF(AND($H517="Zoning: Tree Points",$K517="Large",$L517&lt;&gt;"",ISNA(MATCH($L517,Tables!$C$252:$C$253,0))),
Error!$B$59,
IF(AND($F517="Retain",$H517="Zoning: Tree Points",$C517&lt;&gt;"",$D517&lt;&gt;"",OR($K517="",$L517="",$M517="")),
Error!$B$20,
""
)))))))))))))))))))))))))))))))))))))))))))))))))))))))),
Error!$B$23))</f>
        <v/>
      </c>
      <c r="O517" s="343" t="str" cm="1">
        <f t="array" aca="1" ref="O517" ca="1">IFERROR(_xlfn.LET(
    _xlpm.txt, $C517,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18" spans="1:15" ht="15" thickBot="1" x14ac:dyDescent="0.35">
      <c r="A518" s="331"/>
      <c r="B518" s="616" t="str">
        <f t="shared" si="594"/>
        <v/>
      </c>
      <c r="C518" s="617" t="str">
        <f t="shared" si="595"/>
        <v/>
      </c>
      <c r="D518" s="618" t="str">
        <f t="shared" si="596"/>
        <v/>
      </c>
      <c r="E518" s="616" t="str">
        <f t="shared" si="597"/>
        <v/>
      </c>
      <c r="F518" s="616" t="str">
        <f t="shared" si="598"/>
        <v/>
      </c>
      <c r="G518" s="619" t="str">
        <f>IF(Tree_Table1[[#This Row],[Tree Status  &amp;]]="Retain", Tables!$B$237, IF(Tree_Table1[[#This Row],[Tree Status  &amp;]]="Remove", Tables!$B$238, ""))</f>
        <v/>
      </c>
      <c r="H518" s="329"/>
      <c r="I518" s="330"/>
      <c r="J518" s="455"/>
      <c r="K518" s="327" t="str">
        <f>IFERROR(
    IF(
        AND($H518="Zoning: Tree Points", NOT(ISNUMBER(SEARCH("sp.", $C518)))),
        VLOOKUP($C518, 'Tree List'!$C$3:$F$601, 4, FALSE),
        ""
    ),
"")</f>
        <v/>
      </c>
      <c r="L518" s="328" t="str" cm="1">
        <f t="array" ref="L518">IFERROR(
IF(
    AND($H518="Zoning: Tree Points", NOT(ISNUMBER(SEARCH("sp.", $C518)))),
    _xlfn.IFS(
        (COUNTIFS('Tree List'!$C$3:$C$601,$C518,'Tree List'!$D$3:$D$601,"Coniferous")
        + COUNTIFS('Tree List'!$C$3:$C$601,$C518,'Tree List'!$D$3:$D$601,"Deciduous Conifer")) &gt; 0,
            _xlfn.IFS($K518="Small",0.5,$K518="Small/Medium",1,$K518="Medium/Large",1.4,$K518="Large",1.8),
        (COUNTIFS('Tree List'!$C$3:$C$601,$C518,'Tree List'!$D$3:$D$601,"Deciduous")
        + COUNTIFS('Tree List'!$C$3:$C$601,$C518,'Tree List'!$D$3:$D$601,"Broadleaf Evergreen")) &gt; 0,
            _xlfn.IFS($K518="Small",0.4,$K518="Small/Medium",0.8,$K518="Medium/Large",1.2,$K518="Large",1.6)
    ),
    ""
),
"")</f>
        <v/>
      </c>
      <c r="M518" s="476" t="str">
        <f t="shared" si="573"/>
        <v/>
      </c>
      <c r="N518" s="347" t="str" cm="1">
        <f t="array" aca="1" ref="N51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IF(AND(_xlpm.baseRow,ISNA(MATCH($C518,'Tree List'!$C$3:$C$601,0)),SUMPRODUCT(--ISNUMBER(SEARCH(Tables2!$C$677:$C$772,$O518)))&gt;0),
Error!$B$57,
IF(AND(_xlpm.hasDM,$F518="Remove",$H518&lt;&gt;"",OR($I518="On-site replacement",$I518="Off-site replacement",$I518="Payment In Lieu")),
Error!$B$56,
IF(AND(_xlpm.hasDM,$F518="Remove",$H518&lt;&gt;"",$I518="Relocation"),
Error!$B$66,
IF(AND(OR(_xlpm.hasCN,_xlpm.hasPH,_xlpm.hasGR),$H518&lt;&gt;"",COUNTIF(Tables!$B$132:$B$134,$H518)&gt;0,$I518="N/A (No replacement required)"),
Error!$B$62,
IF(AND(_xlpm.baseRow,$E518&lt;&gt;"",ISNA(MATCH($E518,Tables!$B$225:$B$232,0))),
Error!$B$2,
IF(AND(_xlpm.baseRow,$F518&lt;&gt;"",ISNA(MATCH($F518,Tables!$B$234:$B$235,0))),
Error!$B$24,
IF(AND(_xlpm.baseRow,_xlpm.ECA_H&gt;0,_xlpm.Shore_H&gt;0),
Error!$B$16,
IF(AND(_xlpm.baseRow,$E518&lt;&gt;"",$D518=""),
Error!$B$3,
IF(AND(_xlpm.baseRow,OR($E518="Tier 3",$E518="Tier 4"),$C518&lt;&gt;"",$D518&gt;=24,COUNTIF(Tables2!$B$166:$B$674,$C518)&gt;0),
Error!$B$44,
IF(AND(_xlpm.baseRow,OR($E518="Tier 3",$E518="Tier 4"),$C518&lt;&gt;"",$D518&lt;&gt;"",COUNTIF(Tables2!$B$73:$B$152,$C518)&gt;0,
$D518&gt;=IFERROR(INDEX(Tables2!$C$73:$C$152,MATCH($C518,Tables2!$B$73:$B$152,0)),-1)),
Error!$B$44,
IF(AND(_xlpm.baseRow,OR($E518="Tier 2",$E518="Tier 2 Grove"),$C518&lt;&gt;"",$D518&gt;=12,COUNTIF(Tables2!$B$153:$B$162,$C518)&gt;0),
Error!$B$45,
IF(AND(_xlpm.baseRow,$E518="Tier 2 Grove",$D518&lt;12),
Error!$B$41,
IF(AND(_xlpm.baseRow,$E518="Tier 2",$D518&lt;5.88),
Error!$B$40,
IF(AND(_xlpm.baseRow,OR($E518="Tier 2",$E518="Tier 2 Grove"),$C518&lt;&gt;"",$D518&lt;12,$D518&gt;=6,COUNTIF(Tables2!$B$153:$B$162,$C518)&gt;0),
Error!$B$54,
IF(AND(_xlpm.baseRow,$E518="Tier 2",COUNTIF(Tables2!$B$166:$B$674,$C518)&gt;0,$D518&lt;24),
Error!$B$54,
IF(AND(_xlpm.baseRow,$E518="Tier 3",ISNA(MATCH($C518,Tables2!$B$153:$B$162,0)),OR($D518&lt;12,$D518&gt;=24)),
Error!$B$9,
IF(AND(_xlpm.baseRow,$E518="Tier 3",COUNTIF(Tables2!$B$153:$B$162,$C518)&gt;0,$D518&lt;12),
Error!$B$46,
IF(AND(_xlpm.baseRow,$E518="Tier 4",OR($D518&lt;6,$D518&gt;=12)),
Error!$B$10,
IF(AND(_xlpm.baseRow,$E518="&lt;6in DSH for Tree Points",OR($D518&gt;=6,$D518="")),
Error!$B$8,
IF(AND(_xlpm.baseRow,$E518="Street Tree for Green Factor",$F518&lt;&gt;"",$F518&lt;&gt;"Retain"),
Error!$B$14,
IF(AND($E518="&lt;6in DSH for Tree Points",$F518="Retain",$H518&lt;&gt;"",ISNA(MATCH($H518,Tables!$B$174:$B$174,0))),
Error!$B$15,
IF(AND($E518="Street Tree for Green Factor",$F518="Retain",$H518&lt;&gt;"",$H518&lt;&gt;"Zoning: Green Factor"),
Error!$B$15,
IF(AND($E518="ECA / Shoreline Tree",$F518="Remove",$H518&lt;&gt;"",ISNA(MATCH($H518,Tables!$B$189:$B$190,0))),
Error!$B$15,
IF(AND($E518="ECA / Shoreline Tree",$F518="Retain",$H518&lt;&gt;"",ISNA(MATCH($H518,Tables!$B$184:$B$186,0))),
Error!$B$15,
IF(AND($E518="Tier 4",$F518="Remove",$H518&lt;&gt;"",ISNA(MATCH($H518,Tables!$B$171,0))),
Error!$B$15,
IF(AND($E518="Tier 4",$F518="Retain",$H518&lt;&gt;"",ISNA(MATCH($H518,Tables!$B$166:$B$168,0))),
Error!$B$15,
IF(AND($E518="Tier 3",$F518="Retain",$H518&lt;&gt;"",ISNA(MATCH($H518,Tables!$B$158:$B$160,0))),
Error!$B$15,
IF(AND($E518="Tier 3",$F518="Remove",$H518&lt;&gt;"",ISNA(MATCH($H518,Tables!$B$163,0))),
Error!$B$15,
IF(AND(OR($E518="Tier 2",$E518="Tier 2 Grove"),$F518="Remove",$H518&lt;&gt;"",ISNA(MATCH($H518,Tables!$B$153:$B$155,0))),
Error!$B$15,
IF(AND(OR($E518="Tier 2",$E518="Tier 2 Grove"),$F518="Retain",$H518&lt;&gt;"",ISNA(MATCH($H518,Tables!$B$147:$B$150,0))),
Error!$B$15,
IF(AND($E518="Tier 1",$F518="Remove",$H518&lt;&gt;"",ISNA(MATCH($H518,Tables!$B$143:$B$144,0))),
Error!$B$15,
IF(AND($E518="Tier 1",$F518="Retain",$H518&lt;&gt;"",ISNA(MATCH($H518,Tables!$B$137:$B$140,0))),
Error!$B$15,
IF(AND($E518&lt;&gt;"Tier 2",$E518&lt;&gt;"Tier 2 Grove",$E518&lt;&gt;"Tier 3",$E518&lt;&gt;"Tier 4",$H518="Zoning: Green Factor",OR($D518="",$D518&lt;6)),
Error!$B$11,
IF(AND(_xlpm.baseRow,$D518&lt;6,$E518="&lt;6in DSH for Tree Points",_xlpm.TreePoints_H=0),
Error!$B$21,
IF(AND(_xlpm.baseRow,$E518&lt;&gt;"",$D518&lt;&gt;"",$F518=""),
Error!$B$4,
IF(AND(_xlpm.baseRow,$F518="Remove",OR($E518="Tier 1",$E518="Tier 2",$E518="Tier 2 Grove"),COUNTBLANK(_xlpm.HRange)&lt;3,_xlpm.uniqueH&gt;=2),
Error!$B$48,
IF(AND(_xlpm.baseRow,$F518="Retain",OR($E518="Tier 1",$E518="Tier 2",$E518="Tier 2 Grove"),COUNTIF(_xlpm.HRange,"Tree Code: Required to Retain Tier 1-2 Tree")=0),
Error!$B$47,
IF(AND(_xlpm.baseRow,$E518&lt;&gt;"",$D518&lt;&gt;"",$F518&lt;&gt;"",COUNTBLANK(_xlpm.HRange)=4),
Error!$B$5,
IF(AND($F518="Remove",$H518&lt;&gt;"",$I518=""),
Error!$B$18,
IF(AND($E518="Tier 4",$F518="Remove",$H518="Tree Protection Code: Tier 3 or Tier 4 Allowance",$H518&lt;&gt;"",ISNA(MATCH($I518,Tables!$B$200,0))),
Error!$B$17,
IF(AND($E518="Tier 3",$F518="Remove",$H518&lt;&gt;"",$H518="Tree Protection Code: Tier 3 or Tier 4 Allowance",OR($I518="",ISNA(MATCH($I518,Tables!$B$193:$B$197,0)))),
Error!$B$17,
IF(AND(OR($E518="Tier 2",$E518="Tier 2 Grove"),$F518="Remove",$H518="Tree Protection Code: Other removal allowance or exemption",$I518&lt;&gt;"",ISNA(MATCH($I518,Tables!$B$215:$B$218,0))),
Error!$B$17,
IF(AND(OR($E518="Tier 2",$E518="Tier 2 Grove"),$F518="Remove",$H518="Tree Protection Code: Development Capacity",$I518&lt;&gt;"",ISNA(MATCH($I518,Tables!$B$193:$B$197,0))),
Error!$B$17,
IF(AND(OR($E518="Tier 2",$E518="Tier 2 Grove"),$F518="Remove",$H518="Tree Protection Code: Necessary for Construction",$I518&lt;&gt;"",ISNA(MATCH($I518,Tables!$B$193:$B$197,0))),
Error!$B$17,
IF(AND($E518="Tier 1",$F518="Remove",$H518="Tree Protection Code: Special Exception",$I518&lt;&gt;"",ISNA(MATCH($I518,Tables!$B$215:$B$218,0))),
Error!$B$17,
IF(AND($E518="Tier 1",$F518="Remove",$H518="Tree Protection Code: Other removal allowance or exemption",$I518&lt;&gt;"",ISNA(MATCH($I518,Tables!$B$215:$B$218,0))),
Error!$B$17,
IF(AND($E518="ECA / Shoreline Tree",$F518="Remove",$H518&lt;&gt;"",OR($H518="Shoreline",$H518="Environmental Critical Area (ECA)"),ISNA(MATCH($I518,Tables!$B$209:$B$212,0))),
Error!$B$17,
IF(AND(_xlpm.baseRow,$F518="Retain",$E518="ECA / Shoreline Tree",_xlpm.ECA_Short=0),
Error!$B$61,
IF(AND($F518="Remove",ISNUMBER(MATCH($E518,{"Tier 1","Tier 2","Tier 3","Tier 4","Tier 2 Grove"},0)),ISNUMBER(MATCH($I518,{"On-site replacement","Off-site replacement"},0)),$J518="",$H518&lt;&gt;""),
Error!$B$19,
IF(AND(_xlpm.baseRow,$E518&lt;&gt;"",$D518&lt;&gt;"",$F518&lt;&gt;"",COUNTBLANK($B518:$C518)&gt;0,COUNTBLANK(_xlpm.HRange)&lt;&gt;4),
Error!$B$22,
IF(AND($H518="Zoning: Tree Points",$K518&lt;&gt;"",ISNA(MATCH($K518,Tables!$B$242:$B$253,0))),
Error!$B$58,
IF(AND($H518="Zoning: Tree Points",$K518="Small",$L518&lt;&gt;"",ISNA(MATCH($L518,Tables!$C$243:$C$244,0))),
Error!$B$59,
IF(AND($H518="Zoning: Tree Points",$K518="Small/Medium",$L518&lt;&gt;"",ISNA(MATCH($L518,Tables!$C$246:$C$247,0))),
Error!$B$59,
IF(AND($H518="Zoning: Tree Points",$K518="Medium/Large",$L518&lt;&gt;"",ISNA(MATCH($L518,Tables!$C$249:$C$250,0))),
Error!$B$59,
IF(AND($H518="Zoning: Tree Points",$K518="Large",$L518&lt;&gt;"",ISNA(MATCH($L518,Tables!$C$252:$C$253,0))),
Error!$B$59,
IF(AND($F518="Retain",$H518="Zoning: Tree Points",$C518&lt;&gt;"",$D518&lt;&gt;"",OR($K518="",$L518="",$M518="")),
Error!$B$20,
""
)))))))))))))))))))))))))))))))))))))))))))))))))))))))),
Error!$B$23))</f>
        <v/>
      </c>
      <c r="O518" s="343" t="str" cm="1">
        <f t="array" aca="1" ref="O518" ca="1">IFERROR(_xlfn.LET(
    _xlpm.txt, $C518,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19" spans="1:15" ht="15" thickBot="1" x14ac:dyDescent="0.35">
      <c r="A519" s="311">
        <v>128</v>
      </c>
      <c r="B519" s="312"/>
      <c r="C519" s="313"/>
      <c r="D519" s="478"/>
      <c r="E519" s="314"/>
      <c r="F519" s="314"/>
      <c r="G519" s="315" t="str">
        <f>IF(Tree_Table1[[#This Row],[Tree Status  &amp;]]="Retain", Tables!$B$237, IF(Tree_Table1[[#This Row],[Tree Status  &amp;]]="Remove", Tables!$B$238, ""))</f>
        <v/>
      </c>
      <c r="H519" s="316"/>
      <c r="I519" s="317"/>
      <c r="J519" s="452"/>
      <c r="K519" s="318" t="str">
        <f>IFERROR(
    IF(
        AND($H519="Zoning: Tree Points", NOT(ISNUMBER(SEARCH("sp.", $C519)))),
        VLOOKUP($C519, 'Tree List'!$C$3:$F$601, 4, FALSE),
        ""
    ),
"")</f>
        <v/>
      </c>
      <c r="L519" s="319" t="str" cm="1">
        <f t="array" ref="L519">IFERROR(
IF(
    AND($H519="Zoning: Tree Points", NOT(ISNUMBER(SEARCH("sp.", $C519)))),
    _xlfn.IFS(
        (COUNTIFS('Tree List'!$C$3:$C$601,$C519,'Tree List'!$D$3:$D$601,"Coniferous")
        + COUNTIFS('Tree List'!$C$3:$C$601,$C519,'Tree List'!$D$3:$D$601,"Deciduous Conifer")) &gt; 0,
            _xlfn.IFS($K519="Small",0.5,$K519="Small/Medium",1,$K519="Medium/Large",1.4,$K519="Large",1.8),
        (COUNTIFS('Tree List'!$C$3:$C$601,$C519,'Tree List'!$D$3:$D$601,"Deciduous")
        + COUNTIFS('Tree List'!$C$3:$C$601,$C519,'Tree List'!$D$3:$D$601,"Broadleaf Evergreen")) &gt; 0,
            _xlfn.IFS($K519="Small",0.4,$K519="Small/Medium",0.8,$K519="Medium/Large",1.2,$K519="Large",1.6)
    ),
    ""
),
"")</f>
        <v/>
      </c>
      <c r="M519" s="474" t="str">
        <f t="shared" si="573"/>
        <v/>
      </c>
      <c r="N519" s="620" t="str" cm="1">
        <f t="array" aca="1" ref="N51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IF(AND(_xlpm.baseRow,ISNA(MATCH($C519,'Tree List'!$C$3:$C$601,0)),SUMPRODUCT(--ISNUMBER(SEARCH(Tables2!$C$677:$C$772,$O519)))&gt;0),
Error!$B$57,
IF(AND(_xlpm.hasDM,$F519="Remove",$H519&lt;&gt;"",OR($I519="On-site replacement",$I519="Off-site replacement",$I519="Payment In Lieu")),
Error!$B$56,
IF(AND(_xlpm.hasDM,$F519="Remove",$H519&lt;&gt;"",$I519="Relocation"),
Error!$B$66,
IF(AND(OR(_xlpm.hasCN,_xlpm.hasPH,_xlpm.hasGR),$H519&lt;&gt;"",COUNTIF(Tables!$B$132:$B$134,$H519)&gt;0,$I519="N/A (No replacement required)"),
Error!$B$62,
IF(AND(_xlpm.baseRow,$E519&lt;&gt;"",ISNA(MATCH($E519,Tables!$B$225:$B$232,0))),
Error!$B$2,
IF(AND(_xlpm.baseRow,$F519&lt;&gt;"",ISNA(MATCH($F519,Tables!$B$234:$B$235,0))),
Error!$B$24,
IF(AND(_xlpm.baseRow,_xlpm.ECA_H&gt;0,_xlpm.Shore_H&gt;0),
Error!$B$16,
IF(AND(_xlpm.baseRow,$E519&lt;&gt;"",$D519=""),
Error!$B$3,
IF(AND(_xlpm.baseRow,OR($E519="Tier 3",$E519="Tier 4"),$C519&lt;&gt;"",$D519&gt;=24,COUNTIF(Tables2!$B$166:$B$674,$C519)&gt;0),
Error!$B$44,
IF(AND(_xlpm.baseRow,OR($E519="Tier 3",$E519="Tier 4"),$C519&lt;&gt;"",$D519&lt;&gt;"",COUNTIF(Tables2!$B$73:$B$152,$C519)&gt;0,
$D519&gt;=IFERROR(INDEX(Tables2!$C$73:$C$152,MATCH($C519,Tables2!$B$73:$B$152,0)),-1)),
Error!$B$44,
IF(AND(_xlpm.baseRow,OR($E519="Tier 2",$E519="Tier 2 Grove"),$C519&lt;&gt;"",$D519&gt;=12,COUNTIF(Tables2!$B$153:$B$162,$C519)&gt;0),
Error!$B$45,
IF(AND(_xlpm.baseRow,$E519="Tier 2 Grove",$D519&lt;12),
Error!$B$41,
IF(AND(_xlpm.baseRow,$E519="Tier 2",$D519&lt;5.88),
Error!$B$40,
IF(AND(_xlpm.baseRow,OR($E519="Tier 2",$E519="Tier 2 Grove"),$C519&lt;&gt;"",$D519&lt;12,$D519&gt;=6,COUNTIF(Tables2!$B$153:$B$162,$C519)&gt;0),
Error!$B$54,
IF(AND(_xlpm.baseRow,$E519="Tier 2",COUNTIF(Tables2!$B$166:$B$674,$C519)&gt;0,$D519&lt;24),
Error!$B$54,
IF(AND(_xlpm.baseRow,$E519="Tier 3",ISNA(MATCH($C519,Tables2!$B$153:$B$162,0)),OR($D519&lt;12,$D519&gt;=24)),
Error!$B$9,
IF(AND(_xlpm.baseRow,$E519="Tier 3",COUNTIF(Tables2!$B$153:$B$162,$C519)&gt;0,$D519&lt;12),
Error!$B$46,
IF(AND(_xlpm.baseRow,$E519="Tier 4",OR($D519&lt;6,$D519&gt;=12)),
Error!$B$10,
IF(AND(_xlpm.baseRow,$E519="&lt;6in DSH for Tree Points",OR($D519&gt;=6,$D519="")),
Error!$B$8,
IF(AND(_xlpm.baseRow,$E519="Street Tree for Green Factor",$F519&lt;&gt;"",$F519&lt;&gt;"Retain"),
Error!$B$14,
IF(AND($E519="&lt;6in DSH for Tree Points",$F519="Retain",$H519&lt;&gt;"",ISNA(MATCH($H519,Tables!$B$174:$B$174,0))),
Error!$B$15,
IF(AND($E519="Street Tree for Green Factor",$F519="Retain",$H519&lt;&gt;"",$H519&lt;&gt;"Zoning: Green Factor"),
Error!$B$15,
IF(AND($E519="ECA / Shoreline Tree",$F519="Remove",$H519&lt;&gt;"",ISNA(MATCH($H519,Tables!$B$189:$B$190,0))),
Error!$B$15,
IF(AND($E519="ECA / Shoreline Tree",$F519="Retain",$H519&lt;&gt;"",ISNA(MATCH($H519,Tables!$B$184:$B$186,0))),
Error!$B$15,
IF(AND($E519="Tier 4",$F519="Remove",$H519&lt;&gt;"",ISNA(MATCH($H519,Tables!$B$171,0))),
Error!$B$15,
IF(AND($E519="Tier 4",$F519="Retain",$H519&lt;&gt;"",ISNA(MATCH($H519,Tables!$B$166:$B$168,0))),
Error!$B$15,
IF(AND($E519="Tier 3",$F519="Retain",$H519&lt;&gt;"",ISNA(MATCH($H519,Tables!$B$158:$B$160,0))),
Error!$B$15,
IF(AND($E519="Tier 3",$F519="Remove",$H519&lt;&gt;"",ISNA(MATCH($H519,Tables!$B$163,0))),
Error!$B$15,
IF(AND(OR($E519="Tier 2",$E519="Tier 2 Grove"),$F519="Remove",$H519&lt;&gt;"",ISNA(MATCH($H519,Tables!$B$153:$B$155,0))),
Error!$B$15,
IF(AND(OR($E519="Tier 2",$E519="Tier 2 Grove"),$F519="Retain",$H519&lt;&gt;"",ISNA(MATCH($H519,Tables!$B$147:$B$150,0))),
Error!$B$15,
IF(AND($E519="Tier 1",$F519="Remove",$H519&lt;&gt;"",ISNA(MATCH($H519,Tables!$B$143:$B$144,0))),
Error!$B$15,
IF(AND($E519="Tier 1",$F519="Retain",$H519&lt;&gt;"",ISNA(MATCH($H519,Tables!$B$137:$B$140,0))),
Error!$B$15,
IF(AND($E519&lt;&gt;"Tier 2",$E519&lt;&gt;"Tier 2 Grove",$E519&lt;&gt;"Tier 3",$E519&lt;&gt;"Tier 4",$H519="Zoning: Green Factor",OR($D519="",$D519&lt;6)),
Error!$B$11,
IF(AND(_xlpm.baseRow,$D519&lt;6,$E519="&lt;6in DSH for Tree Points",_xlpm.TreePoints_H=0),
Error!$B$21,
IF(AND(_xlpm.baseRow,$E519&lt;&gt;"",$D519&lt;&gt;"",$F519=""),
Error!$B$4,
IF(AND(_xlpm.baseRow,$F519="Remove",OR($E519="Tier 1",$E519="Tier 2",$E519="Tier 2 Grove"),COUNTBLANK(_xlpm.HRange)&lt;3,_xlpm.uniqueH&gt;=2),
Error!$B$48,
IF(AND(_xlpm.baseRow,$F519="Retain",OR($E519="Tier 1",$E519="Tier 2",$E519="Tier 2 Grove"),COUNTIF(_xlpm.HRange,"Tree Code: Required to Retain Tier 1-2 Tree")=0),
Error!$B$47,
IF(AND(_xlpm.baseRow,$E519&lt;&gt;"",$D519&lt;&gt;"",$F519&lt;&gt;"",COUNTBLANK(_xlpm.HRange)=4),
Error!$B$5,
IF(AND($F519="Remove",$H519&lt;&gt;"",$I519=""),
Error!$B$18,
IF(AND($E519="Tier 4",$F519="Remove",$H519="Tree Protection Code: Tier 3 or Tier 4 Allowance",$H519&lt;&gt;"",ISNA(MATCH($I519,Tables!$B$200,0))),
Error!$B$17,
IF(AND($E519="Tier 3",$F519="Remove",$H519&lt;&gt;"",$H519="Tree Protection Code: Tier 3 or Tier 4 Allowance",OR($I519="",ISNA(MATCH($I519,Tables!$B$193:$B$197,0)))),
Error!$B$17,
IF(AND(OR($E519="Tier 2",$E519="Tier 2 Grove"),$F519="Remove",$H519="Tree Protection Code: Other removal allowance or exemption",$I519&lt;&gt;"",ISNA(MATCH($I519,Tables!$B$215:$B$218,0))),
Error!$B$17,
IF(AND(OR($E519="Tier 2",$E519="Tier 2 Grove"),$F519="Remove",$H519="Tree Protection Code: Development Capacity",$I519&lt;&gt;"",ISNA(MATCH($I519,Tables!$B$193:$B$197,0))),
Error!$B$17,
IF(AND(OR($E519="Tier 2",$E519="Tier 2 Grove"),$F519="Remove",$H519="Tree Protection Code: Necessary for Construction",$I519&lt;&gt;"",ISNA(MATCH($I519,Tables!$B$193:$B$197,0))),
Error!$B$17,
IF(AND($E519="Tier 1",$F519="Remove",$H519="Tree Protection Code: Special Exception",$I519&lt;&gt;"",ISNA(MATCH($I519,Tables!$B$215:$B$218,0))),
Error!$B$17,
IF(AND($E519="Tier 1",$F519="Remove",$H519="Tree Protection Code: Other removal allowance or exemption",$I519&lt;&gt;"",ISNA(MATCH($I519,Tables!$B$215:$B$218,0))),
Error!$B$17,
IF(AND($E519="ECA / Shoreline Tree",$F519="Remove",$H519&lt;&gt;"",OR($H519="Shoreline",$H519="Environmental Critical Area (ECA)"),ISNA(MATCH($I519,Tables!$B$209:$B$212,0))),
Error!$B$17,
IF(AND(_xlpm.baseRow,$F519="Retain",$E519="ECA / Shoreline Tree",_xlpm.ECA_Short=0),
Error!$B$61,
IF(AND($F519="Remove",ISNUMBER(MATCH($E519,{"Tier 1","Tier 2","Tier 3","Tier 4","Tier 2 Grove"},0)),ISNUMBER(MATCH($I519,{"On-site replacement","Off-site replacement"},0)),$J519="",$H519&lt;&gt;""),
Error!$B$19,
IF(AND(_xlpm.baseRow,$E519&lt;&gt;"",$D519&lt;&gt;"",$F519&lt;&gt;"",COUNTBLANK($B519:$C519)&gt;0,COUNTBLANK(_xlpm.HRange)&lt;&gt;4),
Error!$B$22,
IF(AND($H519="Zoning: Tree Points",$K519&lt;&gt;"",ISNA(MATCH($K519,Tables!$B$242:$B$253,0))),
Error!$B$58,
IF(AND($H519="Zoning: Tree Points",$K519="Small",$L519&lt;&gt;"",ISNA(MATCH($L519,Tables!$C$243:$C$244,0))),
Error!$B$59,
IF(AND($H519="Zoning: Tree Points",$K519="Small/Medium",$L519&lt;&gt;"",ISNA(MATCH($L519,Tables!$C$246:$C$247,0))),
Error!$B$59,
IF(AND($H519="Zoning: Tree Points",$K519="Medium/Large",$L519&lt;&gt;"",ISNA(MATCH($L519,Tables!$C$249:$C$250,0))),
Error!$B$59,
IF(AND($H519="Zoning: Tree Points",$K519="Large",$L519&lt;&gt;"",ISNA(MATCH($L519,Tables!$C$252:$C$253,0))),
Error!$B$59,
IF(AND($F519="Retain",$H519="Zoning: Tree Points",$C519&lt;&gt;"",$D519&lt;&gt;"",OR($K519="",$L519="",$M519="")),
Error!$B$20,
""
)))))))))))))))))))))))))))))))))))))))))))))))))))))))),
Error!$B$23))</f>
        <v/>
      </c>
      <c r="O519" s="343" t="str" cm="1">
        <f t="array" aca="1" ref="O519" ca="1">IFERROR(_xlfn.LET(
    _xlpm.txt, $C519,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20" spans="1:15" x14ac:dyDescent="0.3">
      <c r="A520" s="320"/>
      <c r="B520" s="616" t="str">
        <f t="shared" ref="B520:B522" si="599">IF($B519="", "", $B519)</f>
        <v/>
      </c>
      <c r="C520" s="617" t="str">
        <f t="shared" ref="C520:C522" si="600">IF($C519="", "", $C519)</f>
        <v/>
      </c>
      <c r="D520" s="618" t="str">
        <f t="shared" ref="D520:D522" si="601">IF($D519="", "", $D519)</f>
        <v/>
      </c>
      <c r="E520" s="616" t="str">
        <f t="shared" ref="E520:E522" si="602">IF($E519="", "", $E519)</f>
        <v/>
      </c>
      <c r="F520" s="616" t="str">
        <f t="shared" ref="F520:F522" si="603">IF($F519="", "", $F519)</f>
        <v/>
      </c>
      <c r="G520" s="619" t="str">
        <f>IF(Tree_Table1[[#This Row],[Tree Status  &amp;]]="Retain", Tables!$B$237, IF(Tree_Table1[[#This Row],[Tree Status  &amp;]]="Remove", Tables!$B$238, ""))</f>
        <v/>
      </c>
      <c r="H520" s="321"/>
      <c r="I520" s="322"/>
      <c r="J520" s="453"/>
      <c r="K520" s="323" t="str">
        <f>IFERROR(
    IF(
        AND($H520="Zoning: Tree Points", NOT(ISNUMBER(SEARCH("sp.", $C520)))),
        VLOOKUP($C520, 'Tree List'!$C$3:$F$601, 4, FALSE),
        ""
    ),
"")</f>
        <v/>
      </c>
      <c r="L520" s="324" t="str" cm="1">
        <f t="array" ref="L520">IFERROR(
IF(
    AND($H520="Zoning: Tree Points", NOT(ISNUMBER(SEARCH("sp.", $C520)))),
    _xlfn.IFS(
        (COUNTIFS('Tree List'!$C$3:$C$601,$C520,'Tree List'!$D$3:$D$601,"Coniferous")
        + COUNTIFS('Tree List'!$C$3:$C$601,$C520,'Tree List'!$D$3:$D$601,"Deciduous Conifer")) &gt; 0,
            _xlfn.IFS($K520="Small",0.5,$K520="Small/Medium",1,$K520="Medium/Large",1.4,$K520="Large",1.8),
        (COUNTIFS('Tree List'!$C$3:$C$601,$C520,'Tree List'!$D$3:$D$601,"Deciduous")
        + COUNTIFS('Tree List'!$C$3:$C$601,$C520,'Tree List'!$D$3:$D$601,"Broadleaf Evergreen")) &gt; 0,
            _xlfn.IFS($K520="Small",0.4,$K520="Small/Medium",0.8,$K520="Medium/Large",1.2,$K520="Large",1.6)
    ),
    ""
),
"")</f>
        <v/>
      </c>
      <c r="M520" s="475" t="str">
        <f t="shared" si="573"/>
        <v/>
      </c>
      <c r="N520" s="346" t="str" cm="1">
        <f t="array" aca="1" ref="N52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IF(AND(_xlpm.baseRow,ISNA(MATCH($C520,'Tree List'!$C$3:$C$601,0)),SUMPRODUCT(--ISNUMBER(SEARCH(Tables2!$C$677:$C$772,$O520)))&gt;0),
Error!$B$57,
IF(AND(_xlpm.hasDM,$F520="Remove",$H520&lt;&gt;"",OR($I520="On-site replacement",$I520="Off-site replacement",$I520="Payment In Lieu")),
Error!$B$56,
IF(AND(_xlpm.hasDM,$F520="Remove",$H520&lt;&gt;"",$I520="Relocation"),
Error!$B$66,
IF(AND(OR(_xlpm.hasCN,_xlpm.hasPH,_xlpm.hasGR),$H520&lt;&gt;"",COUNTIF(Tables!$B$132:$B$134,$H520)&gt;0,$I520="N/A (No replacement required)"),
Error!$B$62,
IF(AND(_xlpm.baseRow,$E520&lt;&gt;"",ISNA(MATCH($E520,Tables!$B$225:$B$232,0))),
Error!$B$2,
IF(AND(_xlpm.baseRow,$F520&lt;&gt;"",ISNA(MATCH($F520,Tables!$B$234:$B$235,0))),
Error!$B$24,
IF(AND(_xlpm.baseRow,_xlpm.ECA_H&gt;0,_xlpm.Shore_H&gt;0),
Error!$B$16,
IF(AND(_xlpm.baseRow,$E520&lt;&gt;"",$D520=""),
Error!$B$3,
IF(AND(_xlpm.baseRow,OR($E520="Tier 3",$E520="Tier 4"),$C520&lt;&gt;"",$D520&gt;=24,COUNTIF(Tables2!$B$166:$B$674,$C520)&gt;0),
Error!$B$44,
IF(AND(_xlpm.baseRow,OR($E520="Tier 3",$E520="Tier 4"),$C520&lt;&gt;"",$D520&lt;&gt;"",COUNTIF(Tables2!$B$73:$B$152,$C520)&gt;0,
$D520&gt;=IFERROR(INDEX(Tables2!$C$73:$C$152,MATCH($C520,Tables2!$B$73:$B$152,0)),-1)),
Error!$B$44,
IF(AND(_xlpm.baseRow,OR($E520="Tier 2",$E520="Tier 2 Grove"),$C520&lt;&gt;"",$D520&gt;=12,COUNTIF(Tables2!$B$153:$B$162,$C520)&gt;0),
Error!$B$45,
IF(AND(_xlpm.baseRow,$E520="Tier 2 Grove",$D520&lt;12),
Error!$B$41,
IF(AND(_xlpm.baseRow,$E520="Tier 2",$D520&lt;5.88),
Error!$B$40,
IF(AND(_xlpm.baseRow,OR($E520="Tier 2",$E520="Tier 2 Grove"),$C520&lt;&gt;"",$D520&lt;12,$D520&gt;=6,COUNTIF(Tables2!$B$153:$B$162,$C520)&gt;0),
Error!$B$54,
IF(AND(_xlpm.baseRow,$E520="Tier 2",COUNTIF(Tables2!$B$166:$B$674,$C520)&gt;0,$D520&lt;24),
Error!$B$54,
IF(AND(_xlpm.baseRow,$E520="Tier 3",ISNA(MATCH($C520,Tables2!$B$153:$B$162,0)),OR($D520&lt;12,$D520&gt;=24)),
Error!$B$9,
IF(AND(_xlpm.baseRow,$E520="Tier 3",COUNTIF(Tables2!$B$153:$B$162,$C520)&gt;0,$D520&lt;12),
Error!$B$46,
IF(AND(_xlpm.baseRow,$E520="Tier 4",OR($D520&lt;6,$D520&gt;=12)),
Error!$B$10,
IF(AND(_xlpm.baseRow,$E520="&lt;6in DSH for Tree Points",OR($D520&gt;=6,$D520="")),
Error!$B$8,
IF(AND(_xlpm.baseRow,$E520="Street Tree for Green Factor",$F520&lt;&gt;"",$F520&lt;&gt;"Retain"),
Error!$B$14,
IF(AND($E520="&lt;6in DSH for Tree Points",$F520="Retain",$H520&lt;&gt;"",ISNA(MATCH($H520,Tables!$B$174:$B$174,0))),
Error!$B$15,
IF(AND($E520="Street Tree for Green Factor",$F520="Retain",$H520&lt;&gt;"",$H520&lt;&gt;"Zoning: Green Factor"),
Error!$B$15,
IF(AND($E520="ECA / Shoreline Tree",$F520="Remove",$H520&lt;&gt;"",ISNA(MATCH($H520,Tables!$B$189:$B$190,0))),
Error!$B$15,
IF(AND($E520="ECA / Shoreline Tree",$F520="Retain",$H520&lt;&gt;"",ISNA(MATCH($H520,Tables!$B$184:$B$186,0))),
Error!$B$15,
IF(AND($E520="Tier 4",$F520="Remove",$H520&lt;&gt;"",ISNA(MATCH($H520,Tables!$B$171,0))),
Error!$B$15,
IF(AND($E520="Tier 4",$F520="Retain",$H520&lt;&gt;"",ISNA(MATCH($H520,Tables!$B$166:$B$168,0))),
Error!$B$15,
IF(AND($E520="Tier 3",$F520="Retain",$H520&lt;&gt;"",ISNA(MATCH($H520,Tables!$B$158:$B$160,0))),
Error!$B$15,
IF(AND($E520="Tier 3",$F520="Remove",$H520&lt;&gt;"",ISNA(MATCH($H520,Tables!$B$163,0))),
Error!$B$15,
IF(AND(OR($E520="Tier 2",$E520="Tier 2 Grove"),$F520="Remove",$H520&lt;&gt;"",ISNA(MATCH($H520,Tables!$B$153:$B$155,0))),
Error!$B$15,
IF(AND(OR($E520="Tier 2",$E520="Tier 2 Grove"),$F520="Retain",$H520&lt;&gt;"",ISNA(MATCH($H520,Tables!$B$147:$B$150,0))),
Error!$B$15,
IF(AND($E520="Tier 1",$F520="Remove",$H520&lt;&gt;"",ISNA(MATCH($H520,Tables!$B$143:$B$144,0))),
Error!$B$15,
IF(AND($E520="Tier 1",$F520="Retain",$H520&lt;&gt;"",ISNA(MATCH($H520,Tables!$B$137:$B$140,0))),
Error!$B$15,
IF(AND($E520&lt;&gt;"Tier 2",$E520&lt;&gt;"Tier 2 Grove",$E520&lt;&gt;"Tier 3",$E520&lt;&gt;"Tier 4",$H520="Zoning: Green Factor",OR($D520="",$D520&lt;6)),
Error!$B$11,
IF(AND(_xlpm.baseRow,$D520&lt;6,$E520="&lt;6in DSH for Tree Points",_xlpm.TreePoints_H=0),
Error!$B$21,
IF(AND(_xlpm.baseRow,$E520&lt;&gt;"",$D520&lt;&gt;"",$F520=""),
Error!$B$4,
IF(AND(_xlpm.baseRow,$F520="Remove",OR($E520="Tier 1",$E520="Tier 2",$E520="Tier 2 Grove"),COUNTBLANK(_xlpm.HRange)&lt;3,_xlpm.uniqueH&gt;=2),
Error!$B$48,
IF(AND(_xlpm.baseRow,$F520="Retain",OR($E520="Tier 1",$E520="Tier 2",$E520="Tier 2 Grove"),COUNTIF(_xlpm.HRange,"Tree Code: Required to Retain Tier 1-2 Tree")=0),
Error!$B$47,
IF(AND(_xlpm.baseRow,$E520&lt;&gt;"",$D520&lt;&gt;"",$F520&lt;&gt;"",COUNTBLANK(_xlpm.HRange)=4),
Error!$B$5,
IF(AND($F520="Remove",$H520&lt;&gt;"",$I520=""),
Error!$B$18,
IF(AND($E520="Tier 4",$F520="Remove",$H520="Tree Protection Code: Tier 3 or Tier 4 Allowance",$H520&lt;&gt;"",ISNA(MATCH($I520,Tables!$B$200,0))),
Error!$B$17,
IF(AND($E520="Tier 3",$F520="Remove",$H520&lt;&gt;"",$H520="Tree Protection Code: Tier 3 or Tier 4 Allowance",OR($I520="",ISNA(MATCH($I520,Tables!$B$193:$B$197,0)))),
Error!$B$17,
IF(AND(OR($E520="Tier 2",$E520="Tier 2 Grove"),$F520="Remove",$H520="Tree Protection Code: Other removal allowance or exemption",$I520&lt;&gt;"",ISNA(MATCH($I520,Tables!$B$215:$B$218,0))),
Error!$B$17,
IF(AND(OR($E520="Tier 2",$E520="Tier 2 Grove"),$F520="Remove",$H520="Tree Protection Code: Development Capacity",$I520&lt;&gt;"",ISNA(MATCH($I520,Tables!$B$193:$B$197,0))),
Error!$B$17,
IF(AND(OR($E520="Tier 2",$E520="Tier 2 Grove"),$F520="Remove",$H520="Tree Protection Code: Necessary for Construction",$I520&lt;&gt;"",ISNA(MATCH($I520,Tables!$B$193:$B$197,0))),
Error!$B$17,
IF(AND($E520="Tier 1",$F520="Remove",$H520="Tree Protection Code: Special Exception",$I520&lt;&gt;"",ISNA(MATCH($I520,Tables!$B$215:$B$218,0))),
Error!$B$17,
IF(AND($E520="Tier 1",$F520="Remove",$H520="Tree Protection Code: Other removal allowance or exemption",$I520&lt;&gt;"",ISNA(MATCH($I520,Tables!$B$215:$B$218,0))),
Error!$B$17,
IF(AND($E520="ECA / Shoreline Tree",$F520="Remove",$H520&lt;&gt;"",OR($H520="Shoreline",$H520="Environmental Critical Area (ECA)"),ISNA(MATCH($I520,Tables!$B$209:$B$212,0))),
Error!$B$17,
IF(AND(_xlpm.baseRow,$F520="Retain",$E520="ECA / Shoreline Tree",_xlpm.ECA_Short=0),
Error!$B$61,
IF(AND($F520="Remove",ISNUMBER(MATCH($E520,{"Tier 1","Tier 2","Tier 3","Tier 4","Tier 2 Grove"},0)),ISNUMBER(MATCH($I520,{"On-site replacement","Off-site replacement"},0)),$J520="",$H520&lt;&gt;""),
Error!$B$19,
IF(AND(_xlpm.baseRow,$E520&lt;&gt;"",$D520&lt;&gt;"",$F520&lt;&gt;"",COUNTBLANK($B520:$C520)&gt;0,COUNTBLANK(_xlpm.HRange)&lt;&gt;4),
Error!$B$22,
IF(AND($H520="Zoning: Tree Points",$K520&lt;&gt;"",ISNA(MATCH($K520,Tables!$B$242:$B$253,0))),
Error!$B$58,
IF(AND($H520="Zoning: Tree Points",$K520="Small",$L520&lt;&gt;"",ISNA(MATCH($L520,Tables!$C$243:$C$244,0))),
Error!$B$59,
IF(AND($H520="Zoning: Tree Points",$K520="Small/Medium",$L520&lt;&gt;"",ISNA(MATCH($L520,Tables!$C$246:$C$247,0))),
Error!$B$59,
IF(AND($H520="Zoning: Tree Points",$K520="Medium/Large",$L520&lt;&gt;"",ISNA(MATCH($L520,Tables!$C$249:$C$250,0))),
Error!$B$59,
IF(AND($H520="Zoning: Tree Points",$K520="Large",$L520&lt;&gt;"",ISNA(MATCH($L520,Tables!$C$252:$C$253,0))),
Error!$B$59,
IF(AND($F520="Retain",$H520="Zoning: Tree Points",$C520&lt;&gt;"",$D520&lt;&gt;"",OR($K520="",$L520="",$M520="")),
Error!$B$20,
""
)))))))))))))))))))))))))))))))))))))))))))))))))))))))),
Error!$B$23))</f>
        <v/>
      </c>
      <c r="O520" s="343" t="str" cm="1">
        <f t="array" aca="1" ref="O520" ca="1">IFERROR(_xlfn.LET(
    _xlpm.txt, $C520,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21" spans="1:15" x14ac:dyDescent="0.3">
      <c r="A521" s="320"/>
      <c r="B521" s="616" t="str">
        <f t="shared" si="599"/>
        <v/>
      </c>
      <c r="C521" s="617" t="str">
        <f t="shared" si="600"/>
        <v/>
      </c>
      <c r="D521" s="618" t="str">
        <f t="shared" si="601"/>
        <v/>
      </c>
      <c r="E521" s="616" t="str">
        <f t="shared" si="602"/>
        <v/>
      </c>
      <c r="F521" s="616" t="str">
        <f t="shared" si="603"/>
        <v/>
      </c>
      <c r="G521" s="619" t="str">
        <f>IF(Tree_Table1[[#This Row],[Tree Status  &amp;]]="Retain", Tables!$B$237, IF(Tree_Table1[[#This Row],[Tree Status  &amp;]]="Remove", Tables!$B$238, ""))</f>
        <v/>
      </c>
      <c r="H521" s="321"/>
      <c r="I521" s="322"/>
      <c r="J521" s="453"/>
      <c r="K521" s="323" t="str">
        <f>IFERROR(
    IF(
        AND($H521="Zoning: Tree Points", NOT(ISNUMBER(SEARCH("sp.", $C521)))),
        VLOOKUP($C521, 'Tree List'!$C$3:$F$601, 4, FALSE),
        ""
    ),
"")</f>
        <v/>
      </c>
      <c r="L521" s="324" t="str" cm="1">
        <f t="array" ref="L521">IFERROR(
IF(
    AND($H521="Zoning: Tree Points", NOT(ISNUMBER(SEARCH("sp.", $C521)))),
    _xlfn.IFS(
        (COUNTIFS('Tree List'!$C$3:$C$601,$C521,'Tree List'!$D$3:$D$601,"Coniferous")
        + COUNTIFS('Tree List'!$C$3:$C$601,$C521,'Tree List'!$D$3:$D$601,"Deciduous Conifer")) &gt; 0,
            _xlfn.IFS($K521="Small",0.5,$K521="Small/Medium",1,$K521="Medium/Large",1.4,$K521="Large",1.8),
        (COUNTIFS('Tree List'!$C$3:$C$601,$C521,'Tree List'!$D$3:$D$601,"Deciduous")
        + COUNTIFS('Tree List'!$C$3:$C$601,$C521,'Tree List'!$D$3:$D$601,"Broadleaf Evergreen")) &gt; 0,
            _xlfn.IFS($K521="Small",0.4,$K521="Small/Medium",0.8,$K521="Medium/Large",1.2,$K521="Large",1.6)
    ),
    ""
),
"")</f>
        <v/>
      </c>
      <c r="M521" s="475" t="str">
        <f t="shared" si="573"/>
        <v/>
      </c>
      <c r="N521" s="346" t="str" cm="1">
        <f t="array" aca="1" ref="N52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IF(AND(_xlpm.baseRow,ISNA(MATCH($C521,'Tree List'!$C$3:$C$601,0)),SUMPRODUCT(--ISNUMBER(SEARCH(Tables2!$C$677:$C$772,$O521)))&gt;0),
Error!$B$57,
IF(AND(_xlpm.hasDM,$F521="Remove",$H521&lt;&gt;"",OR($I521="On-site replacement",$I521="Off-site replacement",$I521="Payment In Lieu")),
Error!$B$56,
IF(AND(_xlpm.hasDM,$F521="Remove",$H521&lt;&gt;"",$I521="Relocation"),
Error!$B$66,
IF(AND(OR(_xlpm.hasCN,_xlpm.hasPH,_xlpm.hasGR),$H521&lt;&gt;"",COUNTIF(Tables!$B$132:$B$134,$H521)&gt;0,$I521="N/A (No replacement required)"),
Error!$B$62,
IF(AND(_xlpm.baseRow,$E521&lt;&gt;"",ISNA(MATCH($E521,Tables!$B$225:$B$232,0))),
Error!$B$2,
IF(AND(_xlpm.baseRow,$F521&lt;&gt;"",ISNA(MATCH($F521,Tables!$B$234:$B$235,0))),
Error!$B$24,
IF(AND(_xlpm.baseRow,_xlpm.ECA_H&gt;0,_xlpm.Shore_H&gt;0),
Error!$B$16,
IF(AND(_xlpm.baseRow,$E521&lt;&gt;"",$D521=""),
Error!$B$3,
IF(AND(_xlpm.baseRow,OR($E521="Tier 3",$E521="Tier 4"),$C521&lt;&gt;"",$D521&gt;=24,COUNTIF(Tables2!$B$166:$B$674,$C521)&gt;0),
Error!$B$44,
IF(AND(_xlpm.baseRow,OR($E521="Tier 3",$E521="Tier 4"),$C521&lt;&gt;"",$D521&lt;&gt;"",COUNTIF(Tables2!$B$73:$B$152,$C521)&gt;0,
$D521&gt;=IFERROR(INDEX(Tables2!$C$73:$C$152,MATCH($C521,Tables2!$B$73:$B$152,0)),-1)),
Error!$B$44,
IF(AND(_xlpm.baseRow,OR($E521="Tier 2",$E521="Tier 2 Grove"),$C521&lt;&gt;"",$D521&gt;=12,COUNTIF(Tables2!$B$153:$B$162,$C521)&gt;0),
Error!$B$45,
IF(AND(_xlpm.baseRow,$E521="Tier 2 Grove",$D521&lt;12),
Error!$B$41,
IF(AND(_xlpm.baseRow,$E521="Tier 2",$D521&lt;5.88),
Error!$B$40,
IF(AND(_xlpm.baseRow,OR($E521="Tier 2",$E521="Tier 2 Grove"),$C521&lt;&gt;"",$D521&lt;12,$D521&gt;=6,COUNTIF(Tables2!$B$153:$B$162,$C521)&gt;0),
Error!$B$54,
IF(AND(_xlpm.baseRow,$E521="Tier 2",COUNTIF(Tables2!$B$166:$B$674,$C521)&gt;0,$D521&lt;24),
Error!$B$54,
IF(AND(_xlpm.baseRow,$E521="Tier 3",ISNA(MATCH($C521,Tables2!$B$153:$B$162,0)),OR($D521&lt;12,$D521&gt;=24)),
Error!$B$9,
IF(AND(_xlpm.baseRow,$E521="Tier 3",COUNTIF(Tables2!$B$153:$B$162,$C521)&gt;0,$D521&lt;12),
Error!$B$46,
IF(AND(_xlpm.baseRow,$E521="Tier 4",OR($D521&lt;6,$D521&gt;=12)),
Error!$B$10,
IF(AND(_xlpm.baseRow,$E521="&lt;6in DSH for Tree Points",OR($D521&gt;=6,$D521="")),
Error!$B$8,
IF(AND(_xlpm.baseRow,$E521="Street Tree for Green Factor",$F521&lt;&gt;"",$F521&lt;&gt;"Retain"),
Error!$B$14,
IF(AND($E521="&lt;6in DSH for Tree Points",$F521="Retain",$H521&lt;&gt;"",ISNA(MATCH($H521,Tables!$B$174:$B$174,0))),
Error!$B$15,
IF(AND($E521="Street Tree for Green Factor",$F521="Retain",$H521&lt;&gt;"",$H521&lt;&gt;"Zoning: Green Factor"),
Error!$B$15,
IF(AND($E521="ECA / Shoreline Tree",$F521="Remove",$H521&lt;&gt;"",ISNA(MATCH($H521,Tables!$B$189:$B$190,0))),
Error!$B$15,
IF(AND($E521="ECA / Shoreline Tree",$F521="Retain",$H521&lt;&gt;"",ISNA(MATCH($H521,Tables!$B$184:$B$186,0))),
Error!$B$15,
IF(AND($E521="Tier 4",$F521="Remove",$H521&lt;&gt;"",ISNA(MATCH($H521,Tables!$B$171,0))),
Error!$B$15,
IF(AND($E521="Tier 4",$F521="Retain",$H521&lt;&gt;"",ISNA(MATCH($H521,Tables!$B$166:$B$168,0))),
Error!$B$15,
IF(AND($E521="Tier 3",$F521="Retain",$H521&lt;&gt;"",ISNA(MATCH($H521,Tables!$B$158:$B$160,0))),
Error!$B$15,
IF(AND($E521="Tier 3",$F521="Remove",$H521&lt;&gt;"",ISNA(MATCH($H521,Tables!$B$163,0))),
Error!$B$15,
IF(AND(OR($E521="Tier 2",$E521="Tier 2 Grove"),$F521="Remove",$H521&lt;&gt;"",ISNA(MATCH($H521,Tables!$B$153:$B$155,0))),
Error!$B$15,
IF(AND(OR($E521="Tier 2",$E521="Tier 2 Grove"),$F521="Retain",$H521&lt;&gt;"",ISNA(MATCH($H521,Tables!$B$147:$B$150,0))),
Error!$B$15,
IF(AND($E521="Tier 1",$F521="Remove",$H521&lt;&gt;"",ISNA(MATCH($H521,Tables!$B$143:$B$144,0))),
Error!$B$15,
IF(AND($E521="Tier 1",$F521="Retain",$H521&lt;&gt;"",ISNA(MATCH($H521,Tables!$B$137:$B$140,0))),
Error!$B$15,
IF(AND($E521&lt;&gt;"Tier 2",$E521&lt;&gt;"Tier 2 Grove",$E521&lt;&gt;"Tier 3",$E521&lt;&gt;"Tier 4",$H521="Zoning: Green Factor",OR($D521="",$D521&lt;6)),
Error!$B$11,
IF(AND(_xlpm.baseRow,$D521&lt;6,$E521="&lt;6in DSH for Tree Points",_xlpm.TreePoints_H=0),
Error!$B$21,
IF(AND(_xlpm.baseRow,$E521&lt;&gt;"",$D521&lt;&gt;"",$F521=""),
Error!$B$4,
IF(AND(_xlpm.baseRow,$F521="Remove",OR($E521="Tier 1",$E521="Tier 2",$E521="Tier 2 Grove"),COUNTBLANK(_xlpm.HRange)&lt;3,_xlpm.uniqueH&gt;=2),
Error!$B$48,
IF(AND(_xlpm.baseRow,$F521="Retain",OR($E521="Tier 1",$E521="Tier 2",$E521="Tier 2 Grove"),COUNTIF(_xlpm.HRange,"Tree Code: Required to Retain Tier 1-2 Tree")=0),
Error!$B$47,
IF(AND(_xlpm.baseRow,$E521&lt;&gt;"",$D521&lt;&gt;"",$F521&lt;&gt;"",COUNTBLANK(_xlpm.HRange)=4),
Error!$B$5,
IF(AND($F521="Remove",$H521&lt;&gt;"",$I521=""),
Error!$B$18,
IF(AND($E521="Tier 4",$F521="Remove",$H521="Tree Protection Code: Tier 3 or Tier 4 Allowance",$H521&lt;&gt;"",ISNA(MATCH($I521,Tables!$B$200,0))),
Error!$B$17,
IF(AND($E521="Tier 3",$F521="Remove",$H521&lt;&gt;"",$H521="Tree Protection Code: Tier 3 or Tier 4 Allowance",OR($I521="",ISNA(MATCH($I521,Tables!$B$193:$B$197,0)))),
Error!$B$17,
IF(AND(OR($E521="Tier 2",$E521="Tier 2 Grove"),$F521="Remove",$H521="Tree Protection Code: Other removal allowance or exemption",$I521&lt;&gt;"",ISNA(MATCH($I521,Tables!$B$215:$B$218,0))),
Error!$B$17,
IF(AND(OR($E521="Tier 2",$E521="Tier 2 Grove"),$F521="Remove",$H521="Tree Protection Code: Development Capacity",$I521&lt;&gt;"",ISNA(MATCH($I521,Tables!$B$193:$B$197,0))),
Error!$B$17,
IF(AND(OR($E521="Tier 2",$E521="Tier 2 Grove"),$F521="Remove",$H521="Tree Protection Code: Necessary for Construction",$I521&lt;&gt;"",ISNA(MATCH($I521,Tables!$B$193:$B$197,0))),
Error!$B$17,
IF(AND($E521="Tier 1",$F521="Remove",$H521="Tree Protection Code: Special Exception",$I521&lt;&gt;"",ISNA(MATCH($I521,Tables!$B$215:$B$218,0))),
Error!$B$17,
IF(AND($E521="Tier 1",$F521="Remove",$H521="Tree Protection Code: Other removal allowance or exemption",$I521&lt;&gt;"",ISNA(MATCH($I521,Tables!$B$215:$B$218,0))),
Error!$B$17,
IF(AND($E521="ECA / Shoreline Tree",$F521="Remove",$H521&lt;&gt;"",OR($H521="Shoreline",$H521="Environmental Critical Area (ECA)"),ISNA(MATCH($I521,Tables!$B$209:$B$212,0))),
Error!$B$17,
IF(AND(_xlpm.baseRow,$F521="Retain",$E521="ECA / Shoreline Tree",_xlpm.ECA_Short=0),
Error!$B$61,
IF(AND($F521="Remove",ISNUMBER(MATCH($E521,{"Tier 1","Tier 2","Tier 3","Tier 4","Tier 2 Grove"},0)),ISNUMBER(MATCH($I521,{"On-site replacement","Off-site replacement"},0)),$J521="",$H521&lt;&gt;""),
Error!$B$19,
IF(AND(_xlpm.baseRow,$E521&lt;&gt;"",$D521&lt;&gt;"",$F521&lt;&gt;"",COUNTBLANK($B521:$C521)&gt;0,COUNTBLANK(_xlpm.HRange)&lt;&gt;4),
Error!$B$22,
IF(AND($H521="Zoning: Tree Points",$K521&lt;&gt;"",ISNA(MATCH($K521,Tables!$B$242:$B$253,0))),
Error!$B$58,
IF(AND($H521="Zoning: Tree Points",$K521="Small",$L521&lt;&gt;"",ISNA(MATCH($L521,Tables!$C$243:$C$244,0))),
Error!$B$59,
IF(AND($H521="Zoning: Tree Points",$K521="Small/Medium",$L521&lt;&gt;"",ISNA(MATCH($L521,Tables!$C$246:$C$247,0))),
Error!$B$59,
IF(AND($H521="Zoning: Tree Points",$K521="Medium/Large",$L521&lt;&gt;"",ISNA(MATCH($L521,Tables!$C$249:$C$250,0))),
Error!$B$59,
IF(AND($H521="Zoning: Tree Points",$K521="Large",$L521&lt;&gt;"",ISNA(MATCH($L521,Tables!$C$252:$C$253,0))),
Error!$B$59,
IF(AND($F521="Retain",$H521="Zoning: Tree Points",$C521&lt;&gt;"",$D521&lt;&gt;"",OR($K521="",$L521="",$M521="")),
Error!$B$20,
""
)))))))))))))))))))))))))))))))))))))))))))))))))))))))),
Error!$B$23))</f>
        <v/>
      </c>
      <c r="O521" s="343" t="str" cm="1">
        <f t="array" aca="1" ref="O521" ca="1">IFERROR(_xlfn.LET(
    _xlpm.txt, $C521,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22" spans="1:15" ht="15" thickBot="1" x14ac:dyDescent="0.35">
      <c r="A522" s="331"/>
      <c r="B522" s="616" t="str">
        <f t="shared" si="599"/>
        <v/>
      </c>
      <c r="C522" s="617" t="str">
        <f t="shared" si="600"/>
        <v/>
      </c>
      <c r="D522" s="618" t="str">
        <f t="shared" si="601"/>
        <v/>
      </c>
      <c r="E522" s="616" t="str">
        <f t="shared" si="602"/>
        <v/>
      </c>
      <c r="F522" s="616" t="str">
        <f t="shared" si="603"/>
        <v/>
      </c>
      <c r="G522" s="619" t="str">
        <f>IF(Tree_Table1[[#This Row],[Tree Status  &amp;]]="Retain", Tables!$B$237, IF(Tree_Table1[[#This Row],[Tree Status  &amp;]]="Remove", Tables!$B$238, ""))</f>
        <v/>
      </c>
      <c r="H522" s="329"/>
      <c r="I522" s="330"/>
      <c r="J522" s="455"/>
      <c r="K522" s="327" t="str">
        <f>IFERROR(
    IF(
        AND($H522="Zoning: Tree Points", NOT(ISNUMBER(SEARCH("sp.", $C522)))),
        VLOOKUP($C522, 'Tree List'!$C$3:$F$601, 4, FALSE),
        ""
    ),
"")</f>
        <v/>
      </c>
      <c r="L522" s="328" t="str" cm="1">
        <f t="array" ref="L522">IFERROR(
IF(
    AND($H522="Zoning: Tree Points", NOT(ISNUMBER(SEARCH("sp.", $C522)))),
    _xlfn.IFS(
        (COUNTIFS('Tree List'!$C$3:$C$601,$C522,'Tree List'!$D$3:$D$601,"Coniferous")
        + COUNTIFS('Tree List'!$C$3:$C$601,$C522,'Tree List'!$D$3:$D$601,"Deciduous Conifer")) &gt; 0,
            _xlfn.IFS($K522="Small",0.5,$K522="Small/Medium",1,$K522="Medium/Large",1.4,$K522="Large",1.8),
        (COUNTIFS('Tree List'!$C$3:$C$601,$C522,'Tree List'!$D$3:$D$601,"Deciduous")
        + COUNTIFS('Tree List'!$C$3:$C$601,$C522,'Tree List'!$D$3:$D$601,"Broadleaf Evergreen")) &gt; 0,
            _xlfn.IFS($K522="Small",0.4,$K522="Small/Medium",0.8,$K522="Medium/Large",1.2,$K522="Large",1.6)
    ),
    ""
),
"")</f>
        <v/>
      </c>
      <c r="M522" s="476" t="str">
        <f t="shared" si="573"/>
        <v/>
      </c>
      <c r="N522" s="347" t="str" cm="1">
        <f t="array" aca="1" ref="N52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IF(AND(_xlpm.baseRow,ISNA(MATCH($C522,'Tree List'!$C$3:$C$601,0)),SUMPRODUCT(--ISNUMBER(SEARCH(Tables2!$C$677:$C$772,$O522)))&gt;0),
Error!$B$57,
IF(AND(_xlpm.hasDM,$F522="Remove",$H522&lt;&gt;"",OR($I522="On-site replacement",$I522="Off-site replacement",$I522="Payment In Lieu")),
Error!$B$56,
IF(AND(_xlpm.hasDM,$F522="Remove",$H522&lt;&gt;"",$I522="Relocation"),
Error!$B$66,
IF(AND(OR(_xlpm.hasCN,_xlpm.hasPH,_xlpm.hasGR),$H522&lt;&gt;"",COUNTIF(Tables!$B$132:$B$134,$H522)&gt;0,$I522="N/A (No replacement required)"),
Error!$B$62,
IF(AND(_xlpm.baseRow,$E522&lt;&gt;"",ISNA(MATCH($E522,Tables!$B$225:$B$232,0))),
Error!$B$2,
IF(AND(_xlpm.baseRow,$F522&lt;&gt;"",ISNA(MATCH($F522,Tables!$B$234:$B$235,0))),
Error!$B$24,
IF(AND(_xlpm.baseRow,_xlpm.ECA_H&gt;0,_xlpm.Shore_H&gt;0),
Error!$B$16,
IF(AND(_xlpm.baseRow,$E522&lt;&gt;"",$D522=""),
Error!$B$3,
IF(AND(_xlpm.baseRow,OR($E522="Tier 3",$E522="Tier 4"),$C522&lt;&gt;"",$D522&gt;=24,COUNTIF(Tables2!$B$166:$B$674,$C522)&gt;0),
Error!$B$44,
IF(AND(_xlpm.baseRow,OR($E522="Tier 3",$E522="Tier 4"),$C522&lt;&gt;"",$D522&lt;&gt;"",COUNTIF(Tables2!$B$73:$B$152,$C522)&gt;0,
$D522&gt;=IFERROR(INDEX(Tables2!$C$73:$C$152,MATCH($C522,Tables2!$B$73:$B$152,0)),-1)),
Error!$B$44,
IF(AND(_xlpm.baseRow,OR($E522="Tier 2",$E522="Tier 2 Grove"),$C522&lt;&gt;"",$D522&gt;=12,COUNTIF(Tables2!$B$153:$B$162,$C522)&gt;0),
Error!$B$45,
IF(AND(_xlpm.baseRow,$E522="Tier 2 Grove",$D522&lt;12),
Error!$B$41,
IF(AND(_xlpm.baseRow,$E522="Tier 2",$D522&lt;5.88),
Error!$B$40,
IF(AND(_xlpm.baseRow,OR($E522="Tier 2",$E522="Tier 2 Grove"),$C522&lt;&gt;"",$D522&lt;12,$D522&gt;=6,COUNTIF(Tables2!$B$153:$B$162,$C522)&gt;0),
Error!$B$54,
IF(AND(_xlpm.baseRow,$E522="Tier 2",COUNTIF(Tables2!$B$166:$B$674,$C522)&gt;0,$D522&lt;24),
Error!$B$54,
IF(AND(_xlpm.baseRow,$E522="Tier 3",ISNA(MATCH($C522,Tables2!$B$153:$B$162,0)),OR($D522&lt;12,$D522&gt;=24)),
Error!$B$9,
IF(AND(_xlpm.baseRow,$E522="Tier 3",COUNTIF(Tables2!$B$153:$B$162,$C522)&gt;0,$D522&lt;12),
Error!$B$46,
IF(AND(_xlpm.baseRow,$E522="Tier 4",OR($D522&lt;6,$D522&gt;=12)),
Error!$B$10,
IF(AND(_xlpm.baseRow,$E522="&lt;6in DSH for Tree Points",OR($D522&gt;=6,$D522="")),
Error!$B$8,
IF(AND(_xlpm.baseRow,$E522="Street Tree for Green Factor",$F522&lt;&gt;"",$F522&lt;&gt;"Retain"),
Error!$B$14,
IF(AND($E522="&lt;6in DSH for Tree Points",$F522="Retain",$H522&lt;&gt;"",ISNA(MATCH($H522,Tables!$B$174:$B$174,0))),
Error!$B$15,
IF(AND($E522="Street Tree for Green Factor",$F522="Retain",$H522&lt;&gt;"",$H522&lt;&gt;"Zoning: Green Factor"),
Error!$B$15,
IF(AND($E522="ECA / Shoreline Tree",$F522="Remove",$H522&lt;&gt;"",ISNA(MATCH($H522,Tables!$B$189:$B$190,0))),
Error!$B$15,
IF(AND($E522="ECA / Shoreline Tree",$F522="Retain",$H522&lt;&gt;"",ISNA(MATCH($H522,Tables!$B$184:$B$186,0))),
Error!$B$15,
IF(AND($E522="Tier 4",$F522="Remove",$H522&lt;&gt;"",ISNA(MATCH($H522,Tables!$B$171,0))),
Error!$B$15,
IF(AND($E522="Tier 4",$F522="Retain",$H522&lt;&gt;"",ISNA(MATCH($H522,Tables!$B$166:$B$168,0))),
Error!$B$15,
IF(AND($E522="Tier 3",$F522="Retain",$H522&lt;&gt;"",ISNA(MATCH($H522,Tables!$B$158:$B$160,0))),
Error!$B$15,
IF(AND($E522="Tier 3",$F522="Remove",$H522&lt;&gt;"",ISNA(MATCH($H522,Tables!$B$163,0))),
Error!$B$15,
IF(AND(OR($E522="Tier 2",$E522="Tier 2 Grove"),$F522="Remove",$H522&lt;&gt;"",ISNA(MATCH($H522,Tables!$B$153:$B$155,0))),
Error!$B$15,
IF(AND(OR($E522="Tier 2",$E522="Tier 2 Grove"),$F522="Retain",$H522&lt;&gt;"",ISNA(MATCH($H522,Tables!$B$147:$B$150,0))),
Error!$B$15,
IF(AND($E522="Tier 1",$F522="Remove",$H522&lt;&gt;"",ISNA(MATCH($H522,Tables!$B$143:$B$144,0))),
Error!$B$15,
IF(AND($E522="Tier 1",$F522="Retain",$H522&lt;&gt;"",ISNA(MATCH($H522,Tables!$B$137:$B$140,0))),
Error!$B$15,
IF(AND($E522&lt;&gt;"Tier 2",$E522&lt;&gt;"Tier 2 Grove",$E522&lt;&gt;"Tier 3",$E522&lt;&gt;"Tier 4",$H522="Zoning: Green Factor",OR($D522="",$D522&lt;6)),
Error!$B$11,
IF(AND(_xlpm.baseRow,$D522&lt;6,$E522="&lt;6in DSH for Tree Points",_xlpm.TreePoints_H=0),
Error!$B$21,
IF(AND(_xlpm.baseRow,$E522&lt;&gt;"",$D522&lt;&gt;"",$F522=""),
Error!$B$4,
IF(AND(_xlpm.baseRow,$F522="Remove",OR($E522="Tier 1",$E522="Tier 2",$E522="Tier 2 Grove"),COUNTBLANK(_xlpm.HRange)&lt;3,_xlpm.uniqueH&gt;=2),
Error!$B$48,
IF(AND(_xlpm.baseRow,$F522="Retain",OR($E522="Tier 1",$E522="Tier 2",$E522="Tier 2 Grove"),COUNTIF(_xlpm.HRange,"Tree Code: Required to Retain Tier 1-2 Tree")=0),
Error!$B$47,
IF(AND(_xlpm.baseRow,$E522&lt;&gt;"",$D522&lt;&gt;"",$F522&lt;&gt;"",COUNTBLANK(_xlpm.HRange)=4),
Error!$B$5,
IF(AND($F522="Remove",$H522&lt;&gt;"",$I522=""),
Error!$B$18,
IF(AND($E522="Tier 4",$F522="Remove",$H522="Tree Protection Code: Tier 3 or Tier 4 Allowance",$H522&lt;&gt;"",ISNA(MATCH($I522,Tables!$B$200,0))),
Error!$B$17,
IF(AND($E522="Tier 3",$F522="Remove",$H522&lt;&gt;"",$H522="Tree Protection Code: Tier 3 or Tier 4 Allowance",OR($I522="",ISNA(MATCH($I522,Tables!$B$193:$B$197,0)))),
Error!$B$17,
IF(AND(OR($E522="Tier 2",$E522="Tier 2 Grove"),$F522="Remove",$H522="Tree Protection Code: Other removal allowance or exemption",$I522&lt;&gt;"",ISNA(MATCH($I522,Tables!$B$215:$B$218,0))),
Error!$B$17,
IF(AND(OR($E522="Tier 2",$E522="Tier 2 Grove"),$F522="Remove",$H522="Tree Protection Code: Development Capacity",$I522&lt;&gt;"",ISNA(MATCH($I522,Tables!$B$193:$B$197,0))),
Error!$B$17,
IF(AND(OR($E522="Tier 2",$E522="Tier 2 Grove"),$F522="Remove",$H522="Tree Protection Code: Necessary for Construction",$I522&lt;&gt;"",ISNA(MATCH($I522,Tables!$B$193:$B$197,0))),
Error!$B$17,
IF(AND($E522="Tier 1",$F522="Remove",$H522="Tree Protection Code: Special Exception",$I522&lt;&gt;"",ISNA(MATCH($I522,Tables!$B$215:$B$218,0))),
Error!$B$17,
IF(AND($E522="Tier 1",$F522="Remove",$H522="Tree Protection Code: Other removal allowance or exemption",$I522&lt;&gt;"",ISNA(MATCH($I522,Tables!$B$215:$B$218,0))),
Error!$B$17,
IF(AND($E522="ECA / Shoreline Tree",$F522="Remove",$H522&lt;&gt;"",OR($H522="Shoreline",$H522="Environmental Critical Area (ECA)"),ISNA(MATCH($I522,Tables!$B$209:$B$212,0))),
Error!$B$17,
IF(AND(_xlpm.baseRow,$F522="Retain",$E522="ECA / Shoreline Tree",_xlpm.ECA_Short=0),
Error!$B$61,
IF(AND($F522="Remove",ISNUMBER(MATCH($E522,{"Tier 1","Tier 2","Tier 3","Tier 4","Tier 2 Grove"},0)),ISNUMBER(MATCH($I522,{"On-site replacement","Off-site replacement"},0)),$J522="",$H522&lt;&gt;""),
Error!$B$19,
IF(AND(_xlpm.baseRow,$E522&lt;&gt;"",$D522&lt;&gt;"",$F522&lt;&gt;"",COUNTBLANK($B522:$C522)&gt;0,COUNTBLANK(_xlpm.HRange)&lt;&gt;4),
Error!$B$22,
IF(AND($H522="Zoning: Tree Points",$K522&lt;&gt;"",ISNA(MATCH($K522,Tables!$B$242:$B$253,0))),
Error!$B$58,
IF(AND($H522="Zoning: Tree Points",$K522="Small",$L522&lt;&gt;"",ISNA(MATCH($L522,Tables!$C$243:$C$244,0))),
Error!$B$59,
IF(AND($H522="Zoning: Tree Points",$K522="Small/Medium",$L522&lt;&gt;"",ISNA(MATCH($L522,Tables!$C$246:$C$247,0))),
Error!$B$59,
IF(AND($H522="Zoning: Tree Points",$K522="Medium/Large",$L522&lt;&gt;"",ISNA(MATCH($L522,Tables!$C$249:$C$250,0))),
Error!$B$59,
IF(AND($H522="Zoning: Tree Points",$K522="Large",$L522&lt;&gt;"",ISNA(MATCH($L522,Tables!$C$252:$C$253,0))),
Error!$B$59,
IF(AND($F522="Retain",$H522="Zoning: Tree Points",$C522&lt;&gt;"",$D522&lt;&gt;"",OR($K522="",$L522="",$M522="")),
Error!$B$20,
""
)))))))))))))))))))))))))))))))))))))))))))))))))))))))),
Error!$B$23))</f>
        <v/>
      </c>
      <c r="O522" s="343" t="str" cm="1">
        <f t="array" aca="1" ref="O522" ca="1">IFERROR(_xlfn.LET(
    _xlpm.txt, $C522,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23" spans="1:15" ht="15" thickBot="1" x14ac:dyDescent="0.35">
      <c r="A523" s="311">
        <v>129</v>
      </c>
      <c r="B523" s="312"/>
      <c r="C523" s="313"/>
      <c r="D523" s="478"/>
      <c r="E523" s="314"/>
      <c r="F523" s="314"/>
      <c r="G523" s="315" t="str">
        <f>IF(Tree_Table1[[#This Row],[Tree Status  &amp;]]="Retain", Tables!$B$237, IF(Tree_Table1[[#This Row],[Tree Status  &amp;]]="Remove", Tables!$B$238, ""))</f>
        <v/>
      </c>
      <c r="H523" s="316"/>
      <c r="I523" s="317"/>
      <c r="J523" s="452"/>
      <c r="K523" s="318" t="str">
        <f>IFERROR(
    IF(
        AND($H523="Zoning: Tree Points", NOT(ISNUMBER(SEARCH("sp.", $C523)))),
        VLOOKUP($C523, 'Tree List'!$C$3:$F$601, 4, FALSE),
        ""
    ),
"")</f>
        <v/>
      </c>
      <c r="L523" s="319" t="str" cm="1">
        <f t="array" ref="L523">IFERROR(
IF(
    AND($H523="Zoning: Tree Points", NOT(ISNUMBER(SEARCH("sp.", $C523)))),
    _xlfn.IFS(
        (COUNTIFS('Tree List'!$C$3:$C$601,$C523,'Tree List'!$D$3:$D$601,"Coniferous")
        + COUNTIFS('Tree List'!$C$3:$C$601,$C523,'Tree List'!$D$3:$D$601,"Deciduous Conifer")) &gt; 0,
            _xlfn.IFS($K523="Small",0.5,$K523="Small/Medium",1,$K523="Medium/Large",1.4,$K523="Large",1.8),
        (COUNTIFS('Tree List'!$C$3:$C$601,$C523,'Tree List'!$D$3:$D$601,"Deciduous")
        + COUNTIFS('Tree List'!$C$3:$C$601,$C523,'Tree List'!$D$3:$D$601,"Broadleaf Evergreen")) &gt; 0,
            _xlfn.IFS($K523="Small",0.4,$K523="Small/Medium",0.8,$K523="Medium/Large",1.2,$K523="Large",1.6)
    ),
    ""
),
"")</f>
        <v/>
      </c>
      <c r="M523" s="474" t="str">
        <f t="shared" si="573"/>
        <v/>
      </c>
      <c r="N523" s="620" t="str" cm="1">
        <f t="array" aca="1" ref="N52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IF(AND(_xlpm.baseRow,ISNA(MATCH($C523,'Tree List'!$C$3:$C$601,0)),SUMPRODUCT(--ISNUMBER(SEARCH(Tables2!$C$677:$C$772,$O523)))&gt;0),
Error!$B$57,
IF(AND(_xlpm.hasDM,$F523="Remove",$H523&lt;&gt;"",OR($I523="On-site replacement",$I523="Off-site replacement",$I523="Payment In Lieu")),
Error!$B$56,
IF(AND(_xlpm.hasDM,$F523="Remove",$H523&lt;&gt;"",$I523="Relocation"),
Error!$B$66,
IF(AND(OR(_xlpm.hasCN,_xlpm.hasPH,_xlpm.hasGR),$H523&lt;&gt;"",COUNTIF(Tables!$B$132:$B$134,$H523)&gt;0,$I523="N/A (No replacement required)"),
Error!$B$62,
IF(AND(_xlpm.baseRow,$E523&lt;&gt;"",ISNA(MATCH($E523,Tables!$B$225:$B$232,0))),
Error!$B$2,
IF(AND(_xlpm.baseRow,$F523&lt;&gt;"",ISNA(MATCH($F523,Tables!$B$234:$B$235,0))),
Error!$B$24,
IF(AND(_xlpm.baseRow,_xlpm.ECA_H&gt;0,_xlpm.Shore_H&gt;0),
Error!$B$16,
IF(AND(_xlpm.baseRow,$E523&lt;&gt;"",$D523=""),
Error!$B$3,
IF(AND(_xlpm.baseRow,OR($E523="Tier 3",$E523="Tier 4"),$C523&lt;&gt;"",$D523&gt;=24,COUNTIF(Tables2!$B$166:$B$674,$C523)&gt;0),
Error!$B$44,
IF(AND(_xlpm.baseRow,OR($E523="Tier 3",$E523="Tier 4"),$C523&lt;&gt;"",$D523&lt;&gt;"",COUNTIF(Tables2!$B$73:$B$152,$C523)&gt;0,
$D523&gt;=IFERROR(INDEX(Tables2!$C$73:$C$152,MATCH($C523,Tables2!$B$73:$B$152,0)),-1)),
Error!$B$44,
IF(AND(_xlpm.baseRow,OR($E523="Tier 2",$E523="Tier 2 Grove"),$C523&lt;&gt;"",$D523&gt;=12,COUNTIF(Tables2!$B$153:$B$162,$C523)&gt;0),
Error!$B$45,
IF(AND(_xlpm.baseRow,$E523="Tier 2 Grove",$D523&lt;12),
Error!$B$41,
IF(AND(_xlpm.baseRow,$E523="Tier 2",$D523&lt;5.88),
Error!$B$40,
IF(AND(_xlpm.baseRow,OR($E523="Tier 2",$E523="Tier 2 Grove"),$C523&lt;&gt;"",$D523&lt;12,$D523&gt;=6,COUNTIF(Tables2!$B$153:$B$162,$C523)&gt;0),
Error!$B$54,
IF(AND(_xlpm.baseRow,$E523="Tier 2",COUNTIF(Tables2!$B$166:$B$674,$C523)&gt;0,$D523&lt;24),
Error!$B$54,
IF(AND(_xlpm.baseRow,$E523="Tier 3",ISNA(MATCH($C523,Tables2!$B$153:$B$162,0)),OR($D523&lt;12,$D523&gt;=24)),
Error!$B$9,
IF(AND(_xlpm.baseRow,$E523="Tier 3",COUNTIF(Tables2!$B$153:$B$162,$C523)&gt;0,$D523&lt;12),
Error!$B$46,
IF(AND(_xlpm.baseRow,$E523="Tier 4",OR($D523&lt;6,$D523&gt;=12)),
Error!$B$10,
IF(AND(_xlpm.baseRow,$E523="&lt;6in DSH for Tree Points",OR($D523&gt;=6,$D523="")),
Error!$B$8,
IF(AND(_xlpm.baseRow,$E523="Street Tree for Green Factor",$F523&lt;&gt;"",$F523&lt;&gt;"Retain"),
Error!$B$14,
IF(AND($E523="&lt;6in DSH for Tree Points",$F523="Retain",$H523&lt;&gt;"",ISNA(MATCH($H523,Tables!$B$174:$B$174,0))),
Error!$B$15,
IF(AND($E523="Street Tree for Green Factor",$F523="Retain",$H523&lt;&gt;"",$H523&lt;&gt;"Zoning: Green Factor"),
Error!$B$15,
IF(AND($E523="ECA / Shoreline Tree",$F523="Remove",$H523&lt;&gt;"",ISNA(MATCH($H523,Tables!$B$189:$B$190,0))),
Error!$B$15,
IF(AND($E523="ECA / Shoreline Tree",$F523="Retain",$H523&lt;&gt;"",ISNA(MATCH($H523,Tables!$B$184:$B$186,0))),
Error!$B$15,
IF(AND($E523="Tier 4",$F523="Remove",$H523&lt;&gt;"",ISNA(MATCH($H523,Tables!$B$171,0))),
Error!$B$15,
IF(AND($E523="Tier 4",$F523="Retain",$H523&lt;&gt;"",ISNA(MATCH($H523,Tables!$B$166:$B$168,0))),
Error!$B$15,
IF(AND($E523="Tier 3",$F523="Retain",$H523&lt;&gt;"",ISNA(MATCH($H523,Tables!$B$158:$B$160,0))),
Error!$B$15,
IF(AND($E523="Tier 3",$F523="Remove",$H523&lt;&gt;"",ISNA(MATCH($H523,Tables!$B$163,0))),
Error!$B$15,
IF(AND(OR($E523="Tier 2",$E523="Tier 2 Grove"),$F523="Remove",$H523&lt;&gt;"",ISNA(MATCH($H523,Tables!$B$153:$B$155,0))),
Error!$B$15,
IF(AND(OR($E523="Tier 2",$E523="Tier 2 Grove"),$F523="Retain",$H523&lt;&gt;"",ISNA(MATCH($H523,Tables!$B$147:$B$150,0))),
Error!$B$15,
IF(AND($E523="Tier 1",$F523="Remove",$H523&lt;&gt;"",ISNA(MATCH($H523,Tables!$B$143:$B$144,0))),
Error!$B$15,
IF(AND($E523="Tier 1",$F523="Retain",$H523&lt;&gt;"",ISNA(MATCH($H523,Tables!$B$137:$B$140,0))),
Error!$B$15,
IF(AND($E523&lt;&gt;"Tier 2",$E523&lt;&gt;"Tier 2 Grove",$E523&lt;&gt;"Tier 3",$E523&lt;&gt;"Tier 4",$H523="Zoning: Green Factor",OR($D523="",$D523&lt;6)),
Error!$B$11,
IF(AND(_xlpm.baseRow,$D523&lt;6,$E523="&lt;6in DSH for Tree Points",_xlpm.TreePoints_H=0),
Error!$B$21,
IF(AND(_xlpm.baseRow,$E523&lt;&gt;"",$D523&lt;&gt;"",$F523=""),
Error!$B$4,
IF(AND(_xlpm.baseRow,$F523="Remove",OR($E523="Tier 1",$E523="Tier 2",$E523="Tier 2 Grove"),COUNTBLANK(_xlpm.HRange)&lt;3,_xlpm.uniqueH&gt;=2),
Error!$B$48,
IF(AND(_xlpm.baseRow,$F523="Retain",OR($E523="Tier 1",$E523="Tier 2",$E523="Tier 2 Grove"),COUNTIF(_xlpm.HRange,"Tree Code: Required to Retain Tier 1-2 Tree")=0),
Error!$B$47,
IF(AND(_xlpm.baseRow,$E523&lt;&gt;"",$D523&lt;&gt;"",$F523&lt;&gt;"",COUNTBLANK(_xlpm.HRange)=4),
Error!$B$5,
IF(AND($F523="Remove",$H523&lt;&gt;"",$I523=""),
Error!$B$18,
IF(AND($E523="Tier 4",$F523="Remove",$H523="Tree Protection Code: Tier 3 or Tier 4 Allowance",$H523&lt;&gt;"",ISNA(MATCH($I523,Tables!$B$200,0))),
Error!$B$17,
IF(AND($E523="Tier 3",$F523="Remove",$H523&lt;&gt;"",$H523="Tree Protection Code: Tier 3 or Tier 4 Allowance",OR($I523="",ISNA(MATCH($I523,Tables!$B$193:$B$197,0)))),
Error!$B$17,
IF(AND(OR($E523="Tier 2",$E523="Tier 2 Grove"),$F523="Remove",$H523="Tree Protection Code: Other removal allowance or exemption",$I523&lt;&gt;"",ISNA(MATCH($I523,Tables!$B$215:$B$218,0))),
Error!$B$17,
IF(AND(OR($E523="Tier 2",$E523="Tier 2 Grove"),$F523="Remove",$H523="Tree Protection Code: Development Capacity",$I523&lt;&gt;"",ISNA(MATCH($I523,Tables!$B$193:$B$197,0))),
Error!$B$17,
IF(AND(OR($E523="Tier 2",$E523="Tier 2 Grove"),$F523="Remove",$H523="Tree Protection Code: Necessary for Construction",$I523&lt;&gt;"",ISNA(MATCH($I523,Tables!$B$193:$B$197,0))),
Error!$B$17,
IF(AND($E523="Tier 1",$F523="Remove",$H523="Tree Protection Code: Special Exception",$I523&lt;&gt;"",ISNA(MATCH($I523,Tables!$B$215:$B$218,0))),
Error!$B$17,
IF(AND($E523="Tier 1",$F523="Remove",$H523="Tree Protection Code: Other removal allowance or exemption",$I523&lt;&gt;"",ISNA(MATCH($I523,Tables!$B$215:$B$218,0))),
Error!$B$17,
IF(AND($E523="ECA / Shoreline Tree",$F523="Remove",$H523&lt;&gt;"",OR($H523="Shoreline",$H523="Environmental Critical Area (ECA)"),ISNA(MATCH($I523,Tables!$B$209:$B$212,0))),
Error!$B$17,
IF(AND(_xlpm.baseRow,$F523="Retain",$E523="ECA / Shoreline Tree",_xlpm.ECA_Short=0),
Error!$B$61,
IF(AND($F523="Remove",ISNUMBER(MATCH($E523,{"Tier 1","Tier 2","Tier 3","Tier 4","Tier 2 Grove"},0)),ISNUMBER(MATCH($I523,{"On-site replacement","Off-site replacement"},0)),$J523="",$H523&lt;&gt;""),
Error!$B$19,
IF(AND(_xlpm.baseRow,$E523&lt;&gt;"",$D523&lt;&gt;"",$F523&lt;&gt;"",COUNTBLANK($B523:$C523)&gt;0,COUNTBLANK(_xlpm.HRange)&lt;&gt;4),
Error!$B$22,
IF(AND($H523="Zoning: Tree Points",$K523&lt;&gt;"",ISNA(MATCH($K523,Tables!$B$242:$B$253,0))),
Error!$B$58,
IF(AND($H523="Zoning: Tree Points",$K523="Small",$L523&lt;&gt;"",ISNA(MATCH($L523,Tables!$C$243:$C$244,0))),
Error!$B$59,
IF(AND($H523="Zoning: Tree Points",$K523="Small/Medium",$L523&lt;&gt;"",ISNA(MATCH($L523,Tables!$C$246:$C$247,0))),
Error!$B$59,
IF(AND($H523="Zoning: Tree Points",$K523="Medium/Large",$L523&lt;&gt;"",ISNA(MATCH($L523,Tables!$C$249:$C$250,0))),
Error!$B$59,
IF(AND($H523="Zoning: Tree Points",$K523="Large",$L523&lt;&gt;"",ISNA(MATCH($L523,Tables!$C$252:$C$253,0))),
Error!$B$59,
IF(AND($F523="Retain",$H523="Zoning: Tree Points",$C523&lt;&gt;"",$D523&lt;&gt;"",OR($K523="",$L523="",$M523="")),
Error!$B$20,
""
)))))))))))))))))))))))))))))))))))))))))))))))))))))))),
Error!$B$23))</f>
        <v/>
      </c>
      <c r="O523" s="343" t="str" cm="1">
        <f t="array" aca="1" ref="O523" ca="1">IFERROR(_xlfn.LET(
    _xlpm.txt, $C523,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24" spans="1:15" x14ac:dyDescent="0.3">
      <c r="A524" s="320"/>
      <c r="B524" s="616" t="str">
        <f t="shared" ref="B524:B526" si="604">IF($B523="", "", $B523)</f>
        <v/>
      </c>
      <c r="C524" s="617" t="str">
        <f t="shared" ref="C524:C526" si="605">IF($C523="", "", $C523)</f>
        <v/>
      </c>
      <c r="D524" s="618" t="str">
        <f t="shared" ref="D524:D526" si="606">IF($D523="", "", $D523)</f>
        <v/>
      </c>
      <c r="E524" s="616" t="str">
        <f t="shared" ref="E524:E526" si="607">IF($E523="", "", $E523)</f>
        <v/>
      </c>
      <c r="F524" s="616" t="str">
        <f t="shared" ref="F524:F526" si="608">IF($F523="", "", $F523)</f>
        <v/>
      </c>
      <c r="G524" s="619" t="str">
        <f>IF(Tree_Table1[[#This Row],[Tree Status  &amp;]]="Retain", Tables!$B$237, IF(Tree_Table1[[#This Row],[Tree Status  &amp;]]="Remove", Tables!$B$238, ""))</f>
        <v/>
      </c>
      <c r="H524" s="321"/>
      <c r="I524" s="322"/>
      <c r="J524" s="453"/>
      <c r="K524" s="323" t="str">
        <f>IFERROR(
    IF(
        AND($H524="Zoning: Tree Points", NOT(ISNUMBER(SEARCH("sp.", $C524)))),
        VLOOKUP($C524, 'Tree List'!$C$3:$F$601, 4, FALSE),
        ""
    ),
"")</f>
        <v/>
      </c>
      <c r="L524" s="324" t="str" cm="1">
        <f t="array" ref="L524">IFERROR(
IF(
    AND($H524="Zoning: Tree Points", NOT(ISNUMBER(SEARCH("sp.", $C524)))),
    _xlfn.IFS(
        (COUNTIFS('Tree List'!$C$3:$C$601,$C524,'Tree List'!$D$3:$D$601,"Coniferous")
        + COUNTIFS('Tree List'!$C$3:$C$601,$C524,'Tree List'!$D$3:$D$601,"Deciduous Conifer")) &gt; 0,
            _xlfn.IFS($K524="Small",0.5,$K524="Small/Medium",1,$K524="Medium/Large",1.4,$K524="Large",1.8),
        (COUNTIFS('Tree List'!$C$3:$C$601,$C524,'Tree List'!$D$3:$D$601,"Deciduous")
        + COUNTIFS('Tree List'!$C$3:$C$601,$C524,'Tree List'!$D$3:$D$601,"Broadleaf Evergreen")) &gt; 0,
            _xlfn.IFS($K524="Small",0.4,$K524="Small/Medium",0.8,$K524="Medium/Large",1.2,$K524="Large",1.6)
    ),
    ""
),
"")</f>
        <v/>
      </c>
      <c r="M524" s="475" t="str">
        <f t="shared" si="573"/>
        <v/>
      </c>
      <c r="N524" s="346" t="str" cm="1">
        <f t="array" aca="1" ref="N52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IF(AND(_xlpm.baseRow,ISNA(MATCH($C524,'Tree List'!$C$3:$C$601,0)),SUMPRODUCT(--ISNUMBER(SEARCH(Tables2!$C$677:$C$772,$O524)))&gt;0),
Error!$B$57,
IF(AND(_xlpm.hasDM,$F524="Remove",$H524&lt;&gt;"",OR($I524="On-site replacement",$I524="Off-site replacement",$I524="Payment In Lieu")),
Error!$B$56,
IF(AND(_xlpm.hasDM,$F524="Remove",$H524&lt;&gt;"",$I524="Relocation"),
Error!$B$66,
IF(AND(OR(_xlpm.hasCN,_xlpm.hasPH,_xlpm.hasGR),$H524&lt;&gt;"",COUNTIF(Tables!$B$132:$B$134,$H524)&gt;0,$I524="N/A (No replacement required)"),
Error!$B$62,
IF(AND(_xlpm.baseRow,$E524&lt;&gt;"",ISNA(MATCH($E524,Tables!$B$225:$B$232,0))),
Error!$B$2,
IF(AND(_xlpm.baseRow,$F524&lt;&gt;"",ISNA(MATCH($F524,Tables!$B$234:$B$235,0))),
Error!$B$24,
IF(AND(_xlpm.baseRow,_xlpm.ECA_H&gt;0,_xlpm.Shore_H&gt;0),
Error!$B$16,
IF(AND(_xlpm.baseRow,$E524&lt;&gt;"",$D524=""),
Error!$B$3,
IF(AND(_xlpm.baseRow,OR($E524="Tier 3",$E524="Tier 4"),$C524&lt;&gt;"",$D524&gt;=24,COUNTIF(Tables2!$B$166:$B$674,$C524)&gt;0),
Error!$B$44,
IF(AND(_xlpm.baseRow,OR($E524="Tier 3",$E524="Tier 4"),$C524&lt;&gt;"",$D524&lt;&gt;"",COUNTIF(Tables2!$B$73:$B$152,$C524)&gt;0,
$D524&gt;=IFERROR(INDEX(Tables2!$C$73:$C$152,MATCH($C524,Tables2!$B$73:$B$152,0)),-1)),
Error!$B$44,
IF(AND(_xlpm.baseRow,OR($E524="Tier 2",$E524="Tier 2 Grove"),$C524&lt;&gt;"",$D524&gt;=12,COUNTIF(Tables2!$B$153:$B$162,$C524)&gt;0),
Error!$B$45,
IF(AND(_xlpm.baseRow,$E524="Tier 2 Grove",$D524&lt;12),
Error!$B$41,
IF(AND(_xlpm.baseRow,$E524="Tier 2",$D524&lt;5.88),
Error!$B$40,
IF(AND(_xlpm.baseRow,OR($E524="Tier 2",$E524="Tier 2 Grove"),$C524&lt;&gt;"",$D524&lt;12,$D524&gt;=6,COUNTIF(Tables2!$B$153:$B$162,$C524)&gt;0),
Error!$B$54,
IF(AND(_xlpm.baseRow,$E524="Tier 2",COUNTIF(Tables2!$B$166:$B$674,$C524)&gt;0,$D524&lt;24),
Error!$B$54,
IF(AND(_xlpm.baseRow,$E524="Tier 3",ISNA(MATCH($C524,Tables2!$B$153:$B$162,0)),OR($D524&lt;12,$D524&gt;=24)),
Error!$B$9,
IF(AND(_xlpm.baseRow,$E524="Tier 3",COUNTIF(Tables2!$B$153:$B$162,$C524)&gt;0,$D524&lt;12),
Error!$B$46,
IF(AND(_xlpm.baseRow,$E524="Tier 4",OR($D524&lt;6,$D524&gt;=12)),
Error!$B$10,
IF(AND(_xlpm.baseRow,$E524="&lt;6in DSH for Tree Points",OR($D524&gt;=6,$D524="")),
Error!$B$8,
IF(AND(_xlpm.baseRow,$E524="Street Tree for Green Factor",$F524&lt;&gt;"",$F524&lt;&gt;"Retain"),
Error!$B$14,
IF(AND($E524="&lt;6in DSH for Tree Points",$F524="Retain",$H524&lt;&gt;"",ISNA(MATCH($H524,Tables!$B$174:$B$174,0))),
Error!$B$15,
IF(AND($E524="Street Tree for Green Factor",$F524="Retain",$H524&lt;&gt;"",$H524&lt;&gt;"Zoning: Green Factor"),
Error!$B$15,
IF(AND($E524="ECA / Shoreline Tree",$F524="Remove",$H524&lt;&gt;"",ISNA(MATCH($H524,Tables!$B$189:$B$190,0))),
Error!$B$15,
IF(AND($E524="ECA / Shoreline Tree",$F524="Retain",$H524&lt;&gt;"",ISNA(MATCH($H524,Tables!$B$184:$B$186,0))),
Error!$B$15,
IF(AND($E524="Tier 4",$F524="Remove",$H524&lt;&gt;"",ISNA(MATCH($H524,Tables!$B$171,0))),
Error!$B$15,
IF(AND($E524="Tier 4",$F524="Retain",$H524&lt;&gt;"",ISNA(MATCH($H524,Tables!$B$166:$B$168,0))),
Error!$B$15,
IF(AND($E524="Tier 3",$F524="Retain",$H524&lt;&gt;"",ISNA(MATCH($H524,Tables!$B$158:$B$160,0))),
Error!$B$15,
IF(AND($E524="Tier 3",$F524="Remove",$H524&lt;&gt;"",ISNA(MATCH($H524,Tables!$B$163,0))),
Error!$B$15,
IF(AND(OR($E524="Tier 2",$E524="Tier 2 Grove"),$F524="Remove",$H524&lt;&gt;"",ISNA(MATCH($H524,Tables!$B$153:$B$155,0))),
Error!$B$15,
IF(AND(OR($E524="Tier 2",$E524="Tier 2 Grove"),$F524="Retain",$H524&lt;&gt;"",ISNA(MATCH($H524,Tables!$B$147:$B$150,0))),
Error!$B$15,
IF(AND($E524="Tier 1",$F524="Remove",$H524&lt;&gt;"",ISNA(MATCH($H524,Tables!$B$143:$B$144,0))),
Error!$B$15,
IF(AND($E524="Tier 1",$F524="Retain",$H524&lt;&gt;"",ISNA(MATCH($H524,Tables!$B$137:$B$140,0))),
Error!$B$15,
IF(AND($E524&lt;&gt;"Tier 2",$E524&lt;&gt;"Tier 2 Grove",$E524&lt;&gt;"Tier 3",$E524&lt;&gt;"Tier 4",$H524="Zoning: Green Factor",OR($D524="",$D524&lt;6)),
Error!$B$11,
IF(AND(_xlpm.baseRow,$D524&lt;6,$E524="&lt;6in DSH for Tree Points",_xlpm.TreePoints_H=0),
Error!$B$21,
IF(AND(_xlpm.baseRow,$E524&lt;&gt;"",$D524&lt;&gt;"",$F524=""),
Error!$B$4,
IF(AND(_xlpm.baseRow,$F524="Remove",OR($E524="Tier 1",$E524="Tier 2",$E524="Tier 2 Grove"),COUNTBLANK(_xlpm.HRange)&lt;3,_xlpm.uniqueH&gt;=2),
Error!$B$48,
IF(AND(_xlpm.baseRow,$F524="Retain",OR($E524="Tier 1",$E524="Tier 2",$E524="Tier 2 Grove"),COUNTIF(_xlpm.HRange,"Tree Code: Required to Retain Tier 1-2 Tree")=0),
Error!$B$47,
IF(AND(_xlpm.baseRow,$E524&lt;&gt;"",$D524&lt;&gt;"",$F524&lt;&gt;"",COUNTBLANK(_xlpm.HRange)=4),
Error!$B$5,
IF(AND($F524="Remove",$H524&lt;&gt;"",$I524=""),
Error!$B$18,
IF(AND($E524="Tier 4",$F524="Remove",$H524="Tree Protection Code: Tier 3 or Tier 4 Allowance",$H524&lt;&gt;"",ISNA(MATCH($I524,Tables!$B$200,0))),
Error!$B$17,
IF(AND($E524="Tier 3",$F524="Remove",$H524&lt;&gt;"",$H524="Tree Protection Code: Tier 3 or Tier 4 Allowance",OR($I524="",ISNA(MATCH($I524,Tables!$B$193:$B$197,0)))),
Error!$B$17,
IF(AND(OR($E524="Tier 2",$E524="Tier 2 Grove"),$F524="Remove",$H524="Tree Protection Code: Other removal allowance or exemption",$I524&lt;&gt;"",ISNA(MATCH($I524,Tables!$B$215:$B$218,0))),
Error!$B$17,
IF(AND(OR($E524="Tier 2",$E524="Tier 2 Grove"),$F524="Remove",$H524="Tree Protection Code: Development Capacity",$I524&lt;&gt;"",ISNA(MATCH($I524,Tables!$B$193:$B$197,0))),
Error!$B$17,
IF(AND(OR($E524="Tier 2",$E524="Tier 2 Grove"),$F524="Remove",$H524="Tree Protection Code: Necessary for Construction",$I524&lt;&gt;"",ISNA(MATCH($I524,Tables!$B$193:$B$197,0))),
Error!$B$17,
IF(AND($E524="Tier 1",$F524="Remove",$H524="Tree Protection Code: Special Exception",$I524&lt;&gt;"",ISNA(MATCH($I524,Tables!$B$215:$B$218,0))),
Error!$B$17,
IF(AND($E524="Tier 1",$F524="Remove",$H524="Tree Protection Code: Other removal allowance or exemption",$I524&lt;&gt;"",ISNA(MATCH($I524,Tables!$B$215:$B$218,0))),
Error!$B$17,
IF(AND($E524="ECA / Shoreline Tree",$F524="Remove",$H524&lt;&gt;"",OR($H524="Shoreline",$H524="Environmental Critical Area (ECA)"),ISNA(MATCH($I524,Tables!$B$209:$B$212,0))),
Error!$B$17,
IF(AND(_xlpm.baseRow,$F524="Retain",$E524="ECA / Shoreline Tree",_xlpm.ECA_Short=0),
Error!$B$61,
IF(AND($F524="Remove",ISNUMBER(MATCH($E524,{"Tier 1","Tier 2","Tier 3","Tier 4","Tier 2 Grove"},0)),ISNUMBER(MATCH($I524,{"On-site replacement","Off-site replacement"},0)),$J524="",$H524&lt;&gt;""),
Error!$B$19,
IF(AND(_xlpm.baseRow,$E524&lt;&gt;"",$D524&lt;&gt;"",$F524&lt;&gt;"",COUNTBLANK($B524:$C524)&gt;0,COUNTBLANK(_xlpm.HRange)&lt;&gt;4),
Error!$B$22,
IF(AND($H524="Zoning: Tree Points",$K524&lt;&gt;"",ISNA(MATCH($K524,Tables!$B$242:$B$253,0))),
Error!$B$58,
IF(AND($H524="Zoning: Tree Points",$K524="Small",$L524&lt;&gt;"",ISNA(MATCH($L524,Tables!$C$243:$C$244,0))),
Error!$B$59,
IF(AND($H524="Zoning: Tree Points",$K524="Small/Medium",$L524&lt;&gt;"",ISNA(MATCH($L524,Tables!$C$246:$C$247,0))),
Error!$B$59,
IF(AND($H524="Zoning: Tree Points",$K524="Medium/Large",$L524&lt;&gt;"",ISNA(MATCH($L524,Tables!$C$249:$C$250,0))),
Error!$B$59,
IF(AND($H524="Zoning: Tree Points",$K524="Large",$L524&lt;&gt;"",ISNA(MATCH($L524,Tables!$C$252:$C$253,0))),
Error!$B$59,
IF(AND($F524="Retain",$H524="Zoning: Tree Points",$C524&lt;&gt;"",$D524&lt;&gt;"",OR($K524="",$L524="",$M524="")),
Error!$B$20,
""
)))))))))))))))))))))))))))))))))))))))))))))))))))))))),
Error!$B$23))</f>
        <v/>
      </c>
      <c r="O524" s="343" t="str" cm="1">
        <f t="array" aca="1" ref="O524" ca="1">IFERROR(_xlfn.LET(
    _xlpm.txt, $C524,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25" spans="1:15" x14ac:dyDescent="0.3">
      <c r="A525" s="320"/>
      <c r="B525" s="616" t="str">
        <f t="shared" si="604"/>
        <v/>
      </c>
      <c r="C525" s="617" t="str">
        <f t="shared" si="605"/>
        <v/>
      </c>
      <c r="D525" s="618" t="str">
        <f t="shared" si="606"/>
        <v/>
      </c>
      <c r="E525" s="616" t="str">
        <f t="shared" si="607"/>
        <v/>
      </c>
      <c r="F525" s="616" t="str">
        <f t="shared" si="608"/>
        <v/>
      </c>
      <c r="G525" s="619" t="str">
        <f>IF(Tree_Table1[[#This Row],[Tree Status  &amp;]]="Retain", Tables!$B$237, IF(Tree_Table1[[#This Row],[Tree Status  &amp;]]="Remove", Tables!$B$238, ""))</f>
        <v/>
      </c>
      <c r="H525" s="321"/>
      <c r="I525" s="322"/>
      <c r="J525" s="453"/>
      <c r="K525" s="323" t="str">
        <f>IFERROR(
    IF(
        AND($H525="Zoning: Tree Points", NOT(ISNUMBER(SEARCH("sp.", $C525)))),
        VLOOKUP($C525, 'Tree List'!$C$3:$F$601, 4, FALSE),
        ""
    ),
"")</f>
        <v/>
      </c>
      <c r="L525" s="324" t="str" cm="1">
        <f t="array" ref="L525">IFERROR(
IF(
    AND($H525="Zoning: Tree Points", NOT(ISNUMBER(SEARCH("sp.", $C525)))),
    _xlfn.IFS(
        (COUNTIFS('Tree List'!$C$3:$C$601,$C525,'Tree List'!$D$3:$D$601,"Coniferous")
        + COUNTIFS('Tree List'!$C$3:$C$601,$C525,'Tree List'!$D$3:$D$601,"Deciduous Conifer")) &gt; 0,
            _xlfn.IFS($K525="Small",0.5,$K525="Small/Medium",1,$K525="Medium/Large",1.4,$K525="Large",1.8),
        (COUNTIFS('Tree List'!$C$3:$C$601,$C525,'Tree List'!$D$3:$D$601,"Deciduous")
        + COUNTIFS('Tree List'!$C$3:$C$601,$C525,'Tree List'!$D$3:$D$601,"Broadleaf Evergreen")) &gt; 0,
            _xlfn.IFS($K525="Small",0.4,$K525="Small/Medium",0.8,$K525="Medium/Large",1.2,$K525="Large",1.6)
    ),
    ""
),
"")</f>
        <v/>
      </c>
      <c r="M525" s="475" t="str">
        <f t="shared" si="573"/>
        <v/>
      </c>
      <c r="N525" s="346" t="str" cm="1">
        <f t="array" aca="1" ref="N52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IF(AND(_xlpm.baseRow,ISNA(MATCH($C525,'Tree List'!$C$3:$C$601,0)),SUMPRODUCT(--ISNUMBER(SEARCH(Tables2!$C$677:$C$772,$O525)))&gt;0),
Error!$B$57,
IF(AND(_xlpm.hasDM,$F525="Remove",$H525&lt;&gt;"",OR($I525="On-site replacement",$I525="Off-site replacement",$I525="Payment In Lieu")),
Error!$B$56,
IF(AND(_xlpm.hasDM,$F525="Remove",$H525&lt;&gt;"",$I525="Relocation"),
Error!$B$66,
IF(AND(OR(_xlpm.hasCN,_xlpm.hasPH,_xlpm.hasGR),$H525&lt;&gt;"",COUNTIF(Tables!$B$132:$B$134,$H525)&gt;0,$I525="N/A (No replacement required)"),
Error!$B$62,
IF(AND(_xlpm.baseRow,$E525&lt;&gt;"",ISNA(MATCH($E525,Tables!$B$225:$B$232,0))),
Error!$B$2,
IF(AND(_xlpm.baseRow,$F525&lt;&gt;"",ISNA(MATCH($F525,Tables!$B$234:$B$235,0))),
Error!$B$24,
IF(AND(_xlpm.baseRow,_xlpm.ECA_H&gt;0,_xlpm.Shore_H&gt;0),
Error!$B$16,
IF(AND(_xlpm.baseRow,$E525&lt;&gt;"",$D525=""),
Error!$B$3,
IF(AND(_xlpm.baseRow,OR($E525="Tier 3",$E525="Tier 4"),$C525&lt;&gt;"",$D525&gt;=24,COUNTIF(Tables2!$B$166:$B$674,$C525)&gt;0),
Error!$B$44,
IF(AND(_xlpm.baseRow,OR($E525="Tier 3",$E525="Tier 4"),$C525&lt;&gt;"",$D525&lt;&gt;"",COUNTIF(Tables2!$B$73:$B$152,$C525)&gt;0,
$D525&gt;=IFERROR(INDEX(Tables2!$C$73:$C$152,MATCH($C525,Tables2!$B$73:$B$152,0)),-1)),
Error!$B$44,
IF(AND(_xlpm.baseRow,OR($E525="Tier 2",$E525="Tier 2 Grove"),$C525&lt;&gt;"",$D525&gt;=12,COUNTIF(Tables2!$B$153:$B$162,$C525)&gt;0),
Error!$B$45,
IF(AND(_xlpm.baseRow,$E525="Tier 2 Grove",$D525&lt;12),
Error!$B$41,
IF(AND(_xlpm.baseRow,$E525="Tier 2",$D525&lt;5.88),
Error!$B$40,
IF(AND(_xlpm.baseRow,OR($E525="Tier 2",$E525="Tier 2 Grove"),$C525&lt;&gt;"",$D525&lt;12,$D525&gt;=6,COUNTIF(Tables2!$B$153:$B$162,$C525)&gt;0),
Error!$B$54,
IF(AND(_xlpm.baseRow,$E525="Tier 2",COUNTIF(Tables2!$B$166:$B$674,$C525)&gt;0,$D525&lt;24),
Error!$B$54,
IF(AND(_xlpm.baseRow,$E525="Tier 3",ISNA(MATCH($C525,Tables2!$B$153:$B$162,0)),OR($D525&lt;12,$D525&gt;=24)),
Error!$B$9,
IF(AND(_xlpm.baseRow,$E525="Tier 3",COUNTIF(Tables2!$B$153:$B$162,$C525)&gt;0,$D525&lt;12),
Error!$B$46,
IF(AND(_xlpm.baseRow,$E525="Tier 4",OR($D525&lt;6,$D525&gt;=12)),
Error!$B$10,
IF(AND(_xlpm.baseRow,$E525="&lt;6in DSH for Tree Points",OR($D525&gt;=6,$D525="")),
Error!$B$8,
IF(AND(_xlpm.baseRow,$E525="Street Tree for Green Factor",$F525&lt;&gt;"",$F525&lt;&gt;"Retain"),
Error!$B$14,
IF(AND($E525="&lt;6in DSH for Tree Points",$F525="Retain",$H525&lt;&gt;"",ISNA(MATCH($H525,Tables!$B$174:$B$174,0))),
Error!$B$15,
IF(AND($E525="Street Tree for Green Factor",$F525="Retain",$H525&lt;&gt;"",$H525&lt;&gt;"Zoning: Green Factor"),
Error!$B$15,
IF(AND($E525="ECA / Shoreline Tree",$F525="Remove",$H525&lt;&gt;"",ISNA(MATCH($H525,Tables!$B$189:$B$190,0))),
Error!$B$15,
IF(AND($E525="ECA / Shoreline Tree",$F525="Retain",$H525&lt;&gt;"",ISNA(MATCH($H525,Tables!$B$184:$B$186,0))),
Error!$B$15,
IF(AND($E525="Tier 4",$F525="Remove",$H525&lt;&gt;"",ISNA(MATCH($H525,Tables!$B$171,0))),
Error!$B$15,
IF(AND($E525="Tier 4",$F525="Retain",$H525&lt;&gt;"",ISNA(MATCH($H525,Tables!$B$166:$B$168,0))),
Error!$B$15,
IF(AND($E525="Tier 3",$F525="Retain",$H525&lt;&gt;"",ISNA(MATCH($H525,Tables!$B$158:$B$160,0))),
Error!$B$15,
IF(AND($E525="Tier 3",$F525="Remove",$H525&lt;&gt;"",ISNA(MATCH($H525,Tables!$B$163,0))),
Error!$B$15,
IF(AND(OR($E525="Tier 2",$E525="Tier 2 Grove"),$F525="Remove",$H525&lt;&gt;"",ISNA(MATCH($H525,Tables!$B$153:$B$155,0))),
Error!$B$15,
IF(AND(OR($E525="Tier 2",$E525="Tier 2 Grove"),$F525="Retain",$H525&lt;&gt;"",ISNA(MATCH($H525,Tables!$B$147:$B$150,0))),
Error!$B$15,
IF(AND($E525="Tier 1",$F525="Remove",$H525&lt;&gt;"",ISNA(MATCH($H525,Tables!$B$143:$B$144,0))),
Error!$B$15,
IF(AND($E525="Tier 1",$F525="Retain",$H525&lt;&gt;"",ISNA(MATCH($H525,Tables!$B$137:$B$140,0))),
Error!$B$15,
IF(AND($E525&lt;&gt;"Tier 2",$E525&lt;&gt;"Tier 2 Grove",$E525&lt;&gt;"Tier 3",$E525&lt;&gt;"Tier 4",$H525="Zoning: Green Factor",OR($D525="",$D525&lt;6)),
Error!$B$11,
IF(AND(_xlpm.baseRow,$D525&lt;6,$E525="&lt;6in DSH for Tree Points",_xlpm.TreePoints_H=0),
Error!$B$21,
IF(AND(_xlpm.baseRow,$E525&lt;&gt;"",$D525&lt;&gt;"",$F525=""),
Error!$B$4,
IF(AND(_xlpm.baseRow,$F525="Remove",OR($E525="Tier 1",$E525="Tier 2",$E525="Tier 2 Grove"),COUNTBLANK(_xlpm.HRange)&lt;3,_xlpm.uniqueH&gt;=2),
Error!$B$48,
IF(AND(_xlpm.baseRow,$F525="Retain",OR($E525="Tier 1",$E525="Tier 2",$E525="Tier 2 Grove"),COUNTIF(_xlpm.HRange,"Tree Code: Required to Retain Tier 1-2 Tree")=0),
Error!$B$47,
IF(AND(_xlpm.baseRow,$E525&lt;&gt;"",$D525&lt;&gt;"",$F525&lt;&gt;"",COUNTBLANK(_xlpm.HRange)=4),
Error!$B$5,
IF(AND($F525="Remove",$H525&lt;&gt;"",$I525=""),
Error!$B$18,
IF(AND($E525="Tier 4",$F525="Remove",$H525="Tree Protection Code: Tier 3 or Tier 4 Allowance",$H525&lt;&gt;"",ISNA(MATCH($I525,Tables!$B$200,0))),
Error!$B$17,
IF(AND($E525="Tier 3",$F525="Remove",$H525&lt;&gt;"",$H525="Tree Protection Code: Tier 3 or Tier 4 Allowance",OR($I525="",ISNA(MATCH($I525,Tables!$B$193:$B$197,0)))),
Error!$B$17,
IF(AND(OR($E525="Tier 2",$E525="Tier 2 Grove"),$F525="Remove",$H525="Tree Protection Code: Other removal allowance or exemption",$I525&lt;&gt;"",ISNA(MATCH($I525,Tables!$B$215:$B$218,0))),
Error!$B$17,
IF(AND(OR($E525="Tier 2",$E525="Tier 2 Grove"),$F525="Remove",$H525="Tree Protection Code: Development Capacity",$I525&lt;&gt;"",ISNA(MATCH($I525,Tables!$B$193:$B$197,0))),
Error!$B$17,
IF(AND(OR($E525="Tier 2",$E525="Tier 2 Grove"),$F525="Remove",$H525="Tree Protection Code: Necessary for Construction",$I525&lt;&gt;"",ISNA(MATCH($I525,Tables!$B$193:$B$197,0))),
Error!$B$17,
IF(AND($E525="Tier 1",$F525="Remove",$H525="Tree Protection Code: Special Exception",$I525&lt;&gt;"",ISNA(MATCH($I525,Tables!$B$215:$B$218,0))),
Error!$B$17,
IF(AND($E525="Tier 1",$F525="Remove",$H525="Tree Protection Code: Other removal allowance or exemption",$I525&lt;&gt;"",ISNA(MATCH($I525,Tables!$B$215:$B$218,0))),
Error!$B$17,
IF(AND($E525="ECA / Shoreline Tree",$F525="Remove",$H525&lt;&gt;"",OR($H525="Shoreline",$H525="Environmental Critical Area (ECA)"),ISNA(MATCH($I525,Tables!$B$209:$B$212,0))),
Error!$B$17,
IF(AND(_xlpm.baseRow,$F525="Retain",$E525="ECA / Shoreline Tree",_xlpm.ECA_Short=0),
Error!$B$61,
IF(AND($F525="Remove",ISNUMBER(MATCH($E525,{"Tier 1","Tier 2","Tier 3","Tier 4","Tier 2 Grove"},0)),ISNUMBER(MATCH($I525,{"On-site replacement","Off-site replacement"},0)),$J525="",$H525&lt;&gt;""),
Error!$B$19,
IF(AND(_xlpm.baseRow,$E525&lt;&gt;"",$D525&lt;&gt;"",$F525&lt;&gt;"",COUNTBLANK($B525:$C525)&gt;0,COUNTBLANK(_xlpm.HRange)&lt;&gt;4),
Error!$B$22,
IF(AND($H525="Zoning: Tree Points",$K525&lt;&gt;"",ISNA(MATCH($K525,Tables!$B$242:$B$253,0))),
Error!$B$58,
IF(AND($H525="Zoning: Tree Points",$K525="Small",$L525&lt;&gt;"",ISNA(MATCH($L525,Tables!$C$243:$C$244,0))),
Error!$B$59,
IF(AND($H525="Zoning: Tree Points",$K525="Small/Medium",$L525&lt;&gt;"",ISNA(MATCH($L525,Tables!$C$246:$C$247,0))),
Error!$B$59,
IF(AND($H525="Zoning: Tree Points",$K525="Medium/Large",$L525&lt;&gt;"",ISNA(MATCH($L525,Tables!$C$249:$C$250,0))),
Error!$B$59,
IF(AND($H525="Zoning: Tree Points",$K525="Large",$L525&lt;&gt;"",ISNA(MATCH($L525,Tables!$C$252:$C$253,0))),
Error!$B$59,
IF(AND($F525="Retain",$H525="Zoning: Tree Points",$C525&lt;&gt;"",$D525&lt;&gt;"",OR($K525="",$L525="",$M525="")),
Error!$B$20,
""
)))))))))))))))))))))))))))))))))))))))))))))))))))))))),
Error!$B$23))</f>
        <v/>
      </c>
      <c r="O525" s="343" t="str" cm="1">
        <f t="array" aca="1" ref="O525" ca="1">IFERROR(_xlfn.LET(
    _xlpm.txt, $C525,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26" spans="1:15" ht="15" thickBot="1" x14ac:dyDescent="0.35">
      <c r="A526" s="331"/>
      <c r="B526" s="616" t="str">
        <f t="shared" si="604"/>
        <v/>
      </c>
      <c r="C526" s="617" t="str">
        <f t="shared" si="605"/>
        <v/>
      </c>
      <c r="D526" s="618" t="str">
        <f t="shared" si="606"/>
        <v/>
      </c>
      <c r="E526" s="616" t="str">
        <f t="shared" si="607"/>
        <v/>
      </c>
      <c r="F526" s="616" t="str">
        <f t="shared" si="608"/>
        <v/>
      </c>
      <c r="G526" s="619" t="str">
        <f>IF(Tree_Table1[[#This Row],[Tree Status  &amp;]]="Retain", Tables!$B$237, IF(Tree_Table1[[#This Row],[Tree Status  &amp;]]="Remove", Tables!$B$238, ""))</f>
        <v/>
      </c>
      <c r="H526" s="329"/>
      <c r="I526" s="330"/>
      <c r="J526" s="455"/>
      <c r="K526" s="327" t="str">
        <f>IFERROR(
    IF(
        AND($H526="Zoning: Tree Points", NOT(ISNUMBER(SEARCH("sp.", $C526)))),
        VLOOKUP($C526, 'Tree List'!$C$3:$F$601, 4, FALSE),
        ""
    ),
"")</f>
        <v/>
      </c>
      <c r="L526" s="328" t="str" cm="1">
        <f t="array" ref="L526">IFERROR(
IF(
    AND($H526="Zoning: Tree Points", NOT(ISNUMBER(SEARCH("sp.", $C526)))),
    _xlfn.IFS(
        (COUNTIFS('Tree List'!$C$3:$C$601,$C526,'Tree List'!$D$3:$D$601,"Coniferous")
        + COUNTIFS('Tree List'!$C$3:$C$601,$C526,'Tree List'!$D$3:$D$601,"Deciduous Conifer")) &gt; 0,
            _xlfn.IFS($K526="Small",0.5,$K526="Small/Medium",1,$K526="Medium/Large",1.4,$K526="Large",1.8),
        (COUNTIFS('Tree List'!$C$3:$C$601,$C526,'Tree List'!$D$3:$D$601,"Deciduous")
        + COUNTIFS('Tree List'!$C$3:$C$601,$C526,'Tree List'!$D$3:$D$601,"Broadleaf Evergreen")) &gt; 0,
            _xlfn.IFS($K526="Small",0.4,$K526="Small/Medium",0.8,$K526="Medium/Large",1.2,$K526="Large",1.6)
    ),
    ""
),
"")</f>
        <v/>
      </c>
      <c r="M526" s="476" t="str">
        <f t="shared" si="573"/>
        <v/>
      </c>
      <c r="N526" s="347" t="str" cm="1">
        <f t="array" aca="1" ref="N52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IF(AND(_xlpm.baseRow,ISNA(MATCH($C526,'Tree List'!$C$3:$C$601,0)),SUMPRODUCT(--ISNUMBER(SEARCH(Tables2!$C$677:$C$772,$O526)))&gt;0),
Error!$B$57,
IF(AND(_xlpm.hasDM,$F526="Remove",$H526&lt;&gt;"",OR($I526="On-site replacement",$I526="Off-site replacement",$I526="Payment In Lieu")),
Error!$B$56,
IF(AND(_xlpm.hasDM,$F526="Remove",$H526&lt;&gt;"",$I526="Relocation"),
Error!$B$66,
IF(AND(OR(_xlpm.hasCN,_xlpm.hasPH,_xlpm.hasGR),$H526&lt;&gt;"",COUNTIF(Tables!$B$132:$B$134,$H526)&gt;0,$I526="N/A (No replacement required)"),
Error!$B$62,
IF(AND(_xlpm.baseRow,$E526&lt;&gt;"",ISNA(MATCH($E526,Tables!$B$225:$B$232,0))),
Error!$B$2,
IF(AND(_xlpm.baseRow,$F526&lt;&gt;"",ISNA(MATCH($F526,Tables!$B$234:$B$235,0))),
Error!$B$24,
IF(AND(_xlpm.baseRow,_xlpm.ECA_H&gt;0,_xlpm.Shore_H&gt;0),
Error!$B$16,
IF(AND(_xlpm.baseRow,$E526&lt;&gt;"",$D526=""),
Error!$B$3,
IF(AND(_xlpm.baseRow,OR($E526="Tier 3",$E526="Tier 4"),$C526&lt;&gt;"",$D526&gt;=24,COUNTIF(Tables2!$B$166:$B$674,$C526)&gt;0),
Error!$B$44,
IF(AND(_xlpm.baseRow,OR($E526="Tier 3",$E526="Tier 4"),$C526&lt;&gt;"",$D526&lt;&gt;"",COUNTIF(Tables2!$B$73:$B$152,$C526)&gt;0,
$D526&gt;=IFERROR(INDEX(Tables2!$C$73:$C$152,MATCH($C526,Tables2!$B$73:$B$152,0)),-1)),
Error!$B$44,
IF(AND(_xlpm.baseRow,OR($E526="Tier 2",$E526="Tier 2 Grove"),$C526&lt;&gt;"",$D526&gt;=12,COUNTIF(Tables2!$B$153:$B$162,$C526)&gt;0),
Error!$B$45,
IF(AND(_xlpm.baseRow,$E526="Tier 2 Grove",$D526&lt;12),
Error!$B$41,
IF(AND(_xlpm.baseRow,$E526="Tier 2",$D526&lt;5.88),
Error!$B$40,
IF(AND(_xlpm.baseRow,OR($E526="Tier 2",$E526="Tier 2 Grove"),$C526&lt;&gt;"",$D526&lt;12,$D526&gt;=6,COUNTIF(Tables2!$B$153:$B$162,$C526)&gt;0),
Error!$B$54,
IF(AND(_xlpm.baseRow,$E526="Tier 2",COUNTIF(Tables2!$B$166:$B$674,$C526)&gt;0,$D526&lt;24),
Error!$B$54,
IF(AND(_xlpm.baseRow,$E526="Tier 3",ISNA(MATCH($C526,Tables2!$B$153:$B$162,0)),OR($D526&lt;12,$D526&gt;=24)),
Error!$B$9,
IF(AND(_xlpm.baseRow,$E526="Tier 3",COUNTIF(Tables2!$B$153:$B$162,$C526)&gt;0,$D526&lt;12),
Error!$B$46,
IF(AND(_xlpm.baseRow,$E526="Tier 4",OR($D526&lt;6,$D526&gt;=12)),
Error!$B$10,
IF(AND(_xlpm.baseRow,$E526="&lt;6in DSH for Tree Points",OR($D526&gt;=6,$D526="")),
Error!$B$8,
IF(AND(_xlpm.baseRow,$E526="Street Tree for Green Factor",$F526&lt;&gt;"",$F526&lt;&gt;"Retain"),
Error!$B$14,
IF(AND($E526="&lt;6in DSH for Tree Points",$F526="Retain",$H526&lt;&gt;"",ISNA(MATCH($H526,Tables!$B$174:$B$174,0))),
Error!$B$15,
IF(AND($E526="Street Tree for Green Factor",$F526="Retain",$H526&lt;&gt;"",$H526&lt;&gt;"Zoning: Green Factor"),
Error!$B$15,
IF(AND($E526="ECA / Shoreline Tree",$F526="Remove",$H526&lt;&gt;"",ISNA(MATCH($H526,Tables!$B$189:$B$190,0))),
Error!$B$15,
IF(AND($E526="ECA / Shoreline Tree",$F526="Retain",$H526&lt;&gt;"",ISNA(MATCH($H526,Tables!$B$184:$B$186,0))),
Error!$B$15,
IF(AND($E526="Tier 4",$F526="Remove",$H526&lt;&gt;"",ISNA(MATCH($H526,Tables!$B$171,0))),
Error!$B$15,
IF(AND($E526="Tier 4",$F526="Retain",$H526&lt;&gt;"",ISNA(MATCH($H526,Tables!$B$166:$B$168,0))),
Error!$B$15,
IF(AND($E526="Tier 3",$F526="Retain",$H526&lt;&gt;"",ISNA(MATCH($H526,Tables!$B$158:$B$160,0))),
Error!$B$15,
IF(AND($E526="Tier 3",$F526="Remove",$H526&lt;&gt;"",ISNA(MATCH($H526,Tables!$B$163,0))),
Error!$B$15,
IF(AND(OR($E526="Tier 2",$E526="Tier 2 Grove"),$F526="Remove",$H526&lt;&gt;"",ISNA(MATCH($H526,Tables!$B$153:$B$155,0))),
Error!$B$15,
IF(AND(OR($E526="Tier 2",$E526="Tier 2 Grove"),$F526="Retain",$H526&lt;&gt;"",ISNA(MATCH($H526,Tables!$B$147:$B$150,0))),
Error!$B$15,
IF(AND($E526="Tier 1",$F526="Remove",$H526&lt;&gt;"",ISNA(MATCH($H526,Tables!$B$143:$B$144,0))),
Error!$B$15,
IF(AND($E526="Tier 1",$F526="Retain",$H526&lt;&gt;"",ISNA(MATCH($H526,Tables!$B$137:$B$140,0))),
Error!$B$15,
IF(AND($E526&lt;&gt;"Tier 2",$E526&lt;&gt;"Tier 2 Grove",$E526&lt;&gt;"Tier 3",$E526&lt;&gt;"Tier 4",$H526="Zoning: Green Factor",OR($D526="",$D526&lt;6)),
Error!$B$11,
IF(AND(_xlpm.baseRow,$D526&lt;6,$E526="&lt;6in DSH for Tree Points",_xlpm.TreePoints_H=0),
Error!$B$21,
IF(AND(_xlpm.baseRow,$E526&lt;&gt;"",$D526&lt;&gt;"",$F526=""),
Error!$B$4,
IF(AND(_xlpm.baseRow,$F526="Remove",OR($E526="Tier 1",$E526="Tier 2",$E526="Tier 2 Grove"),COUNTBLANK(_xlpm.HRange)&lt;3,_xlpm.uniqueH&gt;=2),
Error!$B$48,
IF(AND(_xlpm.baseRow,$F526="Retain",OR($E526="Tier 1",$E526="Tier 2",$E526="Tier 2 Grove"),COUNTIF(_xlpm.HRange,"Tree Code: Required to Retain Tier 1-2 Tree")=0),
Error!$B$47,
IF(AND(_xlpm.baseRow,$E526&lt;&gt;"",$D526&lt;&gt;"",$F526&lt;&gt;"",COUNTBLANK(_xlpm.HRange)=4),
Error!$B$5,
IF(AND($F526="Remove",$H526&lt;&gt;"",$I526=""),
Error!$B$18,
IF(AND($E526="Tier 4",$F526="Remove",$H526="Tree Protection Code: Tier 3 or Tier 4 Allowance",$H526&lt;&gt;"",ISNA(MATCH($I526,Tables!$B$200,0))),
Error!$B$17,
IF(AND($E526="Tier 3",$F526="Remove",$H526&lt;&gt;"",$H526="Tree Protection Code: Tier 3 or Tier 4 Allowance",OR($I526="",ISNA(MATCH($I526,Tables!$B$193:$B$197,0)))),
Error!$B$17,
IF(AND(OR($E526="Tier 2",$E526="Tier 2 Grove"),$F526="Remove",$H526="Tree Protection Code: Other removal allowance or exemption",$I526&lt;&gt;"",ISNA(MATCH($I526,Tables!$B$215:$B$218,0))),
Error!$B$17,
IF(AND(OR($E526="Tier 2",$E526="Tier 2 Grove"),$F526="Remove",$H526="Tree Protection Code: Development Capacity",$I526&lt;&gt;"",ISNA(MATCH($I526,Tables!$B$193:$B$197,0))),
Error!$B$17,
IF(AND(OR($E526="Tier 2",$E526="Tier 2 Grove"),$F526="Remove",$H526="Tree Protection Code: Necessary for Construction",$I526&lt;&gt;"",ISNA(MATCH($I526,Tables!$B$193:$B$197,0))),
Error!$B$17,
IF(AND($E526="Tier 1",$F526="Remove",$H526="Tree Protection Code: Special Exception",$I526&lt;&gt;"",ISNA(MATCH($I526,Tables!$B$215:$B$218,0))),
Error!$B$17,
IF(AND($E526="Tier 1",$F526="Remove",$H526="Tree Protection Code: Other removal allowance or exemption",$I526&lt;&gt;"",ISNA(MATCH($I526,Tables!$B$215:$B$218,0))),
Error!$B$17,
IF(AND($E526="ECA / Shoreline Tree",$F526="Remove",$H526&lt;&gt;"",OR($H526="Shoreline",$H526="Environmental Critical Area (ECA)"),ISNA(MATCH($I526,Tables!$B$209:$B$212,0))),
Error!$B$17,
IF(AND(_xlpm.baseRow,$F526="Retain",$E526="ECA / Shoreline Tree",_xlpm.ECA_Short=0),
Error!$B$61,
IF(AND($F526="Remove",ISNUMBER(MATCH($E526,{"Tier 1","Tier 2","Tier 3","Tier 4","Tier 2 Grove"},0)),ISNUMBER(MATCH($I526,{"On-site replacement","Off-site replacement"},0)),$J526="",$H526&lt;&gt;""),
Error!$B$19,
IF(AND(_xlpm.baseRow,$E526&lt;&gt;"",$D526&lt;&gt;"",$F526&lt;&gt;"",COUNTBLANK($B526:$C526)&gt;0,COUNTBLANK(_xlpm.HRange)&lt;&gt;4),
Error!$B$22,
IF(AND($H526="Zoning: Tree Points",$K526&lt;&gt;"",ISNA(MATCH($K526,Tables!$B$242:$B$253,0))),
Error!$B$58,
IF(AND($H526="Zoning: Tree Points",$K526="Small",$L526&lt;&gt;"",ISNA(MATCH($L526,Tables!$C$243:$C$244,0))),
Error!$B$59,
IF(AND($H526="Zoning: Tree Points",$K526="Small/Medium",$L526&lt;&gt;"",ISNA(MATCH($L526,Tables!$C$246:$C$247,0))),
Error!$B$59,
IF(AND($H526="Zoning: Tree Points",$K526="Medium/Large",$L526&lt;&gt;"",ISNA(MATCH($L526,Tables!$C$249:$C$250,0))),
Error!$B$59,
IF(AND($H526="Zoning: Tree Points",$K526="Large",$L526&lt;&gt;"",ISNA(MATCH($L526,Tables!$C$252:$C$253,0))),
Error!$B$59,
IF(AND($F526="Retain",$H526="Zoning: Tree Points",$C526&lt;&gt;"",$D526&lt;&gt;"",OR($K526="",$L526="",$M526="")),
Error!$B$20,
""
)))))))))))))))))))))))))))))))))))))))))))))))))))))))),
Error!$B$23))</f>
        <v/>
      </c>
      <c r="O526" s="343" t="str" cm="1">
        <f t="array" aca="1" ref="O526" ca="1">IFERROR(_xlfn.LET(
    _xlpm.txt, $C526,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27" spans="1:15" ht="15" thickBot="1" x14ac:dyDescent="0.35">
      <c r="A527" s="311">
        <v>130</v>
      </c>
      <c r="B527" s="312"/>
      <c r="C527" s="313"/>
      <c r="D527" s="478"/>
      <c r="E527" s="314"/>
      <c r="F527" s="314"/>
      <c r="G527" s="315" t="str">
        <f>IF(Tree_Table1[[#This Row],[Tree Status  &amp;]]="Retain", Tables!$B$237, IF(Tree_Table1[[#This Row],[Tree Status  &amp;]]="Remove", Tables!$B$238, ""))</f>
        <v/>
      </c>
      <c r="H527" s="316"/>
      <c r="I527" s="317"/>
      <c r="J527" s="452"/>
      <c r="K527" s="318" t="str">
        <f>IFERROR(
    IF(
        AND($H527="Zoning: Tree Points", NOT(ISNUMBER(SEARCH("sp.", $C527)))),
        VLOOKUP($C527, 'Tree List'!$C$3:$F$601, 4, FALSE),
        ""
    ),
"")</f>
        <v/>
      </c>
      <c r="L527" s="319" t="str" cm="1">
        <f t="array" ref="L527">IFERROR(
IF(
    AND($H527="Zoning: Tree Points", NOT(ISNUMBER(SEARCH("sp.", $C527)))),
    _xlfn.IFS(
        (COUNTIFS('Tree List'!$C$3:$C$601,$C527,'Tree List'!$D$3:$D$601,"Coniferous")
        + COUNTIFS('Tree List'!$C$3:$C$601,$C527,'Tree List'!$D$3:$D$601,"Deciduous Conifer")) &gt; 0,
            _xlfn.IFS($K527="Small",0.5,$K527="Small/Medium",1,$K527="Medium/Large",1.4,$K527="Large",1.8),
        (COUNTIFS('Tree List'!$C$3:$C$601,$C527,'Tree List'!$D$3:$D$601,"Deciduous")
        + COUNTIFS('Tree List'!$C$3:$C$601,$C527,'Tree List'!$D$3:$D$601,"Broadleaf Evergreen")) &gt; 0,
            _xlfn.IFS($K527="Small",0.4,$K527="Small/Medium",0.8,$K527="Medium/Large",1.2,$K527="Large",1.6)
    ),
    ""
),
"")</f>
        <v/>
      </c>
      <c r="M527" s="474" t="str">
        <f t="shared" si="573"/>
        <v/>
      </c>
      <c r="N527" s="620" t="str" cm="1">
        <f t="array" aca="1" ref="N52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IF(AND(_xlpm.baseRow,ISNA(MATCH($C527,'Tree List'!$C$3:$C$601,0)),SUMPRODUCT(--ISNUMBER(SEARCH(Tables2!$C$677:$C$772,$O527)))&gt;0),
Error!$B$57,
IF(AND(_xlpm.hasDM,$F527="Remove",$H527&lt;&gt;"",OR($I527="On-site replacement",$I527="Off-site replacement",$I527="Payment In Lieu")),
Error!$B$56,
IF(AND(_xlpm.hasDM,$F527="Remove",$H527&lt;&gt;"",$I527="Relocation"),
Error!$B$66,
IF(AND(OR(_xlpm.hasCN,_xlpm.hasPH,_xlpm.hasGR),$H527&lt;&gt;"",COUNTIF(Tables!$B$132:$B$134,$H527)&gt;0,$I527="N/A (No replacement required)"),
Error!$B$62,
IF(AND(_xlpm.baseRow,$E527&lt;&gt;"",ISNA(MATCH($E527,Tables!$B$225:$B$232,0))),
Error!$B$2,
IF(AND(_xlpm.baseRow,$F527&lt;&gt;"",ISNA(MATCH($F527,Tables!$B$234:$B$235,0))),
Error!$B$24,
IF(AND(_xlpm.baseRow,_xlpm.ECA_H&gt;0,_xlpm.Shore_H&gt;0),
Error!$B$16,
IF(AND(_xlpm.baseRow,$E527&lt;&gt;"",$D527=""),
Error!$B$3,
IF(AND(_xlpm.baseRow,OR($E527="Tier 3",$E527="Tier 4"),$C527&lt;&gt;"",$D527&gt;=24,COUNTIF(Tables2!$B$166:$B$674,$C527)&gt;0),
Error!$B$44,
IF(AND(_xlpm.baseRow,OR($E527="Tier 3",$E527="Tier 4"),$C527&lt;&gt;"",$D527&lt;&gt;"",COUNTIF(Tables2!$B$73:$B$152,$C527)&gt;0,
$D527&gt;=IFERROR(INDEX(Tables2!$C$73:$C$152,MATCH($C527,Tables2!$B$73:$B$152,0)),-1)),
Error!$B$44,
IF(AND(_xlpm.baseRow,OR($E527="Tier 2",$E527="Tier 2 Grove"),$C527&lt;&gt;"",$D527&gt;=12,COUNTIF(Tables2!$B$153:$B$162,$C527)&gt;0),
Error!$B$45,
IF(AND(_xlpm.baseRow,$E527="Tier 2 Grove",$D527&lt;12),
Error!$B$41,
IF(AND(_xlpm.baseRow,$E527="Tier 2",$D527&lt;5.88),
Error!$B$40,
IF(AND(_xlpm.baseRow,OR($E527="Tier 2",$E527="Tier 2 Grove"),$C527&lt;&gt;"",$D527&lt;12,$D527&gt;=6,COUNTIF(Tables2!$B$153:$B$162,$C527)&gt;0),
Error!$B$54,
IF(AND(_xlpm.baseRow,$E527="Tier 2",COUNTIF(Tables2!$B$166:$B$674,$C527)&gt;0,$D527&lt;24),
Error!$B$54,
IF(AND(_xlpm.baseRow,$E527="Tier 3",ISNA(MATCH($C527,Tables2!$B$153:$B$162,0)),OR($D527&lt;12,$D527&gt;=24)),
Error!$B$9,
IF(AND(_xlpm.baseRow,$E527="Tier 3",COUNTIF(Tables2!$B$153:$B$162,$C527)&gt;0,$D527&lt;12),
Error!$B$46,
IF(AND(_xlpm.baseRow,$E527="Tier 4",OR($D527&lt;6,$D527&gt;=12)),
Error!$B$10,
IF(AND(_xlpm.baseRow,$E527="&lt;6in DSH for Tree Points",OR($D527&gt;=6,$D527="")),
Error!$B$8,
IF(AND(_xlpm.baseRow,$E527="Street Tree for Green Factor",$F527&lt;&gt;"",$F527&lt;&gt;"Retain"),
Error!$B$14,
IF(AND($E527="&lt;6in DSH for Tree Points",$F527="Retain",$H527&lt;&gt;"",ISNA(MATCH($H527,Tables!$B$174:$B$174,0))),
Error!$B$15,
IF(AND($E527="Street Tree for Green Factor",$F527="Retain",$H527&lt;&gt;"",$H527&lt;&gt;"Zoning: Green Factor"),
Error!$B$15,
IF(AND($E527="ECA / Shoreline Tree",$F527="Remove",$H527&lt;&gt;"",ISNA(MATCH($H527,Tables!$B$189:$B$190,0))),
Error!$B$15,
IF(AND($E527="ECA / Shoreline Tree",$F527="Retain",$H527&lt;&gt;"",ISNA(MATCH($H527,Tables!$B$184:$B$186,0))),
Error!$B$15,
IF(AND($E527="Tier 4",$F527="Remove",$H527&lt;&gt;"",ISNA(MATCH($H527,Tables!$B$171,0))),
Error!$B$15,
IF(AND($E527="Tier 4",$F527="Retain",$H527&lt;&gt;"",ISNA(MATCH($H527,Tables!$B$166:$B$168,0))),
Error!$B$15,
IF(AND($E527="Tier 3",$F527="Retain",$H527&lt;&gt;"",ISNA(MATCH($H527,Tables!$B$158:$B$160,0))),
Error!$B$15,
IF(AND($E527="Tier 3",$F527="Remove",$H527&lt;&gt;"",ISNA(MATCH($H527,Tables!$B$163,0))),
Error!$B$15,
IF(AND(OR($E527="Tier 2",$E527="Tier 2 Grove"),$F527="Remove",$H527&lt;&gt;"",ISNA(MATCH($H527,Tables!$B$153:$B$155,0))),
Error!$B$15,
IF(AND(OR($E527="Tier 2",$E527="Tier 2 Grove"),$F527="Retain",$H527&lt;&gt;"",ISNA(MATCH($H527,Tables!$B$147:$B$150,0))),
Error!$B$15,
IF(AND($E527="Tier 1",$F527="Remove",$H527&lt;&gt;"",ISNA(MATCH($H527,Tables!$B$143:$B$144,0))),
Error!$B$15,
IF(AND($E527="Tier 1",$F527="Retain",$H527&lt;&gt;"",ISNA(MATCH($H527,Tables!$B$137:$B$140,0))),
Error!$B$15,
IF(AND($E527&lt;&gt;"Tier 2",$E527&lt;&gt;"Tier 2 Grove",$E527&lt;&gt;"Tier 3",$E527&lt;&gt;"Tier 4",$H527="Zoning: Green Factor",OR($D527="",$D527&lt;6)),
Error!$B$11,
IF(AND(_xlpm.baseRow,$D527&lt;6,$E527="&lt;6in DSH for Tree Points",_xlpm.TreePoints_H=0),
Error!$B$21,
IF(AND(_xlpm.baseRow,$E527&lt;&gt;"",$D527&lt;&gt;"",$F527=""),
Error!$B$4,
IF(AND(_xlpm.baseRow,$F527="Remove",OR($E527="Tier 1",$E527="Tier 2",$E527="Tier 2 Grove"),COUNTBLANK(_xlpm.HRange)&lt;3,_xlpm.uniqueH&gt;=2),
Error!$B$48,
IF(AND(_xlpm.baseRow,$F527="Retain",OR($E527="Tier 1",$E527="Tier 2",$E527="Tier 2 Grove"),COUNTIF(_xlpm.HRange,"Tree Code: Required to Retain Tier 1-2 Tree")=0),
Error!$B$47,
IF(AND(_xlpm.baseRow,$E527&lt;&gt;"",$D527&lt;&gt;"",$F527&lt;&gt;"",COUNTBLANK(_xlpm.HRange)=4),
Error!$B$5,
IF(AND($F527="Remove",$H527&lt;&gt;"",$I527=""),
Error!$B$18,
IF(AND($E527="Tier 4",$F527="Remove",$H527="Tree Protection Code: Tier 3 or Tier 4 Allowance",$H527&lt;&gt;"",ISNA(MATCH($I527,Tables!$B$200,0))),
Error!$B$17,
IF(AND($E527="Tier 3",$F527="Remove",$H527&lt;&gt;"",$H527="Tree Protection Code: Tier 3 or Tier 4 Allowance",OR($I527="",ISNA(MATCH($I527,Tables!$B$193:$B$197,0)))),
Error!$B$17,
IF(AND(OR($E527="Tier 2",$E527="Tier 2 Grove"),$F527="Remove",$H527="Tree Protection Code: Other removal allowance or exemption",$I527&lt;&gt;"",ISNA(MATCH($I527,Tables!$B$215:$B$218,0))),
Error!$B$17,
IF(AND(OR($E527="Tier 2",$E527="Tier 2 Grove"),$F527="Remove",$H527="Tree Protection Code: Development Capacity",$I527&lt;&gt;"",ISNA(MATCH($I527,Tables!$B$193:$B$197,0))),
Error!$B$17,
IF(AND(OR($E527="Tier 2",$E527="Tier 2 Grove"),$F527="Remove",$H527="Tree Protection Code: Necessary for Construction",$I527&lt;&gt;"",ISNA(MATCH($I527,Tables!$B$193:$B$197,0))),
Error!$B$17,
IF(AND($E527="Tier 1",$F527="Remove",$H527="Tree Protection Code: Special Exception",$I527&lt;&gt;"",ISNA(MATCH($I527,Tables!$B$215:$B$218,0))),
Error!$B$17,
IF(AND($E527="Tier 1",$F527="Remove",$H527="Tree Protection Code: Other removal allowance or exemption",$I527&lt;&gt;"",ISNA(MATCH($I527,Tables!$B$215:$B$218,0))),
Error!$B$17,
IF(AND($E527="ECA / Shoreline Tree",$F527="Remove",$H527&lt;&gt;"",OR($H527="Shoreline",$H527="Environmental Critical Area (ECA)"),ISNA(MATCH($I527,Tables!$B$209:$B$212,0))),
Error!$B$17,
IF(AND(_xlpm.baseRow,$F527="Retain",$E527="ECA / Shoreline Tree",_xlpm.ECA_Short=0),
Error!$B$61,
IF(AND($F527="Remove",ISNUMBER(MATCH($E527,{"Tier 1","Tier 2","Tier 3","Tier 4","Tier 2 Grove"},0)),ISNUMBER(MATCH($I527,{"On-site replacement","Off-site replacement"},0)),$J527="",$H527&lt;&gt;""),
Error!$B$19,
IF(AND(_xlpm.baseRow,$E527&lt;&gt;"",$D527&lt;&gt;"",$F527&lt;&gt;"",COUNTBLANK($B527:$C527)&gt;0,COUNTBLANK(_xlpm.HRange)&lt;&gt;4),
Error!$B$22,
IF(AND($H527="Zoning: Tree Points",$K527&lt;&gt;"",ISNA(MATCH($K527,Tables!$B$242:$B$253,0))),
Error!$B$58,
IF(AND($H527="Zoning: Tree Points",$K527="Small",$L527&lt;&gt;"",ISNA(MATCH($L527,Tables!$C$243:$C$244,0))),
Error!$B$59,
IF(AND($H527="Zoning: Tree Points",$K527="Small/Medium",$L527&lt;&gt;"",ISNA(MATCH($L527,Tables!$C$246:$C$247,0))),
Error!$B$59,
IF(AND($H527="Zoning: Tree Points",$K527="Medium/Large",$L527&lt;&gt;"",ISNA(MATCH($L527,Tables!$C$249:$C$250,0))),
Error!$B$59,
IF(AND($H527="Zoning: Tree Points",$K527="Large",$L527&lt;&gt;"",ISNA(MATCH($L527,Tables!$C$252:$C$253,0))),
Error!$B$59,
IF(AND($F527="Retain",$H527="Zoning: Tree Points",$C527&lt;&gt;"",$D527&lt;&gt;"",OR($K527="",$L527="",$M527="")),
Error!$B$20,
""
)))))))))))))))))))))))))))))))))))))))))))))))))))))))),
Error!$B$23))</f>
        <v/>
      </c>
      <c r="O527" s="343" t="str" cm="1">
        <f t="array" aca="1" ref="O527" ca="1">IFERROR(_xlfn.LET(
    _xlpm.txt, $C527,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28" spans="1:15" x14ac:dyDescent="0.3">
      <c r="A528" s="320"/>
      <c r="B528" s="616" t="str">
        <f t="shared" ref="B528:B530" si="609">IF($B527="", "", $B527)</f>
        <v/>
      </c>
      <c r="C528" s="617" t="str">
        <f t="shared" ref="C528:C530" si="610">IF($C527="", "", $C527)</f>
        <v/>
      </c>
      <c r="D528" s="618" t="str">
        <f t="shared" ref="D528:D530" si="611">IF($D527="", "", $D527)</f>
        <v/>
      </c>
      <c r="E528" s="616" t="str">
        <f t="shared" ref="E528:E530" si="612">IF($E527="", "", $E527)</f>
        <v/>
      </c>
      <c r="F528" s="616" t="str">
        <f t="shared" ref="F528:F530" si="613">IF($F527="", "", $F527)</f>
        <v/>
      </c>
      <c r="G528" s="619" t="str">
        <f>IF(Tree_Table1[[#This Row],[Tree Status  &amp;]]="Retain", Tables!$B$237, IF(Tree_Table1[[#This Row],[Tree Status  &amp;]]="Remove", Tables!$B$238, ""))</f>
        <v/>
      </c>
      <c r="H528" s="321"/>
      <c r="I528" s="322"/>
      <c r="J528" s="453"/>
      <c r="K528" s="323" t="str">
        <f>IFERROR(
    IF(
        AND($H528="Zoning: Tree Points", NOT(ISNUMBER(SEARCH("sp.", $C528)))),
        VLOOKUP($C528, 'Tree List'!$C$3:$F$601, 4, FALSE),
        ""
    ),
"")</f>
        <v/>
      </c>
      <c r="L528" s="324" t="str" cm="1">
        <f t="array" ref="L528">IFERROR(
IF(
    AND($H528="Zoning: Tree Points", NOT(ISNUMBER(SEARCH("sp.", $C528)))),
    _xlfn.IFS(
        (COUNTIFS('Tree List'!$C$3:$C$601,$C528,'Tree List'!$D$3:$D$601,"Coniferous")
        + COUNTIFS('Tree List'!$C$3:$C$601,$C528,'Tree List'!$D$3:$D$601,"Deciduous Conifer")) &gt; 0,
            _xlfn.IFS($K528="Small",0.5,$K528="Small/Medium",1,$K528="Medium/Large",1.4,$K528="Large",1.8),
        (COUNTIFS('Tree List'!$C$3:$C$601,$C528,'Tree List'!$D$3:$D$601,"Deciduous")
        + COUNTIFS('Tree List'!$C$3:$C$601,$C528,'Tree List'!$D$3:$D$601,"Broadleaf Evergreen")) &gt; 0,
            _xlfn.IFS($K528="Small",0.4,$K528="Small/Medium",0.8,$K528="Medium/Large",1.2,$K528="Large",1.6)
    ),
    ""
),
"")</f>
        <v/>
      </c>
      <c r="M528" s="475" t="str">
        <f t="shared" si="573"/>
        <v/>
      </c>
      <c r="N528" s="346" t="str" cm="1">
        <f t="array" aca="1" ref="N52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IF(AND(_xlpm.baseRow,ISNA(MATCH($C528,'Tree List'!$C$3:$C$601,0)),SUMPRODUCT(--ISNUMBER(SEARCH(Tables2!$C$677:$C$772,$O528)))&gt;0),
Error!$B$57,
IF(AND(_xlpm.hasDM,$F528="Remove",$H528&lt;&gt;"",OR($I528="On-site replacement",$I528="Off-site replacement",$I528="Payment In Lieu")),
Error!$B$56,
IF(AND(_xlpm.hasDM,$F528="Remove",$H528&lt;&gt;"",$I528="Relocation"),
Error!$B$66,
IF(AND(OR(_xlpm.hasCN,_xlpm.hasPH,_xlpm.hasGR),$H528&lt;&gt;"",COUNTIF(Tables!$B$132:$B$134,$H528)&gt;0,$I528="N/A (No replacement required)"),
Error!$B$62,
IF(AND(_xlpm.baseRow,$E528&lt;&gt;"",ISNA(MATCH($E528,Tables!$B$225:$B$232,0))),
Error!$B$2,
IF(AND(_xlpm.baseRow,$F528&lt;&gt;"",ISNA(MATCH($F528,Tables!$B$234:$B$235,0))),
Error!$B$24,
IF(AND(_xlpm.baseRow,_xlpm.ECA_H&gt;0,_xlpm.Shore_H&gt;0),
Error!$B$16,
IF(AND(_xlpm.baseRow,$E528&lt;&gt;"",$D528=""),
Error!$B$3,
IF(AND(_xlpm.baseRow,OR($E528="Tier 3",$E528="Tier 4"),$C528&lt;&gt;"",$D528&gt;=24,COUNTIF(Tables2!$B$166:$B$674,$C528)&gt;0),
Error!$B$44,
IF(AND(_xlpm.baseRow,OR($E528="Tier 3",$E528="Tier 4"),$C528&lt;&gt;"",$D528&lt;&gt;"",COUNTIF(Tables2!$B$73:$B$152,$C528)&gt;0,
$D528&gt;=IFERROR(INDEX(Tables2!$C$73:$C$152,MATCH($C528,Tables2!$B$73:$B$152,0)),-1)),
Error!$B$44,
IF(AND(_xlpm.baseRow,OR($E528="Tier 2",$E528="Tier 2 Grove"),$C528&lt;&gt;"",$D528&gt;=12,COUNTIF(Tables2!$B$153:$B$162,$C528)&gt;0),
Error!$B$45,
IF(AND(_xlpm.baseRow,$E528="Tier 2 Grove",$D528&lt;12),
Error!$B$41,
IF(AND(_xlpm.baseRow,$E528="Tier 2",$D528&lt;5.88),
Error!$B$40,
IF(AND(_xlpm.baseRow,OR($E528="Tier 2",$E528="Tier 2 Grove"),$C528&lt;&gt;"",$D528&lt;12,$D528&gt;=6,COUNTIF(Tables2!$B$153:$B$162,$C528)&gt;0),
Error!$B$54,
IF(AND(_xlpm.baseRow,$E528="Tier 2",COUNTIF(Tables2!$B$166:$B$674,$C528)&gt;0,$D528&lt;24),
Error!$B$54,
IF(AND(_xlpm.baseRow,$E528="Tier 3",ISNA(MATCH($C528,Tables2!$B$153:$B$162,0)),OR($D528&lt;12,$D528&gt;=24)),
Error!$B$9,
IF(AND(_xlpm.baseRow,$E528="Tier 3",COUNTIF(Tables2!$B$153:$B$162,$C528)&gt;0,$D528&lt;12),
Error!$B$46,
IF(AND(_xlpm.baseRow,$E528="Tier 4",OR($D528&lt;6,$D528&gt;=12)),
Error!$B$10,
IF(AND(_xlpm.baseRow,$E528="&lt;6in DSH for Tree Points",OR($D528&gt;=6,$D528="")),
Error!$B$8,
IF(AND(_xlpm.baseRow,$E528="Street Tree for Green Factor",$F528&lt;&gt;"",$F528&lt;&gt;"Retain"),
Error!$B$14,
IF(AND($E528="&lt;6in DSH for Tree Points",$F528="Retain",$H528&lt;&gt;"",ISNA(MATCH($H528,Tables!$B$174:$B$174,0))),
Error!$B$15,
IF(AND($E528="Street Tree for Green Factor",$F528="Retain",$H528&lt;&gt;"",$H528&lt;&gt;"Zoning: Green Factor"),
Error!$B$15,
IF(AND($E528="ECA / Shoreline Tree",$F528="Remove",$H528&lt;&gt;"",ISNA(MATCH($H528,Tables!$B$189:$B$190,0))),
Error!$B$15,
IF(AND($E528="ECA / Shoreline Tree",$F528="Retain",$H528&lt;&gt;"",ISNA(MATCH($H528,Tables!$B$184:$B$186,0))),
Error!$B$15,
IF(AND($E528="Tier 4",$F528="Remove",$H528&lt;&gt;"",ISNA(MATCH($H528,Tables!$B$171,0))),
Error!$B$15,
IF(AND($E528="Tier 4",$F528="Retain",$H528&lt;&gt;"",ISNA(MATCH($H528,Tables!$B$166:$B$168,0))),
Error!$B$15,
IF(AND($E528="Tier 3",$F528="Retain",$H528&lt;&gt;"",ISNA(MATCH($H528,Tables!$B$158:$B$160,0))),
Error!$B$15,
IF(AND($E528="Tier 3",$F528="Remove",$H528&lt;&gt;"",ISNA(MATCH($H528,Tables!$B$163,0))),
Error!$B$15,
IF(AND(OR($E528="Tier 2",$E528="Tier 2 Grove"),$F528="Remove",$H528&lt;&gt;"",ISNA(MATCH($H528,Tables!$B$153:$B$155,0))),
Error!$B$15,
IF(AND(OR($E528="Tier 2",$E528="Tier 2 Grove"),$F528="Retain",$H528&lt;&gt;"",ISNA(MATCH($H528,Tables!$B$147:$B$150,0))),
Error!$B$15,
IF(AND($E528="Tier 1",$F528="Remove",$H528&lt;&gt;"",ISNA(MATCH($H528,Tables!$B$143:$B$144,0))),
Error!$B$15,
IF(AND($E528="Tier 1",$F528="Retain",$H528&lt;&gt;"",ISNA(MATCH($H528,Tables!$B$137:$B$140,0))),
Error!$B$15,
IF(AND($E528&lt;&gt;"Tier 2",$E528&lt;&gt;"Tier 2 Grove",$E528&lt;&gt;"Tier 3",$E528&lt;&gt;"Tier 4",$H528="Zoning: Green Factor",OR($D528="",$D528&lt;6)),
Error!$B$11,
IF(AND(_xlpm.baseRow,$D528&lt;6,$E528="&lt;6in DSH for Tree Points",_xlpm.TreePoints_H=0),
Error!$B$21,
IF(AND(_xlpm.baseRow,$E528&lt;&gt;"",$D528&lt;&gt;"",$F528=""),
Error!$B$4,
IF(AND(_xlpm.baseRow,$F528="Remove",OR($E528="Tier 1",$E528="Tier 2",$E528="Tier 2 Grove"),COUNTBLANK(_xlpm.HRange)&lt;3,_xlpm.uniqueH&gt;=2),
Error!$B$48,
IF(AND(_xlpm.baseRow,$F528="Retain",OR($E528="Tier 1",$E528="Tier 2",$E528="Tier 2 Grove"),COUNTIF(_xlpm.HRange,"Tree Code: Required to Retain Tier 1-2 Tree")=0),
Error!$B$47,
IF(AND(_xlpm.baseRow,$E528&lt;&gt;"",$D528&lt;&gt;"",$F528&lt;&gt;"",COUNTBLANK(_xlpm.HRange)=4),
Error!$B$5,
IF(AND($F528="Remove",$H528&lt;&gt;"",$I528=""),
Error!$B$18,
IF(AND($E528="Tier 4",$F528="Remove",$H528="Tree Protection Code: Tier 3 or Tier 4 Allowance",$H528&lt;&gt;"",ISNA(MATCH($I528,Tables!$B$200,0))),
Error!$B$17,
IF(AND($E528="Tier 3",$F528="Remove",$H528&lt;&gt;"",$H528="Tree Protection Code: Tier 3 or Tier 4 Allowance",OR($I528="",ISNA(MATCH($I528,Tables!$B$193:$B$197,0)))),
Error!$B$17,
IF(AND(OR($E528="Tier 2",$E528="Tier 2 Grove"),$F528="Remove",$H528="Tree Protection Code: Other removal allowance or exemption",$I528&lt;&gt;"",ISNA(MATCH($I528,Tables!$B$215:$B$218,0))),
Error!$B$17,
IF(AND(OR($E528="Tier 2",$E528="Tier 2 Grove"),$F528="Remove",$H528="Tree Protection Code: Development Capacity",$I528&lt;&gt;"",ISNA(MATCH($I528,Tables!$B$193:$B$197,0))),
Error!$B$17,
IF(AND(OR($E528="Tier 2",$E528="Tier 2 Grove"),$F528="Remove",$H528="Tree Protection Code: Necessary for Construction",$I528&lt;&gt;"",ISNA(MATCH($I528,Tables!$B$193:$B$197,0))),
Error!$B$17,
IF(AND($E528="Tier 1",$F528="Remove",$H528="Tree Protection Code: Special Exception",$I528&lt;&gt;"",ISNA(MATCH($I528,Tables!$B$215:$B$218,0))),
Error!$B$17,
IF(AND($E528="Tier 1",$F528="Remove",$H528="Tree Protection Code: Other removal allowance or exemption",$I528&lt;&gt;"",ISNA(MATCH($I528,Tables!$B$215:$B$218,0))),
Error!$B$17,
IF(AND($E528="ECA / Shoreline Tree",$F528="Remove",$H528&lt;&gt;"",OR($H528="Shoreline",$H528="Environmental Critical Area (ECA)"),ISNA(MATCH($I528,Tables!$B$209:$B$212,0))),
Error!$B$17,
IF(AND(_xlpm.baseRow,$F528="Retain",$E528="ECA / Shoreline Tree",_xlpm.ECA_Short=0),
Error!$B$61,
IF(AND($F528="Remove",ISNUMBER(MATCH($E528,{"Tier 1","Tier 2","Tier 3","Tier 4","Tier 2 Grove"},0)),ISNUMBER(MATCH($I528,{"On-site replacement","Off-site replacement"},0)),$J528="",$H528&lt;&gt;""),
Error!$B$19,
IF(AND(_xlpm.baseRow,$E528&lt;&gt;"",$D528&lt;&gt;"",$F528&lt;&gt;"",COUNTBLANK($B528:$C528)&gt;0,COUNTBLANK(_xlpm.HRange)&lt;&gt;4),
Error!$B$22,
IF(AND($H528="Zoning: Tree Points",$K528&lt;&gt;"",ISNA(MATCH($K528,Tables!$B$242:$B$253,0))),
Error!$B$58,
IF(AND($H528="Zoning: Tree Points",$K528="Small",$L528&lt;&gt;"",ISNA(MATCH($L528,Tables!$C$243:$C$244,0))),
Error!$B$59,
IF(AND($H528="Zoning: Tree Points",$K528="Small/Medium",$L528&lt;&gt;"",ISNA(MATCH($L528,Tables!$C$246:$C$247,0))),
Error!$B$59,
IF(AND($H528="Zoning: Tree Points",$K528="Medium/Large",$L528&lt;&gt;"",ISNA(MATCH($L528,Tables!$C$249:$C$250,0))),
Error!$B$59,
IF(AND($H528="Zoning: Tree Points",$K528="Large",$L528&lt;&gt;"",ISNA(MATCH($L528,Tables!$C$252:$C$253,0))),
Error!$B$59,
IF(AND($F528="Retain",$H528="Zoning: Tree Points",$C528&lt;&gt;"",$D528&lt;&gt;"",OR($K528="",$L528="",$M528="")),
Error!$B$20,
""
)))))))))))))))))))))))))))))))))))))))))))))))))))))))),
Error!$B$23))</f>
        <v/>
      </c>
      <c r="O528" s="343" t="str" cm="1">
        <f t="array" aca="1" ref="O528" ca="1">IFERROR(_xlfn.LET(
    _xlpm.txt, $C528,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29" spans="1:15" x14ac:dyDescent="0.3">
      <c r="A529" s="320"/>
      <c r="B529" s="616" t="str">
        <f t="shared" si="609"/>
        <v/>
      </c>
      <c r="C529" s="617" t="str">
        <f t="shared" si="610"/>
        <v/>
      </c>
      <c r="D529" s="618" t="str">
        <f t="shared" si="611"/>
        <v/>
      </c>
      <c r="E529" s="616" t="str">
        <f t="shared" si="612"/>
        <v/>
      </c>
      <c r="F529" s="616" t="str">
        <f t="shared" si="613"/>
        <v/>
      </c>
      <c r="G529" s="619" t="str">
        <f>IF(Tree_Table1[[#This Row],[Tree Status  &amp;]]="Retain", Tables!$B$237, IF(Tree_Table1[[#This Row],[Tree Status  &amp;]]="Remove", Tables!$B$238, ""))</f>
        <v/>
      </c>
      <c r="H529" s="321"/>
      <c r="I529" s="322"/>
      <c r="J529" s="453"/>
      <c r="K529" s="323" t="str">
        <f>IFERROR(
    IF(
        AND($H529="Zoning: Tree Points", NOT(ISNUMBER(SEARCH("sp.", $C529)))),
        VLOOKUP($C529, 'Tree List'!$C$3:$F$601, 4, FALSE),
        ""
    ),
"")</f>
        <v/>
      </c>
      <c r="L529" s="324" t="str" cm="1">
        <f t="array" ref="L529">IFERROR(
IF(
    AND($H529="Zoning: Tree Points", NOT(ISNUMBER(SEARCH("sp.", $C529)))),
    _xlfn.IFS(
        (COUNTIFS('Tree List'!$C$3:$C$601,$C529,'Tree List'!$D$3:$D$601,"Coniferous")
        + COUNTIFS('Tree List'!$C$3:$C$601,$C529,'Tree List'!$D$3:$D$601,"Deciduous Conifer")) &gt; 0,
            _xlfn.IFS($K529="Small",0.5,$K529="Small/Medium",1,$K529="Medium/Large",1.4,$K529="Large",1.8),
        (COUNTIFS('Tree List'!$C$3:$C$601,$C529,'Tree List'!$D$3:$D$601,"Deciduous")
        + COUNTIFS('Tree List'!$C$3:$C$601,$C529,'Tree List'!$D$3:$D$601,"Broadleaf Evergreen")) &gt; 0,
            _xlfn.IFS($K529="Small",0.4,$K529="Small/Medium",0.8,$K529="Medium/Large",1.2,$K529="Large",1.6)
    ),
    ""
),
"")</f>
        <v/>
      </c>
      <c r="M529" s="475" t="str">
        <f t="shared" si="573"/>
        <v/>
      </c>
      <c r="N529" s="346" t="str" cm="1">
        <f t="array" aca="1" ref="N52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IF(AND(_xlpm.baseRow,ISNA(MATCH($C529,'Tree List'!$C$3:$C$601,0)),SUMPRODUCT(--ISNUMBER(SEARCH(Tables2!$C$677:$C$772,$O529)))&gt;0),
Error!$B$57,
IF(AND(_xlpm.hasDM,$F529="Remove",$H529&lt;&gt;"",OR($I529="On-site replacement",$I529="Off-site replacement",$I529="Payment In Lieu")),
Error!$B$56,
IF(AND(_xlpm.hasDM,$F529="Remove",$H529&lt;&gt;"",$I529="Relocation"),
Error!$B$66,
IF(AND(OR(_xlpm.hasCN,_xlpm.hasPH,_xlpm.hasGR),$H529&lt;&gt;"",COUNTIF(Tables!$B$132:$B$134,$H529)&gt;0,$I529="N/A (No replacement required)"),
Error!$B$62,
IF(AND(_xlpm.baseRow,$E529&lt;&gt;"",ISNA(MATCH($E529,Tables!$B$225:$B$232,0))),
Error!$B$2,
IF(AND(_xlpm.baseRow,$F529&lt;&gt;"",ISNA(MATCH($F529,Tables!$B$234:$B$235,0))),
Error!$B$24,
IF(AND(_xlpm.baseRow,_xlpm.ECA_H&gt;0,_xlpm.Shore_H&gt;0),
Error!$B$16,
IF(AND(_xlpm.baseRow,$E529&lt;&gt;"",$D529=""),
Error!$B$3,
IF(AND(_xlpm.baseRow,OR($E529="Tier 3",$E529="Tier 4"),$C529&lt;&gt;"",$D529&gt;=24,COUNTIF(Tables2!$B$166:$B$674,$C529)&gt;0),
Error!$B$44,
IF(AND(_xlpm.baseRow,OR($E529="Tier 3",$E529="Tier 4"),$C529&lt;&gt;"",$D529&lt;&gt;"",COUNTIF(Tables2!$B$73:$B$152,$C529)&gt;0,
$D529&gt;=IFERROR(INDEX(Tables2!$C$73:$C$152,MATCH($C529,Tables2!$B$73:$B$152,0)),-1)),
Error!$B$44,
IF(AND(_xlpm.baseRow,OR($E529="Tier 2",$E529="Tier 2 Grove"),$C529&lt;&gt;"",$D529&gt;=12,COUNTIF(Tables2!$B$153:$B$162,$C529)&gt;0),
Error!$B$45,
IF(AND(_xlpm.baseRow,$E529="Tier 2 Grove",$D529&lt;12),
Error!$B$41,
IF(AND(_xlpm.baseRow,$E529="Tier 2",$D529&lt;5.88),
Error!$B$40,
IF(AND(_xlpm.baseRow,OR($E529="Tier 2",$E529="Tier 2 Grove"),$C529&lt;&gt;"",$D529&lt;12,$D529&gt;=6,COUNTIF(Tables2!$B$153:$B$162,$C529)&gt;0),
Error!$B$54,
IF(AND(_xlpm.baseRow,$E529="Tier 2",COUNTIF(Tables2!$B$166:$B$674,$C529)&gt;0,$D529&lt;24),
Error!$B$54,
IF(AND(_xlpm.baseRow,$E529="Tier 3",ISNA(MATCH($C529,Tables2!$B$153:$B$162,0)),OR($D529&lt;12,$D529&gt;=24)),
Error!$B$9,
IF(AND(_xlpm.baseRow,$E529="Tier 3",COUNTIF(Tables2!$B$153:$B$162,$C529)&gt;0,$D529&lt;12),
Error!$B$46,
IF(AND(_xlpm.baseRow,$E529="Tier 4",OR($D529&lt;6,$D529&gt;=12)),
Error!$B$10,
IF(AND(_xlpm.baseRow,$E529="&lt;6in DSH for Tree Points",OR($D529&gt;=6,$D529="")),
Error!$B$8,
IF(AND(_xlpm.baseRow,$E529="Street Tree for Green Factor",$F529&lt;&gt;"",$F529&lt;&gt;"Retain"),
Error!$B$14,
IF(AND($E529="&lt;6in DSH for Tree Points",$F529="Retain",$H529&lt;&gt;"",ISNA(MATCH($H529,Tables!$B$174:$B$174,0))),
Error!$B$15,
IF(AND($E529="Street Tree for Green Factor",$F529="Retain",$H529&lt;&gt;"",$H529&lt;&gt;"Zoning: Green Factor"),
Error!$B$15,
IF(AND($E529="ECA / Shoreline Tree",$F529="Remove",$H529&lt;&gt;"",ISNA(MATCH($H529,Tables!$B$189:$B$190,0))),
Error!$B$15,
IF(AND($E529="ECA / Shoreline Tree",$F529="Retain",$H529&lt;&gt;"",ISNA(MATCH($H529,Tables!$B$184:$B$186,0))),
Error!$B$15,
IF(AND($E529="Tier 4",$F529="Remove",$H529&lt;&gt;"",ISNA(MATCH($H529,Tables!$B$171,0))),
Error!$B$15,
IF(AND($E529="Tier 4",$F529="Retain",$H529&lt;&gt;"",ISNA(MATCH($H529,Tables!$B$166:$B$168,0))),
Error!$B$15,
IF(AND($E529="Tier 3",$F529="Retain",$H529&lt;&gt;"",ISNA(MATCH($H529,Tables!$B$158:$B$160,0))),
Error!$B$15,
IF(AND($E529="Tier 3",$F529="Remove",$H529&lt;&gt;"",ISNA(MATCH($H529,Tables!$B$163,0))),
Error!$B$15,
IF(AND(OR($E529="Tier 2",$E529="Tier 2 Grove"),$F529="Remove",$H529&lt;&gt;"",ISNA(MATCH($H529,Tables!$B$153:$B$155,0))),
Error!$B$15,
IF(AND(OR($E529="Tier 2",$E529="Tier 2 Grove"),$F529="Retain",$H529&lt;&gt;"",ISNA(MATCH($H529,Tables!$B$147:$B$150,0))),
Error!$B$15,
IF(AND($E529="Tier 1",$F529="Remove",$H529&lt;&gt;"",ISNA(MATCH($H529,Tables!$B$143:$B$144,0))),
Error!$B$15,
IF(AND($E529="Tier 1",$F529="Retain",$H529&lt;&gt;"",ISNA(MATCH($H529,Tables!$B$137:$B$140,0))),
Error!$B$15,
IF(AND($E529&lt;&gt;"Tier 2",$E529&lt;&gt;"Tier 2 Grove",$E529&lt;&gt;"Tier 3",$E529&lt;&gt;"Tier 4",$H529="Zoning: Green Factor",OR($D529="",$D529&lt;6)),
Error!$B$11,
IF(AND(_xlpm.baseRow,$D529&lt;6,$E529="&lt;6in DSH for Tree Points",_xlpm.TreePoints_H=0),
Error!$B$21,
IF(AND(_xlpm.baseRow,$E529&lt;&gt;"",$D529&lt;&gt;"",$F529=""),
Error!$B$4,
IF(AND(_xlpm.baseRow,$F529="Remove",OR($E529="Tier 1",$E529="Tier 2",$E529="Tier 2 Grove"),COUNTBLANK(_xlpm.HRange)&lt;3,_xlpm.uniqueH&gt;=2),
Error!$B$48,
IF(AND(_xlpm.baseRow,$F529="Retain",OR($E529="Tier 1",$E529="Tier 2",$E529="Tier 2 Grove"),COUNTIF(_xlpm.HRange,"Tree Code: Required to Retain Tier 1-2 Tree")=0),
Error!$B$47,
IF(AND(_xlpm.baseRow,$E529&lt;&gt;"",$D529&lt;&gt;"",$F529&lt;&gt;"",COUNTBLANK(_xlpm.HRange)=4),
Error!$B$5,
IF(AND($F529="Remove",$H529&lt;&gt;"",$I529=""),
Error!$B$18,
IF(AND($E529="Tier 4",$F529="Remove",$H529="Tree Protection Code: Tier 3 or Tier 4 Allowance",$H529&lt;&gt;"",ISNA(MATCH($I529,Tables!$B$200,0))),
Error!$B$17,
IF(AND($E529="Tier 3",$F529="Remove",$H529&lt;&gt;"",$H529="Tree Protection Code: Tier 3 or Tier 4 Allowance",OR($I529="",ISNA(MATCH($I529,Tables!$B$193:$B$197,0)))),
Error!$B$17,
IF(AND(OR($E529="Tier 2",$E529="Tier 2 Grove"),$F529="Remove",$H529="Tree Protection Code: Other removal allowance or exemption",$I529&lt;&gt;"",ISNA(MATCH($I529,Tables!$B$215:$B$218,0))),
Error!$B$17,
IF(AND(OR($E529="Tier 2",$E529="Tier 2 Grove"),$F529="Remove",$H529="Tree Protection Code: Development Capacity",$I529&lt;&gt;"",ISNA(MATCH($I529,Tables!$B$193:$B$197,0))),
Error!$B$17,
IF(AND(OR($E529="Tier 2",$E529="Tier 2 Grove"),$F529="Remove",$H529="Tree Protection Code: Necessary for Construction",$I529&lt;&gt;"",ISNA(MATCH($I529,Tables!$B$193:$B$197,0))),
Error!$B$17,
IF(AND($E529="Tier 1",$F529="Remove",$H529="Tree Protection Code: Special Exception",$I529&lt;&gt;"",ISNA(MATCH($I529,Tables!$B$215:$B$218,0))),
Error!$B$17,
IF(AND($E529="Tier 1",$F529="Remove",$H529="Tree Protection Code: Other removal allowance or exemption",$I529&lt;&gt;"",ISNA(MATCH($I529,Tables!$B$215:$B$218,0))),
Error!$B$17,
IF(AND($E529="ECA / Shoreline Tree",$F529="Remove",$H529&lt;&gt;"",OR($H529="Shoreline",$H529="Environmental Critical Area (ECA)"),ISNA(MATCH($I529,Tables!$B$209:$B$212,0))),
Error!$B$17,
IF(AND(_xlpm.baseRow,$F529="Retain",$E529="ECA / Shoreline Tree",_xlpm.ECA_Short=0),
Error!$B$61,
IF(AND($F529="Remove",ISNUMBER(MATCH($E529,{"Tier 1","Tier 2","Tier 3","Tier 4","Tier 2 Grove"},0)),ISNUMBER(MATCH($I529,{"On-site replacement","Off-site replacement"},0)),$J529="",$H529&lt;&gt;""),
Error!$B$19,
IF(AND(_xlpm.baseRow,$E529&lt;&gt;"",$D529&lt;&gt;"",$F529&lt;&gt;"",COUNTBLANK($B529:$C529)&gt;0,COUNTBLANK(_xlpm.HRange)&lt;&gt;4),
Error!$B$22,
IF(AND($H529="Zoning: Tree Points",$K529&lt;&gt;"",ISNA(MATCH($K529,Tables!$B$242:$B$253,0))),
Error!$B$58,
IF(AND($H529="Zoning: Tree Points",$K529="Small",$L529&lt;&gt;"",ISNA(MATCH($L529,Tables!$C$243:$C$244,0))),
Error!$B$59,
IF(AND($H529="Zoning: Tree Points",$K529="Small/Medium",$L529&lt;&gt;"",ISNA(MATCH($L529,Tables!$C$246:$C$247,0))),
Error!$B$59,
IF(AND($H529="Zoning: Tree Points",$K529="Medium/Large",$L529&lt;&gt;"",ISNA(MATCH($L529,Tables!$C$249:$C$250,0))),
Error!$B$59,
IF(AND($H529="Zoning: Tree Points",$K529="Large",$L529&lt;&gt;"",ISNA(MATCH($L529,Tables!$C$252:$C$253,0))),
Error!$B$59,
IF(AND($F529="Retain",$H529="Zoning: Tree Points",$C529&lt;&gt;"",$D529&lt;&gt;"",OR($K529="",$L529="",$M529="")),
Error!$B$20,
""
)))))))))))))))))))))))))))))))))))))))))))))))))))))))),
Error!$B$23))</f>
        <v/>
      </c>
      <c r="O529" s="343" t="str" cm="1">
        <f t="array" aca="1" ref="O529" ca="1">IFERROR(_xlfn.LET(
    _xlpm.txt, $C529,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30" spans="1:15" ht="15" thickBot="1" x14ac:dyDescent="0.35">
      <c r="A530" s="331"/>
      <c r="B530" s="616" t="str">
        <f t="shared" si="609"/>
        <v/>
      </c>
      <c r="C530" s="617" t="str">
        <f t="shared" si="610"/>
        <v/>
      </c>
      <c r="D530" s="618" t="str">
        <f t="shared" si="611"/>
        <v/>
      </c>
      <c r="E530" s="616" t="str">
        <f t="shared" si="612"/>
        <v/>
      </c>
      <c r="F530" s="616" t="str">
        <f t="shared" si="613"/>
        <v/>
      </c>
      <c r="G530" s="619" t="str">
        <f>IF(Tree_Table1[[#This Row],[Tree Status  &amp;]]="Retain", Tables!$B$237, IF(Tree_Table1[[#This Row],[Tree Status  &amp;]]="Remove", Tables!$B$238, ""))</f>
        <v/>
      </c>
      <c r="H530" s="329"/>
      <c r="I530" s="330"/>
      <c r="J530" s="455"/>
      <c r="K530" s="327" t="str">
        <f>IFERROR(
    IF(
        AND($H530="Zoning: Tree Points", NOT(ISNUMBER(SEARCH("sp.", $C530)))),
        VLOOKUP($C530, 'Tree List'!$C$3:$F$601, 4, FALSE),
        ""
    ),
"")</f>
        <v/>
      </c>
      <c r="L530" s="328" t="str" cm="1">
        <f t="array" ref="L530">IFERROR(
IF(
    AND($H530="Zoning: Tree Points", NOT(ISNUMBER(SEARCH("sp.", $C530)))),
    _xlfn.IFS(
        (COUNTIFS('Tree List'!$C$3:$C$601,$C530,'Tree List'!$D$3:$D$601,"Coniferous")
        + COUNTIFS('Tree List'!$C$3:$C$601,$C530,'Tree List'!$D$3:$D$601,"Deciduous Conifer")) &gt; 0,
            _xlfn.IFS($K530="Small",0.5,$K530="Small/Medium",1,$K530="Medium/Large",1.4,$K530="Large",1.8),
        (COUNTIFS('Tree List'!$C$3:$C$601,$C530,'Tree List'!$D$3:$D$601,"Deciduous")
        + COUNTIFS('Tree List'!$C$3:$C$601,$C530,'Tree List'!$D$3:$D$601,"Broadleaf Evergreen")) &gt; 0,
            _xlfn.IFS($K530="Small",0.4,$K530="Small/Medium",0.8,$K530="Medium/Large",1.2,$K530="Large",1.6)
    ),
    ""
),
"")</f>
        <v/>
      </c>
      <c r="M530" s="476" t="str">
        <f t="shared" si="573"/>
        <v/>
      </c>
      <c r="N530" s="347" t="str" cm="1">
        <f t="array" aca="1" ref="N53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IF(AND(_xlpm.baseRow,ISNA(MATCH($C530,'Tree List'!$C$3:$C$601,0)),SUMPRODUCT(--ISNUMBER(SEARCH(Tables2!$C$677:$C$772,$O530)))&gt;0),
Error!$B$57,
IF(AND(_xlpm.hasDM,$F530="Remove",$H530&lt;&gt;"",OR($I530="On-site replacement",$I530="Off-site replacement",$I530="Payment In Lieu")),
Error!$B$56,
IF(AND(_xlpm.hasDM,$F530="Remove",$H530&lt;&gt;"",$I530="Relocation"),
Error!$B$66,
IF(AND(OR(_xlpm.hasCN,_xlpm.hasPH,_xlpm.hasGR),$H530&lt;&gt;"",COUNTIF(Tables!$B$132:$B$134,$H530)&gt;0,$I530="N/A (No replacement required)"),
Error!$B$62,
IF(AND(_xlpm.baseRow,$E530&lt;&gt;"",ISNA(MATCH($E530,Tables!$B$225:$B$232,0))),
Error!$B$2,
IF(AND(_xlpm.baseRow,$F530&lt;&gt;"",ISNA(MATCH($F530,Tables!$B$234:$B$235,0))),
Error!$B$24,
IF(AND(_xlpm.baseRow,_xlpm.ECA_H&gt;0,_xlpm.Shore_H&gt;0),
Error!$B$16,
IF(AND(_xlpm.baseRow,$E530&lt;&gt;"",$D530=""),
Error!$B$3,
IF(AND(_xlpm.baseRow,OR($E530="Tier 3",$E530="Tier 4"),$C530&lt;&gt;"",$D530&gt;=24,COUNTIF(Tables2!$B$166:$B$674,$C530)&gt;0),
Error!$B$44,
IF(AND(_xlpm.baseRow,OR($E530="Tier 3",$E530="Tier 4"),$C530&lt;&gt;"",$D530&lt;&gt;"",COUNTIF(Tables2!$B$73:$B$152,$C530)&gt;0,
$D530&gt;=IFERROR(INDEX(Tables2!$C$73:$C$152,MATCH($C530,Tables2!$B$73:$B$152,0)),-1)),
Error!$B$44,
IF(AND(_xlpm.baseRow,OR($E530="Tier 2",$E530="Tier 2 Grove"),$C530&lt;&gt;"",$D530&gt;=12,COUNTIF(Tables2!$B$153:$B$162,$C530)&gt;0),
Error!$B$45,
IF(AND(_xlpm.baseRow,$E530="Tier 2 Grove",$D530&lt;12),
Error!$B$41,
IF(AND(_xlpm.baseRow,$E530="Tier 2",$D530&lt;5.88),
Error!$B$40,
IF(AND(_xlpm.baseRow,OR($E530="Tier 2",$E530="Tier 2 Grove"),$C530&lt;&gt;"",$D530&lt;12,$D530&gt;=6,COUNTIF(Tables2!$B$153:$B$162,$C530)&gt;0),
Error!$B$54,
IF(AND(_xlpm.baseRow,$E530="Tier 2",COUNTIF(Tables2!$B$166:$B$674,$C530)&gt;0,$D530&lt;24),
Error!$B$54,
IF(AND(_xlpm.baseRow,$E530="Tier 3",ISNA(MATCH($C530,Tables2!$B$153:$B$162,0)),OR($D530&lt;12,$D530&gt;=24)),
Error!$B$9,
IF(AND(_xlpm.baseRow,$E530="Tier 3",COUNTIF(Tables2!$B$153:$B$162,$C530)&gt;0,$D530&lt;12),
Error!$B$46,
IF(AND(_xlpm.baseRow,$E530="Tier 4",OR($D530&lt;6,$D530&gt;=12)),
Error!$B$10,
IF(AND(_xlpm.baseRow,$E530="&lt;6in DSH for Tree Points",OR($D530&gt;=6,$D530="")),
Error!$B$8,
IF(AND(_xlpm.baseRow,$E530="Street Tree for Green Factor",$F530&lt;&gt;"",$F530&lt;&gt;"Retain"),
Error!$B$14,
IF(AND($E530="&lt;6in DSH for Tree Points",$F530="Retain",$H530&lt;&gt;"",ISNA(MATCH($H530,Tables!$B$174:$B$174,0))),
Error!$B$15,
IF(AND($E530="Street Tree for Green Factor",$F530="Retain",$H530&lt;&gt;"",$H530&lt;&gt;"Zoning: Green Factor"),
Error!$B$15,
IF(AND($E530="ECA / Shoreline Tree",$F530="Remove",$H530&lt;&gt;"",ISNA(MATCH($H530,Tables!$B$189:$B$190,0))),
Error!$B$15,
IF(AND($E530="ECA / Shoreline Tree",$F530="Retain",$H530&lt;&gt;"",ISNA(MATCH($H530,Tables!$B$184:$B$186,0))),
Error!$B$15,
IF(AND($E530="Tier 4",$F530="Remove",$H530&lt;&gt;"",ISNA(MATCH($H530,Tables!$B$171,0))),
Error!$B$15,
IF(AND($E530="Tier 4",$F530="Retain",$H530&lt;&gt;"",ISNA(MATCH($H530,Tables!$B$166:$B$168,0))),
Error!$B$15,
IF(AND($E530="Tier 3",$F530="Retain",$H530&lt;&gt;"",ISNA(MATCH($H530,Tables!$B$158:$B$160,0))),
Error!$B$15,
IF(AND($E530="Tier 3",$F530="Remove",$H530&lt;&gt;"",ISNA(MATCH($H530,Tables!$B$163,0))),
Error!$B$15,
IF(AND(OR($E530="Tier 2",$E530="Tier 2 Grove"),$F530="Remove",$H530&lt;&gt;"",ISNA(MATCH($H530,Tables!$B$153:$B$155,0))),
Error!$B$15,
IF(AND(OR($E530="Tier 2",$E530="Tier 2 Grove"),$F530="Retain",$H530&lt;&gt;"",ISNA(MATCH($H530,Tables!$B$147:$B$150,0))),
Error!$B$15,
IF(AND($E530="Tier 1",$F530="Remove",$H530&lt;&gt;"",ISNA(MATCH($H530,Tables!$B$143:$B$144,0))),
Error!$B$15,
IF(AND($E530="Tier 1",$F530="Retain",$H530&lt;&gt;"",ISNA(MATCH($H530,Tables!$B$137:$B$140,0))),
Error!$B$15,
IF(AND($E530&lt;&gt;"Tier 2",$E530&lt;&gt;"Tier 2 Grove",$E530&lt;&gt;"Tier 3",$E530&lt;&gt;"Tier 4",$H530="Zoning: Green Factor",OR($D530="",$D530&lt;6)),
Error!$B$11,
IF(AND(_xlpm.baseRow,$D530&lt;6,$E530="&lt;6in DSH for Tree Points",_xlpm.TreePoints_H=0),
Error!$B$21,
IF(AND(_xlpm.baseRow,$E530&lt;&gt;"",$D530&lt;&gt;"",$F530=""),
Error!$B$4,
IF(AND(_xlpm.baseRow,$F530="Remove",OR($E530="Tier 1",$E530="Tier 2",$E530="Tier 2 Grove"),COUNTBLANK(_xlpm.HRange)&lt;3,_xlpm.uniqueH&gt;=2),
Error!$B$48,
IF(AND(_xlpm.baseRow,$F530="Retain",OR($E530="Tier 1",$E530="Tier 2",$E530="Tier 2 Grove"),COUNTIF(_xlpm.HRange,"Tree Code: Required to Retain Tier 1-2 Tree")=0),
Error!$B$47,
IF(AND(_xlpm.baseRow,$E530&lt;&gt;"",$D530&lt;&gt;"",$F530&lt;&gt;"",COUNTBLANK(_xlpm.HRange)=4),
Error!$B$5,
IF(AND($F530="Remove",$H530&lt;&gt;"",$I530=""),
Error!$B$18,
IF(AND($E530="Tier 4",$F530="Remove",$H530="Tree Protection Code: Tier 3 or Tier 4 Allowance",$H530&lt;&gt;"",ISNA(MATCH($I530,Tables!$B$200,0))),
Error!$B$17,
IF(AND($E530="Tier 3",$F530="Remove",$H530&lt;&gt;"",$H530="Tree Protection Code: Tier 3 or Tier 4 Allowance",OR($I530="",ISNA(MATCH($I530,Tables!$B$193:$B$197,0)))),
Error!$B$17,
IF(AND(OR($E530="Tier 2",$E530="Tier 2 Grove"),$F530="Remove",$H530="Tree Protection Code: Other removal allowance or exemption",$I530&lt;&gt;"",ISNA(MATCH($I530,Tables!$B$215:$B$218,0))),
Error!$B$17,
IF(AND(OR($E530="Tier 2",$E530="Tier 2 Grove"),$F530="Remove",$H530="Tree Protection Code: Development Capacity",$I530&lt;&gt;"",ISNA(MATCH($I530,Tables!$B$193:$B$197,0))),
Error!$B$17,
IF(AND(OR($E530="Tier 2",$E530="Tier 2 Grove"),$F530="Remove",$H530="Tree Protection Code: Necessary for Construction",$I530&lt;&gt;"",ISNA(MATCH($I530,Tables!$B$193:$B$197,0))),
Error!$B$17,
IF(AND($E530="Tier 1",$F530="Remove",$H530="Tree Protection Code: Special Exception",$I530&lt;&gt;"",ISNA(MATCH($I530,Tables!$B$215:$B$218,0))),
Error!$B$17,
IF(AND($E530="Tier 1",$F530="Remove",$H530="Tree Protection Code: Other removal allowance or exemption",$I530&lt;&gt;"",ISNA(MATCH($I530,Tables!$B$215:$B$218,0))),
Error!$B$17,
IF(AND($E530="ECA / Shoreline Tree",$F530="Remove",$H530&lt;&gt;"",OR($H530="Shoreline",$H530="Environmental Critical Area (ECA)"),ISNA(MATCH($I530,Tables!$B$209:$B$212,0))),
Error!$B$17,
IF(AND(_xlpm.baseRow,$F530="Retain",$E530="ECA / Shoreline Tree",_xlpm.ECA_Short=0),
Error!$B$61,
IF(AND($F530="Remove",ISNUMBER(MATCH($E530,{"Tier 1","Tier 2","Tier 3","Tier 4","Tier 2 Grove"},0)),ISNUMBER(MATCH($I530,{"On-site replacement","Off-site replacement"},0)),$J530="",$H530&lt;&gt;""),
Error!$B$19,
IF(AND(_xlpm.baseRow,$E530&lt;&gt;"",$D530&lt;&gt;"",$F530&lt;&gt;"",COUNTBLANK($B530:$C530)&gt;0,COUNTBLANK(_xlpm.HRange)&lt;&gt;4),
Error!$B$22,
IF(AND($H530="Zoning: Tree Points",$K530&lt;&gt;"",ISNA(MATCH($K530,Tables!$B$242:$B$253,0))),
Error!$B$58,
IF(AND($H530="Zoning: Tree Points",$K530="Small",$L530&lt;&gt;"",ISNA(MATCH($L530,Tables!$C$243:$C$244,0))),
Error!$B$59,
IF(AND($H530="Zoning: Tree Points",$K530="Small/Medium",$L530&lt;&gt;"",ISNA(MATCH($L530,Tables!$C$246:$C$247,0))),
Error!$B$59,
IF(AND($H530="Zoning: Tree Points",$K530="Medium/Large",$L530&lt;&gt;"",ISNA(MATCH($L530,Tables!$C$249:$C$250,0))),
Error!$B$59,
IF(AND($H530="Zoning: Tree Points",$K530="Large",$L530&lt;&gt;"",ISNA(MATCH($L530,Tables!$C$252:$C$253,0))),
Error!$B$59,
IF(AND($F530="Retain",$H530="Zoning: Tree Points",$C530&lt;&gt;"",$D530&lt;&gt;"",OR($K530="",$L530="",$M530="")),
Error!$B$20,
""
)))))))))))))))))))))))))))))))))))))))))))))))))))))))),
Error!$B$23))</f>
        <v/>
      </c>
      <c r="O530" s="343" t="str" cm="1">
        <f t="array" aca="1" ref="O530" ca="1">IFERROR(_xlfn.LET(
    _xlpm.txt, $C530,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31" spans="1:15" ht="15" thickBot="1" x14ac:dyDescent="0.35">
      <c r="A531" s="311">
        <v>131</v>
      </c>
      <c r="B531" s="312"/>
      <c r="C531" s="313"/>
      <c r="D531" s="478"/>
      <c r="E531" s="314"/>
      <c r="F531" s="314"/>
      <c r="G531" s="315" t="str">
        <f>IF(Tree_Table1[[#This Row],[Tree Status  &amp;]]="Retain", Tables!$B$237, IF(Tree_Table1[[#This Row],[Tree Status  &amp;]]="Remove", Tables!$B$238, ""))</f>
        <v/>
      </c>
      <c r="H531" s="316"/>
      <c r="I531" s="317"/>
      <c r="J531" s="452"/>
      <c r="K531" s="318" t="str">
        <f>IFERROR(
    IF(
        AND($H531="Zoning: Tree Points", NOT(ISNUMBER(SEARCH("sp.", $C531)))),
        VLOOKUP($C531, 'Tree List'!$C$3:$F$601, 4, FALSE),
        ""
    ),
"")</f>
        <v/>
      </c>
      <c r="L531" s="319" t="str" cm="1">
        <f t="array" ref="L531">IFERROR(
IF(
    AND($H531="Zoning: Tree Points", NOT(ISNUMBER(SEARCH("sp.", $C531)))),
    _xlfn.IFS(
        (COUNTIFS('Tree List'!$C$3:$C$601,$C531,'Tree List'!$D$3:$D$601,"Coniferous")
        + COUNTIFS('Tree List'!$C$3:$C$601,$C531,'Tree List'!$D$3:$D$601,"Deciduous Conifer")) &gt; 0,
            _xlfn.IFS($K531="Small",0.5,$K531="Small/Medium",1,$K531="Medium/Large",1.4,$K531="Large",1.8),
        (COUNTIFS('Tree List'!$C$3:$C$601,$C531,'Tree List'!$D$3:$D$601,"Deciduous")
        + COUNTIFS('Tree List'!$C$3:$C$601,$C531,'Tree List'!$D$3:$D$601,"Broadleaf Evergreen")) &gt; 0,
            _xlfn.IFS($K531="Small",0.4,$K531="Small/Medium",0.8,$K531="Medium/Large",1.2,$K531="Large",1.6)
    ),
    ""
),
"")</f>
        <v/>
      </c>
      <c r="M531" s="474" t="str">
        <f t="shared" si="573"/>
        <v/>
      </c>
      <c r="N531" s="620" t="str" cm="1">
        <f t="array" aca="1" ref="N53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IF(AND(_xlpm.baseRow,ISNA(MATCH($C531,'Tree List'!$C$3:$C$601,0)),SUMPRODUCT(--ISNUMBER(SEARCH(Tables2!$C$677:$C$772,$O531)))&gt;0),
Error!$B$57,
IF(AND(_xlpm.hasDM,$F531="Remove",$H531&lt;&gt;"",OR($I531="On-site replacement",$I531="Off-site replacement",$I531="Payment In Lieu")),
Error!$B$56,
IF(AND(_xlpm.hasDM,$F531="Remove",$H531&lt;&gt;"",$I531="Relocation"),
Error!$B$66,
IF(AND(OR(_xlpm.hasCN,_xlpm.hasPH,_xlpm.hasGR),$H531&lt;&gt;"",COUNTIF(Tables!$B$132:$B$134,$H531)&gt;0,$I531="N/A (No replacement required)"),
Error!$B$62,
IF(AND(_xlpm.baseRow,$E531&lt;&gt;"",ISNA(MATCH($E531,Tables!$B$225:$B$232,0))),
Error!$B$2,
IF(AND(_xlpm.baseRow,$F531&lt;&gt;"",ISNA(MATCH($F531,Tables!$B$234:$B$235,0))),
Error!$B$24,
IF(AND(_xlpm.baseRow,_xlpm.ECA_H&gt;0,_xlpm.Shore_H&gt;0),
Error!$B$16,
IF(AND(_xlpm.baseRow,$E531&lt;&gt;"",$D531=""),
Error!$B$3,
IF(AND(_xlpm.baseRow,OR($E531="Tier 3",$E531="Tier 4"),$C531&lt;&gt;"",$D531&gt;=24,COUNTIF(Tables2!$B$166:$B$674,$C531)&gt;0),
Error!$B$44,
IF(AND(_xlpm.baseRow,OR($E531="Tier 3",$E531="Tier 4"),$C531&lt;&gt;"",$D531&lt;&gt;"",COUNTIF(Tables2!$B$73:$B$152,$C531)&gt;0,
$D531&gt;=IFERROR(INDEX(Tables2!$C$73:$C$152,MATCH($C531,Tables2!$B$73:$B$152,0)),-1)),
Error!$B$44,
IF(AND(_xlpm.baseRow,OR($E531="Tier 2",$E531="Tier 2 Grove"),$C531&lt;&gt;"",$D531&gt;=12,COUNTIF(Tables2!$B$153:$B$162,$C531)&gt;0),
Error!$B$45,
IF(AND(_xlpm.baseRow,$E531="Tier 2 Grove",$D531&lt;12),
Error!$B$41,
IF(AND(_xlpm.baseRow,$E531="Tier 2",$D531&lt;5.88),
Error!$B$40,
IF(AND(_xlpm.baseRow,OR($E531="Tier 2",$E531="Tier 2 Grove"),$C531&lt;&gt;"",$D531&lt;12,$D531&gt;=6,COUNTIF(Tables2!$B$153:$B$162,$C531)&gt;0),
Error!$B$54,
IF(AND(_xlpm.baseRow,$E531="Tier 2",COUNTIF(Tables2!$B$166:$B$674,$C531)&gt;0,$D531&lt;24),
Error!$B$54,
IF(AND(_xlpm.baseRow,$E531="Tier 3",ISNA(MATCH($C531,Tables2!$B$153:$B$162,0)),OR($D531&lt;12,$D531&gt;=24)),
Error!$B$9,
IF(AND(_xlpm.baseRow,$E531="Tier 3",COUNTIF(Tables2!$B$153:$B$162,$C531)&gt;0,$D531&lt;12),
Error!$B$46,
IF(AND(_xlpm.baseRow,$E531="Tier 4",OR($D531&lt;6,$D531&gt;=12)),
Error!$B$10,
IF(AND(_xlpm.baseRow,$E531="&lt;6in DSH for Tree Points",OR($D531&gt;=6,$D531="")),
Error!$B$8,
IF(AND(_xlpm.baseRow,$E531="Street Tree for Green Factor",$F531&lt;&gt;"",$F531&lt;&gt;"Retain"),
Error!$B$14,
IF(AND($E531="&lt;6in DSH for Tree Points",$F531="Retain",$H531&lt;&gt;"",ISNA(MATCH($H531,Tables!$B$174:$B$174,0))),
Error!$B$15,
IF(AND($E531="Street Tree for Green Factor",$F531="Retain",$H531&lt;&gt;"",$H531&lt;&gt;"Zoning: Green Factor"),
Error!$B$15,
IF(AND($E531="ECA / Shoreline Tree",$F531="Remove",$H531&lt;&gt;"",ISNA(MATCH($H531,Tables!$B$189:$B$190,0))),
Error!$B$15,
IF(AND($E531="ECA / Shoreline Tree",$F531="Retain",$H531&lt;&gt;"",ISNA(MATCH($H531,Tables!$B$184:$B$186,0))),
Error!$B$15,
IF(AND($E531="Tier 4",$F531="Remove",$H531&lt;&gt;"",ISNA(MATCH($H531,Tables!$B$171,0))),
Error!$B$15,
IF(AND($E531="Tier 4",$F531="Retain",$H531&lt;&gt;"",ISNA(MATCH($H531,Tables!$B$166:$B$168,0))),
Error!$B$15,
IF(AND($E531="Tier 3",$F531="Retain",$H531&lt;&gt;"",ISNA(MATCH($H531,Tables!$B$158:$B$160,0))),
Error!$B$15,
IF(AND($E531="Tier 3",$F531="Remove",$H531&lt;&gt;"",ISNA(MATCH($H531,Tables!$B$163,0))),
Error!$B$15,
IF(AND(OR($E531="Tier 2",$E531="Tier 2 Grove"),$F531="Remove",$H531&lt;&gt;"",ISNA(MATCH($H531,Tables!$B$153:$B$155,0))),
Error!$B$15,
IF(AND(OR($E531="Tier 2",$E531="Tier 2 Grove"),$F531="Retain",$H531&lt;&gt;"",ISNA(MATCH($H531,Tables!$B$147:$B$150,0))),
Error!$B$15,
IF(AND($E531="Tier 1",$F531="Remove",$H531&lt;&gt;"",ISNA(MATCH($H531,Tables!$B$143:$B$144,0))),
Error!$B$15,
IF(AND($E531="Tier 1",$F531="Retain",$H531&lt;&gt;"",ISNA(MATCH($H531,Tables!$B$137:$B$140,0))),
Error!$B$15,
IF(AND($E531&lt;&gt;"Tier 2",$E531&lt;&gt;"Tier 2 Grove",$E531&lt;&gt;"Tier 3",$E531&lt;&gt;"Tier 4",$H531="Zoning: Green Factor",OR($D531="",$D531&lt;6)),
Error!$B$11,
IF(AND(_xlpm.baseRow,$D531&lt;6,$E531="&lt;6in DSH for Tree Points",_xlpm.TreePoints_H=0),
Error!$B$21,
IF(AND(_xlpm.baseRow,$E531&lt;&gt;"",$D531&lt;&gt;"",$F531=""),
Error!$B$4,
IF(AND(_xlpm.baseRow,$F531="Remove",OR($E531="Tier 1",$E531="Tier 2",$E531="Tier 2 Grove"),COUNTBLANK(_xlpm.HRange)&lt;3,_xlpm.uniqueH&gt;=2),
Error!$B$48,
IF(AND(_xlpm.baseRow,$F531="Retain",OR($E531="Tier 1",$E531="Tier 2",$E531="Tier 2 Grove"),COUNTIF(_xlpm.HRange,"Tree Code: Required to Retain Tier 1-2 Tree")=0),
Error!$B$47,
IF(AND(_xlpm.baseRow,$E531&lt;&gt;"",$D531&lt;&gt;"",$F531&lt;&gt;"",COUNTBLANK(_xlpm.HRange)=4),
Error!$B$5,
IF(AND($F531="Remove",$H531&lt;&gt;"",$I531=""),
Error!$B$18,
IF(AND($E531="Tier 4",$F531="Remove",$H531="Tree Protection Code: Tier 3 or Tier 4 Allowance",$H531&lt;&gt;"",ISNA(MATCH($I531,Tables!$B$200,0))),
Error!$B$17,
IF(AND($E531="Tier 3",$F531="Remove",$H531&lt;&gt;"",$H531="Tree Protection Code: Tier 3 or Tier 4 Allowance",OR($I531="",ISNA(MATCH($I531,Tables!$B$193:$B$197,0)))),
Error!$B$17,
IF(AND(OR($E531="Tier 2",$E531="Tier 2 Grove"),$F531="Remove",$H531="Tree Protection Code: Other removal allowance or exemption",$I531&lt;&gt;"",ISNA(MATCH($I531,Tables!$B$215:$B$218,0))),
Error!$B$17,
IF(AND(OR($E531="Tier 2",$E531="Tier 2 Grove"),$F531="Remove",$H531="Tree Protection Code: Development Capacity",$I531&lt;&gt;"",ISNA(MATCH($I531,Tables!$B$193:$B$197,0))),
Error!$B$17,
IF(AND(OR($E531="Tier 2",$E531="Tier 2 Grove"),$F531="Remove",$H531="Tree Protection Code: Necessary for Construction",$I531&lt;&gt;"",ISNA(MATCH($I531,Tables!$B$193:$B$197,0))),
Error!$B$17,
IF(AND($E531="Tier 1",$F531="Remove",$H531="Tree Protection Code: Special Exception",$I531&lt;&gt;"",ISNA(MATCH($I531,Tables!$B$215:$B$218,0))),
Error!$B$17,
IF(AND($E531="Tier 1",$F531="Remove",$H531="Tree Protection Code: Other removal allowance or exemption",$I531&lt;&gt;"",ISNA(MATCH($I531,Tables!$B$215:$B$218,0))),
Error!$B$17,
IF(AND($E531="ECA / Shoreline Tree",$F531="Remove",$H531&lt;&gt;"",OR($H531="Shoreline",$H531="Environmental Critical Area (ECA)"),ISNA(MATCH($I531,Tables!$B$209:$B$212,0))),
Error!$B$17,
IF(AND(_xlpm.baseRow,$F531="Retain",$E531="ECA / Shoreline Tree",_xlpm.ECA_Short=0),
Error!$B$61,
IF(AND($F531="Remove",ISNUMBER(MATCH($E531,{"Tier 1","Tier 2","Tier 3","Tier 4","Tier 2 Grove"},0)),ISNUMBER(MATCH($I531,{"On-site replacement","Off-site replacement"},0)),$J531="",$H531&lt;&gt;""),
Error!$B$19,
IF(AND(_xlpm.baseRow,$E531&lt;&gt;"",$D531&lt;&gt;"",$F531&lt;&gt;"",COUNTBLANK($B531:$C531)&gt;0,COUNTBLANK(_xlpm.HRange)&lt;&gt;4),
Error!$B$22,
IF(AND($H531="Zoning: Tree Points",$K531&lt;&gt;"",ISNA(MATCH($K531,Tables!$B$242:$B$253,0))),
Error!$B$58,
IF(AND($H531="Zoning: Tree Points",$K531="Small",$L531&lt;&gt;"",ISNA(MATCH($L531,Tables!$C$243:$C$244,0))),
Error!$B$59,
IF(AND($H531="Zoning: Tree Points",$K531="Small/Medium",$L531&lt;&gt;"",ISNA(MATCH($L531,Tables!$C$246:$C$247,0))),
Error!$B$59,
IF(AND($H531="Zoning: Tree Points",$K531="Medium/Large",$L531&lt;&gt;"",ISNA(MATCH($L531,Tables!$C$249:$C$250,0))),
Error!$B$59,
IF(AND($H531="Zoning: Tree Points",$K531="Large",$L531&lt;&gt;"",ISNA(MATCH($L531,Tables!$C$252:$C$253,0))),
Error!$B$59,
IF(AND($F531="Retain",$H531="Zoning: Tree Points",$C531&lt;&gt;"",$D531&lt;&gt;"",OR($K531="",$L531="",$M531="")),
Error!$B$20,
""
)))))))))))))))))))))))))))))))))))))))))))))))))))))))),
Error!$B$23))</f>
        <v/>
      </c>
      <c r="O531" s="343" t="str" cm="1">
        <f t="array" aca="1" ref="O531" ca="1">IFERROR(_xlfn.LET(
    _xlpm.txt, $C531,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32" spans="1:15" x14ac:dyDescent="0.3">
      <c r="A532" s="320"/>
      <c r="B532" s="616" t="str">
        <f t="shared" ref="B532:B534" si="614">IF($B531="", "", $B531)</f>
        <v/>
      </c>
      <c r="C532" s="617" t="str">
        <f t="shared" ref="C532:C534" si="615">IF($C531="", "", $C531)</f>
        <v/>
      </c>
      <c r="D532" s="618" t="str">
        <f t="shared" ref="D532:D534" si="616">IF($D531="", "", $D531)</f>
        <v/>
      </c>
      <c r="E532" s="616" t="str">
        <f t="shared" ref="E532:E534" si="617">IF($E531="", "", $E531)</f>
        <v/>
      </c>
      <c r="F532" s="616" t="str">
        <f t="shared" ref="F532:F534" si="618">IF($F531="", "", $F531)</f>
        <v/>
      </c>
      <c r="G532" s="619" t="str">
        <f>IF(Tree_Table1[[#This Row],[Tree Status  &amp;]]="Retain", Tables!$B$237, IF(Tree_Table1[[#This Row],[Tree Status  &amp;]]="Remove", Tables!$B$238, ""))</f>
        <v/>
      </c>
      <c r="H532" s="321"/>
      <c r="I532" s="322"/>
      <c r="J532" s="453"/>
      <c r="K532" s="323" t="str">
        <f>IFERROR(
    IF(
        AND($H532="Zoning: Tree Points", NOT(ISNUMBER(SEARCH("sp.", $C532)))),
        VLOOKUP($C532, 'Tree List'!$C$3:$F$601, 4, FALSE),
        ""
    ),
"")</f>
        <v/>
      </c>
      <c r="L532" s="324" t="str" cm="1">
        <f t="array" ref="L532">IFERROR(
IF(
    AND($H532="Zoning: Tree Points", NOT(ISNUMBER(SEARCH("sp.", $C532)))),
    _xlfn.IFS(
        (COUNTIFS('Tree List'!$C$3:$C$601,$C532,'Tree List'!$D$3:$D$601,"Coniferous")
        + COUNTIFS('Tree List'!$C$3:$C$601,$C532,'Tree List'!$D$3:$D$601,"Deciduous Conifer")) &gt; 0,
            _xlfn.IFS($K532="Small",0.5,$K532="Small/Medium",1,$K532="Medium/Large",1.4,$K532="Large",1.8),
        (COUNTIFS('Tree List'!$C$3:$C$601,$C532,'Tree List'!$D$3:$D$601,"Deciduous")
        + COUNTIFS('Tree List'!$C$3:$C$601,$C532,'Tree List'!$D$3:$D$601,"Broadleaf Evergreen")) &gt; 0,
            _xlfn.IFS($K532="Small",0.4,$K532="Small/Medium",0.8,$K532="Medium/Large",1.2,$K532="Large",1.6)
    ),
    ""
),
"")</f>
        <v/>
      </c>
      <c r="M532" s="475" t="str">
        <f t="shared" si="573"/>
        <v/>
      </c>
      <c r="N532" s="346" t="str" cm="1">
        <f t="array" aca="1" ref="N53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IF(AND(_xlpm.baseRow,ISNA(MATCH($C532,'Tree List'!$C$3:$C$601,0)),SUMPRODUCT(--ISNUMBER(SEARCH(Tables2!$C$677:$C$772,$O532)))&gt;0),
Error!$B$57,
IF(AND(_xlpm.hasDM,$F532="Remove",$H532&lt;&gt;"",OR($I532="On-site replacement",$I532="Off-site replacement",$I532="Payment In Lieu")),
Error!$B$56,
IF(AND(_xlpm.hasDM,$F532="Remove",$H532&lt;&gt;"",$I532="Relocation"),
Error!$B$66,
IF(AND(OR(_xlpm.hasCN,_xlpm.hasPH,_xlpm.hasGR),$H532&lt;&gt;"",COUNTIF(Tables!$B$132:$B$134,$H532)&gt;0,$I532="N/A (No replacement required)"),
Error!$B$62,
IF(AND(_xlpm.baseRow,$E532&lt;&gt;"",ISNA(MATCH($E532,Tables!$B$225:$B$232,0))),
Error!$B$2,
IF(AND(_xlpm.baseRow,$F532&lt;&gt;"",ISNA(MATCH($F532,Tables!$B$234:$B$235,0))),
Error!$B$24,
IF(AND(_xlpm.baseRow,_xlpm.ECA_H&gt;0,_xlpm.Shore_H&gt;0),
Error!$B$16,
IF(AND(_xlpm.baseRow,$E532&lt;&gt;"",$D532=""),
Error!$B$3,
IF(AND(_xlpm.baseRow,OR($E532="Tier 3",$E532="Tier 4"),$C532&lt;&gt;"",$D532&gt;=24,COUNTIF(Tables2!$B$166:$B$674,$C532)&gt;0),
Error!$B$44,
IF(AND(_xlpm.baseRow,OR($E532="Tier 3",$E532="Tier 4"),$C532&lt;&gt;"",$D532&lt;&gt;"",COUNTIF(Tables2!$B$73:$B$152,$C532)&gt;0,
$D532&gt;=IFERROR(INDEX(Tables2!$C$73:$C$152,MATCH($C532,Tables2!$B$73:$B$152,0)),-1)),
Error!$B$44,
IF(AND(_xlpm.baseRow,OR($E532="Tier 2",$E532="Tier 2 Grove"),$C532&lt;&gt;"",$D532&gt;=12,COUNTIF(Tables2!$B$153:$B$162,$C532)&gt;0),
Error!$B$45,
IF(AND(_xlpm.baseRow,$E532="Tier 2 Grove",$D532&lt;12),
Error!$B$41,
IF(AND(_xlpm.baseRow,$E532="Tier 2",$D532&lt;5.88),
Error!$B$40,
IF(AND(_xlpm.baseRow,OR($E532="Tier 2",$E532="Tier 2 Grove"),$C532&lt;&gt;"",$D532&lt;12,$D532&gt;=6,COUNTIF(Tables2!$B$153:$B$162,$C532)&gt;0),
Error!$B$54,
IF(AND(_xlpm.baseRow,$E532="Tier 2",COUNTIF(Tables2!$B$166:$B$674,$C532)&gt;0,$D532&lt;24),
Error!$B$54,
IF(AND(_xlpm.baseRow,$E532="Tier 3",ISNA(MATCH($C532,Tables2!$B$153:$B$162,0)),OR($D532&lt;12,$D532&gt;=24)),
Error!$B$9,
IF(AND(_xlpm.baseRow,$E532="Tier 3",COUNTIF(Tables2!$B$153:$B$162,$C532)&gt;0,$D532&lt;12),
Error!$B$46,
IF(AND(_xlpm.baseRow,$E532="Tier 4",OR($D532&lt;6,$D532&gt;=12)),
Error!$B$10,
IF(AND(_xlpm.baseRow,$E532="&lt;6in DSH for Tree Points",OR($D532&gt;=6,$D532="")),
Error!$B$8,
IF(AND(_xlpm.baseRow,$E532="Street Tree for Green Factor",$F532&lt;&gt;"",$F532&lt;&gt;"Retain"),
Error!$B$14,
IF(AND($E532="&lt;6in DSH for Tree Points",$F532="Retain",$H532&lt;&gt;"",ISNA(MATCH($H532,Tables!$B$174:$B$174,0))),
Error!$B$15,
IF(AND($E532="Street Tree for Green Factor",$F532="Retain",$H532&lt;&gt;"",$H532&lt;&gt;"Zoning: Green Factor"),
Error!$B$15,
IF(AND($E532="ECA / Shoreline Tree",$F532="Remove",$H532&lt;&gt;"",ISNA(MATCH($H532,Tables!$B$189:$B$190,0))),
Error!$B$15,
IF(AND($E532="ECA / Shoreline Tree",$F532="Retain",$H532&lt;&gt;"",ISNA(MATCH($H532,Tables!$B$184:$B$186,0))),
Error!$B$15,
IF(AND($E532="Tier 4",$F532="Remove",$H532&lt;&gt;"",ISNA(MATCH($H532,Tables!$B$171,0))),
Error!$B$15,
IF(AND($E532="Tier 4",$F532="Retain",$H532&lt;&gt;"",ISNA(MATCH($H532,Tables!$B$166:$B$168,0))),
Error!$B$15,
IF(AND($E532="Tier 3",$F532="Retain",$H532&lt;&gt;"",ISNA(MATCH($H532,Tables!$B$158:$B$160,0))),
Error!$B$15,
IF(AND($E532="Tier 3",$F532="Remove",$H532&lt;&gt;"",ISNA(MATCH($H532,Tables!$B$163,0))),
Error!$B$15,
IF(AND(OR($E532="Tier 2",$E532="Tier 2 Grove"),$F532="Remove",$H532&lt;&gt;"",ISNA(MATCH($H532,Tables!$B$153:$B$155,0))),
Error!$B$15,
IF(AND(OR($E532="Tier 2",$E532="Tier 2 Grove"),$F532="Retain",$H532&lt;&gt;"",ISNA(MATCH($H532,Tables!$B$147:$B$150,0))),
Error!$B$15,
IF(AND($E532="Tier 1",$F532="Remove",$H532&lt;&gt;"",ISNA(MATCH($H532,Tables!$B$143:$B$144,0))),
Error!$B$15,
IF(AND($E532="Tier 1",$F532="Retain",$H532&lt;&gt;"",ISNA(MATCH($H532,Tables!$B$137:$B$140,0))),
Error!$B$15,
IF(AND($E532&lt;&gt;"Tier 2",$E532&lt;&gt;"Tier 2 Grove",$E532&lt;&gt;"Tier 3",$E532&lt;&gt;"Tier 4",$H532="Zoning: Green Factor",OR($D532="",$D532&lt;6)),
Error!$B$11,
IF(AND(_xlpm.baseRow,$D532&lt;6,$E532="&lt;6in DSH for Tree Points",_xlpm.TreePoints_H=0),
Error!$B$21,
IF(AND(_xlpm.baseRow,$E532&lt;&gt;"",$D532&lt;&gt;"",$F532=""),
Error!$B$4,
IF(AND(_xlpm.baseRow,$F532="Remove",OR($E532="Tier 1",$E532="Tier 2",$E532="Tier 2 Grove"),COUNTBLANK(_xlpm.HRange)&lt;3,_xlpm.uniqueH&gt;=2),
Error!$B$48,
IF(AND(_xlpm.baseRow,$F532="Retain",OR($E532="Tier 1",$E532="Tier 2",$E532="Tier 2 Grove"),COUNTIF(_xlpm.HRange,"Tree Code: Required to Retain Tier 1-2 Tree")=0),
Error!$B$47,
IF(AND(_xlpm.baseRow,$E532&lt;&gt;"",$D532&lt;&gt;"",$F532&lt;&gt;"",COUNTBLANK(_xlpm.HRange)=4),
Error!$B$5,
IF(AND($F532="Remove",$H532&lt;&gt;"",$I532=""),
Error!$B$18,
IF(AND($E532="Tier 4",$F532="Remove",$H532="Tree Protection Code: Tier 3 or Tier 4 Allowance",$H532&lt;&gt;"",ISNA(MATCH($I532,Tables!$B$200,0))),
Error!$B$17,
IF(AND($E532="Tier 3",$F532="Remove",$H532&lt;&gt;"",$H532="Tree Protection Code: Tier 3 or Tier 4 Allowance",OR($I532="",ISNA(MATCH($I532,Tables!$B$193:$B$197,0)))),
Error!$B$17,
IF(AND(OR($E532="Tier 2",$E532="Tier 2 Grove"),$F532="Remove",$H532="Tree Protection Code: Other removal allowance or exemption",$I532&lt;&gt;"",ISNA(MATCH($I532,Tables!$B$215:$B$218,0))),
Error!$B$17,
IF(AND(OR($E532="Tier 2",$E532="Tier 2 Grove"),$F532="Remove",$H532="Tree Protection Code: Development Capacity",$I532&lt;&gt;"",ISNA(MATCH($I532,Tables!$B$193:$B$197,0))),
Error!$B$17,
IF(AND(OR($E532="Tier 2",$E532="Tier 2 Grove"),$F532="Remove",$H532="Tree Protection Code: Necessary for Construction",$I532&lt;&gt;"",ISNA(MATCH($I532,Tables!$B$193:$B$197,0))),
Error!$B$17,
IF(AND($E532="Tier 1",$F532="Remove",$H532="Tree Protection Code: Special Exception",$I532&lt;&gt;"",ISNA(MATCH($I532,Tables!$B$215:$B$218,0))),
Error!$B$17,
IF(AND($E532="Tier 1",$F532="Remove",$H532="Tree Protection Code: Other removal allowance or exemption",$I532&lt;&gt;"",ISNA(MATCH($I532,Tables!$B$215:$B$218,0))),
Error!$B$17,
IF(AND($E532="ECA / Shoreline Tree",$F532="Remove",$H532&lt;&gt;"",OR($H532="Shoreline",$H532="Environmental Critical Area (ECA)"),ISNA(MATCH($I532,Tables!$B$209:$B$212,0))),
Error!$B$17,
IF(AND(_xlpm.baseRow,$F532="Retain",$E532="ECA / Shoreline Tree",_xlpm.ECA_Short=0),
Error!$B$61,
IF(AND($F532="Remove",ISNUMBER(MATCH($E532,{"Tier 1","Tier 2","Tier 3","Tier 4","Tier 2 Grove"},0)),ISNUMBER(MATCH($I532,{"On-site replacement","Off-site replacement"},0)),$J532="",$H532&lt;&gt;""),
Error!$B$19,
IF(AND(_xlpm.baseRow,$E532&lt;&gt;"",$D532&lt;&gt;"",$F532&lt;&gt;"",COUNTBLANK($B532:$C532)&gt;0,COUNTBLANK(_xlpm.HRange)&lt;&gt;4),
Error!$B$22,
IF(AND($H532="Zoning: Tree Points",$K532&lt;&gt;"",ISNA(MATCH($K532,Tables!$B$242:$B$253,0))),
Error!$B$58,
IF(AND($H532="Zoning: Tree Points",$K532="Small",$L532&lt;&gt;"",ISNA(MATCH($L532,Tables!$C$243:$C$244,0))),
Error!$B$59,
IF(AND($H532="Zoning: Tree Points",$K532="Small/Medium",$L532&lt;&gt;"",ISNA(MATCH($L532,Tables!$C$246:$C$247,0))),
Error!$B$59,
IF(AND($H532="Zoning: Tree Points",$K532="Medium/Large",$L532&lt;&gt;"",ISNA(MATCH($L532,Tables!$C$249:$C$250,0))),
Error!$B$59,
IF(AND($H532="Zoning: Tree Points",$K532="Large",$L532&lt;&gt;"",ISNA(MATCH($L532,Tables!$C$252:$C$253,0))),
Error!$B$59,
IF(AND($F532="Retain",$H532="Zoning: Tree Points",$C532&lt;&gt;"",$D532&lt;&gt;"",OR($K532="",$L532="",$M532="")),
Error!$B$20,
""
)))))))))))))))))))))))))))))))))))))))))))))))))))))))),
Error!$B$23))</f>
        <v/>
      </c>
      <c r="O532" s="343" t="str" cm="1">
        <f t="array" aca="1" ref="O532" ca="1">IFERROR(_xlfn.LET(
    _xlpm.txt, $C532,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33" spans="1:15" x14ac:dyDescent="0.3">
      <c r="A533" s="320"/>
      <c r="B533" s="616" t="str">
        <f t="shared" si="614"/>
        <v/>
      </c>
      <c r="C533" s="617" t="str">
        <f t="shared" si="615"/>
        <v/>
      </c>
      <c r="D533" s="618" t="str">
        <f t="shared" si="616"/>
        <v/>
      </c>
      <c r="E533" s="616" t="str">
        <f t="shared" si="617"/>
        <v/>
      </c>
      <c r="F533" s="616" t="str">
        <f t="shared" si="618"/>
        <v/>
      </c>
      <c r="G533" s="619" t="str">
        <f>IF(Tree_Table1[[#This Row],[Tree Status  &amp;]]="Retain", Tables!$B$237, IF(Tree_Table1[[#This Row],[Tree Status  &amp;]]="Remove", Tables!$B$238, ""))</f>
        <v/>
      </c>
      <c r="H533" s="321"/>
      <c r="I533" s="322"/>
      <c r="J533" s="453"/>
      <c r="K533" s="323" t="str">
        <f>IFERROR(
    IF(
        AND($H533="Zoning: Tree Points", NOT(ISNUMBER(SEARCH("sp.", $C533)))),
        VLOOKUP($C533, 'Tree List'!$C$3:$F$601, 4, FALSE),
        ""
    ),
"")</f>
        <v/>
      </c>
      <c r="L533" s="324" t="str" cm="1">
        <f t="array" ref="L533">IFERROR(
IF(
    AND($H533="Zoning: Tree Points", NOT(ISNUMBER(SEARCH("sp.", $C533)))),
    _xlfn.IFS(
        (COUNTIFS('Tree List'!$C$3:$C$601,$C533,'Tree List'!$D$3:$D$601,"Coniferous")
        + COUNTIFS('Tree List'!$C$3:$C$601,$C533,'Tree List'!$D$3:$D$601,"Deciduous Conifer")) &gt; 0,
            _xlfn.IFS($K533="Small",0.5,$K533="Small/Medium",1,$K533="Medium/Large",1.4,$K533="Large",1.8),
        (COUNTIFS('Tree List'!$C$3:$C$601,$C533,'Tree List'!$D$3:$D$601,"Deciduous")
        + COUNTIFS('Tree List'!$C$3:$C$601,$C533,'Tree List'!$D$3:$D$601,"Broadleaf Evergreen")) &gt; 0,
            _xlfn.IFS($K533="Small",0.4,$K533="Small/Medium",0.8,$K533="Medium/Large",1.2,$K533="Large",1.6)
    ),
    ""
),
"")</f>
        <v/>
      </c>
      <c r="M533" s="475" t="str">
        <f t="shared" si="573"/>
        <v/>
      </c>
      <c r="N533" s="346" t="str" cm="1">
        <f t="array" aca="1" ref="N53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IF(AND(_xlpm.baseRow,ISNA(MATCH($C533,'Tree List'!$C$3:$C$601,0)),SUMPRODUCT(--ISNUMBER(SEARCH(Tables2!$C$677:$C$772,$O533)))&gt;0),
Error!$B$57,
IF(AND(_xlpm.hasDM,$F533="Remove",$H533&lt;&gt;"",OR($I533="On-site replacement",$I533="Off-site replacement",$I533="Payment In Lieu")),
Error!$B$56,
IF(AND(_xlpm.hasDM,$F533="Remove",$H533&lt;&gt;"",$I533="Relocation"),
Error!$B$66,
IF(AND(OR(_xlpm.hasCN,_xlpm.hasPH,_xlpm.hasGR),$H533&lt;&gt;"",COUNTIF(Tables!$B$132:$B$134,$H533)&gt;0,$I533="N/A (No replacement required)"),
Error!$B$62,
IF(AND(_xlpm.baseRow,$E533&lt;&gt;"",ISNA(MATCH($E533,Tables!$B$225:$B$232,0))),
Error!$B$2,
IF(AND(_xlpm.baseRow,$F533&lt;&gt;"",ISNA(MATCH($F533,Tables!$B$234:$B$235,0))),
Error!$B$24,
IF(AND(_xlpm.baseRow,_xlpm.ECA_H&gt;0,_xlpm.Shore_H&gt;0),
Error!$B$16,
IF(AND(_xlpm.baseRow,$E533&lt;&gt;"",$D533=""),
Error!$B$3,
IF(AND(_xlpm.baseRow,OR($E533="Tier 3",$E533="Tier 4"),$C533&lt;&gt;"",$D533&gt;=24,COUNTIF(Tables2!$B$166:$B$674,$C533)&gt;0),
Error!$B$44,
IF(AND(_xlpm.baseRow,OR($E533="Tier 3",$E533="Tier 4"),$C533&lt;&gt;"",$D533&lt;&gt;"",COUNTIF(Tables2!$B$73:$B$152,$C533)&gt;0,
$D533&gt;=IFERROR(INDEX(Tables2!$C$73:$C$152,MATCH($C533,Tables2!$B$73:$B$152,0)),-1)),
Error!$B$44,
IF(AND(_xlpm.baseRow,OR($E533="Tier 2",$E533="Tier 2 Grove"),$C533&lt;&gt;"",$D533&gt;=12,COUNTIF(Tables2!$B$153:$B$162,$C533)&gt;0),
Error!$B$45,
IF(AND(_xlpm.baseRow,$E533="Tier 2 Grove",$D533&lt;12),
Error!$B$41,
IF(AND(_xlpm.baseRow,$E533="Tier 2",$D533&lt;5.88),
Error!$B$40,
IF(AND(_xlpm.baseRow,OR($E533="Tier 2",$E533="Tier 2 Grove"),$C533&lt;&gt;"",$D533&lt;12,$D533&gt;=6,COUNTIF(Tables2!$B$153:$B$162,$C533)&gt;0),
Error!$B$54,
IF(AND(_xlpm.baseRow,$E533="Tier 2",COUNTIF(Tables2!$B$166:$B$674,$C533)&gt;0,$D533&lt;24),
Error!$B$54,
IF(AND(_xlpm.baseRow,$E533="Tier 3",ISNA(MATCH($C533,Tables2!$B$153:$B$162,0)),OR($D533&lt;12,$D533&gt;=24)),
Error!$B$9,
IF(AND(_xlpm.baseRow,$E533="Tier 3",COUNTIF(Tables2!$B$153:$B$162,$C533)&gt;0,$D533&lt;12),
Error!$B$46,
IF(AND(_xlpm.baseRow,$E533="Tier 4",OR($D533&lt;6,$D533&gt;=12)),
Error!$B$10,
IF(AND(_xlpm.baseRow,$E533="&lt;6in DSH for Tree Points",OR($D533&gt;=6,$D533="")),
Error!$B$8,
IF(AND(_xlpm.baseRow,$E533="Street Tree for Green Factor",$F533&lt;&gt;"",$F533&lt;&gt;"Retain"),
Error!$B$14,
IF(AND($E533="&lt;6in DSH for Tree Points",$F533="Retain",$H533&lt;&gt;"",ISNA(MATCH($H533,Tables!$B$174:$B$174,0))),
Error!$B$15,
IF(AND($E533="Street Tree for Green Factor",$F533="Retain",$H533&lt;&gt;"",$H533&lt;&gt;"Zoning: Green Factor"),
Error!$B$15,
IF(AND($E533="ECA / Shoreline Tree",$F533="Remove",$H533&lt;&gt;"",ISNA(MATCH($H533,Tables!$B$189:$B$190,0))),
Error!$B$15,
IF(AND($E533="ECA / Shoreline Tree",$F533="Retain",$H533&lt;&gt;"",ISNA(MATCH($H533,Tables!$B$184:$B$186,0))),
Error!$B$15,
IF(AND($E533="Tier 4",$F533="Remove",$H533&lt;&gt;"",ISNA(MATCH($H533,Tables!$B$171,0))),
Error!$B$15,
IF(AND($E533="Tier 4",$F533="Retain",$H533&lt;&gt;"",ISNA(MATCH($H533,Tables!$B$166:$B$168,0))),
Error!$B$15,
IF(AND($E533="Tier 3",$F533="Retain",$H533&lt;&gt;"",ISNA(MATCH($H533,Tables!$B$158:$B$160,0))),
Error!$B$15,
IF(AND($E533="Tier 3",$F533="Remove",$H533&lt;&gt;"",ISNA(MATCH($H533,Tables!$B$163,0))),
Error!$B$15,
IF(AND(OR($E533="Tier 2",$E533="Tier 2 Grove"),$F533="Remove",$H533&lt;&gt;"",ISNA(MATCH($H533,Tables!$B$153:$B$155,0))),
Error!$B$15,
IF(AND(OR($E533="Tier 2",$E533="Tier 2 Grove"),$F533="Retain",$H533&lt;&gt;"",ISNA(MATCH($H533,Tables!$B$147:$B$150,0))),
Error!$B$15,
IF(AND($E533="Tier 1",$F533="Remove",$H533&lt;&gt;"",ISNA(MATCH($H533,Tables!$B$143:$B$144,0))),
Error!$B$15,
IF(AND($E533="Tier 1",$F533="Retain",$H533&lt;&gt;"",ISNA(MATCH($H533,Tables!$B$137:$B$140,0))),
Error!$B$15,
IF(AND($E533&lt;&gt;"Tier 2",$E533&lt;&gt;"Tier 2 Grove",$E533&lt;&gt;"Tier 3",$E533&lt;&gt;"Tier 4",$H533="Zoning: Green Factor",OR($D533="",$D533&lt;6)),
Error!$B$11,
IF(AND(_xlpm.baseRow,$D533&lt;6,$E533="&lt;6in DSH for Tree Points",_xlpm.TreePoints_H=0),
Error!$B$21,
IF(AND(_xlpm.baseRow,$E533&lt;&gt;"",$D533&lt;&gt;"",$F533=""),
Error!$B$4,
IF(AND(_xlpm.baseRow,$F533="Remove",OR($E533="Tier 1",$E533="Tier 2",$E533="Tier 2 Grove"),COUNTBLANK(_xlpm.HRange)&lt;3,_xlpm.uniqueH&gt;=2),
Error!$B$48,
IF(AND(_xlpm.baseRow,$F533="Retain",OR($E533="Tier 1",$E533="Tier 2",$E533="Tier 2 Grove"),COUNTIF(_xlpm.HRange,"Tree Code: Required to Retain Tier 1-2 Tree")=0),
Error!$B$47,
IF(AND(_xlpm.baseRow,$E533&lt;&gt;"",$D533&lt;&gt;"",$F533&lt;&gt;"",COUNTBLANK(_xlpm.HRange)=4),
Error!$B$5,
IF(AND($F533="Remove",$H533&lt;&gt;"",$I533=""),
Error!$B$18,
IF(AND($E533="Tier 4",$F533="Remove",$H533="Tree Protection Code: Tier 3 or Tier 4 Allowance",$H533&lt;&gt;"",ISNA(MATCH($I533,Tables!$B$200,0))),
Error!$B$17,
IF(AND($E533="Tier 3",$F533="Remove",$H533&lt;&gt;"",$H533="Tree Protection Code: Tier 3 or Tier 4 Allowance",OR($I533="",ISNA(MATCH($I533,Tables!$B$193:$B$197,0)))),
Error!$B$17,
IF(AND(OR($E533="Tier 2",$E533="Tier 2 Grove"),$F533="Remove",$H533="Tree Protection Code: Other removal allowance or exemption",$I533&lt;&gt;"",ISNA(MATCH($I533,Tables!$B$215:$B$218,0))),
Error!$B$17,
IF(AND(OR($E533="Tier 2",$E533="Tier 2 Grove"),$F533="Remove",$H533="Tree Protection Code: Development Capacity",$I533&lt;&gt;"",ISNA(MATCH($I533,Tables!$B$193:$B$197,0))),
Error!$B$17,
IF(AND(OR($E533="Tier 2",$E533="Tier 2 Grove"),$F533="Remove",$H533="Tree Protection Code: Necessary for Construction",$I533&lt;&gt;"",ISNA(MATCH($I533,Tables!$B$193:$B$197,0))),
Error!$B$17,
IF(AND($E533="Tier 1",$F533="Remove",$H533="Tree Protection Code: Special Exception",$I533&lt;&gt;"",ISNA(MATCH($I533,Tables!$B$215:$B$218,0))),
Error!$B$17,
IF(AND($E533="Tier 1",$F533="Remove",$H533="Tree Protection Code: Other removal allowance or exemption",$I533&lt;&gt;"",ISNA(MATCH($I533,Tables!$B$215:$B$218,0))),
Error!$B$17,
IF(AND($E533="ECA / Shoreline Tree",$F533="Remove",$H533&lt;&gt;"",OR($H533="Shoreline",$H533="Environmental Critical Area (ECA)"),ISNA(MATCH($I533,Tables!$B$209:$B$212,0))),
Error!$B$17,
IF(AND(_xlpm.baseRow,$F533="Retain",$E533="ECA / Shoreline Tree",_xlpm.ECA_Short=0),
Error!$B$61,
IF(AND($F533="Remove",ISNUMBER(MATCH($E533,{"Tier 1","Tier 2","Tier 3","Tier 4","Tier 2 Grove"},0)),ISNUMBER(MATCH($I533,{"On-site replacement","Off-site replacement"},0)),$J533="",$H533&lt;&gt;""),
Error!$B$19,
IF(AND(_xlpm.baseRow,$E533&lt;&gt;"",$D533&lt;&gt;"",$F533&lt;&gt;"",COUNTBLANK($B533:$C533)&gt;0,COUNTBLANK(_xlpm.HRange)&lt;&gt;4),
Error!$B$22,
IF(AND($H533="Zoning: Tree Points",$K533&lt;&gt;"",ISNA(MATCH($K533,Tables!$B$242:$B$253,0))),
Error!$B$58,
IF(AND($H533="Zoning: Tree Points",$K533="Small",$L533&lt;&gt;"",ISNA(MATCH($L533,Tables!$C$243:$C$244,0))),
Error!$B$59,
IF(AND($H533="Zoning: Tree Points",$K533="Small/Medium",$L533&lt;&gt;"",ISNA(MATCH($L533,Tables!$C$246:$C$247,0))),
Error!$B$59,
IF(AND($H533="Zoning: Tree Points",$K533="Medium/Large",$L533&lt;&gt;"",ISNA(MATCH($L533,Tables!$C$249:$C$250,0))),
Error!$B$59,
IF(AND($H533="Zoning: Tree Points",$K533="Large",$L533&lt;&gt;"",ISNA(MATCH($L533,Tables!$C$252:$C$253,0))),
Error!$B$59,
IF(AND($F533="Retain",$H533="Zoning: Tree Points",$C533&lt;&gt;"",$D533&lt;&gt;"",OR($K533="",$L533="",$M533="")),
Error!$B$20,
""
)))))))))))))))))))))))))))))))))))))))))))))))))))))))),
Error!$B$23))</f>
        <v/>
      </c>
      <c r="O533" s="343" t="str" cm="1">
        <f t="array" aca="1" ref="O533" ca="1">IFERROR(_xlfn.LET(
    _xlpm.txt, $C533,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34" spans="1:15" ht="15" thickBot="1" x14ac:dyDescent="0.35">
      <c r="A534" s="331"/>
      <c r="B534" s="616" t="str">
        <f t="shared" si="614"/>
        <v/>
      </c>
      <c r="C534" s="617" t="str">
        <f t="shared" si="615"/>
        <v/>
      </c>
      <c r="D534" s="618" t="str">
        <f t="shared" si="616"/>
        <v/>
      </c>
      <c r="E534" s="616" t="str">
        <f t="shared" si="617"/>
        <v/>
      </c>
      <c r="F534" s="616" t="str">
        <f t="shared" si="618"/>
        <v/>
      </c>
      <c r="G534" s="619" t="str">
        <f>IF(Tree_Table1[[#This Row],[Tree Status  &amp;]]="Retain", Tables!$B$237, IF(Tree_Table1[[#This Row],[Tree Status  &amp;]]="Remove", Tables!$B$238, ""))</f>
        <v/>
      </c>
      <c r="H534" s="329"/>
      <c r="I534" s="330"/>
      <c r="J534" s="455"/>
      <c r="K534" s="327" t="str">
        <f>IFERROR(
    IF(
        AND($H534="Zoning: Tree Points", NOT(ISNUMBER(SEARCH("sp.", $C534)))),
        VLOOKUP($C534, 'Tree List'!$C$3:$F$601, 4, FALSE),
        ""
    ),
"")</f>
        <v/>
      </c>
      <c r="L534" s="328" t="str" cm="1">
        <f t="array" ref="L534">IFERROR(
IF(
    AND($H534="Zoning: Tree Points", NOT(ISNUMBER(SEARCH("sp.", $C534)))),
    _xlfn.IFS(
        (COUNTIFS('Tree List'!$C$3:$C$601,$C534,'Tree List'!$D$3:$D$601,"Coniferous")
        + COUNTIFS('Tree List'!$C$3:$C$601,$C534,'Tree List'!$D$3:$D$601,"Deciduous Conifer")) &gt; 0,
            _xlfn.IFS($K534="Small",0.5,$K534="Small/Medium",1,$K534="Medium/Large",1.4,$K534="Large",1.8),
        (COUNTIFS('Tree List'!$C$3:$C$601,$C534,'Tree List'!$D$3:$D$601,"Deciduous")
        + COUNTIFS('Tree List'!$C$3:$C$601,$C534,'Tree List'!$D$3:$D$601,"Broadleaf Evergreen")) &gt; 0,
            _xlfn.IFS($K534="Small",0.4,$K534="Small/Medium",0.8,$K534="Medium/Large",1.2,$K534="Large",1.6)
    ),
    ""
),
"")</f>
        <v/>
      </c>
      <c r="M534" s="476" t="str">
        <f t="shared" si="573"/>
        <v/>
      </c>
      <c r="N534" s="347" t="str" cm="1">
        <f t="array" aca="1" ref="N53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IF(AND(_xlpm.baseRow,ISNA(MATCH($C534,'Tree List'!$C$3:$C$601,0)),SUMPRODUCT(--ISNUMBER(SEARCH(Tables2!$C$677:$C$772,$O534)))&gt;0),
Error!$B$57,
IF(AND(_xlpm.hasDM,$F534="Remove",$H534&lt;&gt;"",OR($I534="On-site replacement",$I534="Off-site replacement",$I534="Payment In Lieu")),
Error!$B$56,
IF(AND(_xlpm.hasDM,$F534="Remove",$H534&lt;&gt;"",$I534="Relocation"),
Error!$B$66,
IF(AND(OR(_xlpm.hasCN,_xlpm.hasPH,_xlpm.hasGR),$H534&lt;&gt;"",COUNTIF(Tables!$B$132:$B$134,$H534)&gt;0,$I534="N/A (No replacement required)"),
Error!$B$62,
IF(AND(_xlpm.baseRow,$E534&lt;&gt;"",ISNA(MATCH($E534,Tables!$B$225:$B$232,0))),
Error!$B$2,
IF(AND(_xlpm.baseRow,$F534&lt;&gt;"",ISNA(MATCH($F534,Tables!$B$234:$B$235,0))),
Error!$B$24,
IF(AND(_xlpm.baseRow,_xlpm.ECA_H&gt;0,_xlpm.Shore_H&gt;0),
Error!$B$16,
IF(AND(_xlpm.baseRow,$E534&lt;&gt;"",$D534=""),
Error!$B$3,
IF(AND(_xlpm.baseRow,OR($E534="Tier 3",$E534="Tier 4"),$C534&lt;&gt;"",$D534&gt;=24,COUNTIF(Tables2!$B$166:$B$674,$C534)&gt;0),
Error!$B$44,
IF(AND(_xlpm.baseRow,OR($E534="Tier 3",$E534="Tier 4"),$C534&lt;&gt;"",$D534&lt;&gt;"",COUNTIF(Tables2!$B$73:$B$152,$C534)&gt;0,
$D534&gt;=IFERROR(INDEX(Tables2!$C$73:$C$152,MATCH($C534,Tables2!$B$73:$B$152,0)),-1)),
Error!$B$44,
IF(AND(_xlpm.baseRow,OR($E534="Tier 2",$E534="Tier 2 Grove"),$C534&lt;&gt;"",$D534&gt;=12,COUNTIF(Tables2!$B$153:$B$162,$C534)&gt;0),
Error!$B$45,
IF(AND(_xlpm.baseRow,$E534="Tier 2 Grove",$D534&lt;12),
Error!$B$41,
IF(AND(_xlpm.baseRow,$E534="Tier 2",$D534&lt;5.88),
Error!$B$40,
IF(AND(_xlpm.baseRow,OR($E534="Tier 2",$E534="Tier 2 Grove"),$C534&lt;&gt;"",$D534&lt;12,$D534&gt;=6,COUNTIF(Tables2!$B$153:$B$162,$C534)&gt;0),
Error!$B$54,
IF(AND(_xlpm.baseRow,$E534="Tier 2",COUNTIF(Tables2!$B$166:$B$674,$C534)&gt;0,$D534&lt;24),
Error!$B$54,
IF(AND(_xlpm.baseRow,$E534="Tier 3",ISNA(MATCH($C534,Tables2!$B$153:$B$162,0)),OR($D534&lt;12,$D534&gt;=24)),
Error!$B$9,
IF(AND(_xlpm.baseRow,$E534="Tier 3",COUNTIF(Tables2!$B$153:$B$162,$C534)&gt;0,$D534&lt;12),
Error!$B$46,
IF(AND(_xlpm.baseRow,$E534="Tier 4",OR($D534&lt;6,$D534&gt;=12)),
Error!$B$10,
IF(AND(_xlpm.baseRow,$E534="&lt;6in DSH for Tree Points",OR($D534&gt;=6,$D534="")),
Error!$B$8,
IF(AND(_xlpm.baseRow,$E534="Street Tree for Green Factor",$F534&lt;&gt;"",$F534&lt;&gt;"Retain"),
Error!$B$14,
IF(AND($E534="&lt;6in DSH for Tree Points",$F534="Retain",$H534&lt;&gt;"",ISNA(MATCH($H534,Tables!$B$174:$B$174,0))),
Error!$B$15,
IF(AND($E534="Street Tree for Green Factor",$F534="Retain",$H534&lt;&gt;"",$H534&lt;&gt;"Zoning: Green Factor"),
Error!$B$15,
IF(AND($E534="ECA / Shoreline Tree",$F534="Remove",$H534&lt;&gt;"",ISNA(MATCH($H534,Tables!$B$189:$B$190,0))),
Error!$B$15,
IF(AND($E534="ECA / Shoreline Tree",$F534="Retain",$H534&lt;&gt;"",ISNA(MATCH($H534,Tables!$B$184:$B$186,0))),
Error!$B$15,
IF(AND($E534="Tier 4",$F534="Remove",$H534&lt;&gt;"",ISNA(MATCH($H534,Tables!$B$171,0))),
Error!$B$15,
IF(AND($E534="Tier 4",$F534="Retain",$H534&lt;&gt;"",ISNA(MATCH($H534,Tables!$B$166:$B$168,0))),
Error!$B$15,
IF(AND($E534="Tier 3",$F534="Retain",$H534&lt;&gt;"",ISNA(MATCH($H534,Tables!$B$158:$B$160,0))),
Error!$B$15,
IF(AND($E534="Tier 3",$F534="Remove",$H534&lt;&gt;"",ISNA(MATCH($H534,Tables!$B$163,0))),
Error!$B$15,
IF(AND(OR($E534="Tier 2",$E534="Tier 2 Grove"),$F534="Remove",$H534&lt;&gt;"",ISNA(MATCH($H534,Tables!$B$153:$B$155,0))),
Error!$B$15,
IF(AND(OR($E534="Tier 2",$E534="Tier 2 Grove"),$F534="Retain",$H534&lt;&gt;"",ISNA(MATCH($H534,Tables!$B$147:$B$150,0))),
Error!$B$15,
IF(AND($E534="Tier 1",$F534="Remove",$H534&lt;&gt;"",ISNA(MATCH($H534,Tables!$B$143:$B$144,0))),
Error!$B$15,
IF(AND($E534="Tier 1",$F534="Retain",$H534&lt;&gt;"",ISNA(MATCH($H534,Tables!$B$137:$B$140,0))),
Error!$B$15,
IF(AND($E534&lt;&gt;"Tier 2",$E534&lt;&gt;"Tier 2 Grove",$E534&lt;&gt;"Tier 3",$E534&lt;&gt;"Tier 4",$H534="Zoning: Green Factor",OR($D534="",$D534&lt;6)),
Error!$B$11,
IF(AND(_xlpm.baseRow,$D534&lt;6,$E534="&lt;6in DSH for Tree Points",_xlpm.TreePoints_H=0),
Error!$B$21,
IF(AND(_xlpm.baseRow,$E534&lt;&gt;"",$D534&lt;&gt;"",$F534=""),
Error!$B$4,
IF(AND(_xlpm.baseRow,$F534="Remove",OR($E534="Tier 1",$E534="Tier 2",$E534="Tier 2 Grove"),COUNTBLANK(_xlpm.HRange)&lt;3,_xlpm.uniqueH&gt;=2),
Error!$B$48,
IF(AND(_xlpm.baseRow,$F534="Retain",OR($E534="Tier 1",$E534="Tier 2",$E534="Tier 2 Grove"),COUNTIF(_xlpm.HRange,"Tree Code: Required to Retain Tier 1-2 Tree")=0),
Error!$B$47,
IF(AND(_xlpm.baseRow,$E534&lt;&gt;"",$D534&lt;&gt;"",$F534&lt;&gt;"",COUNTBLANK(_xlpm.HRange)=4),
Error!$B$5,
IF(AND($F534="Remove",$H534&lt;&gt;"",$I534=""),
Error!$B$18,
IF(AND($E534="Tier 4",$F534="Remove",$H534="Tree Protection Code: Tier 3 or Tier 4 Allowance",$H534&lt;&gt;"",ISNA(MATCH($I534,Tables!$B$200,0))),
Error!$B$17,
IF(AND($E534="Tier 3",$F534="Remove",$H534&lt;&gt;"",$H534="Tree Protection Code: Tier 3 or Tier 4 Allowance",OR($I534="",ISNA(MATCH($I534,Tables!$B$193:$B$197,0)))),
Error!$B$17,
IF(AND(OR($E534="Tier 2",$E534="Tier 2 Grove"),$F534="Remove",$H534="Tree Protection Code: Other removal allowance or exemption",$I534&lt;&gt;"",ISNA(MATCH($I534,Tables!$B$215:$B$218,0))),
Error!$B$17,
IF(AND(OR($E534="Tier 2",$E534="Tier 2 Grove"),$F534="Remove",$H534="Tree Protection Code: Development Capacity",$I534&lt;&gt;"",ISNA(MATCH($I534,Tables!$B$193:$B$197,0))),
Error!$B$17,
IF(AND(OR($E534="Tier 2",$E534="Tier 2 Grove"),$F534="Remove",$H534="Tree Protection Code: Necessary for Construction",$I534&lt;&gt;"",ISNA(MATCH($I534,Tables!$B$193:$B$197,0))),
Error!$B$17,
IF(AND($E534="Tier 1",$F534="Remove",$H534="Tree Protection Code: Special Exception",$I534&lt;&gt;"",ISNA(MATCH($I534,Tables!$B$215:$B$218,0))),
Error!$B$17,
IF(AND($E534="Tier 1",$F534="Remove",$H534="Tree Protection Code: Other removal allowance or exemption",$I534&lt;&gt;"",ISNA(MATCH($I534,Tables!$B$215:$B$218,0))),
Error!$B$17,
IF(AND($E534="ECA / Shoreline Tree",$F534="Remove",$H534&lt;&gt;"",OR($H534="Shoreline",$H534="Environmental Critical Area (ECA)"),ISNA(MATCH($I534,Tables!$B$209:$B$212,0))),
Error!$B$17,
IF(AND(_xlpm.baseRow,$F534="Retain",$E534="ECA / Shoreline Tree",_xlpm.ECA_Short=0),
Error!$B$61,
IF(AND($F534="Remove",ISNUMBER(MATCH($E534,{"Tier 1","Tier 2","Tier 3","Tier 4","Tier 2 Grove"},0)),ISNUMBER(MATCH($I534,{"On-site replacement","Off-site replacement"},0)),$J534="",$H534&lt;&gt;""),
Error!$B$19,
IF(AND(_xlpm.baseRow,$E534&lt;&gt;"",$D534&lt;&gt;"",$F534&lt;&gt;"",COUNTBLANK($B534:$C534)&gt;0,COUNTBLANK(_xlpm.HRange)&lt;&gt;4),
Error!$B$22,
IF(AND($H534="Zoning: Tree Points",$K534&lt;&gt;"",ISNA(MATCH($K534,Tables!$B$242:$B$253,0))),
Error!$B$58,
IF(AND($H534="Zoning: Tree Points",$K534="Small",$L534&lt;&gt;"",ISNA(MATCH($L534,Tables!$C$243:$C$244,0))),
Error!$B$59,
IF(AND($H534="Zoning: Tree Points",$K534="Small/Medium",$L534&lt;&gt;"",ISNA(MATCH($L534,Tables!$C$246:$C$247,0))),
Error!$B$59,
IF(AND($H534="Zoning: Tree Points",$K534="Medium/Large",$L534&lt;&gt;"",ISNA(MATCH($L534,Tables!$C$249:$C$250,0))),
Error!$B$59,
IF(AND($H534="Zoning: Tree Points",$K534="Large",$L534&lt;&gt;"",ISNA(MATCH($L534,Tables!$C$252:$C$253,0))),
Error!$B$59,
IF(AND($F534="Retain",$H534="Zoning: Tree Points",$C534&lt;&gt;"",$D534&lt;&gt;"",OR($K534="",$L534="",$M534="")),
Error!$B$20,
""
)))))))))))))))))))))))))))))))))))))))))))))))))))))))),
Error!$B$23))</f>
        <v/>
      </c>
      <c r="O534" s="343" t="str" cm="1">
        <f t="array" aca="1" ref="O534" ca="1">IFERROR(_xlfn.LET(
    _xlpm.txt, $C534,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35" spans="1:15" ht="15" thickBot="1" x14ac:dyDescent="0.35">
      <c r="A535" s="311">
        <v>132</v>
      </c>
      <c r="B535" s="312"/>
      <c r="C535" s="313"/>
      <c r="D535" s="478"/>
      <c r="E535" s="314"/>
      <c r="F535" s="314"/>
      <c r="G535" s="315" t="str">
        <f>IF(Tree_Table1[[#This Row],[Tree Status  &amp;]]="Retain", Tables!$B$237, IF(Tree_Table1[[#This Row],[Tree Status  &amp;]]="Remove", Tables!$B$238, ""))</f>
        <v/>
      </c>
      <c r="H535" s="316"/>
      <c r="I535" s="317"/>
      <c r="J535" s="452"/>
      <c r="K535" s="318" t="str">
        <f>IFERROR(
    IF(
        AND($H535="Zoning: Tree Points", NOT(ISNUMBER(SEARCH("sp.", $C535)))),
        VLOOKUP($C535, 'Tree List'!$C$3:$F$601, 4, FALSE),
        ""
    ),
"")</f>
        <v/>
      </c>
      <c r="L535" s="319" t="str" cm="1">
        <f t="array" ref="L535">IFERROR(
IF(
    AND($H535="Zoning: Tree Points", NOT(ISNUMBER(SEARCH("sp.", $C535)))),
    _xlfn.IFS(
        (COUNTIFS('Tree List'!$C$3:$C$601,$C535,'Tree List'!$D$3:$D$601,"Coniferous")
        + COUNTIFS('Tree List'!$C$3:$C$601,$C535,'Tree List'!$D$3:$D$601,"Deciduous Conifer")) &gt; 0,
            _xlfn.IFS($K535="Small",0.5,$K535="Small/Medium",1,$K535="Medium/Large",1.4,$K535="Large",1.8),
        (COUNTIFS('Tree List'!$C$3:$C$601,$C535,'Tree List'!$D$3:$D$601,"Deciduous")
        + COUNTIFS('Tree List'!$C$3:$C$601,$C535,'Tree List'!$D$3:$D$601,"Broadleaf Evergreen")) &gt; 0,
            _xlfn.IFS($K535="Small",0.4,$K535="Small/Medium",0.8,$K535="Medium/Large",1.2,$K535="Large",1.6)
    ),
    ""
),
"")</f>
        <v/>
      </c>
      <c r="M535" s="474" t="str">
        <f t="shared" si="573"/>
        <v/>
      </c>
      <c r="N535" s="620" t="str" cm="1">
        <f t="array" aca="1" ref="N53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IF(AND(_xlpm.baseRow,ISNA(MATCH($C535,'Tree List'!$C$3:$C$601,0)),SUMPRODUCT(--ISNUMBER(SEARCH(Tables2!$C$677:$C$772,$O535)))&gt;0),
Error!$B$57,
IF(AND(_xlpm.hasDM,$F535="Remove",$H535&lt;&gt;"",OR($I535="On-site replacement",$I535="Off-site replacement",$I535="Payment In Lieu")),
Error!$B$56,
IF(AND(_xlpm.hasDM,$F535="Remove",$H535&lt;&gt;"",$I535="Relocation"),
Error!$B$66,
IF(AND(OR(_xlpm.hasCN,_xlpm.hasPH,_xlpm.hasGR),$H535&lt;&gt;"",COUNTIF(Tables!$B$132:$B$134,$H535)&gt;0,$I535="N/A (No replacement required)"),
Error!$B$62,
IF(AND(_xlpm.baseRow,$E535&lt;&gt;"",ISNA(MATCH($E535,Tables!$B$225:$B$232,0))),
Error!$B$2,
IF(AND(_xlpm.baseRow,$F535&lt;&gt;"",ISNA(MATCH($F535,Tables!$B$234:$B$235,0))),
Error!$B$24,
IF(AND(_xlpm.baseRow,_xlpm.ECA_H&gt;0,_xlpm.Shore_H&gt;0),
Error!$B$16,
IF(AND(_xlpm.baseRow,$E535&lt;&gt;"",$D535=""),
Error!$B$3,
IF(AND(_xlpm.baseRow,OR($E535="Tier 3",$E535="Tier 4"),$C535&lt;&gt;"",$D535&gt;=24,COUNTIF(Tables2!$B$166:$B$674,$C535)&gt;0),
Error!$B$44,
IF(AND(_xlpm.baseRow,OR($E535="Tier 3",$E535="Tier 4"),$C535&lt;&gt;"",$D535&lt;&gt;"",COUNTIF(Tables2!$B$73:$B$152,$C535)&gt;0,
$D535&gt;=IFERROR(INDEX(Tables2!$C$73:$C$152,MATCH($C535,Tables2!$B$73:$B$152,0)),-1)),
Error!$B$44,
IF(AND(_xlpm.baseRow,OR($E535="Tier 2",$E535="Tier 2 Grove"),$C535&lt;&gt;"",$D535&gt;=12,COUNTIF(Tables2!$B$153:$B$162,$C535)&gt;0),
Error!$B$45,
IF(AND(_xlpm.baseRow,$E535="Tier 2 Grove",$D535&lt;12),
Error!$B$41,
IF(AND(_xlpm.baseRow,$E535="Tier 2",$D535&lt;5.88),
Error!$B$40,
IF(AND(_xlpm.baseRow,OR($E535="Tier 2",$E535="Tier 2 Grove"),$C535&lt;&gt;"",$D535&lt;12,$D535&gt;=6,COUNTIF(Tables2!$B$153:$B$162,$C535)&gt;0),
Error!$B$54,
IF(AND(_xlpm.baseRow,$E535="Tier 2",COUNTIF(Tables2!$B$166:$B$674,$C535)&gt;0,$D535&lt;24),
Error!$B$54,
IF(AND(_xlpm.baseRow,$E535="Tier 3",ISNA(MATCH($C535,Tables2!$B$153:$B$162,0)),OR($D535&lt;12,$D535&gt;=24)),
Error!$B$9,
IF(AND(_xlpm.baseRow,$E535="Tier 3",COUNTIF(Tables2!$B$153:$B$162,$C535)&gt;0,$D535&lt;12),
Error!$B$46,
IF(AND(_xlpm.baseRow,$E535="Tier 4",OR($D535&lt;6,$D535&gt;=12)),
Error!$B$10,
IF(AND(_xlpm.baseRow,$E535="&lt;6in DSH for Tree Points",OR($D535&gt;=6,$D535="")),
Error!$B$8,
IF(AND(_xlpm.baseRow,$E535="Street Tree for Green Factor",$F535&lt;&gt;"",$F535&lt;&gt;"Retain"),
Error!$B$14,
IF(AND($E535="&lt;6in DSH for Tree Points",$F535="Retain",$H535&lt;&gt;"",ISNA(MATCH($H535,Tables!$B$174:$B$174,0))),
Error!$B$15,
IF(AND($E535="Street Tree for Green Factor",$F535="Retain",$H535&lt;&gt;"",$H535&lt;&gt;"Zoning: Green Factor"),
Error!$B$15,
IF(AND($E535="ECA / Shoreline Tree",$F535="Remove",$H535&lt;&gt;"",ISNA(MATCH($H535,Tables!$B$189:$B$190,0))),
Error!$B$15,
IF(AND($E535="ECA / Shoreline Tree",$F535="Retain",$H535&lt;&gt;"",ISNA(MATCH($H535,Tables!$B$184:$B$186,0))),
Error!$B$15,
IF(AND($E535="Tier 4",$F535="Remove",$H535&lt;&gt;"",ISNA(MATCH($H535,Tables!$B$171,0))),
Error!$B$15,
IF(AND($E535="Tier 4",$F535="Retain",$H535&lt;&gt;"",ISNA(MATCH($H535,Tables!$B$166:$B$168,0))),
Error!$B$15,
IF(AND($E535="Tier 3",$F535="Retain",$H535&lt;&gt;"",ISNA(MATCH($H535,Tables!$B$158:$B$160,0))),
Error!$B$15,
IF(AND($E535="Tier 3",$F535="Remove",$H535&lt;&gt;"",ISNA(MATCH($H535,Tables!$B$163,0))),
Error!$B$15,
IF(AND(OR($E535="Tier 2",$E535="Tier 2 Grove"),$F535="Remove",$H535&lt;&gt;"",ISNA(MATCH($H535,Tables!$B$153:$B$155,0))),
Error!$B$15,
IF(AND(OR($E535="Tier 2",$E535="Tier 2 Grove"),$F535="Retain",$H535&lt;&gt;"",ISNA(MATCH($H535,Tables!$B$147:$B$150,0))),
Error!$B$15,
IF(AND($E535="Tier 1",$F535="Remove",$H535&lt;&gt;"",ISNA(MATCH($H535,Tables!$B$143:$B$144,0))),
Error!$B$15,
IF(AND($E535="Tier 1",$F535="Retain",$H535&lt;&gt;"",ISNA(MATCH($H535,Tables!$B$137:$B$140,0))),
Error!$B$15,
IF(AND($E535&lt;&gt;"Tier 2",$E535&lt;&gt;"Tier 2 Grove",$E535&lt;&gt;"Tier 3",$E535&lt;&gt;"Tier 4",$H535="Zoning: Green Factor",OR($D535="",$D535&lt;6)),
Error!$B$11,
IF(AND(_xlpm.baseRow,$D535&lt;6,$E535="&lt;6in DSH for Tree Points",_xlpm.TreePoints_H=0),
Error!$B$21,
IF(AND(_xlpm.baseRow,$E535&lt;&gt;"",$D535&lt;&gt;"",$F535=""),
Error!$B$4,
IF(AND(_xlpm.baseRow,$F535="Remove",OR($E535="Tier 1",$E535="Tier 2",$E535="Tier 2 Grove"),COUNTBLANK(_xlpm.HRange)&lt;3,_xlpm.uniqueH&gt;=2),
Error!$B$48,
IF(AND(_xlpm.baseRow,$F535="Retain",OR($E535="Tier 1",$E535="Tier 2",$E535="Tier 2 Grove"),COUNTIF(_xlpm.HRange,"Tree Code: Required to Retain Tier 1-2 Tree")=0),
Error!$B$47,
IF(AND(_xlpm.baseRow,$E535&lt;&gt;"",$D535&lt;&gt;"",$F535&lt;&gt;"",COUNTBLANK(_xlpm.HRange)=4),
Error!$B$5,
IF(AND($F535="Remove",$H535&lt;&gt;"",$I535=""),
Error!$B$18,
IF(AND($E535="Tier 4",$F535="Remove",$H535="Tree Protection Code: Tier 3 or Tier 4 Allowance",$H535&lt;&gt;"",ISNA(MATCH($I535,Tables!$B$200,0))),
Error!$B$17,
IF(AND($E535="Tier 3",$F535="Remove",$H535&lt;&gt;"",$H535="Tree Protection Code: Tier 3 or Tier 4 Allowance",OR($I535="",ISNA(MATCH($I535,Tables!$B$193:$B$197,0)))),
Error!$B$17,
IF(AND(OR($E535="Tier 2",$E535="Tier 2 Grove"),$F535="Remove",$H535="Tree Protection Code: Other removal allowance or exemption",$I535&lt;&gt;"",ISNA(MATCH($I535,Tables!$B$215:$B$218,0))),
Error!$B$17,
IF(AND(OR($E535="Tier 2",$E535="Tier 2 Grove"),$F535="Remove",$H535="Tree Protection Code: Development Capacity",$I535&lt;&gt;"",ISNA(MATCH($I535,Tables!$B$193:$B$197,0))),
Error!$B$17,
IF(AND(OR($E535="Tier 2",$E535="Tier 2 Grove"),$F535="Remove",$H535="Tree Protection Code: Necessary for Construction",$I535&lt;&gt;"",ISNA(MATCH($I535,Tables!$B$193:$B$197,0))),
Error!$B$17,
IF(AND($E535="Tier 1",$F535="Remove",$H535="Tree Protection Code: Special Exception",$I535&lt;&gt;"",ISNA(MATCH($I535,Tables!$B$215:$B$218,0))),
Error!$B$17,
IF(AND($E535="Tier 1",$F535="Remove",$H535="Tree Protection Code: Other removal allowance or exemption",$I535&lt;&gt;"",ISNA(MATCH($I535,Tables!$B$215:$B$218,0))),
Error!$B$17,
IF(AND($E535="ECA / Shoreline Tree",$F535="Remove",$H535&lt;&gt;"",OR($H535="Shoreline",$H535="Environmental Critical Area (ECA)"),ISNA(MATCH($I535,Tables!$B$209:$B$212,0))),
Error!$B$17,
IF(AND(_xlpm.baseRow,$F535="Retain",$E535="ECA / Shoreline Tree",_xlpm.ECA_Short=0),
Error!$B$61,
IF(AND($F535="Remove",ISNUMBER(MATCH($E535,{"Tier 1","Tier 2","Tier 3","Tier 4","Tier 2 Grove"},0)),ISNUMBER(MATCH($I535,{"On-site replacement","Off-site replacement"},0)),$J535="",$H535&lt;&gt;""),
Error!$B$19,
IF(AND(_xlpm.baseRow,$E535&lt;&gt;"",$D535&lt;&gt;"",$F535&lt;&gt;"",COUNTBLANK($B535:$C535)&gt;0,COUNTBLANK(_xlpm.HRange)&lt;&gt;4),
Error!$B$22,
IF(AND($H535="Zoning: Tree Points",$K535&lt;&gt;"",ISNA(MATCH($K535,Tables!$B$242:$B$253,0))),
Error!$B$58,
IF(AND($H535="Zoning: Tree Points",$K535="Small",$L535&lt;&gt;"",ISNA(MATCH($L535,Tables!$C$243:$C$244,0))),
Error!$B$59,
IF(AND($H535="Zoning: Tree Points",$K535="Small/Medium",$L535&lt;&gt;"",ISNA(MATCH($L535,Tables!$C$246:$C$247,0))),
Error!$B$59,
IF(AND($H535="Zoning: Tree Points",$K535="Medium/Large",$L535&lt;&gt;"",ISNA(MATCH($L535,Tables!$C$249:$C$250,0))),
Error!$B$59,
IF(AND($H535="Zoning: Tree Points",$K535="Large",$L535&lt;&gt;"",ISNA(MATCH($L535,Tables!$C$252:$C$253,0))),
Error!$B$59,
IF(AND($F535="Retain",$H535="Zoning: Tree Points",$C535&lt;&gt;"",$D535&lt;&gt;"",OR($K535="",$L535="",$M535="")),
Error!$B$20,
""
)))))))))))))))))))))))))))))))))))))))))))))))))))))))),
Error!$B$23))</f>
        <v/>
      </c>
      <c r="O535" s="343" t="str" cm="1">
        <f t="array" aca="1" ref="O535" ca="1">IFERROR(_xlfn.LET(
    _xlpm.txt, $C535,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36" spans="1:15" x14ac:dyDescent="0.3">
      <c r="A536" s="320"/>
      <c r="B536" s="616" t="str">
        <f t="shared" ref="B536:B538" si="619">IF($B535="", "", $B535)</f>
        <v/>
      </c>
      <c r="C536" s="617" t="str">
        <f t="shared" ref="C536:C538" si="620">IF($C535="", "", $C535)</f>
        <v/>
      </c>
      <c r="D536" s="618" t="str">
        <f t="shared" ref="D536:D538" si="621">IF($D535="", "", $D535)</f>
        <v/>
      </c>
      <c r="E536" s="616" t="str">
        <f t="shared" ref="E536:E538" si="622">IF($E535="", "", $E535)</f>
        <v/>
      </c>
      <c r="F536" s="616" t="str">
        <f t="shared" ref="F536:F538" si="623">IF($F535="", "", $F535)</f>
        <v/>
      </c>
      <c r="G536" s="619" t="str">
        <f>IF(Tree_Table1[[#This Row],[Tree Status  &amp;]]="Retain", Tables!$B$237, IF(Tree_Table1[[#This Row],[Tree Status  &amp;]]="Remove", Tables!$B$238, ""))</f>
        <v/>
      </c>
      <c r="H536" s="321"/>
      <c r="I536" s="322"/>
      <c r="J536" s="453"/>
      <c r="K536" s="323" t="str">
        <f>IFERROR(
    IF(
        AND($H536="Zoning: Tree Points", NOT(ISNUMBER(SEARCH("sp.", $C536)))),
        VLOOKUP($C536, 'Tree List'!$C$3:$F$601, 4, FALSE),
        ""
    ),
"")</f>
        <v/>
      </c>
      <c r="L536" s="324" t="str" cm="1">
        <f t="array" ref="L536">IFERROR(
IF(
    AND($H536="Zoning: Tree Points", NOT(ISNUMBER(SEARCH("sp.", $C536)))),
    _xlfn.IFS(
        (COUNTIFS('Tree List'!$C$3:$C$601,$C536,'Tree List'!$D$3:$D$601,"Coniferous")
        + COUNTIFS('Tree List'!$C$3:$C$601,$C536,'Tree List'!$D$3:$D$601,"Deciduous Conifer")) &gt; 0,
            _xlfn.IFS($K536="Small",0.5,$K536="Small/Medium",1,$K536="Medium/Large",1.4,$K536="Large",1.8),
        (COUNTIFS('Tree List'!$C$3:$C$601,$C536,'Tree List'!$D$3:$D$601,"Deciduous")
        + COUNTIFS('Tree List'!$C$3:$C$601,$C536,'Tree List'!$D$3:$D$601,"Broadleaf Evergreen")) &gt; 0,
            _xlfn.IFS($K536="Small",0.4,$K536="Small/Medium",0.8,$K536="Medium/Large",1.2,$K536="Large",1.6)
    ),
    ""
),
"")</f>
        <v/>
      </c>
      <c r="M536" s="475" t="str">
        <f t="shared" si="573"/>
        <v/>
      </c>
      <c r="N536" s="346" t="str" cm="1">
        <f t="array" aca="1" ref="N53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IF(AND(_xlpm.baseRow,ISNA(MATCH($C536,'Tree List'!$C$3:$C$601,0)),SUMPRODUCT(--ISNUMBER(SEARCH(Tables2!$C$677:$C$772,$O536)))&gt;0),
Error!$B$57,
IF(AND(_xlpm.hasDM,$F536="Remove",$H536&lt;&gt;"",OR($I536="On-site replacement",$I536="Off-site replacement",$I536="Payment In Lieu")),
Error!$B$56,
IF(AND(_xlpm.hasDM,$F536="Remove",$H536&lt;&gt;"",$I536="Relocation"),
Error!$B$66,
IF(AND(OR(_xlpm.hasCN,_xlpm.hasPH,_xlpm.hasGR),$H536&lt;&gt;"",COUNTIF(Tables!$B$132:$B$134,$H536)&gt;0,$I536="N/A (No replacement required)"),
Error!$B$62,
IF(AND(_xlpm.baseRow,$E536&lt;&gt;"",ISNA(MATCH($E536,Tables!$B$225:$B$232,0))),
Error!$B$2,
IF(AND(_xlpm.baseRow,$F536&lt;&gt;"",ISNA(MATCH($F536,Tables!$B$234:$B$235,0))),
Error!$B$24,
IF(AND(_xlpm.baseRow,_xlpm.ECA_H&gt;0,_xlpm.Shore_H&gt;0),
Error!$B$16,
IF(AND(_xlpm.baseRow,$E536&lt;&gt;"",$D536=""),
Error!$B$3,
IF(AND(_xlpm.baseRow,OR($E536="Tier 3",$E536="Tier 4"),$C536&lt;&gt;"",$D536&gt;=24,COUNTIF(Tables2!$B$166:$B$674,$C536)&gt;0),
Error!$B$44,
IF(AND(_xlpm.baseRow,OR($E536="Tier 3",$E536="Tier 4"),$C536&lt;&gt;"",$D536&lt;&gt;"",COUNTIF(Tables2!$B$73:$B$152,$C536)&gt;0,
$D536&gt;=IFERROR(INDEX(Tables2!$C$73:$C$152,MATCH($C536,Tables2!$B$73:$B$152,0)),-1)),
Error!$B$44,
IF(AND(_xlpm.baseRow,OR($E536="Tier 2",$E536="Tier 2 Grove"),$C536&lt;&gt;"",$D536&gt;=12,COUNTIF(Tables2!$B$153:$B$162,$C536)&gt;0),
Error!$B$45,
IF(AND(_xlpm.baseRow,$E536="Tier 2 Grove",$D536&lt;12),
Error!$B$41,
IF(AND(_xlpm.baseRow,$E536="Tier 2",$D536&lt;5.88),
Error!$B$40,
IF(AND(_xlpm.baseRow,OR($E536="Tier 2",$E536="Tier 2 Grove"),$C536&lt;&gt;"",$D536&lt;12,$D536&gt;=6,COUNTIF(Tables2!$B$153:$B$162,$C536)&gt;0),
Error!$B$54,
IF(AND(_xlpm.baseRow,$E536="Tier 2",COUNTIF(Tables2!$B$166:$B$674,$C536)&gt;0,$D536&lt;24),
Error!$B$54,
IF(AND(_xlpm.baseRow,$E536="Tier 3",ISNA(MATCH($C536,Tables2!$B$153:$B$162,0)),OR($D536&lt;12,$D536&gt;=24)),
Error!$B$9,
IF(AND(_xlpm.baseRow,$E536="Tier 3",COUNTIF(Tables2!$B$153:$B$162,$C536)&gt;0,$D536&lt;12),
Error!$B$46,
IF(AND(_xlpm.baseRow,$E536="Tier 4",OR($D536&lt;6,$D536&gt;=12)),
Error!$B$10,
IF(AND(_xlpm.baseRow,$E536="&lt;6in DSH for Tree Points",OR($D536&gt;=6,$D536="")),
Error!$B$8,
IF(AND(_xlpm.baseRow,$E536="Street Tree for Green Factor",$F536&lt;&gt;"",$F536&lt;&gt;"Retain"),
Error!$B$14,
IF(AND($E536="&lt;6in DSH for Tree Points",$F536="Retain",$H536&lt;&gt;"",ISNA(MATCH($H536,Tables!$B$174:$B$174,0))),
Error!$B$15,
IF(AND($E536="Street Tree for Green Factor",$F536="Retain",$H536&lt;&gt;"",$H536&lt;&gt;"Zoning: Green Factor"),
Error!$B$15,
IF(AND($E536="ECA / Shoreline Tree",$F536="Remove",$H536&lt;&gt;"",ISNA(MATCH($H536,Tables!$B$189:$B$190,0))),
Error!$B$15,
IF(AND($E536="ECA / Shoreline Tree",$F536="Retain",$H536&lt;&gt;"",ISNA(MATCH($H536,Tables!$B$184:$B$186,0))),
Error!$B$15,
IF(AND($E536="Tier 4",$F536="Remove",$H536&lt;&gt;"",ISNA(MATCH($H536,Tables!$B$171,0))),
Error!$B$15,
IF(AND($E536="Tier 4",$F536="Retain",$H536&lt;&gt;"",ISNA(MATCH($H536,Tables!$B$166:$B$168,0))),
Error!$B$15,
IF(AND($E536="Tier 3",$F536="Retain",$H536&lt;&gt;"",ISNA(MATCH($H536,Tables!$B$158:$B$160,0))),
Error!$B$15,
IF(AND($E536="Tier 3",$F536="Remove",$H536&lt;&gt;"",ISNA(MATCH($H536,Tables!$B$163,0))),
Error!$B$15,
IF(AND(OR($E536="Tier 2",$E536="Tier 2 Grove"),$F536="Remove",$H536&lt;&gt;"",ISNA(MATCH($H536,Tables!$B$153:$B$155,0))),
Error!$B$15,
IF(AND(OR($E536="Tier 2",$E536="Tier 2 Grove"),$F536="Retain",$H536&lt;&gt;"",ISNA(MATCH($H536,Tables!$B$147:$B$150,0))),
Error!$B$15,
IF(AND($E536="Tier 1",$F536="Remove",$H536&lt;&gt;"",ISNA(MATCH($H536,Tables!$B$143:$B$144,0))),
Error!$B$15,
IF(AND($E536="Tier 1",$F536="Retain",$H536&lt;&gt;"",ISNA(MATCH($H536,Tables!$B$137:$B$140,0))),
Error!$B$15,
IF(AND($E536&lt;&gt;"Tier 2",$E536&lt;&gt;"Tier 2 Grove",$E536&lt;&gt;"Tier 3",$E536&lt;&gt;"Tier 4",$H536="Zoning: Green Factor",OR($D536="",$D536&lt;6)),
Error!$B$11,
IF(AND(_xlpm.baseRow,$D536&lt;6,$E536="&lt;6in DSH for Tree Points",_xlpm.TreePoints_H=0),
Error!$B$21,
IF(AND(_xlpm.baseRow,$E536&lt;&gt;"",$D536&lt;&gt;"",$F536=""),
Error!$B$4,
IF(AND(_xlpm.baseRow,$F536="Remove",OR($E536="Tier 1",$E536="Tier 2",$E536="Tier 2 Grove"),COUNTBLANK(_xlpm.HRange)&lt;3,_xlpm.uniqueH&gt;=2),
Error!$B$48,
IF(AND(_xlpm.baseRow,$F536="Retain",OR($E536="Tier 1",$E536="Tier 2",$E536="Tier 2 Grove"),COUNTIF(_xlpm.HRange,"Tree Code: Required to Retain Tier 1-2 Tree")=0),
Error!$B$47,
IF(AND(_xlpm.baseRow,$E536&lt;&gt;"",$D536&lt;&gt;"",$F536&lt;&gt;"",COUNTBLANK(_xlpm.HRange)=4),
Error!$B$5,
IF(AND($F536="Remove",$H536&lt;&gt;"",$I536=""),
Error!$B$18,
IF(AND($E536="Tier 4",$F536="Remove",$H536="Tree Protection Code: Tier 3 or Tier 4 Allowance",$H536&lt;&gt;"",ISNA(MATCH($I536,Tables!$B$200,0))),
Error!$B$17,
IF(AND($E536="Tier 3",$F536="Remove",$H536&lt;&gt;"",$H536="Tree Protection Code: Tier 3 or Tier 4 Allowance",OR($I536="",ISNA(MATCH($I536,Tables!$B$193:$B$197,0)))),
Error!$B$17,
IF(AND(OR($E536="Tier 2",$E536="Tier 2 Grove"),$F536="Remove",$H536="Tree Protection Code: Other removal allowance or exemption",$I536&lt;&gt;"",ISNA(MATCH($I536,Tables!$B$215:$B$218,0))),
Error!$B$17,
IF(AND(OR($E536="Tier 2",$E536="Tier 2 Grove"),$F536="Remove",$H536="Tree Protection Code: Development Capacity",$I536&lt;&gt;"",ISNA(MATCH($I536,Tables!$B$193:$B$197,0))),
Error!$B$17,
IF(AND(OR($E536="Tier 2",$E536="Tier 2 Grove"),$F536="Remove",$H536="Tree Protection Code: Necessary for Construction",$I536&lt;&gt;"",ISNA(MATCH($I536,Tables!$B$193:$B$197,0))),
Error!$B$17,
IF(AND($E536="Tier 1",$F536="Remove",$H536="Tree Protection Code: Special Exception",$I536&lt;&gt;"",ISNA(MATCH($I536,Tables!$B$215:$B$218,0))),
Error!$B$17,
IF(AND($E536="Tier 1",$F536="Remove",$H536="Tree Protection Code: Other removal allowance or exemption",$I536&lt;&gt;"",ISNA(MATCH($I536,Tables!$B$215:$B$218,0))),
Error!$B$17,
IF(AND($E536="ECA / Shoreline Tree",$F536="Remove",$H536&lt;&gt;"",OR($H536="Shoreline",$H536="Environmental Critical Area (ECA)"),ISNA(MATCH($I536,Tables!$B$209:$B$212,0))),
Error!$B$17,
IF(AND(_xlpm.baseRow,$F536="Retain",$E536="ECA / Shoreline Tree",_xlpm.ECA_Short=0),
Error!$B$61,
IF(AND($F536="Remove",ISNUMBER(MATCH($E536,{"Tier 1","Tier 2","Tier 3","Tier 4","Tier 2 Grove"},0)),ISNUMBER(MATCH($I536,{"On-site replacement","Off-site replacement"},0)),$J536="",$H536&lt;&gt;""),
Error!$B$19,
IF(AND(_xlpm.baseRow,$E536&lt;&gt;"",$D536&lt;&gt;"",$F536&lt;&gt;"",COUNTBLANK($B536:$C536)&gt;0,COUNTBLANK(_xlpm.HRange)&lt;&gt;4),
Error!$B$22,
IF(AND($H536="Zoning: Tree Points",$K536&lt;&gt;"",ISNA(MATCH($K536,Tables!$B$242:$B$253,0))),
Error!$B$58,
IF(AND($H536="Zoning: Tree Points",$K536="Small",$L536&lt;&gt;"",ISNA(MATCH($L536,Tables!$C$243:$C$244,0))),
Error!$B$59,
IF(AND($H536="Zoning: Tree Points",$K536="Small/Medium",$L536&lt;&gt;"",ISNA(MATCH($L536,Tables!$C$246:$C$247,0))),
Error!$B$59,
IF(AND($H536="Zoning: Tree Points",$K536="Medium/Large",$L536&lt;&gt;"",ISNA(MATCH($L536,Tables!$C$249:$C$250,0))),
Error!$B$59,
IF(AND($H536="Zoning: Tree Points",$K536="Large",$L536&lt;&gt;"",ISNA(MATCH($L536,Tables!$C$252:$C$253,0))),
Error!$B$59,
IF(AND($F536="Retain",$H536="Zoning: Tree Points",$C536&lt;&gt;"",$D536&lt;&gt;"",OR($K536="",$L536="",$M536="")),
Error!$B$20,
""
)))))))))))))))))))))))))))))))))))))))))))))))))))))))),
Error!$B$23))</f>
        <v/>
      </c>
      <c r="O536" s="343" t="str" cm="1">
        <f t="array" aca="1" ref="O536" ca="1">IFERROR(_xlfn.LET(
    _xlpm.txt, $C536,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37" spans="1:15" x14ac:dyDescent="0.3">
      <c r="A537" s="320"/>
      <c r="B537" s="616" t="str">
        <f t="shared" si="619"/>
        <v/>
      </c>
      <c r="C537" s="617" t="str">
        <f t="shared" si="620"/>
        <v/>
      </c>
      <c r="D537" s="618" t="str">
        <f t="shared" si="621"/>
        <v/>
      </c>
      <c r="E537" s="616" t="str">
        <f t="shared" si="622"/>
        <v/>
      </c>
      <c r="F537" s="616" t="str">
        <f t="shared" si="623"/>
        <v/>
      </c>
      <c r="G537" s="619" t="str">
        <f>IF(Tree_Table1[[#This Row],[Tree Status  &amp;]]="Retain", Tables!$B$237, IF(Tree_Table1[[#This Row],[Tree Status  &amp;]]="Remove", Tables!$B$238, ""))</f>
        <v/>
      </c>
      <c r="H537" s="321"/>
      <c r="I537" s="322"/>
      <c r="J537" s="453"/>
      <c r="K537" s="323" t="str">
        <f>IFERROR(
    IF(
        AND($H537="Zoning: Tree Points", NOT(ISNUMBER(SEARCH("sp.", $C537)))),
        VLOOKUP($C537, 'Tree List'!$C$3:$F$601, 4, FALSE),
        ""
    ),
"")</f>
        <v/>
      </c>
      <c r="L537" s="324" t="str" cm="1">
        <f t="array" ref="L537">IFERROR(
IF(
    AND($H537="Zoning: Tree Points", NOT(ISNUMBER(SEARCH("sp.", $C537)))),
    _xlfn.IFS(
        (COUNTIFS('Tree List'!$C$3:$C$601,$C537,'Tree List'!$D$3:$D$601,"Coniferous")
        + COUNTIFS('Tree List'!$C$3:$C$601,$C537,'Tree List'!$D$3:$D$601,"Deciduous Conifer")) &gt; 0,
            _xlfn.IFS($K537="Small",0.5,$K537="Small/Medium",1,$K537="Medium/Large",1.4,$K537="Large",1.8),
        (COUNTIFS('Tree List'!$C$3:$C$601,$C537,'Tree List'!$D$3:$D$601,"Deciduous")
        + COUNTIFS('Tree List'!$C$3:$C$601,$C537,'Tree List'!$D$3:$D$601,"Broadleaf Evergreen")) &gt; 0,
            _xlfn.IFS($K537="Small",0.4,$K537="Small/Medium",0.8,$K537="Medium/Large",1.2,$K537="Large",1.6)
    ),
    ""
),
"")</f>
        <v/>
      </c>
      <c r="M537" s="475" t="str">
        <f t="shared" si="573"/>
        <v/>
      </c>
      <c r="N537" s="346" t="str" cm="1">
        <f t="array" aca="1" ref="N53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IF(AND(_xlpm.baseRow,ISNA(MATCH($C537,'Tree List'!$C$3:$C$601,0)),SUMPRODUCT(--ISNUMBER(SEARCH(Tables2!$C$677:$C$772,$O537)))&gt;0),
Error!$B$57,
IF(AND(_xlpm.hasDM,$F537="Remove",$H537&lt;&gt;"",OR($I537="On-site replacement",$I537="Off-site replacement",$I537="Payment In Lieu")),
Error!$B$56,
IF(AND(_xlpm.hasDM,$F537="Remove",$H537&lt;&gt;"",$I537="Relocation"),
Error!$B$66,
IF(AND(OR(_xlpm.hasCN,_xlpm.hasPH,_xlpm.hasGR),$H537&lt;&gt;"",COUNTIF(Tables!$B$132:$B$134,$H537)&gt;0,$I537="N/A (No replacement required)"),
Error!$B$62,
IF(AND(_xlpm.baseRow,$E537&lt;&gt;"",ISNA(MATCH($E537,Tables!$B$225:$B$232,0))),
Error!$B$2,
IF(AND(_xlpm.baseRow,$F537&lt;&gt;"",ISNA(MATCH($F537,Tables!$B$234:$B$235,0))),
Error!$B$24,
IF(AND(_xlpm.baseRow,_xlpm.ECA_H&gt;0,_xlpm.Shore_H&gt;0),
Error!$B$16,
IF(AND(_xlpm.baseRow,$E537&lt;&gt;"",$D537=""),
Error!$B$3,
IF(AND(_xlpm.baseRow,OR($E537="Tier 3",$E537="Tier 4"),$C537&lt;&gt;"",$D537&gt;=24,COUNTIF(Tables2!$B$166:$B$674,$C537)&gt;0),
Error!$B$44,
IF(AND(_xlpm.baseRow,OR($E537="Tier 3",$E537="Tier 4"),$C537&lt;&gt;"",$D537&lt;&gt;"",COUNTIF(Tables2!$B$73:$B$152,$C537)&gt;0,
$D537&gt;=IFERROR(INDEX(Tables2!$C$73:$C$152,MATCH($C537,Tables2!$B$73:$B$152,0)),-1)),
Error!$B$44,
IF(AND(_xlpm.baseRow,OR($E537="Tier 2",$E537="Tier 2 Grove"),$C537&lt;&gt;"",$D537&gt;=12,COUNTIF(Tables2!$B$153:$B$162,$C537)&gt;0),
Error!$B$45,
IF(AND(_xlpm.baseRow,$E537="Tier 2 Grove",$D537&lt;12),
Error!$B$41,
IF(AND(_xlpm.baseRow,$E537="Tier 2",$D537&lt;5.88),
Error!$B$40,
IF(AND(_xlpm.baseRow,OR($E537="Tier 2",$E537="Tier 2 Grove"),$C537&lt;&gt;"",$D537&lt;12,$D537&gt;=6,COUNTIF(Tables2!$B$153:$B$162,$C537)&gt;0),
Error!$B$54,
IF(AND(_xlpm.baseRow,$E537="Tier 2",COUNTIF(Tables2!$B$166:$B$674,$C537)&gt;0,$D537&lt;24),
Error!$B$54,
IF(AND(_xlpm.baseRow,$E537="Tier 3",ISNA(MATCH($C537,Tables2!$B$153:$B$162,0)),OR($D537&lt;12,$D537&gt;=24)),
Error!$B$9,
IF(AND(_xlpm.baseRow,$E537="Tier 3",COUNTIF(Tables2!$B$153:$B$162,$C537)&gt;0,$D537&lt;12),
Error!$B$46,
IF(AND(_xlpm.baseRow,$E537="Tier 4",OR($D537&lt;6,$D537&gt;=12)),
Error!$B$10,
IF(AND(_xlpm.baseRow,$E537="&lt;6in DSH for Tree Points",OR($D537&gt;=6,$D537="")),
Error!$B$8,
IF(AND(_xlpm.baseRow,$E537="Street Tree for Green Factor",$F537&lt;&gt;"",$F537&lt;&gt;"Retain"),
Error!$B$14,
IF(AND($E537="&lt;6in DSH for Tree Points",$F537="Retain",$H537&lt;&gt;"",ISNA(MATCH($H537,Tables!$B$174:$B$174,0))),
Error!$B$15,
IF(AND($E537="Street Tree for Green Factor",$F537="Retain",$H537&lt;&gt;"",$H537&lt;&gt;"Zoning: Green Factor"),
Error!$B$15,
IF(AND($E537="ECA / Shoreline Tree",$F537="Remove",$H537&lt;&gt;"",ISNA(MATCH($H537,Tables!$B$189:$B$190,0))),
Error!$B$15,
IF(AND($E537="ECA / Shoreline Tree",$F537="Retain",$H537&lt;&gt;"",ISNA(MATCH($H537,Tables!$B$184:$B$186,0))),
Error!$B$15,
IF(AND($E537="Tier 4",$F537="Remove",$H537&lt;&gt;"",ISNA(MATCH($H537,Tables!$B$171,0))),
Error!$B$15,
IF(AND($E537="Tier 4",$F537="Retain",$H537&lt;&gt;"",ISNA(MATCH($H537,Tables!$B$166:$B$168,0))),
Error!$B$15,
IF(AND($E537="Tier 3",$F537="Retain",$H537&lt;&gt;"",ISNA(MATCH($H537,Tables!$B$158:$B$160,0))),
Error!$B$15,
IF(AND($E537="Tier 3",$F537="Remove",$H537&lt;&gt;"",ISNA(MATCH($H537,Tables!$B$163,0))),
Error!$B$15,
IF(AND(OR($E537="Tier 2",$E537="Tier 2 Grove"),$F537="Remove",$H537&lt;&gt;"",ISNA(MATCH($H537,Tables!$B$153:$B$155,0))),
Error!$B$15,
IF(AND(OR($E537="Tier 2",$E537="Tier 2 Grove"),$F537="Retain",$H537&lt;&gt;"",ISNA(MATCH($H537,Tables!$B$147:$B$150,0))),
Error!$B$15,
IF(AND($E537="Tier 1",$F537="Remove",$H537&lt;&gt;"",ISNA(MATCH($H537,Tables!$B$143:$B$144,0))),
Error!$B$15,
IF(AND($E537="Tier 1",$F537="Retain",$H537&lt;&gt;"",ISNA(MATCH($H537,Tables!$B$137:$B$140,0))),
Error!$B$15,
IF(AND($E537&lt;&gt;"Tier 2",$E537&lt;&gt;"Tier 2 Grove",$E537&lt;&gt;"Tier 3",$E537&lt;&gt;"Tier 4",$H537="Zoning: Green Factor",OR($D537="",$D537&lt;6)),
Error!$B$11,
IF(AND(_xlpm.baseRow,$D537&lt;6,$E537="&lt;6in DSH for Tree Points",_xlpm.TreePoints_H=0),
Error!$B$21,
IF(AND(_xlpm.baseRow,$E537&lt;&gt;"",$D537&lt;&gt;"",$F537=""),
Error!$B$4,
IF(AND(_xlpm.baseRow,$F537="Remove",OR($E537="Tier 1",$E537="Tier 2",$E537="Tier 2 Grove"),COUNTBLANK(_xlpm.HRange)&lt;3,_xlpm.uniqueH&gt;=2),
Error!$B$48,
IF(AND(_xlpm.baseRow,$F537="Retain",OR($E537="Tier 1",$E537="Tier 2",$E537="Tier 2 Grove"),COUNTIF(_xlpm.HRange,"Tree Code: Required to Retain Tier 1-2 Tree")=0),
Error!$B$47,
IF(AND(_xlpm.baseRow,$E537&lt;&gt;"",$D537&lt;&gt;"",$F537&lt;&gt;"",COUNTBLANK(_xlpm.HRange)=4),
Error!$B$5,
IF(AND($F537="Remove",$H537&lt;&gt;"",$I537=""),
Error!$B$18,
IF(AND($E537="Tier 4",$F537="Remove",$H537="Tree Protection Code: Tier 3 or Tier 4 Allowance",$H537&lt;&gt;"",ISNA(MATCH($I537,Tables!$B$200,0))),
Error!$B$17,
IF(AND($E537="Tier 3",$F537="Remove",$H537&lt;&gt;"",$H537="Tree Protection Code: Tier 3 or Tier 4 Allowance",OR($I537="",ISNA(MATCH($I537,Tables!$B$193:$B$197,0)))),
Error!$B$17,
IF(AND(OR($E537="Tier 2",$E537="Tier 2 Grove"),$F537="Remove",$H537="Tree Protection Code: Other removal allowance or exemption",$I537&lt;&gt;"",ISNA(MATCH($I537,Tables!$B$215:$B$218,0))),
Error!$B$17,
IF(AND(OR($E537="Tier 2",$E537="Tier 2 Grove"),$F537="Remove",$H537="Tree Protection Code: Development Capacity",$I537&lt;&gt;"",ISNA(MATCH($I537,Tables!$B$193:$B$197,0))),
Error!$B$17,
IF(AND(OR($E537="Tier 2",$E537="Tier 2 Grove"),$F537="Remove",$H537="Tree Protection Code: Necessary for Construction",$I537&lt;&gt;"",ISNA(MATCH($I537,Tables!$B$193:$B$197,0))),
Error!$B$17,
IF(AND($E537="Tier 1",$F537="Remove",$H537="Tree Protection Code: Special Exception",$I537&lt;&gt;"",ISNA(MATCH($I537,Tables!$B$215:$B$218,0))),
Error!$B$17,
IF(AND($E537="Tier 1",$F537="Remove",$H537="Tree Protection Code: Other removal allowance or exemption",$I537&lt;&gt;"",ISNA(MATCH($I537,Tables!$B$215:$B$218,0))),
Error!$B$17,
IF(AND($E537="ECA / Shoreline Tree",$F537="Remove",$H537&lt;&gt;"",OR($H537="Shoreline",$H537="Environmental Critical Area (ECA)"),ISNA(MATCH($I537,Tables!$B$209:$B$212,0))),
Error!$B$17,
IF(AND(_xlpm.baseRow,$F537="Retain",$E537="ECA / Shoreline Tree",_xlpm.ECA_Short=0),
Error!$B$61,
IF(AND($F537="Remove",ISNUMBER(MATCH($E537,{"Tier 1","Tier 2","Tier 3","Tier 4","Tier 2 Grove"},0)),ISNUMBER(MATCH($I537,{"On-site replacement","Off-site replacement"},0)),$J537="",$H537&lt;&gt;""),
Error!$B$19,
IF(AND(_xlpm.baseRow,$E537&lt;&gt;"",$D537&lt;&gt;"",$F537&lt;&gt;"",COUNTBLANK($B537:$C537)&gt;0,COUNTBLANK(_xlpm.HRange)&lt;&gt;4),
Error!$B$22,
IF(AND($H537="Zoning: Tree Points",$K537&lt;&gt;"",ISNA(MATCH($K537,Tables!$B$242:$B$253,0))),
Error!$B$58,
IF(AND($H537="Zoning: Tree Points",$K537="Small",$L537&lt;&gt;"",ISNA(MATCH($L537,Tables!$C$243:$C$244,0))),
Error!$B$59,
IF(AND($H537="Zoning: Tree Points",$K537="Small/Medium",$L537&lt;&gt;"",ISNA(MATCH($L537,Tables!$C$246:$C$247,0))),
Error!$B$59,
IF(AND($H537="Zoning: Tree Points",$K537="Medium/Large",$L537&lt;&gt;"",ISNA(MATCH($L537,Tables!$C$249:$C$250,0))),
Error!$B$59,
IF(AND($H537="Zoning: Tree Points",$K537="Large",$L537&lt;&gt;"",ISNA(MATCH($L537,Tables!$C$252:$C$253,0))),
Error!$B$59,
IF(AND($F537="Retain",$H537="Zoning: Tree Points",$C537&lt;&gt;"",$D537&lt;&gt;"",OR($K537="",$L537="",$M537="")),
Error!$B$20,
""
)))))))))))))))))))))))))))))))))))))))))))))))))))))))),
Error!$B$23))</f>
        <v/>
      </c>
      <c r="O537" s="343" t="str" cm="1">
        <f t="array" aca="1" ref="O537" ca="1">IFERROR(_xlfn.LET(
    _xlpm.txt, $C537,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38" spans="1:15" ht="15" thickBot="1" x14ac:dyDescent="0.35">
      <c r="A538" s="331"/>
      <c r="B538" s="616" t="str">
        <f t="shared" si="619"/>
        <v/>
      </c>
      <c r="C538" s="617" t="str">
        <f t="shared" si="620"/>
        <v/>
      </c>
      <c r="D538" s="618" t="str">
        <f t="shared" si="621"/>
        <v/>
      </c>
      <c r="E538" s="616" t="str">
        <f t="shared" si="622"/>
        <v/>
      </c>
      <c r="F538" s="616" t="str">
        <f t="shared" si="623"/>
        <v/>
      </c>
      <c r="G538" s="619" t="str">
        <f>IF(Tree_Table1[[#This Row],[Tree Status  &amp;]]="Retain", Tables!$B$237, IF(Tree_Table1[[#This Row],[Tree Status  &amp;]]="Remove", Tables!$B$238, ""))</f>
        <v/>
      </c>
      <c r="H538" s="329"/>
      <c r="I538" s="330"/>
      <c r="J538" s="455"/>
      <c r="K538" s="327" t="str">
        <f>IFERROR(
    IF(
        AND($H538="Zoning: Tree Points", NOT(ISNUMBER(SEARCH("sp.", $C538)))),
        VLOOKUP($C538, 'Tree List'!$C$3:$F$601, 4, FALSE),
        ""
    ),
"")</f>
        <v/>
      </c>
      <c r="L538" s="328" t="str" cm="1">
        <f t="array" ref="L538">IFERROR(
IF(
    AND($H538="Zoning: Tree Points", NOT(ISNUMBER(SEARCH("sp.", $C538)))),
    _xlfn.IFS(
        (COUNTIFS('Tree List'!$C$3:$C$601,$C538,'Tree List'!$D$3:$D$601,"Coniferous")
        + COUNTIFS('Tree List'!$C$3:$C$601,$C538,'Tree List'!$D$3:$D$601,"Deciduous Conifer")) &gt; 0,
            _xlfn.IFS($K538="Small",0.5,$K538="Small/Medium",1,$K538="Medium/Large",1.4,$K538="Large",1.8),
        (COUNTIFS('Tree List'!$C$3:$C$601,$C538,'Tree List'!$D$3:$D$601,"Deciduous")
        + COUNTIFS('Tree List'!$C$3:$C$601,$C538,'Tree List'!$D$3:$D$601,"Broadleaf Evergreen")) &gt; 0,
            _xlfn.IFS($K538="Small",0.4,$K538="Small/Medium",0.8,$K538="Medium/Large",1.2,$K538="Large",1.6)
    ),
    ""
),
"")</f>
        <v/>
      </c>
      <c r="M538" s="476" t="str">
        <f t="shared" si="573"/>
        <v/>
      </c>
      <c r="N538" s="347" t="str" cm="1">
        <f t="array" aca="1" ref="N53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IF(AND(_xlpm.baseRow,ISNA(MATCH($C538,'Tree List'!$C$3:$C$601,0)),SUMPRODUCT(--ISNUMBER(SEARCH(Tables2!$C$677:$C$772,$O538)))&gt;0),
Error!$B$57,
IF(AND(_xlpm.hasDM,$F538="Remove",$H538&lt;&gt;"",OR($I538="On-site replacement",$I538="Off-site replacement",$I538="Payment In Lieu")),
Error!$B$56,
IF(AND(_xlpm.hasDM,$F538="Remove",$H538&lt;&gt;"",$I538="Relocation"),
Error!$B$66,
IF(AND(OR(_xlpm.hasCN,_xlpm.hasPH,_xlpm.hasGR),$H538&lt;&gt;"",COUNTIF(Tables!$B$132:$B$134,$H538)&gt;0,$I538="N/A (No replacement required)"),
Error!$B$62,
IF(AND(_xlpm.baseRow,$E538&lt;&gt;"",ISNA(MATCH($E538,Tables!$B$225:$B$232,0))),
Error!$B$2,
IF(AND(_xlpm.baseRow,$F538&lt;&gt;"",ISNA(MATCH($F538,Tables!$B$234:$B$235,0))),
Error!$B$24,
IF(AND(_xlpm.baseRow,_xlpm.ECA_H&gt;0,_xlpm.Shore_H&gt;0),
Error!$B$16,
IF(AND(_xlpm.baseRow,$E538&lt;&gt;"",$D538=""),
Error!$B$3,
IF(AND(_xlpm.baseRow,OR($E538="Tier 3",$E538="Tier 4"),$C538&lt;&gt;"",$D538&gt;=24,COUNTIF(Tables2!$B$166:$B$674,$C538)&gt;0),
Error!$B$44,
IF(AND(_xlpm.baseRow,OR($E538="Tier 3",$E538="Tier 4"),$C538&lt;&gt;"",$D538&lt;&gt;"",COUNTIF(Tables2!$B$73:$B$152,$C538)&gt;0,
$D538&gt;=IFERROR(INDEX(Tables2!$C$73:$C$152,MATCH($C538,Tables2!$B$73:$B$152,0)),-1)),
Error!$B$44,
IF(AND(_xlpm.baseRow,OR($E538="Tier 2",$E538="Tier 2 Grove"),$C538&lt;&gt;"",$D538&gt;=12,COUNTIF(Tables2!$B$153:$B$162,$C538)&gt;0),
Error!$B$45,
IF(AND(_xlpm.baseRow,$E538="Tier 2 Grove",$D538&lt;12),
Error!$B$41,
IF(AND(_xlpm.baseRow,$E538="Tier 2",$D538&lt;5.88),
Error!$B$40,
IF(AND(_xlpm.baseRow,OR($E538="Tier 2",$E538="Tier 2 Grove"),$C538&lt;&gt;"",$D538&lt;12,$D538&gt;=6,COUNTIF(Tables2!$B$153:$B$162,$C538)&gt;0),
Error!$B$54,
IF(AND(_xlpm.baseRow,$E538="Tier 2",COUNTIF(Tables2!$B$166:$B$674,$C538)&gt;0,$D538&lt;24),
Error!$B$54,
IF(AND(_xlpm.baseRow,$E538="Tier 3",ISNA(MATCH($C538,Tables2!$B$153:$B$162,0)),OR($D538&lt;12,$D538&gt;=24)),
Error!$B$9,
IF(AND(_xlpm.baseRow,$E538="Tier 3",COUNTIF(Tables2!$B$153:$B$162,$C538)&gt;0,$D538&lt;12),
Error!$B$46,
IF(AND(_xlpm.baseRow,$E538="Tier 4",OR($D538&lt;6,$D538&gt;=12)),
Error!$B$10,
IF(AND(_xlpm.baseRow,$E538="&lt;6in DSH for Tree Points",OR($D538&gt;=6,$D538="")),
Error!$B$8,
IF(AND(_xlpm.baseRow,$E538="Street Tree for Green Factor",$F538&lt;&gt;"",$F538&lt;&gt;"Retain"),
Error!$B$14,
IF(AND($E538="&lt;6in DSH for Tree Points",$F538="Retain",$H538&lt;&gt;"",ISNA(MATCH($H538,Tables!$B$174:$B$174,0))),
Error!$B$15,
IF(AND($E538="Street Tree for Green Factor",$F538="Retain",$H538&lt;&gt;"",$H538&lt;&gt;"Zoning: Green Factor"),
Error!$B$15,
IF(AND($E538="ECA / Shoreline Tree",$F538="Remove",$H538&lt;&gt;"",ISNA(MATCH($H538,Tables!$B$189:$B$190,0))),
Error!$B$15,
IF(AND($E538="ECA / Shoreline Tree",$F538="Retain",$H538&lt;&gt;"",ISNA(MATCH($H538,Tables!$B$184:$B$186,0))),
Error!$B$15,
IF(AND($E538="Tier 4",$F538="Remove",$H538&lt;&gt;"",ISNA(MATCH($H538,Tables!$B$171,0))),
Error!$B$15,
IF(AND($E538="Tier 4",$F538="Retain",$H538&lt;&gt;"",ISNA(MATCH($H538,Tables!$B$166:$B$168,0))),
Error!$B$15,
IF(AND($E538="Tier 3",$F538="Retain",$H538&lt;&gt;"",ISNA(MATCH($H538,Tables!$B$158:$B$160,0))),
Error!$B$15,
IF(AND($E538="Tier 3",$F538="Remove",$H538&lt;&gt;"",ISNA(MATCH($H538,Tables!$B$163,0))),
Error!$B$15,
IF(AND(OR($E538="Tier 2",$E538="Tier 2 Grove"),$F538="Remove",$H538&lt;&gt;"",ISNA(MATCH($H538,Tables!$B$153:$B$155,0))),
Error!$B$15,
IF(AND(OR($E538="Tier 2",$E538="Tier 2 Grove"),$F538="Retain",$H538&lt;&gt;"",ISNA(MATCH($H538,Tables!$B$147:$B$150,0))),
Error!$B$15,
IF(AND($E538="Tier 1",$F538="Remove",$H538&lt;&gt;"",ISNA(MATCH($H538,Tables!$B$143:$B$144,0))),
Error!$B$15,
IF(AND($E538="Tier 1",$F538="Retain",$H538&lt;&gt;"",ISNA(MATCH($H538,Tables!$B$137:$B$140,0))),
Error!$B$15,
IF(AND($E538&lt;&gt;"Tier 2",$E538&lt;&gt;"Tier 2 Grove",$E538&lt;&gt;"Tier 3",$E538&lt;&gt;"Tier 4",$H538="Zoning: Green Factor",OR($D538="",$D538&lt;6)),
Error!$B$11,
IF(AND(_xlpm.baseRow,$D538&lt;6,$E538="&lt;6in DSH for Tree Points",_xlpm.TreePoints_H=0),
Error!$B$21,
IF(AND(_xlpm.baseRow,$E538&lt;&gt;"",$D538&lt;&gt;"",$F538=""),
Error!$B$4,
IF(AND(_xlpm.baseRow,$F538="Remove",OR($E538="Tier 1",$E538="Tier 2",$E538="Tier 2 Grove"),COUNTBLANK(_xlpm.HRange)&lt;3,_xlpm.uniqueH&gt;=2),
Error!$B$48,
IF(AND(_xlpm.baseRow,$F538="Retain",OR($E538="Tier 1",$E538="Tier 2",$E538="Tier 2 Grove"),COUNTIF(_xlpm.HRange,"Tree Code: Required to Retain Tier 1-2 Tree")=0),
Error!$B$47,
IF(AND(_xlpm.baseRow,$E538&lt;&gt;"",$D538&lt;&gt;"",$F538&lt;&gt;"",COUNTBLANK(_xlpm.HRange)=4),
Error!$B$5,
IF(AND($F538="Remove",$H538&lt;&gt;"",$I538=""),
Error!$B$18,
IF(AND($E538="Tier 4",$F538="Remove",$H538="Tree Protection Code: Tier 3 or Tier 4 Allowance",$H538&lt;&gt;"",ISNA(MATCH($I538,Tables!$B$200,0))),
Error!$B$17,
IF(AND($E538="Tier 3",$F538="Remove",$H538&lt;&gt;"",$H538="Tree Protection Code: Tier 3 or Tier 4 Allowance",OR($I538="",ISNA(MATCH($I538,Tables!$B$193:$B$197,0)))),
Error!$B$17,
IF(AND(OR($E538="Tier 2",$E538="Tier 2 Grove"),$F538="Remove",$H538="Tree Protection Code: Other removal allowance or exemption",$I538&lt;&gt;"",ISNA(MATCH($I538,Tables!$B$215:$B$218,0))),
Error!$B$17,
IF(AND(OR($E538="Tier 2",$E538="Tier 2 Grove"),$F538="Remove",$H538="Tree Protection Code: Development Capacity",$I538&lt;&gt;"",ISNA(MATCH($I538,Tables!$B$193:$B$197,0))),
Error!$B$17,
IF(AND(OR($E538="Tier 2",$E538="Tier 2 Grove"),$F538="Remove",$H538="Tree Protection Code: Necessary for Construction",$I538&lt;&gt;"",ISNA(MATCH($I538,Tables!$B$193:$B$197,0))),
Error!$B$17,
IF(AND($E538="Tier 1",$F538="Remove",$H538="Tree Protection Code: Special Exception",$I538&lt;&gt;"",ISNA(MATCH($I538,Tables!$B$215:$B$218,0))),
Error!$B$17,
IF(AND($E538="Tier 1",$F538="Remove",$H538="Tree Protection Code: Other removal allowance or exemption",$I538&lt;&gt;"",ISNA(MATCH($I538,Tables!$B$215:$B$218,0))),
Error!$B$17,
IF(AND($E538="ECA / Shoreline Tree",$F538="Remove",$H538&lt;&gt;"",OR($H538="Shoreline",$H538="Environmental Critical Area (ECA)"),ISNA(MATCH($I538,Tables!$B$209:$B$212,0))),
Error!$B$17,
IF(AND(_xlpm.baseRow,$F538="Retain",$E538="ECA / Shoreline Tree",_xlpm.ECA_Short=0),
Error!$B$61,
IF(AND($F538="Remove",ISNUMBER(MATCH($E538,{"Tier 1","Tier 2","Tier 3","Tier 4","Tier 2 Grove"},0)),ISNUMBER(MATCH($I538,{"On-site replacement","Off-site replacement"},0)),$J538="",$H538&lt;&gt;""),
Error!$B$19,
IF(AND(_xlpm.baseRow,$E538&lt;&gt;"",$D538&lt;&gt;"",$F538&lt;&gt;"",COUNTBLANK($B538:$C538)&gt;0,COUNTBLANK(_xlpm.HRange)&lt;&gt;4),
Error!$B$22,
IF(AND($H538="Zoning: Tree Points",$K538&lt;&gt;"",ISNA(MATCH($K538,Tables!$B$242:$B$253,0))),
Error!$B$58,
IF(AND($H538="Zoning: Tree Points",$K538="Small",$L538&lt;&gt;"",ISNA(MATCH($L538,Tables!$C$243:$C$244,0))),
Error!$B$59,
IF(AND($H538="Zoning: Tree Points",$K538="Small/Medium",$L538&lt;&gt;"",ISNA(MATCH($L538,Tables!$C$246:$C$247,0))),
Error!$B$59,
IF(AND($H538="Zoning: Tree Points",$K538="Medium/Large",$L538&lt;&gt;"",ISNA(MATCH($L538,Tables!$C$249:$C$250,0))),
Error!$B$59,
IF(AND($H538="Zoning: Tree Points",$K538="Large",$L538&lt;&gt;"",ISNA(MATCH($L538,Tables!$C$252:$C$253,0))),
Error!$B$59,
IF(AND($F538="Retain",$H538="Zoning: Tree Points",$C538&lt;&gt;"",$D538&lt;&gt;"",OR($K538="",$L538="",$M538="")),
Error!$B$20,
""
)))))))))))))))))))))))))))))))))))))))))))))))))))))))),
Error!$B$23))</f>
        <v/>
      </c>
      <c r="O538" s="343" t="str" cm="1">
        <f t="array" aca="1" ref="O538" ca="1">IFERROR(_xlfn.LET(
    _xlpm.txt, $C538,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39" spans="1:15" ht="15" thickBot="1" x14ac:dyDescent="0.35">
      <c r="A539" s="311">
        <v>133</v>
      </c>
      <c r="B539" s="312"/>
      <c r="C539" s="313"/>
      <c r="D539" s="478"/>
      <c r="E539" s="314"/>
      <c r="F539" s="314"/>
      <c r="G539" s="315" t="str">
        <f>IF(Tree_Table1[[#This Row],[Tree Status  &amp;]]="Retain", Tables!$B$237, IF(Tree_Table1[[#This Row],[Tree Status  &amp;]]="Remove", Tables!$B$238, ""))</f>
        <v/>
      </c>
      <c r="H539" s="316"/>
      <c r="I539" s="317"/>
      <c r="J539" s="452"/>
      <c r="K539" s="318" t="str">
        <f>IFERROR(
    IF(
        AND($H539="Zoning: Tree Points", NOT(ISNUMBER(SEARCH("sp.", $C539)))),
        VLOOKUP($C539, 'Tree List'!$C$3:$F$601, 4, FALSE),
        ""
    ),
"")</f>
        <v/>
      </c>
      <c r="L539" s="319" t="str" cm="1">
        <f t="array" ref="L539">IFERROR(
IF(
    AND($H539="Zoning: Tree Points", NOT(ISNUMBER(SEARCH("sp.", $C539)))),
    _xlfn.IFS(
        (COUNTIFS('Tree List'!$C$3:$C$601,$C539,'Tree List'!$D$3:$D$601,"Coniferous")
        + COUNTIFS('Tree List'!$C$3:$C$601,$C539,'Tree List'!$D$3:$D$601,"Deciduous Conifer")) &gt; 0,
            _xlfn.IFS($K539="Small",0.5,$K539="Small/Medium",1,$K539="Medium/Large",1.4,$K539="Large",1.8),
        (COUNTIFS('Tree List'!$C$3:$C$601,$C539,'Tree List'!$D$3:$D$601,"Deciduous")
        + COUNTIFS('Tree List'!$C$3:$C$601,$C539,'Tree List'!$D$3:$D$601,"Broadleaf Evergreen")) &gt; 0,
            _xlfn.IFS($K539="Small",0.4,$K539="Small/Medium",0.8,$K539="Medium/Large",1.2,$K539="Large",1.6)
    ),
    ""
),
"")</f>
        <v/>
      </c>
      <c r="M539" s="474" t="str">
        <f t="shared" si="573"/>
        <v/>
      </c>
      <c r="N539" s="620" t="str" cm="1">
        <f t="array" aca="1" ref="N53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IF(AND(_xlpm.baseRow,ISNA(MATCH($C539,'Tree List'!$C$3:$C$601,0)),SUMPRODUCT(--ISNUMBER(SEARCH(Tables2!$C$677:$C$772,$O539)))&gt;0),
Error!$B$57,
IF(AND(_xlpm.hasDM,$F539="Remove",$H539&lt;&gt;"",OR($I539="On-site replacement",$I539="Off-site replacement",$I539="Payment In Lieu")),
Error!$B$56,
IF(AND(_xlpm.hasDM,$F539="Remove",$H539&lt;&gt;"",$I539="Relocation"),
Error!$B$66,
IF(AND(OR(_xlpm.hasCN,_xlpm.hasPH,_xlpm.hasGR),$H539&lt;&gt;"",COUNTIF(Tables!$B$132:$B$134,$H539)&gt;0,$I539="N/A (No replacement required)"),
Error!$B$62,
IF(AND(_xlpm.baseRow,$E539&lt;&gt;"",ISNA(MATCH($E539,Tables!$B$225:$B$232,0))),
Error!$B$2,
IF(AND(_xlpm.baseRow,$F539&lt;&gt;"",ISNA(MATCH($F539,Tables!$B$234:$B$235,0))),
Error!$B$24,
IF(AND(_xlpm.baseRow,_xlpm.ECA_H&gt;0,_xlpm.Shore_H&gt;0),
Error!$B$16,
IF(AND(_xlpm.baseRow,$E539&lt;&gt;"",$D539=""),
Error!$B$3,
IF(AND(_xlpm.baseRow,OR($E539="Tier 3",$E539="Tier 4"),$C539&lt;&gt;"",$D539&gt;=24,COUNTIF(Tables2!$B$166:$B$674,$C539)&gt;0),
Error!$B$44,
IF(AND(_xlpm.baseRow,OR($E539="Tier 3",$E539="Tier 4"),$C539&lt;&gt;"",$D539&lt;&gt;"",COUNTIF(Tables2!$B$73:$B$152,$C539)&gt;0,
$D539&gt;=IFERROR(INDEX(Tables2!$C$73:$C$152,MATCH($C539,Tables2!$B$73:$B$152,0)),-1)),
Error!$B$44,
IF(AND(_xlpm.baseRow,OR($E539="Tier 2",$E539="Tier 2 Grove"),$C539&lt;&gt;"",$D539&gt;=12,COUNTIF(Tables2!$B$153:$B$162,$C539)&gt;0),
Error!$B$45,
IF(AND(_xlpm.baseRow,$E539="Tier 2 Grove",$D539&lt;12),
Error!$B$41,
IF(AND(_xlpm.baseRow,$E539="Tier 2",$D539&lt;5.88),
Error!$B$40,
IF(AND(_xlpm.baseRow,OR($E539="Tier 2",$E539="Tier 2 Grove"),$C539&lt;&gt;"",$D539&lt;12,$D539&gt;=6,COUNTIF(Tables2!$B$153:$B$162,$C539)&gt;0),
Error!$B$54,
IF(AND(_xlpm.baseRow,$E539="Tier 2",COUNTIF(Tables2!$B$166:$B$674,$C539)&gt;0,$D539&lt;24),
Error!$B$54,
IF(AND(_xlpm.baseRow,$E539="Tier 3",ISNA(MATCH($C539,Tables2!$B$153:$B$162,0)),OR($D539&lt;12,$D539&gt;=24)),
Error!$B$9,
IF(AND(_xlpm.baseRow,$E539="Tier 3",COUNTIF(Tables2!$B$153:$B$162,$C539)&gt;0,$D539&lt;12),
Error!$B$46,
IF(AND(_xlpm.baseRow,$E539="Tier 4",OR($D539&lt;6,$D539&gt;=12)),
Error!$B$10,
IF(AND(_xlpm.baseRow,$E539="&lt;6in DSH for Tree Points",OR($D539&gt;=6,$D539="")),
Error!$B$8,
IF(AND(_xlpm.baseRow,$E539="Street Tree for Green Factor",$F539&lt;&gt;"",$F539&lt;&gt;"Retain"),
Error!$B$14,
IF(AND($E539="&lt;6in DSH for Tree Points",$F539="Retain",$H539&lt;&gt;"",ISNA(MATCH($H539,Tables!$B$174:$B$174,0))),
Error!$B$15,
IF(AND($E539="Street Tree for Green Factor",$F539="Retain",$H539&lt;&gt;"",$H539&lt;&gt;"Zoning: Green Factor"),
Error!$B$15,
IF(AND($E539="ECA / Shoreline Tree",$F539="Remove",$H539&lt;&gt;"",ISNA(MATCH($H539,Tables!$B$189:$B$190,0))),
Error!$B$15,
IF(AND($E539="ECA / Shoreline Tree",$F539="Retain",$H539&lt;&gt;"",ISNA(MATCH($H539,Tables!$B$184:$B$186,0))),
Error!$B$15,
IF(AND($E539="Tier 4",$F539="Remove",$H539&lt;&gt;"",ISNA(MATCH($H539,Tables!$B$171,0))),
Error!$B$15,
IF(AND($E539="Tier 4",$F539="Retain",$H539&lt;&gt;"",ISNA(MATCH($H539,Tables!$B$166:$B$168,0))),
Error!$B$15,
IF(AND($E539="Tier 3",$F539="Retain",$H539&lt;&gt;"",ISNA(MATCH($H539,Tables!$B$158:$B$160,0))),
Error!$B$15,
IF(AND($E539="Tier 3",$F539="Remove",$H539&lt;&gt;"",ISNA(MATCH($H539,Tables!$B$163,0))),
Error!$B$15,
IF(AND(OR($E539="Tier 2",$E539="Tier 2 Grove"),$F539="Remove",$H539&lt;&gt;"",ISNA(MATCH($H539,Tables!$B$153:$B$155,0))),
Error!$B$15,
IF(AND(OR($E539="Tier 2",$E539="Tier 2 Grove"),$F539="Retain",$H539&lt;&gt;"",ISNA(MATCH($H539,Tables!$B$147:$B$150,0))),
Error!$B$15,
IF(AND($E539="Tier 1",$F539="Remove",$H539&lt;&gt;"",ISNA(MATCH($H539,Tables!$B$143:$B$144,0))),
Error!$B$15,
IF(AND($E539="Tier 1",$F539="Retain",$H539&lt;&gt;"",ISNA(MATCH($H539,Tables!$B$137:$B$140,0))),
Error!$B$15,
IF(AND($E539&lt;&gt;"Tier 2",$E539&lt;&gt;"Tier 2 Grove",$E539&lt;&gt;"Tier 3",$E539&lt;&gt;"Tier 4",$H539="Zoning: Green Factor",OR($D539="",$D539&lt;6)),
Error!$B$11,
IF(AND(_xlpm.baseRow,$D539&lt;6,$E539="&lt;6in DSH for Tree Points",_xlpm.TreePoints_H=0),
Error!$B$21,
IF(AND(_xlpm.baseRow,$E539&lt;&gt;"",$D539&lt;&gt;"",$F539=""),
Error!$B$4,
IF(AND(_xlpm.baseRow,$F539="Remove",OR($E539="Tier 1",$E539="Tier 2",$E539="Tier 2 Grove"),COUNTBLANK(_xlpm.HRange)&lt;3,_xlpm.uniqueH&gt;=2),
Error!$B$48,
IF(AND(_xlpm.baseRow,$F539="Retain",OR($E539="Tier 1",$E539="Tier 2",$E539="Tier 2 Grove"),COUNTIF(_xlpm.HRange,"Tree Code: Required to Retain Tier 1-2 Tree")=0),
Error!$B$47,
IF(AND(_xlpm.baseRow,$E539&lt;&gt;"",$D539&lt;&gt;"",$F539&lt;&gt;"",COUNTBLANK(_xlpm.HRange)=4),
Error!$B$5,
IF(AND($F539="Remove",$H539&lt;&gt;"",$I539=""),
Error!$B$18,
IF(AND($E539="Tier 4",$F539="Remove",$H539="Tree Protection Code: Tier 3 or Tier 4 Allowance",$H539&lt;&gt;"",ISNA(MATCH($I539,Tables!$B$200,0))),
Error!$B$17,
IF(AND($E539="Tier 3",$F539="Remove",$H539&lt;&gt;"",$H539="Tree Protection Code: Tier 3 or Tier 4 Allowance",OR($I539="",ISNA(MATCH($I539,Tables!$B$193:$B$197,0)))),
Error!$B$17,
IF(AND(OR($E539="Tier 2",$E539="Tier 2 Grove"),$F539="Remove",$H539="Tree Protection Code: Other removal allowance or exemption",$I539&lt;&gt;"",ISNA(MATCH($I539,Tables!$B$215:$B$218,0))),
Error!$B$17,
IF(AND(OR($E539="Tier 2",$E539="Tier 2 Grove"),$F539="Remove",$H539="Tree Protection Code: Development Capacity",$I539&lt;&gt;"",ISNA(MATCH($I539,Tables!$B$193:$B$197,0))),
Error!$B$17,
IF(AND(OR($E539="Tier 2",$E539="Tier 2 Grove"),$F539="Remove",$H539="Tree Protection Code: Necessary for Construction",$I539&lt;&gt;"",ISNA(MATCH($I539,Tables!$B$193:$B$197,0))),
Error!$B$17,
IF(AND($E539="Tier 1",$F539="Remove",$H539="Tree Protection Code: Special Exception",$I539&lt;&gt;"",ISNA(MATCH($I539,Tables!$B$215:$B$218,0))),
Error!$B$17,
IF(AND($E539="Tier 1",$F539="Remove",$H539="Tree Protection Code: Other removal allowance or exemption",$I539&lt;&gt;"",ISNA(MATCH($I539,Tables!$B$215:$B$218,0))),
Error!$B$17,
IF(AND($E539="ECA / Shoreline Tree",$F539="Remove",$H539&lt;&gt;"",OR($H539="Shoreline",$H539="Environmental Critical Area (ECA)"),ISNA(MATCH($I539,Tables!$B$209:$B$212,0))),
Error!$B$17,
IF(AND(_xlpm.baseRow,$F539="Retain",$E539="ECA / Shoreline Tree",_xlpm.ECA_Short=0),
Error!$B$61,
IF(AND($F539="Remove",ISNUMBER(MATCH($E539,{"Tier 1","Tier 2","Tier 3","Tier 4","Tier 2 Grove"},0)),ISNUMBER(MATCH($I539,{"On-site replacement","Off-site replacement"},0)),$J539="",$H539&lt;&gt;""),
Error!$B$19,
IF(AND(_xlpm.baseRow,$E539&lt;&gt;"",$D539&lt;&gt;"",$F539&lt;&gt;"",COUNTBLANK($B539:$C539)&gt;0,COUNTBLANK(_xlpm.HRange)&lt;&gt;4),
Error!$B$22,
IF(AND($H539="Zoning: Tree Points",$K539&lt;&gt;"",ISNA(MATCH($K539,Tables!$B$242:$B$253,0))),
Error!$B$58,
IF(AND($H539="Zoning: Tree Points",$K539="Small",$L539&lt;&gt;"",ISNA(MATCH($L539,Tables!$C$243:$C$244,0))),
Error!$B$59,
IF(AND($H539="Zoning: Tree Points",$K539="Small/Medium",$L539&lt;&gt;"",ISNA(MATCH($L539,Tables!$C$246:$C$247,0))),
Error!$B$59,
IF(AND($H539="Zoning: Tree Points",$K539="Medium/Large",$L539&lt;&gt;"",ISNA(MATCH($L539,Tables!$C$249:$C$250,0))),
Error!$B$59,
IF(AND($H539="Zoning: Tree Points",$K539="Large",$L539&lt;&gt;"",ISNA(MATCH($L539,Tables!$C$252:$C$253,0))),
Error!$B$59,
IF(AND($F539="Retain",$H539="Zoning: Tree Points",$C539&lt;&gt;"",$D539&lt;&gt;"",OR($K539="",$L539="",$M539="")),
Error!$B$20,
""
)))))))))))))))))))))))))))))))))))))))))))))))))))))))),
Error!$B$23))</f>
        <v/>
      </c>
      <c r="O539" s="343" t="str" cm="1">
        <f t="array" aca="1" ref="O539" ca="1">IFERROR(_xlfn.LET(
    _xlpm.txt, $C539,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40" spans="1:15" x14ac:dyDescent="0.3">
      <c r="A540" s="320"/>
      <c r="B540" s="616" t="str">
        <f t="shared" ref="B540:B542" si="624">IF($B539="", "", $B539)</f>
        <v/>
      </c>
      <c r="C540" s="617" t="str">
        <f t="shared" ref="C540:C542" si="625">IF($C539="", "", $C539)</f>
        <v/>
      </c>
      <c r="D540" s="618" t="str">
        <f t="shared" ref="D540:D542" si="626">IF($D539="", "", $D539)</f>
        <v/>
      </c>
      <c r="E540" s="616" t="str">
        <f t="shared" ref="E540:E542" si="627">IF($E539="", "", $E539)</f>
        <v/>
      </c>
      <c r="F540" s="616" t="str">
        <f t="shared" ref="F540:F542" si="628">IF($F539="", "", $F539)</f>
        <v/>
      </c>
      <c r="G540" s="619" t="str">
        <f>IF(Tree_Table1[[#This Row],[Tree Status  &amp;]]="Retain", Tables!$B$237, IF(Tree_Table1[[#This Row],[Tree Status  &amp;]]="Remove", Tables!$B$238, ""))</f>
        <v/>
      </c>
      <c r="H540" s="321"/>
      <c r="I540" s="322"/>
      <c r="J540" s="453"/>
      <c r="K540" s="323" t="str">
        <f>IFERROR(
    IF(
        AND($H540="Zoning: Tree Points", NOT(ISNUMBER(SEARCH("sp.", $C540)))),
        VLOOKUP($C540, 'Tree List'!$C$3:$F$601, 4, FALSE),
        ""
    ),
"")</f>
        <v/>
      </c>
      <c r="L540" s="324" t="str" cm="1">
        <f t="array" ref="L540">IFERROR(
IF(
    AND($H540="Zoning: Tree Points", NOT(ISNUMBER(SEARCH("sp.", $C540)))),
    _xlfn.IFS(
        (COUNTIFS('Tree List'!$C$3:$C$601,$C540,'Tree List'!$D$3:$D$601,"Coniferous")
        + COUNTIFS('Tree List'!$C$3:$C$601,$C540,'Tree List'!$D$3:$D$601,"Deciduous Conifer")) &gt; 0,
            _xlfn.IFS($K540="Small",0.5,$K540="Small/Medium",1,$K540="Medium/Large",1.4,$K540="Large",1.8),
        (COUNTIFS('Tree List'!$C$3:$C$601,$C540,'Tree List'!$D$3:$D$601,"Deciduous")
        + COUNTIFS('Tree List'!$C$3:$C$601,$C540,'Tree List'!$D$3:$D$601,"Broadleaf Evergreen")) &gt; 0,
            _xlfn.IFS($K540="Small",0.4,$K540="Small/Medium",0.8,$K540="Medium/Large",1.2,$K540="Large",1.6)
    ),
    ""
),
"")</f>
        <v/>
      </c>
      <c r="M540" s="475" t="str">
        <f t="shared" si="573"/>
        <v/>
      </c>
      <c r="N540" s="346" t="str" cm="1">
        <f t="array" aca="1" ref="N54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IF(AND(_xlpm.baseRow,ISNA(MATCH($C540,'Tree List'!$C$3:$C$601,0)),SUMPRODUCT(--ISNUMBER(SEARCH(Tables2!$C$677:$C$772,$O540)))&gt;0),
Error!$B$57,
IF(AND(_xlpm.hasDM,$F540="Remove",$H540&lt;&gt;"",OR($I540="On-site replacement",$I540="Off-site replacement",$I540="Payment In Lieu")),
Error!$B$56,
IF(AND(_xlpm.hasDM,$F540="Remove",$H540&lt;&gt;"",$I540="Relocation"),
Error!$B$66,
IF(AND(OR(_xlpm.hasCN,_xlpm.hasPH,_xlpm.hasGR),$H540&lt;&gt;"",COUNTIF(Tables!$B$132:$B$134,$H540)&gt;0,$I540="N/A (No replacement required)"),
Error!$B$62,
IF(AND(_xlpm.baseRow,$E540&lt;&gt;"",ISNA(MATCH($E540,Tables!$B$225:$B$232,0))),
Error!$B$2,
IF(AND(_xlpm.baseRow,$F540&lt;&gt;"",ISNA(MATCH($F540,Tables!$B$234:$B$235,0))),
Error!$B$24,
IF(AND(_xlpm.baseRow,_xlpm.ECA_H&gt;0,_xlpm.Shore_H&gt;0),
Error!$B$16,
IF(AND(_xlpm.baseRow,$E540&lt;&gt;"",$D540=""),
Error!$B$3,
IF(AND(_xlpm.baseRow,OR($E540="Tier 3",$E540="Tier 4"),$C540&lt;&gt;"",$D540&gt;=24,COUNTIF(Tables2!$B$166:$B$674,$C540)&gt;0),
Error!$B$44,
IF(AND(_xlpm.baseRow,OR($E540="Tier 3",$E540="Tier 4"),$C540&lt;&gt;"",$D540&lt;&gt;"",COUNTIF(Tables2!$B$73:$B$152,$C540)&gt;0,
$D540&gt;=IFERROR(INDEX(Tables2!$C$73:$C$152,MATCH($C540,Tables2!$B$73:$B$152,0)),-1)),
Error!$B$44,
IF(AND(_xlpm.baseRow,OR($E540="Tier 2",$E540="Tier 2 Grove"),$C540&lt;&gt;"",$D540&gt;=12,COUNTIF(Tables2!$B$153:$B$162,$C540)&gt;0),
Error!$B$45,
IF(AND(_xlpm.baseRow,$E540="Tier 2 Grove",$D540&lt;12),
Error!$B$41,
IF(AND(_xlpm.baseRow,$E540="Tier 2",$D540&lt;5.88),
Error!$B$40,
IF(AND(_xlpm.baseRow,OR($E540="Tier 2",$E540="Tier 2 Grove"),$C540&lt;&gt;"",$D540&lt;12,$D540&gt;=6,COUNTIF(Tables2!$B$153:$B$162,$C540)&gt;0),
Error!$B$54,
IF(AND(_xlpm.baseRow,$E540="Tier 2",COUNTIF(Tables2!$B$166:$B$674,$C540)&gt;0,$D540&lt;24),
Error!$B$54,
IF(AND(_xlpm.baseRow,$E540="Tier 3",ISNA(MATCH($C540,Tables2!$B$153:$B$162,0)),OR($D540&lt;12,$D540&gt;=24)),
Error!$B$9,
IF(AND(_xlpm.baseRow,$E540="Tier 3",COUNTIF(Tables2!$B$153:$B$162,$C540)&gt;0,$D540&lt;12),
Error!$B$46,
IF(AND(_xlpm.baseRow,$E540="Tier 4",OR($D540&lt;6,$D540&gt;=12)),
Error!$B$10,
IF(AND(_xlpm.baseRow,$E540="&lt;6in DSH for Tree Points",OR($D540&gt;=6,$D540="")),
Error!$B$8,
IF(AND(_xlpm.baseRow,$E540="Street Tree for Green Factor",$F540&lt;&gt;"",$F540&lt;&gt;"Retain"),
Error!$B$14,
IF(AND($E540="&lt;6in DSH for Tree Points",$F540="Retain",$H540&lt;&gt;"",ISNA(MATCH($H540,Tables!$B$174:$B$174,0))),
Error!$B$15,
IF(AND($E540="Street Tree for Green Factor",$F540="Retain",$H540&lt;&gt;"",$H540&lt;&gt;"Zoning: Green Factor"),
Error!$B$15,
IF(AND($E540="ECA / Shoreline Tree",$F540="Remove",$H540&lt;&gt;"",ISNA(MATCH($H540,Tables!$B$189:$B$190,0))),
Error!$B$15,
IF(AND($E540="ECA / Shoreline Tree",$F540="Retain",$H540&lt;&gt;"",ISNA(MATCH($H540,Tables!$B$184:$B$186,0))),
Error!$B$15,
IF(AND($E540="Tier 4",$F540="Remove",$H540&lt;&gt;"",ISNA(MATCH($H540,Tables!$B$171,0))),
Error!$B$15,
IF(AND($E540="Tier 4",$F540="Retain",$H540&lt;&gt;"",ISNA(MATCH($H540,Tables!$B$166:$B$168,0))),
Error!$B$15,
IF(AND($E540="Tier 3",$F540="Retain",$H540&lt;&gt;"",ISNA(MATCH($H540,Tables!$B$158:$B$160,0))),
Error!$B$15,
IF(AND($E540="Tier 3",$F540="Remove",$H540&lt;&gt;"",ISNA(MATCH($H540,Tables!$B$163,0))),
Error!$B$15,
IF(AND(OR($E540="Tier 2",$E540="Tier 2 Grove"),$F540="Remove",$H540&lt;&gt;"",ISNA(MATCH($H540,Tables!$B$153:$B$155,0))),
Error!$B$15,
IF(AND(OR($E540="Tier 2",$E540="Tier 2 Grove"),$F540="Retain",$H540&lt;&gt;"",ISNA(MATCH($H540,Tables!$B$147:$B$150,0))),
Error!$B$15,
IF(AND($E540="Tier 1",$F540="Remove",$H540&lt;&gt;"",ISNA(MATCH($H540,Tables!$B$143:$B$144,0))),
Error!$B$15,
IF(AND($E540="Tier 1",$F540="Retain",$H540&lt;&gt;"",ISNA(MATCH($H540,Tables!$B$137:$B$140,0))),
Error!$B$15,
IF(AND($E540&lt;&gt;"Tier 2",$E540&lt;&gt;"Tier 2 Grove",$E540&lt;&gt;"Tier 3",$E540&lt;&gt;"Tier 4",$H540="Zoning: Green Factor",OR($D540="",$D540&lt;6)),
Error!$B$11,
IF(AND(_xlpm.baseRow,$D540&lt;6,$E540="&lt;6in DSH for Tree Points",_xlpm.TreePoints_H=0),
Error!$B$21,
IF(AND(_xlpm.baseRow,$E540&lt;&gt;"",$D540&lt;&gt;"",$F540=""),
Error!$B$4,
IF(AND(_xlpm.baseRow,$F540="Remove",OR($E540="Tier 1",$E540="Tier 2",$E540="Tier 2 Grove"),COUNTBLANK(_xlpm.HRange)&lt;3,_xlpm.uniqueH&gt;=2),
Error!$B$48,
IF(AND(_xlpm.baseRow,$F540="Retain",OR($E540="Tier 1",$E540="Tier 2",$E540="Tier 2 Grove"),COUNTIF(_xlpm.HRange,"Tree Code: Required to Retain Tier 1-2 Tree")=0),
Error!$B$47,
IF(AND(_xlpm.baseRow,$E540&lt;&gt;"",$D540&lt;&gt;"",$F540&lt;&gt;"",COUNTBLANK(_xlpm.HRange)=4),
Error!$B$5,
IF(AND($F540="Remove",$H540&lt;&gt;"",$I540=""),
Error!$B$18,
IF(AND($E540="Tier 4",$F540="Remove",$H540="Tree Protection Code: Tier 3 or Tier 4 Allowance",$H540&lt;&gt;"",ISNA(MATCH($I540,Tables!$B$200,0))),
Error!$B$17,
IF(AND($E540="Tier 3",$F540="Remove",$H540&lt;&gt;"",$H540="Tree Protection Code: Tier 3 or Tier 4 Allowance",OR($I540="",ISNA(MATCH($I540,Tables!$B$193:$B$197,0)))),
Error!$B$17,
IF(AND(OR($E540="Tier 2",$E540="Tier 2 Grove"),$F540="Remove",$H540="Tree Protection Code: Other removal allowance or exemption",$I540&lt;&gt;"",ISNA(MATCH($I540,Tables!$B$215:$B$218,0))),
Error!$B$17,
IF(AND(OR($E540="Tier 2",$E540="Tier 2 Grove"),$F540="Remove",$H540="Tree Protection Code: Development Capacity",$I540&lt;&gt;"",ISNA(MATCH($I540,Tables!$B$193:$B$197,0))),
Error!$B$17,
IF(AND(OR($E540="Tier 2",$E540="Tier 2 Grove"),$F540="Remove",$H540="Tree Protection Code: Necessary for Construction",$I540&lt;&gt;"",ISNA(MATCH($I540,Tables!$B$193:$B$197,0))),
Error!$B$17,
IF(AND($E540="Tier 1",$F540="Remove",$H540="Tree Protection Code: Special Exception",$I540&lt;&gt;"",ISNA(MATCH($I540,Tables!$B$215:$B$218,0))),
Error!$B$17,
IF(AND($E540="Tier 1",$F540="Remove",$H540="Tree Protection Code: Other removal allowance or exemption",$I540&lt;&gt;"",ISNA(MATCH($I540,Tables!$B$215:$B$218,0))),
Error!$B$17,
IF(AND($E540="ECA / Shoreline Tree",$F540="Remove",$H540&lt;&gt;"",OR($H540="Shoreline",$H540="Environmental Critical Area (ECA)"),ISNA(MATCH($I540,Tables!$B$209:$B$212,0))),
Error!$B$17,
IF(AND(_xlpm.baseRow,$F540="Retain",$E540="ECA / Shoreline Tree",_xlpm.ECA_Short=0),
Error!$B$61,
IF(AND($F540="Remove",ISNUMBER(MATCH($E540,{"Tier 1","Tier 2","Tier 3","Tier 4","Tier 2 Grove"},0)),ISNUMBER(MATCH($I540,{"On-site replacement","Off-site replacement"},0)),$J540="",$H540&lt;&gt;""),
Error!$B$19,
IF(AND(_xlpm.baseRow,$E540&lt;&gt;"",$D540&lt;&gt;"",$F540&lt;&gt;"",COUNTBLANK($B540:$C540)&gt;0,COUNTBLANK(_xlpm.HRange)&lt;&gt;4),
Error!$B$22,
IF(AND($H540="Zoning: Tree Points",$K540&lt;&gt;"",ISNA(MATCH($K540,Tables!$B$242:$B$253,0))),
Error!$B$58,
IF(AND($H540="Zoning: Tree Points",$K540="Small",$L540&lt;&gt;"",ISNA(MATCH($L540,Tables!$C$243:$C$244,0))),
Error!$B$59,
IF(AND($H540="Zoning: Tree Points",$K540="Small/Medium",$L540&lt;&gt;"",ISNA(MATCH($L540,Tables!$C$246:$C$247,0))),
Error!$B$59,
IF(AND($H540="Zoning: Tree Points",$K540="Medium/Large",$L540&lt;&gt;"",ISNA(MATCH($L540,Tables!$C$249:$C$250,0))),
Error!$B$59,
IF(AND($H540="Zoning: Tree Points",$K540="Large",$L540&lt;&gt;"",ISNA(MATCH($L540,Tables!$C$252:$C$253,0))),
Error!$B$59,
IF(AND($F540="Retain",$H540="Zoning: Tree Points",$C540&lt;&gt;"",$D540&lt;&gt;"",OR($K540="",$L540="",$M540="")),
Error!$B$20,
""
)))))))))))))))))))))))))))))))))))))))))))))))))))))))),
Error!$B$23))</f>
        <v/>
      </c>
      <c r="O540" s="343" t="str" cm="1">
        <f t="array" aca="1" ref="O540" ca="1">IFERROR(_xlfn.LET(
    _xlpm.txt, $C540,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41" spans="1:15" x14ac:dyDescent="0.3">
      <c r="A541" s="320"/>
      <c r="B541" s="616" t="str">
        <f t="shared" si="624"/>
        <v/>
      </c>
      <c r="C541" s="617" t="str">
        <f t="shared" si="625"/>
        <v/>
      </c>
      <c r="D541" s="618" t="str">
        <f t="shared" si="626"/>
        <v/>
      </c>
      <c r="E541" s="616" t="str">
        <f t="shared" si="627"/>
        <v/>
      </c>
      <c r="F541" s="616" t="str">
        <f t="shared" si="628"/>
        <v/>
      </c>
      <c r="G541" s="619" t="str">
        <f>IF(Tree_Table1[[#This Row],[Tree Status  &amp;]]="Retain", Tables!$B$237, IF(Tree_Table1[[#This Row],[Tree Status  &amp;]]="Remove", Tables!$B$238, ""))</f>
        <v/>
      </c>
      <c r="H541" s="321"/>
      <c r="I541" s="322"/>
      <c r="J541" s="453"/>
      <c r="K541" s="323" t="str">
        <f>IFERROR(
    IF(
        AND($H541="Zoning: Tree Points", NOT(ISNUMBER(SEARCH("sp.", $C541)))),
        VLOOKUP($C541, 'Tree List'!$C$3:$F$601, 4, FALSE),
        ""
    ),
"")</f>
        <v/>
      </c>
      <c r="L541" s="324" t="str" cm="1">
        <f t="array" ref="L541">IFERROR(
IF(
    AND($H541="Zoning: Tree Points", NOT(ISNUMBER(SEARCH("sp.", $C541)))),
    _xlfn.IFS(
        (COUNTIFS('Tree List'!$C$3:$C$601,$C541,'Tree List'!$D$3:$D$601,"Coniferous")
        + COUNTIFS('Tree List'!$C$3:$C$601,$C541,'Tree List'!$D$3:$D$601,"Deciduous Conifer")) &gt; 0,
            _xlfn.IFS($K541="Small",0.5,$K541="Small/Medium",1,$K541="Medium/Large",1.4,$K541="Large",1.8),
        (COUNTIFS('Tree List'!$C$3:$C$601,$C541,'Tree List'!$D$3:$D$601,"Deciduous")
        + COUNTIFS('Tree List'!$C$3:$C$601,$C541,'Tree List'!$D$3:$D$601,"Broadleaf Evergreen")) &gt; 0,
            _xlfn.IFS($K541="Small",0.4,$K541="Small/Medium",0.8,$K541="Medium/Large",1.2,$K541="Large",1.6)
    ),
    ""
),
"")</f>
        <v/>
      </c>
      <c r="M541" s="475" t="str">
        <f t="shared" si="573"/>
        <v/>
      </c>
      <c r="N541" s="346" t="str" cm="1">
        <f t="array" aca="1" ref="N54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IF(AND(_xlpm.baseRow,ISNA(MATCH($C541,'Tree List'!$C$3:$C$601,0)),SUMPRODUCT(--ISNUMBER(SEARCH(Tables2!$C$677:$C$772,$O541)))&gt;0),
Error!$B$57,
IF(AND(_xlpm.hasDM,$F541="Remove",$H541&lt;&gt;"",OR($I541="On-site replacement",$I541="Off-site replacement",$I541="Payment In Lieu")),
Error!$B$56,
IF(AND(_xlpm.hasDM,$F541="Remove",$H541&lt;&gt;"",$I541="Relocation"),
Error!$B$66,
IF(AND(OR(_xlpm.hasCN,_xlpm.hasPH,_xlpm.hasGR),$H541&lt;&gt;"",COUNTIF(Tables!$B$132:$B$134,$H541)&gt;0,$I541="N/A (No replacement required)"),
Error!$B$62,
IF(AND(_xlpm.baseRow,$E541&lt;&gt;"",ISNA(MATCH($E541,Tables!$B$225:$B$232,0))),
Error!$B$2,
IF(AND(_xlpm.baseRow,$F541&lt;&gt;"",ISNA(MATCH($F541,Tables!$B$234:$B$235,0))),
Error!$B$24,
IF(AND(_xlpm.baseRow,_xlpm.ECA_H&gt;0,_xlpm.Shore_H&gt;0),
Error!$B$16,
IF(AND(_xlpm.baseRow,$E541&lt;&gt;"",$D541=""),
Error!$B$3,
IF(AND(_xlpm.baseRow,OR($E541="Tier 3",$E541="Tier 4"),$C541&lt;&gt;"",$D541&gt;=24,COUNTIF(Tables2!$B$166:$B$674,$C541)&gt;0),
Error!$B$44,
IF(AND(_xlpm.baseRow,OR($E541="Tier 3",$E541="Tier 4"),$C541&lt;&gt;"",$D541&lt;&gt;"",COUNTIF(Tables2!$B$73:$B$152,$C541)&gt;0,
$D541&gt;=IFERROR(INDEX(Tables2!$C$73:$C$152,MATCH($C541,Tables2!$B$73:$B$152,0)),-1)),
Error!$B$44,
IF(AND(_xlpm.baseRow,OR($E541="Tier 2",$E541="Tier 2 Grove"),$C541&lt;&gt;"",$D541&gt;=12,COUNTIF(Tables2!$B$153:$B$162,$C541)&gt;0),
Error!$B$45,
IF(AND(_xlpm.baseRow,$E541="Tier 2 Grove",$D541&lt;12),
Error!$B$41,
IF(AND(_xlpm.baseRow,$E541="Tier 2",$D541&lt;5.88),
Error!$B$40,
IF(AND(_xlpm.baseRow,OR($E541="Tier 2",$E541="Tier 2 Grove"),$C541&lt;&gt;"",$D541&lt;12,$D541&gt;=6,COUNTIF(Tables2!$B$153:$B$162,$C541)&gt;0),
Error!$B$54,
IF(AND(_xlpm.baseRow,$E541="Tier 2",COUNTIF(Tables2!$B$166:$B$674,$C541)&gt;0,$D541&lt;24),
Error!$B$54,
IF(AND(_xlpm.baseRow,$E541="Tier 3",ISNA(MATCH($C541,Tables2!$B$153:$B$162,0)),OR($D541&lt;12,$D541&gt;=24)),
Error!$B$9,
IF(AND(_xlpm.baseRow,$E541="Tier 3",COUNTIF(Tables2!$B$153:$B$162,$C541)&gt;0,$D541&lt;12),
Error!$B$46,
IF(AND(_xlpm.baseRow,$E541="Tier 4",OR($D541&lt;6,$D541&gt;=12)),
Error!$B$10,
IF(AND(_xlpm.baseRow,$E541="&lt;6in DSH for Tree Points",OR($D541&gt;=6,$D541="")),
Error!$B$8,
IF(AND(_xlpm.baseRow,$E541="Street Tree for Green Factor",$F541&lt;&gt;"",$F541&lt;&gt;"Retain"),
Error!$B$14,
IF(AND($E541="&lt;6in DSH for Tree Points",$F541="Retain",$H541&lt;&gt;"",ISNA(MATCH($H541,Tables!$B$174:$B$174,0))),
Error!$B$15,
IF(AND($E541="Street Tree for Green Factor",$F541="Retain",$H541&lt;&gt;"",$H541&lt;&gt;"Zoning: Green Factor"),
Error!$B$15,
IF(AND($E541="ECA / Shoreline Tree",$F541="Remove",$H541&lt;&gt;"",ISNA(MATCH($H541,Tables!$B$189:$B$190,0))),
Error!$B$15,
IF(AND($E541="ECA / Shoreline Tree",$F541="Retain",$H541&lt;&gt;"",ISNA(MATCH($H541,Tables!$B$184:$B$186,0))),
Error!$B$15,
IF(AND($E541="Tier 4",$F541="Remove",$H541&lt;&gt;"",ISNA(MATCH($H541,Tables!$B$171,0))),
Error!$B$15,
IF(AND($E541="Tier 4",$F541="Retain",$H541&lt;&gt;"",ISNA(MATCH($H541,Tables!$B$166:$B$168,0))),
Error!$B$15,
IF(AND($E541="Tier 3",$F541="Retain",$H541&lt;&gt;"",ISNA(MATCH($H541,Tables!$B$158:$B$160,0))),
Error!$B$15,
IF(AND($E541="Tier 3",$F541="Remove",$H541&lt;&gt;"",ISNA(MATCH($H541,Tables!$B$163,0))),
Error!$B$15,
IF(AND(OR($E541="Tier 2",$E541="Tier 2 Grove"),$F541="Remove",$H541&lt;&gt;"",ISNA(MATCH($H541,Tables!$B$153:$B$155,0))),
Error!$B$15,
IF(AND(OR($E541="Tier 2",$E541="Tier 2 Grove"),$F541="Retain",$H541&lt;&gt;"",ISNA(MATCH($H541,Tables!$B$147:$B$150,0))),
Error!$B$15,
IF(AND($E541="Tier 1",$F541="Remove",$H541&lt;&gt;"",ISNA(MATCH($H541,Tables!$B$143:$B$144,0))),
Error!$B$15,
IF(AND($E541="Tier 1",$F541="Retain",$H541&lt;&gt;"",ISNA(MATCH($H541,Tables!$B$137:$B$140,0))),
Error!$B$15,
IF(AND($E541&lt;&gt;"Tier 2",$E541&lt;&gt;"Tier 2 Grove",$E541&lt;&gt;"Tier 3",$E541&lt;&gt;"Tier 4",$H541="Zoning: Green Factor",OR($D541="",$D541&lt;6)),
Error!$B$11,
IF(AND(_xlpm.baseRow,$D541&lt;6,$E541="&lt;6in DSH for Tree Points",_xlpm.TreePoints_H=0),
Error!$B$21,
IF(AND(_xlpm.baseRow,$E541&lt;&gt;"",$D541&lt;&gt;"",$F541=""),
Error!$B$4,
IF(AND(_xlpm.baseRow,$F541="Remove",OR($E541="Tier 1",$E541="Tier 2",$E541="Tier 2 Grove"),COUNTBLANK(_xlpm.HRange)&lt;3,_xlpm.uniqueH&gt;=2),
Error!$B$48,
IF(AND(_xlpm.baseRow,$F541="Retain",OR($E541="Tier 1",$E541="Tier 2",$E541="Tier 2 Grove"),COUNTIF(_xlpm.HRange,"Tree Code: Required to Retain Tier 1-2 Tree")=0),
Error!$B$47,
IF(AND(_xlpm.baseRow,$E541&lt;&gt;"",$D541&lt;&gt;"",$F541&lt;&gt;"",COUNTBLANK(_xlpm.HRange)=4),
Error!$B$5,
IF(AND($F541="Remove",$H541&lt;&gt;"",$I541=""),
Error!$B$18,
IF(AND($E541="Tier 4",$F541="Remove",$H541="Tree Protection Code: Tier 3 or Tier 4 Allowance",$H541&lt;&gt;"",ISNA(MATCH($I541,Tables!$B$200,0))),
Error!$B$17,
IF(AND($E541="Tier 3",$F541="Remove",$H541&lt;&gt;"",$H541="Tree Protection Code: Tier 3 or Tier 4 Allowance",OR($I541="",ISNA(MATCH($I541,Tables!$B$193:$B$197,0)))),
Error!$B$17,
IF(AND(OR($E541="Tier 2",$E541="Tier 2 Grove"),$F541="Remove",$H541="Tree Protection Code: Other removal allowance or exemption",$I541&lt;&gt;"",ISNA(MATCH($I541,Tables!$B$215:$B$218,0))),
Error!$B$17,
IF(AND(OR($E541="Tier 2",$E541="Tier 2 Grove"),$F541="Remove",$H541="Tree Protection Code: Development Capacity",$I541&lt;&gt;"",ISNA(MATCH($I541,Tables!$B$193:$B$197,0))),
Error!$B$17,
IF(AND(OR($E541="Tier 2",$E541="Tier 2 Grove"),$F541="Remove",$H541="Tree Protection Code: Necessary for Construction",$I541&lt;&gt;"",ISNA(MATCH($I541,Tables!$B$193:$B$197,0))),
Error!$B$17,
IF(AND($E541="Tier 1",$F541="Remove",$H541="Tree Protection Code: Special Exception",$I541&lt;&gt;"",ISNA(MATCH($I541,Tables!$B$215:$B$218,0))),
Error!$B$17,
IF(AND($E541="Tier 1",$F541="Remove",$H541="Tree Protection Code: Other removal allowance or exemption",$I541&lt;&gt;"",ISNA(MATCH($I541,Tables!$B$215:$B$218,0))),
Error!$B$17,
IF(AND($E541="ECA / Shoreline Tree",$F541="Remove",$H541&lt;&gt;"",OR($H541="Shoreline",$H541="Environmental Critical Area (ECA)"),ISNA(MATCH($I541,Tables!$B$209:$B$212,0))),
Error!$B$17,
IF(AND(_xlpm.baseRow,$F541="Retain",$E541="ECA / Shoreline Tree",_xlpm.ECA_Short=0),
Error!$B$61,
IF(AND($F541="Remove",ISNUMBER(MATCH($E541,{"Tier 1","Tier 2","Tier 3","Tier 4","Tier 2 Grove"},0)),ISNUMBER(MATCH($I541,{"On-site replacement","Off-site replacement"},0)),$J541="",$H541&lt;&gt;""),
Error!$B$19,
IF(AND(_xlpm.baseRow,$E541&lt;&gt;"",$D541&lt;&gt;"",$F541&lt;&gt;"",COUNTBLANK($B541:$C541)&gt;0,COUNTBLANK(_xlpm.HRange)&lt;&gt;4),
Error!$B$22,
IF(AND($H541="Zoning: Tree Points",$K541&lt;&gt;"",ISNA(MATCH($K541,Tables!$B$242:$B$253,0))),
Error!$B$58,
IF(AND($H541="Zoning: Tree Points",$K541="Small",$L541&lt;&gt;"",ISNA(MATCH($L541,Tables!$C$243:$C$244,0))),
Error!$B$59,
IF(AND($H541="Zoning: Tree Points",$K541="Small/Medium",$L541&lt;&gt;"",ISNA(MATCH($L541,Tables!$C$246:$C$247,0))),
Error!$B$59,
IF(AND($H541="Zoning: Tree Points",$K541="Medium/Large",$L541&lt;&gt;"",ISNA(MATCH($L541,Tables!$C$249:$C$250,0))),
Error!$B$59,
IF(AND($H541="Zoning: Tree Points",$K541="Large",$L541&lt;&gt;"",ISNA(MATCH($L541,Tables!$C$252:$C$253,0))),
Error!$B$59,
IF(AND($F541="Retain",$H541="Zoning: Tree Points",$C541&lt;&gt;"",$D541&lt;&gt;"",OR($K541="",$L541="",$M541="")),
Error!$B$20,
""
)))))))))))))))))))))))))))))))))))))))))))))))))))))))),
Error!$B$23))</f>
        <v/>
      </c>
      <c r="O541" s="343" t="str" cm="1">
        <f t="array" aca="1" ref="O541" ca="1">IFERROR(_xlfn.LET(
    _xlpm.txt, $C541,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42" spans="1:15" ht="15" thickBot="1" x14ac:dyDescent="0.35">
      <c r="A542" s="331"/>
      <c r="B542" s="616" t="str">
        <f t="shared" si="624"/>
        <v/>
      </c>
      <c r="C542" s="617" t="str">
        <f t="shared" si="625"/>
        <v/>
      </c>
      <c r="D542" s="618" t="str">
        <f t="shared" si="626"/>
        <v/>
      </c>
      <c r="E542" s="616" t="str">
        <f t="shared" si="627"/>
        <v/>
      </c>
      <c r="F542" s="616" t="str">
        <f t="shared" si="628"/>
        <v/>
      </c>
      <c r="G542" s="619" t="str">
        <f>IF(Tree_Table1[[#This Row],[Tree Status  &amp;]]="Retain", Tables!$B$237, IF(Tree_Table1[[#This Row],[Tree Status  &amp;]]="Remove", Tables!$B$238, ""))</f>
        <v/>
      </c>
      <c r="H542" s="329"/>
      <c r="I542" s="330"/>
      <c r="J542" s="455"/>
      <c r="K542" s="327" t="str">
        <f>IFERROR(
    IF(
        AND($H542="Zoning: Tree Points", NOT(ISNUMBER(SEARCH("sp.", $C542)))),
        VLOOKUP($C542, 'Tree List'!$C$3:$F$601, 4, FALSE),
        ""
    ),
"")</f>
        <v/>
      </c>
      <c r="L542" s="328" t="str" cm="1">
        <f t="array" ref="L542">IFERROR(
IF(
    AND($H542="Zoning: Tree Points", NOT(ISNUMBER(SEARCH("sp.", $C542)))),
    _xlfn.IFS(
        (COUNTIFS('Tree List'!$C$3:$C$601,$C542,'Tree List'!$D$3:$D$601,"Coniferous")
        + COUNTIFS('Tree List'!$C$3:$C$601,$C542,'Tree List'!$D$3:$D$601,"Deciduous Conifer")) &gt; 0,
            _xlfn.IFS($K542="Small",0.5,$K542="Small/Medium",1,$K542="Medium/Large",1.4,$K542="Large",1.8),
        (COUNTIFS('Tree List'!$C$3:$C$601,$C542,'Tree List'!$D$3:$D$601,"Deciduous")
        + COUNTIFS('Tree List'!$C$3:$C$601,$C542,'Tree List'!$D$3:$D$601,"Broadleaf Evergreen")) &gt; 0,
            _xlfn.IFS($K542="Small",0.4,$K542="Small/Medium",0.8,$K542="Medium/Large",1.2,$K542="Large",1.6)
    ),
    ""
),
"")</f>
        <v/>
      </c>
      <c r="M542" s="476" t="str">
        <f t="shared" si="573"/>
        <v/>
      </c>
      <c r="N542" s="347" t="str" cm="1">
        <f t="array" aca="1" ref="N54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IF(AND(_xlpm.baseRow,ISNA(MATCH($C542,'Tree List'!$C$3:$C$601,0)),SUMPRODUCT(--ISNUMBER(SEARCH(Tables2!$C$677:$C$772,$O542)))&gt;0),
Error!$B$57,
IF(AND(_xlpm.hasDM,$F542="Remove",$H542&lt;&gt;"",OR($I542="On-site replacement",$I542="Off-site replacement",$I542="Payment In Lieu")),
Error!$B$56,
IF(AND(_xlpm.hasDM,$F542="Remove",$H542&lt;&gt;"",$I542="Relocation"),
Error!$B$66,
IF(AND(OR(_xlpm.hasCN,_xlpm.hasPH,_xlpm.hasGR),$H542&lt;&gt;"",COUNTIF(Tables!$B$132:$B$134,$H542)&gt;0,$I542="N/A (No replacement required)"),
Error!$B$62,
IF(AND(_xlpm.baseRow,$E542&lt;&gt;"",ISNA(MATCH($E542,Tables!$B$225:$B$232,0))),
Error!$B$2,
IF(AND(_xlpm.baseRow,$F542&lt;&gt;"",ISNA(MATCH($F542,Tables!$B$234:$B$235,0))),
Error!$B$24,
IF(AND(_xlpm.baseRow,_xlpm.ECA_H&gt;0,_xlpm.Shore_H&gt;0),
Error!$B$16,
IF(AND(_xlpm.baseRow,$E542&lt;&gt;"",$D542=""),
Error!$B$3,
IF(AND(_xlpm.baseRow,OR($E542="Tier 3",$E542="Tier 4"),$C542&lt;&gt;"",$D542&gt;=24,COUNTIF(Tables2!$B$166:$B$674,$C542)&gt;0),
Error!$B$44,
IF(AND(_xlpm.baseRow,OR($E542="Tier 3",$E542="Tier 4"),$C542&lt;&gt;"",$D542&lt;&gt;"",COUNTIF(Tables2!$B$73:$B$152,$C542)&gt;0,
$D542&gt;=IFERROR(INDEX(Tables2!$C$73:$C$152,MATCH($C542,Tables2!$B$73:$B$152,0)),-1)),
Error!$B$44,
IF(AND(_xlpm.baseRow,OR($E542="Tier 2",$E542="Tier 2 Grove"),$C542&lt;&gt;"",$D542&gt;=12,COUNTIF(Tables2!$B$153:$B$162,$C542)&gt;0),
Error!$B$45,
IF(AND(_xlpm.baseRow,$E542="Tier 2 Grove",$D542&lt;12),
Error!$B$41,
IF(AND(_xlpm.baseRow,$E542="Tier 2",$D542&lt;5.88),
Error!$B$40,
IF(AND(_xlpm.baseRow,OR($E542="Tier 2",$E542="Tier 2 Grove"),$C542&lt;&gt;"",$D542&lt;12,$D542&gt;=6,COUNTIF(Tables2!$B$153:$B$162,$C542)&gt;0),
Error!$B$54,
IF(AND(_xlpm.baseRow,$E542="Tier 2",COUNTIF(Tables2!$B$166:$B$674,$C542)&gt;0,$D542&lt;24),
Error!$B$54,
IF(AND(_xlpm.baseRow,$E542="Tier 3",ISNA(MATCH($C542,Tables2!$B$153:$B$162,0)),OR($D542&lt;12,$D542&gt;=24)),
Error!$B$9,
IF(AND(_xlpm.baseRow,$E542="Tier 3",COUNTIF(Tables2!$B$153:$B$162,$C542)&gt;0,$D542&lt;12),
Error!$B$46,
IF(AND(_xlpm.baseRow,$E542="Tier 4",OR($D542&lt;6,$D542&gt;=12)),
Error!$B$10,
IF(AND(_xlpm.baseRow,$E542="&lt;6in DSH for Tree Points",OR($D542&gt;=6,$D542="")),
Error!$B$8,
IF(AND(_xlpm.baseRow,$E542="Street Tree for Green Factor",$F542&lt;&gt;"",$F542&lt;&gt;"Retain"),
Error!$B$14,
IF(AND($E542="&lt;6in DSH for Tree Points",$F542="Retain",$H542&lt;&gt;"",ISNA(MATCH($H542,Tables!$B$174:$B$174,0))),
Error!$B$15,
IF(AND($E542="Street Tree for Green Factor",$F542="Retain",$H542&lt;&gt;"",$H542&lt;&gt;"Zoning: Green Factor"),
Error!$B$15,
IF(AND($E542="ECA / Shoreline Tree",$F542="Remove",$H542&lt;&gt;"",ISNA(MATCH($H542,Tables!$B$189:$B$190,0))),
Error!$B$15,
IF(AND($E542="ECA / Shoreline Tree",$F542="Retain",$H542&lt;&gt;"",ISNA(MATCH($H542,Tables!$B$184:$B$186,0))),
Error!$B$15,
IF(AND($E542="Tier 4",$F542="Remove",$H542&lt;&gt;"",ISNA(MATCH($H542,Tables!$B$171,0))),
Error!$B$15,
IF(AND($E542="Tier 4",$F542="Retain",$H542&lt;&gt;"",ISNA(MATCH($H542,Tables!$B$166:$B$168,0))),
Error!$B$15,
IF(AND($E542="Tier 3",$F542="Retain",$H542&lt;&gt;"",ISNA(MATCH($H542,Tables!$B$158:$B$160,0))),
Error!$B$15,
IF(AND($E542="Tier 3",$F542="Remove",$H542&lt;&gt;"",ISNA(MATCH($H542,Tables!$B$163,0))),
Error!$B$15,
IF(AND(OR($E542="Tier 2",$E542="Tier 2 Grove"),$F542="Remove",$H542&lt;&gt;"",ISNA(MATCH($H542,Tables!$B$153:$B$155,0))),
Error!$B$15,
IF(AND(OR($E542="Tier 2",$E542="Tier 2 Grove"),$F542="Retain",$H542&lt;&gt;"",ISNA(MATCH($H542,Tables!$B$147:$B$150,0))),
Error!$B$15,
IF(AND($E542="Tier 1",$F542="Remove",$H542&lt;&gt;"",ISNA(MATCH($H542,Tables!$B$143:$B$144,0))),
Error!$B$15,
IF(AND($E542="Tier 1",$F542="Retain",$H542&lt;&gt;"",ISNA(MATCH($H542,Tables!$B$137:$B$140,0))),
Error!$B$15,
IF(AND($E542&lt;&gt;"Tier 2",$E542&lt;&gt;"Tier 2 Grove",$E542&lt;&gt;"Tier 3",$E542&lt;&gt;"Tier 4",$H542="Zoning: Green Factor",OR($D542="",$D542&lt;6)),
Error!$B$11,
IF(AND(_xlpm.baseRow,$D542&lt;6,$E542="&lt;6in DSH for Tree Points",_xlpm.TreePoints_H=0),
Error!$B$21,
IF(AND(_xlpm.baseRow,$E542&lt;&gt;"",$D542&lt;&gt;"",$F542=""),
Error!$B$4,
IF(AND(_xlpm.baseRow,$F542="Remove",OR($E542="Tier 1",$E542="Tier 2",$E542="Tier 2 Grove"),COUNTBLANK(_xlpm.HRange)&lt;3,_xlpm.uniqueH&gt;=2),
Error!$B$48,
IF(AND(_xlpm.baseRow,$F542="Retain",OR($E542="Tier 1",$E542="Tier 2",$E542="Tier 2 Grove"),COUNTIF(_xlpm.HRange,"Tree Code: Required to Retain Tier 1-2 Tree")=0),
Error!$B$47,
IF(AND(_xlpm.baseRow,$E542&lt;&gt;"",$D542&lt;&gt;"",$F542&lt;&gt;"",COUNTBLANK(_xlpm.HRange)=4),
Error!$B$5,
IF(AND($F542="Remove",$H542&lt;&gt;"",$I542=""),
Error!$B$18,
IF(AND($E542="Tier 4",$F542="Remove",$H542="Tree Protection Code: Tier 3 or Tier 4 Allowance",$H542&lt;&gt;"",ISNA(MATCH($I542,Tables!$B$200,0))),
Error!$B$17,
IF(AND($E542="Tier 3",$F542="Remove",$H542&lt;&gt;"",$H542="Tree Protection Code: Tier 3 or Tier 4 Allowance",OR($I542="",ISNA(MATCH($I542,Tables!$B$193:$B$197,0)))),
Error!$B$17,
IF(AND(OR($E542="Tier 2",$E542="Tier 2 Grove"),$F542="Remove",$H542="Tree Protection Code: Other removal allowance or exemption",$I542&lt;&gt;"",ISNA(MATCH($I542,Tables!$B$215:$B$218,0))),
Error!$B$17,
IF(AND(OR($E542="Tier 2",$E542="Tier 2 Grove"),$F542="Remove",$H542="Tree Protection Code: Development Capacity",$I542&lt;&gt;"",ISNA(MATCH($I542,Tables!$B$193:$B$197,0))),
Error!$B$17,
IF(AND(OR($E542="Tier 2",$E542="Tier 2 Grove"),$F542="Remove",$H542="Tree Protection Code: Necessary for Construction",$I542&lt;&gt;"",ISNA(MATCH($I542,Tables!$B$193:$B$197,0))),
Error!$B$17,
IF(AND($E542="Tier 1",$F542="Remove",$H542="Tree Protection Code: Special Exception",$I542&lt;&gt;"",ISNA(MATCH($I542,Tables!$B$215:$B$218,0))),
Error!$B$17,
IF(AND($E542="Tier 1",$F542="Remove",$H542="Tree Protection Code: Other removal allowance or exemption",$I542&lt;&gt;"",ISNA(MATCH($I542,Tables!$B$215:$B$218,0))),
Error!$B$17,
IF(AND($E542="ECA / Shoreline Tree",$F542="Remove",$H542&lt;&gt;"",OR($H542="Shoreline",$H542="Environmental Critical Area (ECA)"),ISNA(MATCH($I542,Tables!$B$209:$B$212,0))),
Error!$B$17,
IF(AND(_xlpm.baseRow,$F542="Retain",$E542="ECA / Shoreline Tree",_xlpm.ECA_Short=0),
Error!$B$61,
IF(AND($F542="Remove",ISNUMBER(MATCH($E542,{"Tier 1","Tier 2","Tier 3","Tier 4","Tier 2 Grove"},0)),ISNUMBER(MATCH($I542,{"On-site replacement","Off-site replacement"},0)),$J542="",$H542&lt;&gt;""),
Error!$B$19,
IF(AND(_xlpm.baseRow,$E542&lt;&gt;"",$D542&lt;&gt;"",$F542&lt;&gt;"",COUNTBLANK($B542:$C542)&gt;0,COUNTBLANK(_xlpm.HRange)&lt;&gt;4),
Error!$B$22,
IF(AND($H542="Zoning: Tree Points",$K542&lt;&gt;"",ISNA(MATCH($K542,Tables!$B$242:$B$253,0))),
Error!$B$58,
IF(AND($H542="Zoning: Tree Points",$K542="Small",$L542&lt;&gt;"",ISNA(MATCH($L542,Tables!$C$243:$C$244,0))),
Error!$B$59,
IF(AND($H542="Zoning: Tree Points",$K542="Small/Medium",$L542&lt;&gt;"",ISNA(MATCH($L542,Tables!$C$246:$C$247,0))),
Error!$B$59,
IF(AND($H542="Zoning: Tree Points",$K542="Medium/Large",$L542&lt;&gt;"",ISNA(MATCH($L542,Tables!$C$249:$C$250,0))),
Error!$B$59,
IF(AND($H542="Zoning: Tree Points",$K542="Large",$L542&lt;&gt;"",ISNA(MATCH($L542,Tables!$C$252:$C$253,0))),
Error!$B$59,
IF(AND($F542="Retain",$H542="Zoning: Tree Points",$C542&lt;&gt;"",$D542&lt;&gt;"",OR($K542="",$L542="",$M542="")),
Error!$B$20,
""
)))))))))))))))))))))))))))))))))))))))))))))))))))))))),
Error!$B$23))</f>
        <v/>
      </c>
      <c r="O542" s="343" t="str" cm="1">
        <f t="array" aca="1" ref="O542" ca="1">IFERROR(_xlfn.LET(
    _xlpm.txt, $C542,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43" spans="1:15" ht="15" thickBot="1" x14ac:dyDescent="0.35">
      <c r="A543" s="311">
        <v>134</v>
      </c>
      <c r="B543" s="312"/>
      <c r="C543" s="313"/>
      <c r="D543" s="478"/>
      <c r="E543" s="314"/>
      <c r="F543" s="314"/>
      <c r="G543" s="315" t="str">
        <f>IF(Tree_Table1[[#This Row],[Tree Status  &amp;]]="Retain", Tables!$B$237, IF(Tree_Table1[[#This Row],[Tree Status  &amp;]]="Remove", Tables!$B$238, ""))</f>
        <v/>
      </c>
      <c r="H543" s="316"/>
      <c r="I543" s="317"/>
      <c r="J543" s="452"/>
      <c r="K543" s="318" t="str">
        <f>IFERROR(
    IF(
        AND($H543="Zoning: Tree Points", NOT(ISNUMBER(SEARCH("sp.", $C543)))),
        VLOOKUP($C543, 'Tree List'!$C$3:$F$601, 4, FALSE),
        ""
    ),
"")</f>
        <v/>
      </c>
      <c r="L543" s="319" t="str" cm="1">
        <f t="array" ref="L543">IFERROR(
IF(
    AND($H543="Zoning: Tree Points", NOT(ISNUMBER(SEARCH("sp.", $C543)))),
    _xlfn.IFS(
        (COUNTIFS('Tree List'!$C$3:$C$601,$C543,'Tree List'!$D$3:$D$601,"Coniferous")
        + COUNTIFS('Tree List'!$C$3:$C$601,$C543,'Tree List'!$D$3:$D$601,"Deciduous Conifer")) &gt; 0,
            _xlfn.IFS($K543="Small",0.5,$K543="Small/Medium",1,$K543="Medium/Large",1.4,$K543="Large",1.8),
        (COUNTIFS('Tree List'!$C$3:$C$601,$C543,'Tree List'!$D$3:$D$601,"Deciduous")
        + COUNTIFS('Tree List'!$C$3:$C$601,$C543,'Tree List'!$D$3:$D$601,"Broadleaf Evergreen")) &gt; 0,
            _xlfn.IFS($K543="Small",0.4,$K543="Small/Medium",0.8,$K543="Medium/Large",1.2,$K543="Large",1.6)
    ),
    ""
),
"")</f>
        <v/>
      </c>
      <c r="M543" s="474" t="str">
        <f t="shared" si="573"/>
        <v/>
      </c>
      <c r="N543" s="620" t="str" cm="1">
        <f t="array" aca="1" ref="N54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IF(AND(_xlpm.baseRow,ISNA(MATCH($C543,'Tree List'!$C$3:$C$601,0)),SUMPRODUCT(--ISNUMBER(SEARCH(Tables2!$C$677:$C$772,$O543)))&gt;0),
Error!$B$57,
IF(AND(_xlpm.hasDM,$F543="Remove",$H543&lt;&gt;"",OR($I543="On-site replacement",$I543="Off-site replacement",$I543="Payment In Lieu")),
Error!$B$56,
IF(AND(_xlpm.hasDM,$F543="Remove",$H543&lt;&gt;"",$I543="Relocation"),
Error!$B$66,
IF(AND(OR(_xlpm.hasCN,_xlpm.hasPH,_xlpm.hasGR),$H543&lt;&gt;"",COUNTIF(Tables!$B$132:$B$134,$H543)&gt;0,$I543="N/A (No replacement required)"),
Error!$B$62,
IF(AND(_xlpm.baseRow,$E543&lt;&gt;"",ISNA(MATCH($E543,Tables!$B$225:$B$232,0))),
Error!$B$2,
IF(AND(_xlpm.baseRow,$F543&lt;&gt;"",ISNA(MATCH($F543,Tables!$B$234:$B$235,0))),
Error!$B$24,
IF(AND(_xlpm.baseRow,_xlpm.ECA_H&gt;0,_xlpm.Shore_H&gt;0),
Error!$B$16,
IF(AND(_xlpm.baseRow,$E543&lt;&gt;"",$D543=""),
Error!$B$3,
IF(AND(_xlpm.baseRow,OR($E543="Tier 3",$E543="Tier 4"),$C543&lt;&gt;"",$D543&gt;=24,COUNTIF(Tables2!$B$166:$B$674,$C543)&gt;0),
Error!$B$44,
IF(AND(_xlpm.baseRow,OR($E543="Tier 3",$E543="Tier 4"),$C543&lt;&gt;"",$D543&lt;&gt;"",COUNTIF(Tables2!$B$73:$B$152,$C543)&gt;0,
$D543&gt;=IFERROR(INDEX(Tables2!$C$73:$C$152,MATCH($C543,Tables2!$B$73:$B$152,0)),-1)),
Error!$B$44,
IF(AND(_xlpm.baseRow,OR($E543="Tier 2",$E543="Tier 2 Grove"),$C543&lt;&gt;"",$D543&gt;=12,COUNTIF(Tables2!$B$153:$B$162,$C543)&gt;0),
Error!$B$45,
IF(AND(_xlpm.baseRow,$E543="Tier 2 Grove",$D543&lt;12),
Error!$B$41,
IF(AND(_xlpm.baseRow,$E543="Tier 2",$D543&lt;5.88),
Error!$B$40,
IF(AND(_xlpm.baseRow,OR($E543="Tier 2",$E543="Tier 2 Grove"),$C543&lt;&gt;"",$D543&lt;12,$D543&gt;=6,COUNTIF(Tables2!$B$153:$B$162,$C543)&gt;0),
Error!$B$54,
IF(AND(_xlpm.baseRow,$E543="Tier 2",COUNTIF(Tables2!$B$166:$B$674,$C543)&gt;0,$D543&lt;24),
Error!$B$54,
IF(AND(_xlpm.baseRow,$E543="Tier 3",ISNA(MATCH($C543,Tables2!$B$153:$B$162,0)),OR($D543&lt;12,$D543&gt;=24)),
Error!$B$9,
IF(AND(_xlpm.baseRow,$E543="Tier 3",COUNTIF(Tables2!$B$153:$B$162,$C543)&gt;0,$D543&lt;12),
Error!$B$46,
IF(AND(_xlpm.baseRow,$E543="Tier 4",OR($D543&lt;6,$D543&gt;=12)),
Error!$B$10,
IF(AND(_xlpm.baseRow,$E543="&lt;6in DSH for Tree Points",OR($D543&gt;=6,$D543="")),
Error!$B$8,
IF(AND(_xlpm.baseRow,$E543="Street Tree for Green Factor",$F543&lt;&gt;"",$F543&lt;&gt;"Retain"),
Error!$B$14,
IF(AND($E543="&lt;6in DSH for Tree Points",$F543="Retain",$H543&lt;&gt;"",ISNA(MATCH($H543,Tables!$B$174:$B$174,0))),
Error!$B$15,
IF(AND($E543="Street Tree for Green Factor",$F543="Retain",$H543&lt;&gt;"",$H543&lt;&gt;"Zoning: Green Factor"),
Error!$B$15,
IF(AND($E543="ECA / Shoreline Tree",$F543="Remove",$H543&lt;&gt;"",ISNA(MATCH($H543,Tables!$B$189:$B$190,0))),
Error!$B$15,
IF(AND($E543="ECA / Shoreline Tree",$F543="Retain",$H543&lt;&gt;"",ISNA(MATCH($H543,Tables!$B$184:$B$186,0))),
Error!$B$15,
IF(AND($E543="Tier 4",$F543="Remove",$H543&lt;&gt;"",ISNA(MATCH($H543,Tables!$B$171,0))),
Error!$B$15,
IF(AND($E543="Tier 4",$F543="Retain",$H543&lt;&gt;"",ISNA(MATCH($H543,Tables!$B$166:$B$168,0))),
Error!$B$15,
IF(AND($E543="Tier 3",$F543="Retain",$H543&lt;&gt;"",ISNA(MATCH($H543,Tables!$B$158:$B$160,0))),
Error!$B$15,
IF(AND($E543="Tier 3",$F543="Remove",$H543&lt;&gt;"",ISNA(MATCH($H543,Tables!$B$163,0))),
Error!$B$15,
IF(AND(OR($E543="Tier 2",$E543="Tier 2 Grove"),$F543="Remove",$H543&lt;&gt;"",ISNA(MATCH($H543,Tables!$B$153:$B$155,0))),
Error!$B$15,
IF(AND(OR($E543="Tier 2",$E543="Tier 2 Grove"),$F543="Retain",$H543&lt;&gt;"",ISNA(MATCH($H543,Tables!$B$147:$B$150,0))),
Error!$B$15,
IF(AND($E543="Tier 1",$F543="Remove",$H543&lt;&gt;"",ISNA(MATCH($H543,Tables!$B$143:$B$144,0))),
Error!$B$15,
IF(AND($E543="Tier 1",$F543="Retain",$H543&lt;&gt;"",ISNA(MATCH($H543,Tables!$B$137:$B$140,0))),
Error!$B$15,
IF(AND($E543&lt;&gt;"Tier 2",$E543&lt;&gt;"Tier 2 Grove",$E543&lt;&gt;"Tier 3",$E543&lt;&gt;"Tier 4",$H543="Zoning: Green Factor",OR($D543="",$D543&lt;6)),
Error!$B$11,
IF(AND(_xlpm.baseRow,$D543&lt;6,$E543="&lt;6in DSH for Tree Points",_xlpm.TreePoints_H=0),
Error!$B$21,
IF(AND(_xlpm.baseRow,$E543&lt;&gt;"",$D543&lt;&gt;"",$F543=""),
Error!$B$4,
IF(AND(_xlpm.baseRow,$F543="Remove",OR($E543="Tier 1",$E543="Tier 2",$E543="Tier 2 Grove"),COUNTBLANK(_xlpm.HRange)&lt;3,_xlpm.uniqueH&gt;=2),
Error!$B$48,
IF(AND(_xlpm.baseRow,$F543="Retain",OR($E543="Tier 1",$E543="Tier 2",$E543="Tier 2 Grove"),COUNTIF(_xlpm.HRange,"Tree Code: Required to Retain Tier 1-2 Tree")=0),
Error!$B$47,
IF(AND(_xlpm.baseRow,$E543&lt;&gt;"",$D543&lt;&gt;"",$F543&lt;&gt;"",COUNTBLANK(_xlpm.HRange)=4),
Error!$B$5,
IF(AND($F543="Remove",$H543&lt;&gt;"",$I543=""),
Error!$B$18,
IF(AND($E543="Tier 4",$F543="Remove",$H543="Tree Protection Code: Tier 3 or Tier 4 Allowance",$H543&lt;&gt;"",ISNA(MATCH($I543,Tables!$B$200,0))),
Error!$B$17,
IF(AND($E543="Tier 3",$F543="Remove",$H543&lt;&gt;"",$H543="Tree Protection Code: Tier 3 or Tier 4 Allowance",OR($I543="",ISNA(MATCH($I543,Tables!$B$193:$B$197,0)))),
Error!$B$17,
IF(AND(OR($E543="Tier 2",$E543="Tier 2 Grove"),$F543="Remove",$H543="Tree Protection Code: Other removal allowance or exemption",$I543&lt;&gt;"",ISNA(MATCH($I543,Tables!$B$215:$B$218,0))),
Error!$B$17,
IF(AND(OR($E543="Tier 2",$E543="Tier 2 Grove"),$F543="Remove",$H543="Tree Protection Code: Development Capacity",$I543&lt;&gt;"",ISNA(MATCH($I543,Tables!$B$193:$B$197,0))),
Error!$B$17,
IF(AND(OR($E543="Tier 2",$E543="Tier 2 Grove"),$F543="Remove",$H543="Tree Protection Code: Necessary for Construction",$I543&lt;&gt;"",ISNA(MATCH($I543,Tables!$B$193:$B$197,0))),
Error!$B$17,
IF(AND($E543="Tier 1",$F543="Remove",$H543="Tree Protection Code: Special Exception",$I543&lt;&gt;"",ISNA(MATCH($I543,Tables!$B$215:$B$218,0))),
Error!$B$17,
IF(AND($E543="Tier 1",$F543="Remove",$H543="Tree Protection Code: Other removal allowance or exemption",$I543&lt;&gt;"",ISNA(MATCH($I543,Tables!$B$215:$B$218,0))),
Error!$B$17,
IF(AND($E543="ECA / Shoreline Tree",$F543="Remove",$H543&lt;&gt;"",OR($H543="Shoreline",$H543="Environmental Critical Area (ECA)"),ISNA(MATCH($I543,Tables!$B$209:$B$212,0))),
Error!$B$17,
IF(AND(_xlpm.baseRow,$F543="Retain",$E543="ECA / Shoreline Tree",_xlpm.ECA_Short=0),
Error!$B$61,
IF(AND($F543="Remove",ISNUMBER(MATCH($E543,{"Tier 1","Tier 2","Tier 3","Tier 4","Tier 2 Grove"},0)),ISNUMBER(MATCH($I543,{"On-site replacement","Off-site replacement"},0)),$J543="",$H543&lt;&gt;""),
Error!$B$19,
IF(AND(_xlpm.baseRow,$E543&lt;&gt;"",$D543&lt;&gt;"",$F543&lt;&gt;"",COUNTBLANK($B543:$C543)&gt;0,COUNTBLANK(_xlpm.HRange)&lt;&gt;4),
Error!$B$22,
IF(AND($H543="Zoning: Tree Points",$K543&lt;&gt;"",ISNA(MATCH($K543,Tables!$B$242:$B$253,0))),
Error!$B$58,
IF(AND($H543="Zoning: Tree Points",$K543="Small",$L543&lt;&gt;"",ISNA(MATCH($L543,Tables!$C$243:$C$244,0))),
Error!$B$59,
IF(AND($H543="Zoning: Tree Points",$K543="Small/Medium",$L543&lt;&gt;"",ISNA(MATCH($L543,Tables!$C$246:$C$247,0))),
Error!$B$59,
IF(AND($H543="Zoning: Tree Points",$K543="Medium/Large",$L543&lt;&gt;"",ISNA(MATCH($L543,Tables!$C$249:$C$250,0))),
Error!$B$59,
IF(AND($H543="Zoning: Tree Points",$K543="Large",$L543&lt;&gt;"",ISNA(MATCH($L543,Tables!$C$252:$C$253,0))),
Error!$B$59,
IF(AND($F543="Retain",$H543="Zoning: Tree Points",$C543&lt;&gt;"",$D543&lt;&gt;"",OR($K543="",$L543="",$M543="")),
Error!$B$20,
""
)))))))))))))))))))))))))))))))))))))))))))))))))))))))),
Error!$B$23))</f>
        <v/>
      </c>
      <c r="O543" s="343" t="str" cm="1">
        <f t="array" aca="1" ref="O543" ca="1">IFERROR(_xlfn.LET(
    _xlpm.txt, $C543,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44" spans="1:15" x14ac:dyDescent="0.3">
      <c r="A544" s="320"/>
      <c r="B544" s="616" t="str">
        <f t="shared" ref="B544:B546" si="629">IF($B543="", "", $B543)</f>
        <v/>
      </c>
      <c r="C544" s="617" t="str">
        <f t="shared" ref="C544:C546" si="630">IF($C543="", "", $C543)</f>
        <v/>
      </c>
      <c r="D544" s="618" t="str">
        <f t="shared" ref="D544:D546" si="631">IF($D543="", "", $D543)</f>
        <v/>
      </c>
      <c r="E544" s="616" t="str">
        <f t="shared" ref="E544:E546" si="632">IF($E543="", "", $E543)</f>
        <v/>
      </c>
      <c r="F544" s="616" t="str">
        <f t="shared" ref="F544:F546" si="633">IF($F543="", "", $F543)</f>
        <v/>
      </c>
      <c r="G544" s="619" t="str">
        <f>IF(Tree_Table1[[#This Row],[Tree Status  &amp;]]="Retain", Tables!$B$237, IF(Tree_Table1[[#This Row],[Tree Status  &amp;]]="Remove", Tables!$B$238, ""))</f>
        <v/>
      </c>
      <c r="H544" s="321"/>
      <c r="I544" s="322"/>
      <c r="J544" s="453"/>
      <c r="K544" s="323" t="str">
        <f>IFERROR(
    IF(
        AND($H544="Zoning: Tree Points", NOT(ISNUMBER(SEARCH("sp.", $C544)))),
        VLOOKUP($C544, 'Tree List'!$C$3:$F$601, 4, FALSE),
        ""
    ),
"")</f>
        <v/>
      </c>
      <c r="L544" s="324" t="str" cm="1">
        <f t="array" ref="L544">IFERROR(
IF(
    AND($H544="Zoning: Tree Points", NOT(ISNUMBER(SEARCH("sp.", $C544)))),
    _xlfn.IFS(
        (COUNTIFS('Tree List'!$C$3:$C$601,$C544,'Tree List'!$D$3:$D$601,"Coniferous")
        + COUNTIFS('Tree List'!$C$3:$C$601,$C544,'Tree List'!$D$3:$D$601,"Deciduous Conifer")) &gt; 0,
            _xlfn.IFS($K544="Small",0.5,$K544="Small/Medium",1,$K544="Medium/Large",1.4,$K544="Large",1.8),
        (COUNTIFS('Tree List'!$C$3:$C$601,$C544,'Tree List'!$D$3:$D$601,"Deciduous")
        + COUNTIFS('Tree List'!$C$3:$C$601,$C544,'Tree List'!$D$3:$D$601,"Broadleaf Evergreen")) &gt; 0,
            _xlfn.IFS($K544="Small",0.4,$K544="Small/Medium",0.8,$K544="Medium/Large",1.2,$K544="Large",1.6)
    ),
    ""
),
"")</f>
        <v/>
      </c>
      <c r="M544" s="475" t="str">
        <f t="shared" si="573"/>
        <v/>
      </c>
      <c r="N544" s="346" t="str" cm="1">
        <f t="array" aca="1" ref="N54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IF(AND(_xlpm.baseRow,ISNA(MATCH($C544,'Tree List'!$C$3:$C$601,0)),SUMPRODUCT(--ISNUMBER(SEARCH(Tables2!$C$677:$C$772,$O544)))&gt;0),
Error!$B$57,
IF(AND(_xlpm.hasDM,$F544="Remove",$H544&lt;&gt;"",OR($I544="On-site replacement",$I544="Off-site replacement",$I544="Payment In Lieu")),
Error!$B$56,
IF(AND(_xlpm.hasDM,$F544="Remove",$H544&lt;&gt;"",$I544="Relocation"),
Error!$B$66,
IF(AND(OR(_xlpm.hasCN,_xlpm.hasPH,_xlpm.hasGR),$H544&lt;&gt;"",COUNTIF(Tables!$B$132:$B$134,$H544)&gt;0,$I544="N/A (No replacement required)"),
Error!$B$62,
IF(AND(_xlpm.baseRow,$E544&lt;&gt;"",ISNA(MATCH($E544,Tables!$B$225:$B$232,0))),
Error!$B$2,
IF(AND(_xlpm.baseRow,$F544&lt;&gt;"",ISNA(MATCH($F544,Tables!$B$234:$B$235,0))),
Error!$B$24,
IF(AND(_xlpm.baseRow,_xlpm.ECA_H&gt;0,_xlpm.Shore_H&gt;0),
Error!$B$16,
IF(AND(_xlpm.baseRow,$E544&lt;&gt;"",$D544=""),
Error!$B$3,
IF(AND(_xlpm.baseRow,OR($E544="Tier 3",$E544="Tier 4"),$C544&lt;&gt;"",$D544&gt;=24,COUNTIF(Tables2!$B$166:$B$674,$C544)&gt;0),
Error!$B$44,
IF(AND(_xlpm.baseRow,OR($E544="Tier 3",$E544="Tier 4"),$C544&lt;&gt;"",$D544&lt;&gt;"",COUNTIF(Tables2!$B$73:$B$152,$C544)&gt;0,
$D544&gt;=IFERROR(INDEX(Tables2!$C$73:$C$152,MATCH($C544,Tables2!$B$73:$B$152,0)),-1)),
Error!$B$44,
IF(AND(_xlpm.baseRow,OR($E544="Tier 2",$E544="Tier 2 Grove"),$C544&lt;&gt;"",$D544&gt;=12,COUNTIF(Tables2!$B$153:$B$162,$C544)&gt;0),
Error!$B$45,
IF(AND(_xlpm.baseRow,$E544="Tier 2 Grove",$D544&lt;12),
Error!$B$41,
IF(AND(_xlpm.baseRow,$E544="Tier 2",$D544&lt;5.88),
Error!$B$40,
IF(AND(_xlpm.baseRow,OR($E544="Tier 2",$E544="Tier 2 Grove"),$C544&lt;&gt;"",$D544&lt;12,$D544&gt;=6,COUNTIF(Tables2!$B$153:$B$162,$C544)&gt;0),
Error!$B$54,
IF(AND(_xlpm.baseRow,$E544="Tier 2",COUNTIF(Tables2!$B$166:$B$674,$C544)&gt;0,$D544&lt;24),
Error!$B$54,
IF(AND(_xlpm.baseRow,$E544="Tier 3",ISNA(MATCH($C544,Tables2!$B$153:$B$162,0)),OR($D544&lt;12,$D544&gt;=24)),
Error!$B$9,
IF(AND(_xlpm.baseRow,$E544="Tier 3",COUNTIF(Tables2!$B$153:$B$162,$C544)&gt;0,$D544&lt;12),
Error!$B$46,
IF(AND(_xlpm.baseRow,$E544="Tier 4",OR($D544&lt;6,$D544&gt;=12)),
Error!$B$10,
IF(AND(_xlpm.baseRow,$E544="&lt;6in DSH for Tree Points",OR($D544&gt;=6,$D544="")),
Error!$B$8,
IF(AND(_xlpm.baseRow,$E544="Street Tree for Green Factor",$F544&lt;&gt;"",$F544&lt;&gt;"Retain"),
Error!$B$14,
IF(AND($E544="&lt;6in DSH for Tree Points",$F544="Retain",$H544&lt;&gt;"",ISNA(MATCH($H544,Tables!$B$174:$B$174,0))),
Error!$B$15,
IF(AND($E544="Street Tree for Green Factor",$F544="Retain",$H544&lt;&gt;"",$H544&lt;&gt;"Zoning: Green Factor"),
Error!$B$15,
IF(AND($E544="ECA / Shoreline Tree",$F544="Remove",$H544&lt;&gt;"",ISNA(MATCH($H544,Tables!$B$189:$B$190,0))),
Error!$B$15,
IF(AND($E544="ECA / Shoreline Tree",$F544="Retain",$H544&lt;&gt;"",ISNA(MATCH($H544,Tables!$B$184:$B$186,0))),
Error!$B$15,
IF(AND($E544="Tier 4",$F544="Remove",$H544&lt;&gt;"",ISNA(MATCH($H544,Tables!$B$171,0))),
Error!$B$15,
IF(AND($E544="Tier 4",$F544="Retain",$H544&lt;&gt;"",ISNA(MATCH($H544,Tables!$B$166:$B$168,0))),
Error!$B$15,
IF(AND($E544="Tier 3",$F544="Retain",$H544&lt;&gt;"",ISNA(MATCH($H544,Tables!$B$158:$B$160,0))),
Error!$B$15,
IF(AND($E544="Tier 3",$F544="Remove",$H544&lt;&gt;"",ISNA(MATCH($H544,Tables!$B$163,0))),
Error!$B$15,
IF(AND(OR($E544="Tier 2",$E544="Tier 2 Grove"),$F544="Remove",$H544&lt;&gt;"",ISNA(MATCH($H544,Tables!$B$153:$B$155,0))),
Error!$B$15,
IF(AND(OR($E544="Tier 2",$E544="Tier 2 Grove"),$F544="Retain",$H544&lt;&gt;"",ISNA(MATCH($H544,Tables!$B$147:$B$150,0))),
Error!$B$15,
IF(AND($E544="Tier 1",$F544="Remove",$H544&lt;&gt;"",ISNA(MATCH($H544,Tables!$B$143:$B$144,0))),
Error!$B$15,
IF(AND($E544="Tier 1",$F544="Retain",$H544&lt;&gt;"",ISNA(MATCH($H544,Tables!$B$137:$B$140,0))),
Error!$B$15,
IF(AND($E544&lt;&gt;"Tier 2",$E544&lt;&gt;"Tier 2 Grove",$E544&lt;&gt;"Tier 3",$E544&lt;&gt;"Tier 4",$H544="Zoning: Green Factor",OR($D544="",$D544&lt;6)),
Error!$B$11,
IF(AND(_xlpm.baseRow,$D544&lt;6,$E544="&lt;6in DSH for Tree Points",_xlpm.TreePoints_H=0),
Error!$B$21,
IF(AND(_xlpm.baseRow,$E544&lt;&gt;"",$D544&lt;&gt;"",$F544=""),
Error!$B$4,
IF(AND(_xlpm.baseRow,$F544="Remove",OR($E544="Tier 1",$E544="Tier 2",$E544="Tier 2 Grove"),COUNTBLANK(_xlpm.HRange)&lt;3,_xlpm.uniqueH&gt;=2),
Error!$B$48,
IF(AND(_xlpm.baseRow,$F544="Retain",OR($E544="Tier 1",$E544="Tier 2",$E544="Tier 2 Grove"),COUNTIF(_xlpm.HRange,"Tree Code: Required to Retain Tier 1-2 Tree")=0),
Error!$B$47,
IF(AND(_xlpm.baseRow,$E544&lt;&gt;"",$D544&lt;&gt;"",$F544&lt;&gt;"",COUNTBLANK(_xlpm.HRange)=4),
Error!$B$5,
IF(AND($F544="Remove",$H544&lt;&gt;"",$I544=""),
Error!$B$18,
IF(AND($E544="Tier 4",$F544="Remove",$H544="Tree Protection Code: Tier 3 or Tier 4 Allowance",$H544&lt;&gt;"",ISNA(MATCH($I544,Tables!$B$200,0))),
Error!$B$17,
IF(AND($E544="Tier 3",$F544="Remove",$H544&lt;&gt;"",$H544="Tree Protection Code: Tier 3 or Tier 4 Allowance",OR($I544="",ISNA(MATCH($I544,Tables!$B$193:$B$197,0)))),
Error!$B$17,
IF(AND(OR($E544="Tier 2",$E544="Tier 2 Grove"),$F544="Remove",$H544="Tree Protection Code: Other removal allowance or exemption",$I544&lt;&gt;"",ISNA(MATCH($I544,Tables!$B$215:$B$218,0))),
Error!$B$17,
IF(AND(OR($E544="Tier 2",$E544="Tier 2 Grove"),$F544="Remove",$H544="Tree Protection Code: Development Capacity",$I544&lt;&gt;"",ISNA(MATCH($I544,Tables!$B$193:$B$197,0))),
Error!$B$17,
IF(AND(OR($E544="Tier 2",$E544="Tier 2 Grove"),$F544="Remove",$H544="Tree Protection Code: Necessary for Construction",$I544&lt;&gt;"",ISNA(MATCH($I544,Tables!$B$193:$B$197,0))),
Error!$B$17,
IF(AND($E544="Tier 1",$F544="Remove",$H544="Tree Protection Code: Special Exception",$I544&lt;&gt;"",ISNA(MATCH($I544,Tables!$B$215:$B$218,0))),
Error!$B$17,
IF(AND($E544="Tier 1",$F544="Remove",$H544="Tree Protection Code: Other removal allowance or exemption",$I544&lt;&gt;"",ISNA(MATCH($I544,Tables!$B$215:$B$218,0))),
Error!$B$17,
IF(AND($E544="ECA / Shoreline Tree",$F544="Remove",$H544&lt;&gt;"",OR($H544="Shoreline",$H544="Environmental Critical Area (ECA)"),ISNA(MATCH($I544,Tables!$B$209:$B$212,0))),
Error!$B$17,
IF(AND(_xlpm.baseRow,$F544="Retain",$E544="ECA / Shoreline Tree",_xlpm.ECA_Short=0),
Error!$B$61,
IF(AND($F544="Remove",ISNUMBER(MATCH($E544,{"Tier 1","Tier 2","Tier 3","Tier 4","Tier 2 Grove"},0)),ISNUMBER(MATCH($I544,{"On-site replacement","Off-site replacement"},0)),$J544="",$H544&lt;&gt;""),
Error!$B$19,
IF(AND(_xlpm.baseRow,$E544&lt;&gt;"",$D544&lt;&gt;"",$F544&lt;&gt;"",COUNTBLANK($B544:$C544)&gt;0,COUNTBLANK(_xlpm.HRange)&lt;&gt;4),
Error!$B$22,
IF(AND($H544="Zoning: Tree Points",$K544&lt;&gt;"",ISNA(MATCH($K544,Tables!$B$242:$B$253,0))),
Error!$B$58,
IF(AND($H544="Zoning: Tree Points",$K544="Small",$L544&lt;&gt;"",ISNA(MATCH($L544,Tables!$C$243:$C$244,0))),
Error!$B$59,
IF(AND($H544="Zoning: Tree Points",$K544="Small/Medium",$L544&lt;&gt;"",ISNA(MATCH($L544,Tables!$C$246:$C$247,0))),
Error!$B$59,
IF(AND($H544="Zoning: Tree Points",$K544="Medium/Large",$L544&lt;&gt;"",ISNA(MATCH($L544,Tables!$C$249:$C$250,0))),
Error!$B$59,
IF(AND($H544="Zoning: Tree Points",$K544="Large",$L544&lt;&gt;"",ISNA(MATCH($L544,Tables!$C$252:$C$253,0))),
Error!$B$59,
IF(AND($F544="Retain",$H544="Zoning: Tree Points",$C544&lt;&gt;"",$D544&lt;&gt;"",OR($K544="",$L544="",$M544="")),
Error!$B$20,
""
)))))))))))))))))))))))))))))))))))))))))))))))))))))))),
Error!$B$23))</f>
        <v/>
      </c>
      <c r="O544" s="343" t="str" cm="1">
        <f t="array" aca="1" ref="O544" ca="1">IFERROR(_xlfn.LET(
    _xlpm.txt, $C544,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45" spans="1:15" x14ac:dyDescent="0.3">
      <c r="A545" s="320"/>
      <c r="B545" s="616" t="str">
        <f t="shared" si="629"/>
        <v/>
      </c>
      <c r="C545" s="617" t="str">
        <f t="shared" si="630"/>
        <v/>
      </c>
      <c r="D545" s="618" t="str">
        <f t="shared" si="631"/>
        <v/>
      </c>
      <c r="E545" s="616" t="str">
        <f t="shared" si="632"/>
        <v/>
      </c>
      <c r="F545" s="616" t="str">
        <f t="shared" si="633"/>
        <v/>
      </c>
      <c r="G545" s="619" t="str">
        <f>IF(Tree_Table1[[#This Row],[Tree Status  &amp;]]="Retain", Tables!$B$237, IF(Tree_Table1[[#This Row],[Tree Status  &amp;]]="Remove", Tables!$B$238, ""))</f>
        <v/>
      </c>
      <c r="H545" s="321"/>
      <c r="I545" s="322"/>
      <c r="J545" s="453"/>
      <c r="K545" s="323" t="str">
        <f>IFERROR(
    IF(
        AND($H545="Zoning: Tree Points", NOT(ISNUMBER(SEARCH("sp.", $C545)))),
        VLOOKUP($C545, 'Tree List'!$C$3:$F$601, 4, FALSE),
        ""
    ),
"")</f>
        <v/>
      </c>
      <c r="L545" s="324" t="str" cm="1">
        <f t="array" ref="L545">IFERROR(
IF(
    AND($H545="Zoning: Tree Points", NOT(ISNUMBER(SEARCH("sp.", $C545)))),
    _xlfn.IFS(
        (COUNTIFS('Tree List'!$C$3:$C$601,$C545,'Tree List'!$D$3:$D$601,"Coniferous")
        + COUNTIFS('Tree List'!$C$3:$C$601,$C545,'Tree List'!$D$3:$D$601,"Deciduous Conifer")) &gt; 0,
            _xlfn.IFS($K545="Small",0.5,$K545="Small/Medium",1,$K545="Medium/Large",1.4,$K545="Large",1.8),
        (COUNTIFS('Tree List'!$C$3:$C$601,$C545,'Tree List'!$D$3:$D$601,"Deciduous")
        + COUNTIFS('Tree List'!$C$3:$C$601,$C545,'Tree List'!$D$3:$D$601,"Broadleaf Evergreen")) &gt; 0,
            _xlfn.IFS($K545="Small",0.4,$K545="Small/Medium",0.8,$K545="Medium/Large",1.2,$K545="Large",1.6)
    ),
    ""
),
"")</f>
        <v/>
      </c>
      <c r="M545" s="475" t="str">
        <f t="shared" si="573"/>
        <v/>
      </c>
      <c r="N545" s="346" t="str" cm="1">
        <f t="array" aca="1" ref="N54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IF(AND(_xlpm.baseRow,ISNA(MATCH($C545,'Tree List'!$C$3:$C$601,0)),SUMPRODUCT(--ISNUMBER(SEARCH(Tables2!$C$677:$C$772,$O545)))&gt;0),
Error!$B$57,
IF(AND(_xlpm.hasDM,$F545="Remove",$H545&lt;&gt;"",OR($I545="On-site replacement",$I545="Off-site replacement",$I545="Payment In Lieu")),
Error!$B$56,
IF(AND(_xlpm.hasDM,$F545="Remove",$H545&lt;&gt;"",$I545="Relocation"),
Error!$B$66,
IF(AND(OR(_xlpm.hasCN,_xlpm.hasPH,_xlpm.hasGR),$H545&lt;&gt;"",COUNTIF(Tables!$B$132:$B$134,$H545)&gt;0,$I545="N/A (No replacement required)"),
Error!$B$62,
IF(AND(_xlpm.baseRow,$E545&lt;&gt;"",ISNA(MATCH($E545,Tables!$B$225:$B$232,0))),
Error!$B$2,
IF(AND(_xlpm.baseRow,$F545&lt;&gt;"",ISNA(MATCH($F545,Tables!$B$234:$B$235,0))),
Error!$B$24,
IF(AND(_xlpm.baseRow,_xlpm.ECA_H&gt;0,_xlpm.Shore_H&gt;0),
Error!$B$16,
IF(AND(_xlpm.baseRow,$E545&lt;&gt;"",$D545=""),
Error!$B$3,
IF(AND(_xlpm.baseRow,OR($E545="Tier 3",$E545="Tier 4"),$C545&lt;&gt;"",$D545&gt;=24,COUNTIF(Tables2!$B$166:$B$674,$C545)&gt;0),
Error!$B$44,
IF(AND(_xlpm.baseRow,OR($E545="Tier 3",$E545="Tier 4"),$C545&lt;&gt;"",$D545&lt;&gt;"",COUNTIF(Tables2!$B$73:$B$152,$C545)&gt;0,
$D545&gt;=IFERROR(INDEX(Tables2!$C$73:$C$152,MATCH($C545,Tables2!$B$73:$B$152,0)),-1)),
Error!$B$44,
IF(AND(_xlpm.baseRow,OR($E545="Tier 2",$E545="Tier 2 Grove"),$C545&lt;&gt;"",$D545&gt;=12,COUNTIF(Tables2!$B$153:$B$162,$C545)&gt;0),
Error!$B$45,
IF(AND(_xlpm.baseRow,$E545="Tier 2 Grove",$D545&lt;12),
Error!$B$41,
IF(AND(_xlpm.baseRow,$E545="Tier 2",$D545&lt;5.88),
Error!$B$40,
IF(AND(_xlpm.baseRow,OR($E545="Tier 2",$E545="Tier 2 Grove"),$C545&lt;&gt;"",$D545&lt;12,$D545&gt;=6,COUNTIF(Tables2!$B$153:$B$162,$C545)&gt;0),
Error!$B$54,
IF(AND(_xlpm.baseRow,$E545="Tier 2",COUNTIF(Tables2!$B$166:$B$674,$C545)&gt;0,$D545&lt;24),
Error!$B$54,
IF(AND(_xlpm.baseRow,$E545="Tier 3",ISNA(MATCH($C545,Tables2!$B$153:$B$162,0)),OR($D545&lt;12,$D545&gt;=24)),
Error!$B$9,
IF(AND(_xlpm.baseRow,$E545="Tier 3",COUNTIF(Tables2!$B$153:$B$162,$C545)&gt;0,$D545&lt;12),
Error!$B$46,
IF(AND(_xlpm.baseRow,$E545="Tier 4",OR($D545&lt;6,$D545&gt;=12)),
Error!$B$10,
IF(AND(_xlpm.baseRow,$E545="&lt;6in DSH for Tree Points",OR($D545&gt;=6,$D545="")),
Error!$B$8,
IF(AND(_xlpm.baseRow,$E545="Street Tree for Green Factor",$F545&lt;&gt;"",$F545&lt;&gt;"Retain"),
Error!$B$14,
IF(AND($E545="&lt;6in DSH for Tree Points",$F545="Retain",$H545&lt;&gt;"",ISNA(MATCH($H545,Tables!$B$174:$B$174,0))),
Error!$B$15,
IF(AND($E545="Street Tree for Green Factor",$F545="Retain",$H545&lt;&gt;"",$H545&lt;&gt;"Zoning: Green Factor"),
Error!$B$15,
IF(AND($E545="ECA / Shoreline Tree",$F545="Remove",$H545&lt;&gt;"",ISNA(MATCH($H545,Tables!$B$189:$B$190,0))),
Error!$B$15,
IF(AND($E545="ECA / Shoreline Tree",$F545="Retain",$H545&lt;&gt;"",ISNA(MATCH($H545,Tables!$B$184:$B$186,0))),
Error!$B$15,
IF(AND($E545="Tier 4",$F545="Remove",$H545&lt;&gt;"",ISNA(MATCH($H545,Tables!$B$171,0))),
Error!$B$15,
IF(AND($E545="Tier 4",$F545="Retain",$H545&lt;&gt;"",ISNA(MATCH($H545,Tables!$B$166:$B$168,0))),
Error!$B$15,
IF(AND($E545="Tier 3",$F545="Retain",$H545&lt;&gt;"",ISNA(MATCH($H545,Tables!$B$158:$B$160,0))),
Error!$B$15,
IF(AND($E545="Tier 3",$F545="Remove",$H545&lt;&gt;"",ISNA(MATCH($H545,Tables!$B$163,0))),
Error!$B$15,
IF(AND(OR($E545="Tier 2",$E545="Tier 2 Grove"),$F545="Remove",$H545&lt;&gt;"",ISNA(MATCH($H545,Tables!$B$153:$B$155,0))),
Error!$B$15,
IF(AND(OR($E545="Tier 2",$E545="Tier 2 Grove"),$F545="Retain",$H545&lt;&gt;"",ISNA(MATCH($H545,Tables!$B$147:$B$150,0))),
Error!$B$15,
IF(AND($E545="Tier 1",$F545="Remove",$H545&lt;&gt;"",ISNA(MATCH($H545,Tables!$B$143:$B$144,0))),
Error!$B$15,
IF(AND($E545="Tier 1",$F545="Retain",$H545&lt;&gt;"",ISNA(MATCH($H545,Tables!$B$137:$B$140,0))),
Error!$B$15,
IF(AND($E545&lt;&gt;"Tier 2",$E545&lt;&gt;"Tier 2 Grove",$E545&lt;&gt;"Tier 3",$E545&lt;&gt;"Tier 4",$H545="Zoning: Green Factor",OR($D545="",$D545&lt;6)),
Error!$B$11,
IF(AND(_xlpm.baseRow,$D545&lt;6,$E545="&lt;6in DSH for Tree Points",_xlpm.TreePoints_H=0),
Error!$B$21,
IF(AND(_xlpm.baseRow,$E545&lt;&gt;"",$D545&lt;&gt;"",$F545=""),
Error!$B$4,
IF(AND(_xlpm.baseRow,$F545="Remove",OR($E545="Tier 1",$E545="Tier 2",$E545="Tier 2 Grove"),COUNTBLANK(_xlpm.HRange)&lt;3,_xlpm.uniqueH&gt;=2),
Error!$B$48,
IF(AND(_xlpm.baseRow,$F545="Retain",OR($E545="Tier 1",$E545="Tier 2",$E545="Tier 2 Grove"),COUNTIF(_xlpm.HRange,"Tree Code: Required to Retain Tier 1-2 Tree")=0),
Error!$B$47,
IF(AND(_xlpm.baseRow,$E545&lt;&gt;"",$D545&lt;&gt;"",$F545&lt;&gt;"",COUNTBLANK(_xlpm.HRange)=4),
Error!$B$5,
IF(AND($F545="Remove",$H545&lt;&gt;"",$I545=""),
Error!$B$18,
IF(AND($E545="Tier 4",$F545="Remove",$H545="Tree Protection Code: Tier 3 or Tier 4 Allowance",$H545&lt;&gt;"",ISNA(MATCH($I545,Tables!$B$200,0))),
Error!$B$17,
IF(AND($E545="Tier 3",$F545="Remove",$H545&lt;&gt;"",$H545="Tree Protection Code: Tier 3 or Tier 4 Allowance",OR($I545="",ISNA(MATCH($I545,Tables!$B$193:$B$197,0)))),
Error!$B$17,
IF(AND(OR($E545="Tier 2",$E545="Tier 2 Grove"),$F545="Remove",$H545="Tree Protection Code: Other removal allowance or exemption",$I545&lt;&gt;"",ISNA(MATCH($I545,Tables!$B$215:$B$218,0))),
Error!$B$17,
IF(AND(OR($E545="Tier 2",$E545="Tier 2 Grove"),$F545="Remove",$H545="Tree Protection Code: Development Capacity",$I545&lt;&gt;"",ISNA(MATCH($I545,Tables!$B$193:$B$197,0))),
Error!$B$17,
IF(AND(OR($E545="Tier 2",$E545="Tier 2 Grove"),$F545="Remove",$H545="Tree Protection Code: Necessary for Construction",$I545&lt;&gt;"",ISNA(MATCH($I545,Tables!$B$193:$B$197,0))),
Error!$B$17,
IF(AND($E545="Tier 1",$F545="Remove",$H545="Tree Protection Code: Special Exception",$I545&lt;&gt;"",ISNA(MATCH($I545,Tables!$B$215:$B$218,0))),
Error!$B$17,
IF(AND($E545="Tier 1",$F545="Remove",$H545="Tree Protection Code: Other removal allowance or exemption",$I545&lt;&gt;"",ISNA(MATCH($I545,Tables!$B$215:$B$218,0))),
Error!$B$17,
IF(AND($E545="ECA / Shoreline Tree",$F545="Remove",$H545&lt;&gt;"",OR($H545="Shoreline",$H545="Environmental Critical Area (ECA)"),ISNA(MATCH($I545,Tables!$B$209:$B$212,0))),
Error!$B$17,
IF(AND(_xlpm.baseRow,$F545="Retain",$E545="ECA / Shoreline Tree",_xlpm.ECA_Short=0),
Error!$B$61,
IF(AND($F545="Remove",ISNUMBER(MATCH($E545,{"Tier 1","Tier 2","Tier 3","Tier 4","Tier 2 Grove"},0)),ISNUMBER(MATCH($I545,{"On-site replacement","Off-site replacement"},0)),$J545="",$H545&lt;&gt;""),
Error!$B$19,
IF(AND(_xlpm.baseRow,$E545&lt;&gt;"",$D545&lt;&gt;"",$F545&lt;&gt;"",COUNTBLANK($B545:$C545)&gt;0,COUNTBLANK(_xlpm.HRange)&lt;&gt;4),
Error!$B$22,
IF(AND($H545="Zoning: Tree Points",$K545&lt;&gt;"",ISNA(MATCH($K545,Tables!$B$242:$B$253,0))),
Error!$B$58,
IF(AND($H545="Zoning: Tree Points",$K545="Small",$L545&lt;&gt;"",ISNA(MATCH($L545,Tables!$C$243:$C$244,0))),
Error!$B$59,
IF(AND($H545="Zoning: Tree Points",$K545="Small/Medium",$L545&lt;&gt;"",ISNA(MATCH($L545,Tables!$C$246:$C$247,0))),
Error!$B$59,
IF(AND($H545="Zoning: Tree Points",$K545="Medium/Large",$L545&lt;&gt;"",ISNA(MATCH($L545,Tables!$C$249:$C$250,0))),
Error!$B$59,
IF(AND($H545="Zoning: Tree Points",$K545="Large",$L545&lt;&gt;"",ISNA(MATCH($L545,Tables!$C$252:$C$253,0))),
Error!$B$59,
IF(AND($F545="Retain",$H545="Zoning: Tree Points",$C545&lt;&gt;"",$D545&lt;&gt;"",OR($K545="",$L545="",$M545="")),
Error!$B$20,
""
)))))))))))))))))))))))))))))))))))))))))))))))))))))))),
Error!$B$23))</f>
        <v/>
      </c>
      <c r="O545" s="343" t="str" cm="1">
        <f t="array" aca="1" ref="O545" ca="1">IFERROR(_xlfn.LET(
    _xlpm.txt, $C545,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46" spans="1:15" ht="15" thickBot="1" x14ac:dyDescent="0.35">
      <c r="A546" s="331"/>
      <c r="B546" s="616" t="str">
        <f t="shared" si="629"/>
        <v/>
      </c>
      <c r="C546" s="617" t="str">
        <f t="shared" si="630"/>
        <v/>
      </c>
      <c r="D546" s="618" t="str">
        <f t="shared" si="631"/>
        <v/>
      </c>
      <c r="E546" s="616" t="str">
        <f t="shared" si="632"/>
        <v/>
      </c>
      <c r="F546" s="616" t="str">
        <f t="shared" si="633"/>
        <v/>
      </c>
      <c r="G546" s="619" t="str">
        <f>IF(Tree_Table1[[#This Row],[Tree Status  &amp;]]="Retain", Tables!$B$237, IF(Tree_Table1[[#This Row],[Tree Status  &amp;]]="Remove", Tables!$B$238, ""))</f>
        <v/>
      </c>
      <c r="H546" s="329"/>
      <c r="I546" s="330"/>
      <c r="J546" s="455"/>
      <c r="K546" s="327" t="str">
        <f>IFERROR(
    IF(
        AND($H546="Zoning: Tree Points", NOT(ISNUMBER(SEARCH("sp.", $C546)))),
        VLOOKUP($C546, 'Tree List'!$C$3:$F$601, 4, FALSE),
        ""
    ),
"")</f>
        <v/>
      </c>
      <c r="L546" s="328" t="str" cm="1">
        <f t="array" ref="L546">IFERROR(
IF(
    AND($H546="Zoning: Tree Points", NOT(ISNUMBER(SEARCH("sp.", $C546)))),
    _xlfn.IFS(
        (COUNTIFS('Tree List'!$C$3:$C$601,$C546,'Tree List'!$D$3:$D$601,"Coniferous")
        + COUNTIFS('Tree List'!$C$3:$C$601,$C546,'Tree List'!$D$3:$D$601,"Deciduous Conifer")) &gt; 0,
            _xlfn.IFS($K546="Small",0.5,$K546="Small/Medium",1,$K546="Medium/Large",1.4,$K546="Large",1.8),
        (COUNTIFS('Tree List'!$C$3:$C$601,$C546,'Tree List'!$D$3:$D$601,"Deciduous")
        + COUNTIFS('Tree List'!$C$3:$C$601,$C546,'Tree List'!$D$3:$D$601,"Broadleaf Evergreen")) &gt; 0,
            _xlfn.IFS($K546="Small",0.4,$K546="Small/Medium",0.8,$K546="Medium/Large",1.2,$K546="Large",1.6)
    ),
    ""
),
"")</f>
        <v/>
      </c>
      <c r="M546" s="476" t="str">
        <f t="shared" si="573"/>
        <v/>
      </c>
      <c r="N546" s="347" t="str" cm="1">
        <f t="array" aca="1" ref="N54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IF(AND(_xlpm.baseRow,ISNA(MATCH($C546,'Tree List'!$C$3:$C$601,0)),SUMPRODUCT(--ISNUMBER(SEARCH(Tables2!$C$677:$C$772,$O546)))&gt;0),
Error!$B$57,
IF(AND(_xlpm.hasDM,$F546="Remove",$H546&lt;&gt;"",OR($I546="On-site replacement",$I546="Off-site replacement",$I546="Payment In Lieu")),
Error!$B$56,
IF(AND(_xlpm.hasDM,$F546="Remove",$H546&lt;&gt;"",$I546="Relocation"),
Error!$B$66,
IF(AND(OR(_xlpm.hasCN,_xlpm.hasPH,_xlpm.hasGR),$H546&lt;&gt;"",COUNTIF(Tables!$B$132:$B$134,$H546)&gt;0,$I546="N/A (No replacement required)"),
Error!$B$62,
IF(AND(_xlpm.baseRow,$E546&lt;&gt;"",ISNA(MATCH($E546,Tables!$B$225:$B$232,0))),
Error!$B$2,
IF(AND(_xlpm.baseRow,$F546&lt;&gt;"",ISNA(MATCH($F546,Tables!$B$234:$B$235,0))),
Error!$B$24,
IF(AND(_xlpm.baseRow,_xlpm.ECA_H&gt;0,_xlpm.Shore_H&gt;0),
Error!$B$16,
IF(AND(_xlpm.baseRow,$E546&lt;&gt;"",$D546=""),
Error!$B$3,
IF(AND(_xlpm.baseRow,OR($E546="Tier 3",$E546="Tier 4"),$C546&lt;&gt;"",$D546&gt;=24,COUNTIF(Tables2!$B$166:$B$674,$C546)&gt;0),
Error!$B$44,
IF(AND(_xlpm.baseRow,OR($E546="Tier 3",$E546="Tier 4"),$C546&lt;&gt;"",$D546&lt;&gt;"",COUNTIF(Tables2!$B$73:$B$152,$C546)&gt;0,
$D546&gt;=IFERROR(INDEX(Tables2!$C$73:$C$152,MATCH($C546,Tables2!$B$73:$B$152,0)),-1)),
Error!$B$44,
IF(AND(_xlpm.baseRow,OR($E546="Tier 2",$E546="Tier 2 Grove"),$C546&lt;&gt;"",$D546&gt;=12,COUNTIF(Tables2!$B$153:$B$162,$C546)&gt;0),
Error!$B$45,
IF(AND(_xlpm.baseRow,$E546="Tier 2 Grove",$D546&lt;12),
Error!$B$41,
IF(AND(_xlpm.baseRow,$E546="Tier 2",$D546&lt;5.88),
Error!$B$40,
IF(AND(_xlpm.baseRow,OR($E546="Tier 2",$E546="Tier 2 Grove"),$C546&lt;&gt;"",$D546&lt;12,$D546&gt;=6,COUNTIF(Tables2!$B$153:$B$162,$C546)&gt;0),
Error!$B$54,
IF(AND(_xlpm.baseRow,$E546="Tier 2",COUNTIF(Tables2!$B$166:$B$674,$C546)&gt;0,$D546&lt;24),
Error!$B$54,
IF(AND(_xlpm.baseRow,$E546="Tier 3",ISNA(MATCH($C546,Tables2!$B$153:$B$162,0)),OR($D546&lt;12,$D546&gt;=24)),
Error!$B$9,
IF(AND(_xlpm.baseRow,$E546="Tier 3",COUNTIF(Tables2!$B$153:$B$162,$C546)&gt;0,$D546&lt;12),
Error!$B$46,
IF(AND(_xlpm.baseRow,$E546="Tier 4",OR($D546&lt;6,$D546&gt;=12)),
Error!$B$10,
IF(AND(_xlpm.baseRow,$E546="&lt;6in DSH for Tree Points",OR($D546&gt;=6,$D546="")),
Error!$B$8,
IF(AND(_xlpm.baseRow,$E546="Street Tree for Green Factor",$F546&lt;&gt;"",$F546&lt;&gt;"Retain"),
Error!$B$14,
IF(AND($E546="&lt;6in DSH for Tree Points",$F546="Retain",$H546&lt;&gt;"",ISNA(MATCH($H546,Tables!$B$174:$B$174,0))),
Error!$B$15,
IF(AND($E546="Street Tree for Green Factor",$F546="Retain",$H546&lt;&gt;"",$H546&lt;&gt;"Zoning: Green Factor"),
Error!$B$15,
IF(AND($E546="ECA / Shoreline Tree",$F546="Remove",$H546&lt;&gt;"",ISNA(MATCH($H546,Tables!$B$189:$B$190,0))),
Error!$B$15,
IF(AND($E546="ECA / Shoreline Tree",$F546="Retain",$H546&lt;&gt;"",ISNA(MATCH($H546,Tables!$B$184:$B$186,0))),
Error!$B$15,
IF(AND($E546="Tier 4",$F546="Remove",$H546&lt;&gt;"",ISNA(MATCH($H546,Tables!$B$171,0))),
Error!$B$15,
IF(AND($E546="Tier 4",$F546="Retain",$H546&lt;&gt;"",ISNA(MATCH($H546,Tables!$B$166:$B$168,0))),
Error!$B$15,
IF(AND($E546="Tier 3",$F546="Retain",$H546&lt;&gt;"",ISNA(MATCH($H546,Tables!$B$158:$B$160,0))),
Error!$B$15,
IF(AND($E546="Tier 3",$F546="Remove",$H546&lt;&gt;"",ISNA(MATCH($H546,Tables!$B$163,0))),
Error!$B$15,
IF(AND(OR($E546="Tier 2",$E546="Tier 2 Grove"),$F546="Remove",$H546&lt;&gt;"",ISNA(MATCH($H546,Tables!$B$153:$B$155,0))),
Error!$B$15,
IF(AND(OR($E546="Tier 2",$E546="Tier 2 Grove"),$F546="Retain",$H546&lt;&gt;"",ISNA(MATCH($H546,Tables!$B$147:$B$150,0))),
Error!$B$15,
IF(AND($E546="Tier 1",$F546="Remove",$H546&lt;&gt;"",ISNA(MATCH($H546,Tables!$B$143:$B$144,0))),
Error!$B$15,
IF(AND($E546="Tier 1",$F546="Retain",$H546&lt;&gt;"",ISNA(MATCH($H546,Tables!$B$137:$B$140,0))),
Error!$B$15,
IF(AND($E546&lt;&gt;"Tier 2",$E546&lt;&gt;"Tier 2 Grove",$E546&lt;&gt;"Tier 3",$E546&lt;&gt;"Tier 4",$H546="Zoning: Green Factor",OR($D546="",$D546&lt;6)),
Error!$B$11,
IF(AND(_xlpm.baseRow,$D546&lt;6,$E546="&lt;6in DSH for Tree Points",_xlpm.TreePoints_H=0),
Error!$B$21,
IF(AND(_xlpm.baseRow,$E546&lt;&gt;"",$D546&lt;&gt;"",$F546=""),
Error!$B$4,
IF(AND(_xlpm.baseRow,$F546="Remove",OR($E546="Tier 1",$E546="Tier 2",$E546="Tier 2 Grove"),COUNTBLANK(_xlpm.HRange)&lt;3,_xlpm.uniqueH&gt;=2),
Error!$B$48,
IF(AND(_xlpm.baseRow,$F546="Retain",OR($E546="Tier 1",$E546="Tier 2",$E546="Tier 2 Grove"),COUNTIF(_xlpm.HRange,"Tree Code: Required to Retain Tier 1-2 Tree")=0),
Error!$B$47,
IF(AND(_xlpm.baseRow,$E546&lt;&gt;"",$D546&lt;&gt;"",$F546&lt;&gt;"",COUNTBLANK(_xlpm.HRange)=4),
Error!$B$5,
IF(AND($F546="Remove",$H546&lt;&gt;"",$I546=""),
Error!$B$18,
IF(AND($E546="Tier 4",$F546="Remove",$H546="Tree Protection Code: Tier 3 or Tier 4 Allowance",$H546&lt;&gt;"",ISNA(MATCH($I546,Tables!$B$200,0))),
Error!$B$17,
IF(AND($E546="Tier 3",$F546="Remove",$H546&lt;&gt;"",$H546="Tree Protection Code: Tier 3 or Tier 4 Allowance",OR($I546="",ISNA(MATCH($I546,Tables!$B$193:$B$197,0)))),
Error!$B$17,
IF(AND(OR($E546="Tier 2",$E546="Tier 2 Grove"),$F546="Remove",$H546="Tree Protection Code: Other removal allowance or exemption",$I546&lt;&gt;"",ISNA(MATCH($I546,Tables!$B$215:$B$218,0))),
Error!$B$17,
IF(AND(OR($E546="Tier 2",$E546="Tier 2 Grove"),$F546="Remove",$H546="Tree Protection Code: Development Capacity",$I546&lt;&gt;"",ISNA(MATCH($I546,Tables!$B$193:$B$197,0))),
Error!$B$17,
IF(AND(OR($E546="Tier 2",$E546="Tier 2 Grove"),$F546="Remove",$H546="Tree Protection Code: Necessary for Construction",$I546&lt;&gt;"",ISNA(MATCH($I546,Tables!$B$193:$B$197,0))),
Error!$B$17,
IF(AND($E546="Tier 1",$F546="Remove",$H546="Tree Protection Code: Special Exception",$I546&lt;&gt;"",ISNA(MATCH($I546,Tables!$B$215:$B$218,0))),
Error!$B$17,
IF(AND($E546="Tier 1",$F546="Remove",$H546="Tree Protection Code: Other removal allowance or exemption",$I546&lt;&gt;"",ISNA(MATCH($I546,Tables!$B$215:$B$218,0))),
Error!$B$17,
IF(AND($E546="ECA / Shoreline Tree",$F546="Remove",$H546&lt;&gt;"",OR($H546="Shoreline",$H546="Environmental Critical Area (ECA)"),ISNA(MATCH($I546,Tables!$B$209:$B$212,0))),
Error!$B$17,
IF(AND(_xlpm.baseRow,$F546="Retain",$E546="ECA / Shoreline Tree",_xlpm.ECA_Short=0),
Error!$B$61,
IF(AND($F546="Remove",ISNUMBER(MATCH($E546,{"Tier 1","Tier 2","Tier 3","Tier 4","Tier 2 Grove"},0)),ISNUMBER(MATCH($I546,{"On-site replacement","Off-site replacement"},0)),$J546="",$H546&lt;&gt;""),
Error!$B$19,
IF(AND(_xlpm.baseRow,$E546&lt;&gt;"",$D546&lt;&gt;"",$F546&lt;&gt;"",COUNTBLANK($B546:$C546)&gt;0,COUNTBLANK(_xlpm.HRange)&lt;&gt;4),
Error!$B$22,
IF(AND($H546="Zoning: Tree Points",$K546&lt;&gt;"",ISNA(MATCH($K546,Tables!$B$242:$B$253,0))),
Error!$B$58,
IF(AND($H546="Zoning: Tree Points",$K546="Small",$L546&lt;&gt;"",ISNA(MATCH($L546,Tables!$C$243:$C$244,0))),
Error!$B$59,
IF(AND($H546="Zoning: Tree Points",$K546="Small/Medium",$L546&lt;&gt;"",ISNA(MATCH($L546,Tables!$C$246:$C$247,0))),
Error!$B$59,
IF(AND($H546="Zoning: Tree Points",$K546="Medium/Large",$L546&lt;&gt;"",ISNA(MATCH($L546,Tables!$C$249:$C$250,0))),
Error!$B$59,
IF(AND($H546="Zoning: Tree Points",$K546="Large",$L546&lt;&gt;"",ISNA(MATCH($L546,Tables!$C$252:$C$253,0))),
Error!$B$59,
IF(AND($F546="Retain",$H546="Zoning: Tree Points",$C546&lt;&gt;"",$D546&lt;&gt;"",OR($K546="",$L546="",$M546="")),
Error!$B$20,
""
)))))))))))))))))))))))))))))))))))))))))))))))))))))))),
Error!$B$23))</f>
        <v/>
      </c>
      <c r="O546" s="343" t="str" cm="1">
        <f t="array" aca="1" ref="O546" ca="1">IFERROR(_xlfn.LET(
    _xlpm.txt, $C546,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47" spans="1:15" ht="15" thickBot="1" x14ac:dyDescent="0.35">
      <c r="A547" s="311">
        <v>135</v>
      </c>
      <c r="B547" s="312"/>
      <c r="C547" s="313"/>
      <c r="D547" s="478"/>
      <c r="E547" s="314"/>
      <c r="F547" s="314"/>
      <c r="G547" s="315" t="str">
        <f>IF(Tree_Table1[[#This Row],[Tree Status  &amp;]]="Retain", Tables!$B$237, IF(Tree_Table1[[#This Row],[Tree Status  &amp;]]="Remove", Tables!$B$238, ""))</f>
        <v/>
      </c>
      <c r="H547" s="316"/>
      <c r="I547" s="317"/>
      <c r="J547" s="452"/>
      <c r="K547" s="318" t="str">
        <f>IFERROR(
    IF(
        AND($H547="Zoning: Tree Points", NOT(ISNUMBER(SEARCH("sp.", $C547)))),
        VLOOKUP($C547, 'Tree List'!$C$3:$F$601, 4, FALSE),
        ""
    ),
"")</f>
        <v/>
      </c>
      <c r="L547" s="319" t="str" cm="1">
        <f t="array" ref="L547">IFERROR(
IF(
    AND($H547="Zoning: Tree Points", NOT(ISNUMBER(SEARCH("sp.", $C547)))),
    _xlfn.IFS(
        (COUNTIFS('Tree List'!$C$3:$C$601,$C547,'Tree List'!$D$3:$D$601,"Coniferous")
        + COUNTIFS('Tree List'!$C$3:$C$601,$C547,'Tree List'!$D$3:$D$601,"Deciduous Conifer")) &gt; 0,
            _xlfn.IFS($K547="Small",0.5,$K547="Small/Medium",1,$K547="Medium/Large",1.4,$K547="Large",1.8),
        (COUNTIFS('Tree List'!$C$3:$C$601,$C547,'Tree List'!$D$3:$D$601,"Deciduous")
        + COUNTIFS('Tree List'!$C$3:$C$601,$C547,'Tree List'!$D$3:$D$601,"Broadleaf Evergreen")) &gt; 0,
            _xlfn.IFS($K547="Small",0.4,$K547="Small/Medium",0.8,$K547="Medium/Large",1.2,$K547="Large",1.6)
    ),
    ""
),
"")</f>
        <v/>
      </c>
      <c r="M547" s="474" t="str">
        <f t="shared" si="573"/>
        <v/>
      </c>
      <c r="N547" s="620" t="str" cm="1">
        <f t="array" aca="1" ref="N54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IF(AND(_xlpm.baseRow,ISNA(MATCH($C547,'Tree List'!$C$3:$C$601,0)),SUMPRODUCT(--ISNUMBER(SEARCH(Tables2!$C$677:$C$772,$O547)))&gt;0),
Error!$B$57,
IF(AND(_xlpm.hasDM,$F547="Remove",$H547&lt;&gt;"",OR($I547="On-site replacement",$I547="Off-site replacement",$I547="Payment In Lieu")),
Error!$B$56,
IF(AND(_xlpm.hasDM,$F547="Remove",$H547&lt;&gt;"",$I547="Relocation"),
Error!$B$66,
IF(AND(OR(_xlpm.hasCN,_xlpm.hasPH,_xlpm.hasGR),$H547&lt;&gt;"",COUNTIF(Tables!$B$132:$B$134,$H547)&gt;0,$I547="N/A (No replacement required)"),
Error!$B$62,
IF(AND(_xlpm.baseRow,$E547&lt;&gt;"",ISNA(MATCH($E547,Tables!$B$225:$B$232,0))),
Error!$B$2,
IF(AND(_xlpm.baseRow,$F547&lt;&gt;"",ISNA(MATCH($F547,Tables!$B$234:$B$235,0))),
Error!$B$24,
IF(AND(_xlpm.baseRow,_xlpm.ECA_H&gt;0,_xlpm.Shore_H&gt;0),
Error!$B$16,
IF(AND(_xlpm.baseRow,$E547&lt;&gt;"",$D547=""),
Error!$B$3,
IF(AND(_xlpm.baseRow,OR($E547="Tier 3",$E547="Tier 4"),$C547&lt;&gt;"",$D547&gt;=24,COUNTIF(Tables2!$B$166:$B$674,$C547)&gt;0),
Error!$B$44,
IF(AND(_xlpm.baseRow,OR($E547="Tier 3",$E547="Tier 4"),$C547&lt;&gt;"",$D547&lt;&gt;"",COUNTIF(Tables2!$B$73:$B$152,$C547)&gt;0,
$D547&gt;=IFERROR(INDEX(Tables2!$C$73:$C$152,MATCH($C547,Tables2!$B$73:$B$152,0)),-1)),
Error!$B$44,
IF(AND(_xlpm.baseRow,OR($E547="Tier 2",$E547="Tier 2 Grove"),$C547&lt;&gt;"",$D547&gt;=12,COUNTIF(Tables2!$B$153:$B$162,$C547)&gt;0),
Error!$B$45,
IF(AND(_xlpm.baseRow,$E547="Tier 2 Grove",$D547&lt;12),
Error!$B$41,
IF(AND(_xlpm.baseRow,$E547="Tier 2",$D547&lt;5.88),
Error!$B$40,
IF(AND(_xlpm.baseRow,OR($E547="Tier 2",$E547="Tier 2 Grove"),$C547&lt;&gt;"",$D547&lt;12,$D547&gt;=6,COUNTIF(Tables2!$B$153:$B$162,$C547)&gt;0),
Error!$B$54,
IF(AND(_xlpm.baseRow,$E547="Tier 2",COUNTIF(Tables2!$B$166:$B$674,$C547)&gt;0,$D547&lt;24),
Error!$B$54,
IF(AND(_xlpm.baseRow,$E547="Tier 3",ISNA(MATCH($C547,Tables2!$B$153:$B$162,0)),OR($D547&lt;12,$D547&gt;=24)),
Error!$B$9,
IF(AND(_xlpm.baseRow,$E547="Tier 3",COUNTIF(Tables2!$B$153:$B$162,$C547)&gt;0,$D547&lt;12),
Error!$B$46,
IF(AND(_xlpm.baseRow,$E547="Tier 4",OR($D547&lt;6,$D547&gt;=12)),
Error!$B$10,
IF(AND(_xlpm.baseRow,$E547="&lt;6in DSH for Tree Points",OR($D547&gt;=6,$D547="")),
Error!$B$8,
IF(AND(_xlpm.baseRow,$E547="Street Tree for Green Factor",$F547&lt;&gt;"",$F547&lt;&gt;"Retain"),
Error!$B$14,
IF(AND($E547="&lt;6in DSH for Tree Points",$F547="Retain",$H547&lt;&gt;"",ISNA(MATCH($H547,Tables!$B$174:$B$174,0))),
Error!$B$15,
IF(AND($E547="Street Tree for Green Factor",$F547="Retain",$H547&lt;&gt;"",$H547&lt;&gt;"Zoning: Green Factor"),
Error!$B$15,
IF(AND($E547="ECA / Shoreline Tree",$F547="Remove",$H547&lt;&gt;"",ISNA(MATCH($H547,Tables!$B$189:$B$190,0))),
Error!$B$15,
IF(AND($E547="ECA / Shoreline Tree",$F547="Retain",$H547&lt;&gt;"",ISNA(MATCH($H547,Tables!$B$184:$B$186,0))),
Error!$B$15,
IF(AND($E547="Tier 4",$F547="Remove",$H547&lt;&gt;"",ISNA(MATCH($H547,Tables!$B$171,0))),
Error!$B$15,
IF(AND($E547="Tier 4",$F547="Retain",$H547&lt;&gt;"",ISNA(MATCH($H547,Tables!$B$166:$B$168,0))),
Error!$B$15,
IF(AND($E547="Tier 3",$F547="Retain",$H547&lt;&gt;"",ISNA(MATCH($H547,Tables!$B$158:$B$160,0))),
Error!$B$15,
IF(AND($E547="Tier 3",$F547="Remove",$H547&lt;&gt;"",ISNA(MATCH($H547,Tables!$B$163,0))),
Error!$B$15,
IF(AND(OR($E547="Tier 2",$E547="Tier 2 Grove"),$F547="Remove",$H547&lt;&gt;"",ISNA(MATCH($H547,Tables!$B$153:$B$155,0))),
Error!$B$15,
IF(AND(OR($E547="Tier 2",$E547="Tier 2 Grove"),$F547="Retain",$H547&lt;&gt;"",ISNA(MATCH($H547,Tables!$B$147:$B$150,0))),
Error!$B$15,
IF(AND($E547="Tier 1",$F547="Remove",$H547&lt;&gt;"",ISNA(MATCH($H547,Tables!$B$143:$B$144,0))),
Error!$B$15,
IF(AND($E547="Tier 1",$F547="Retain",$H547&lt;&gt;"",ISNA(MATCH($H547,Tables!$B$137:$B$140,0))),
Error!$B$15,
IF(AND($E547&lt;&gt;"Tier 2",$E547&lt;&gt;"Tier 2 Grove",$E547&lt;&gt;"Tier 3",$E547&lt;&gt;"Tier 4",$H547="Zoning: Green Factor",OR($D547="",$D547&lt;6)),
Error!$B$11,
IF(AND(_xlpm.baseRow,$D547&lt;6,$E547="&lt;6in DSH for Tree Points",_xlpm.TreePoints_H=0),
Error!$B$21,
IF(AND(_xlpm.baseRow,$E547&lt;&gt;"",$D547&lt;&gt;"",$F547=""),
Error!$B$4,
IF(AND(_xlpm.baseRow,$F547="Remove",OR($E547="Tier 1",$E547="Tier 2",$E547="Tier 2 Grove"),COUNTBLANK(_xlpm.HRange)&lt;3,_xlpm.uniqueH&gt;=2),
Error!$B$48,
IF(AND(_xlpm.baseRow,$F547="Retain",OR($E547="Tier 1",$E547="Tier 2",$E547="Tier 2 Grove"),COUNTIF(_xlpm.HRange,"Tree Code: Required to Retain Tier 1-2 Tree")=0),
Error!$B$47,
IF(AND(_xlpm.baseRow,$E547&lt;&gt;"",$D547&lt;&gt;"",$F547&lt;&gt;"",COUNTBLANK(_xlpm.HRange)=4),
Error!$B$5,
IF(AND($F547="Remove",$H547&lt;&gt;"",$I547=""),
Error!$B$18,
IF(AND($E547="Tier 4",$F547="Remove",$H547="Tree Protection Code: Tier 3 or Tier 4 Allowance",$H547&lt;&gt;"",ISNA(MATCH($I547,Tables!$B$200,0))),
Error!$B$17,
IF(AND($E547="Tier 3",$F547="Remove",$H547&lt;&gt;"",$H547="Tree Protection Code: Tier 3 or Tier 4 Allowance",OR($I547="",ISNA(MATCH($I547,Tables!$B$193:$B$197,0)))),
Error!$B$17,
IF(AND(OR($E547="Tier 2",$E547="Tier 2 Grove"),$F547="Remove",$H547="Tree Protection Code: Other removal allowance or exemption",$I547&lt;&gt;"",ISNA(MATCH($I547,Tables!$B$215:$B$218,0))),
Error!$B$17,
IF(AND(OR($E547="Tier 2",$E547="Tier 2 Grove"),$F547="Remove",$H547="Tree Protection Code: Development Capacity",$I547&lt;&gt;"",ISNA(MATCH($I547,Tables!$B$193:$B$197,0))),
Error!$B$17,
IF(AND(OR($E547="Tier 2",$E547="Tier 2 Grove"),$F547="Remove",$H547="Tree Protection Code: Necessary for Construction",$I547&lt;&gt;"",ISNA(MATCH($I547,Tables!$B$193:$B$197,0))),
Error!$B$17,
IF(AND($E547="Tier 1",$F547="Remove",$H547="Tree Protection Code: Special Exception",$I547&lt;&gt;"",ISNA(MATCH($I547,Tables!$B$215:$B$218,0))),
Error!$B$17,
IF(AND($E547="Tier 1",$F547="Remove",$H547="Tree Protection Code: Other removal allowance or exemption",$I547&lt;&gt;"",ISNA(MATCH($I547,Tables!$B$215:$B$218,0))),
Error!$B$17,
IF(AND($E547="ECA / Shoreline Tree",$F547="Remove",$H547&lt;&gt;"",OR($H547="Shoreline",$H547="Environmental Critical Area (ECA)"),ISNA(MATCH($I547,Tables!$B$209:$B$212,0))),
Error!$B$17,
IF(AND(_xlpm.baseRow,$F547="Retain",$E547="ECA / Shoreline Tree",_xlpm.ECA_Short=0),
Error!$B$61,
IF(AND($F547="Remove",ISNUMBER(MATCH($E547,{"Tier 1","Tier 2","Tier 3","Tier 4","Tier 2 Grove"},0)),ISNUMBER(MATCH($I547,{"On-site replacement","Off-site replacement"},0)),$J547="",$H547&lt;&gt;""),
Error!$B$19,
IF(AND(_xlpm.baseRow,$E547&lt;&gt;"",$D547&lt;&gt;"",$F547&lt;&gt;"",COUNTBLANK($B547:$C547)&gt;0,COUNTBLANK(_xlpm.HRange)&lt;&gt;4),
Error!$B$22,
IF(AND($H547="Zoning: Tree Points",$K547&lt;&gt;"",ISNA(MATCH($K547,Tables!$B$242:$B$253,0))),
Error!$B$58,
IF(AND($H547="Zoning: Tree Points",$K547="Small",$L547&lt;&gt;"",ISNA(MATCH($L547,Tables!$C$243:$C$244,0))),
Error!$B$59,
IF(AND($H547="Zoning: Tree Points",$K547="Small/Medium",$L547&lt;&gt;"",ISNA(MATCH($L547,Tables!$C$246:$C$247,0))),
Error!$B$59,
IF(AND($H547="Zoning: Tree Points",$K547="Medium/Large",$L547&lt;&gt;"",ISNA(MATCH($L547,Tables!$C$249:$C$250,0))),
Error!$B$59,
IF(AND($H547="Zoning: Tree Points",$K547="Large",$L547&lt;&gt;"",ISNA(MATCH($L547,Tables!$C$252:$C$253,0))),
Error!$B$59,
IF(AND($F547="Retain",$H547="Zoning: Tree Points",$C547&lt;&gt;"",$D547&lt;&gt;"",OR($K547="",$L547="",$M547="")),
Error!$B$20,
""
)))))))))))))))))))))))))))))))))))))))))))))))))))))))),
Error!$B$23))</f>
        <v/>
      </c>
      <c r="O547" s="343" t="str" cm="1">
        <f t="array" aca="1" ref="O547" ca="1">IFERROR(_xlfn.LET(
    _xlpm.txt, $C547,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48" spans="1:15" x14ac:dyDescent="0.3">
      <c r="A548" s="320"/>
      <c r="B548" s="616" t="str">
        <f t="shared" ref="B548:B550" si="634">IF($B547="", "", $B547)</f>
        <v/>
      </c>
      <c r="C548" s="617" t="str">
        <f t="shared" ref="C548:C550" si="635">IF($C547="", "", $C547)</f>
        <v/>
      </c>
      <c r="D548" s="618" t="str">
        <f t="shared" ref="D548:D550" si="636">IF($D547="", "", $D547)</f>
        <v/>
      </c>
      <c r="E548" s="616" t="str">
        <f t="shared" ref="E548:E550" si="637">IF($E547="", "", $E547)</f>
        <v/>
      </c>
      <c r="F548" s="616" t="str">
        <f t="shared" ref="F548:F550" si="638">IF($F547="", "", $F547)</f>
        <v/>
      </c>
      <c r="G548" s="619" t="str">
        <f>IF(Tree_Table1[[#This Row],[Tree Status  &amp;]]="Retain", Tables!$B$237, IF(Tree_Table1[[#This Row],[Tree Status  &amp;]]="Remove", Tables!$B$238, ""))</f>
        <v/>
      </c>
      <c r="H548" s="321"/>
      <c r="I548" s="322"/>
      <c r="J548" s="453"/>
      <c r="K548" s="323" t="str">
        <f>IFERROR(
    IF(
        AND($H548="Zoning: Tree Points", NOT(ISNUMBER(SEARCH("sp.", $C548)))),
        VLOOKUP($C548, 'Tree List'!$C$3:$F$601, 4, FALSE),
        ""
    ),
"")</f>
        <v/>
      </c>
      <c r="L548" s="324" t="str" cm="1">
        <f t="array" ref="L548">IFERROR(
IF(
    AND($H548="Zoning: Tree Points", NOT(ISNUMBER(SEARCH("sp.", $C548)))),
    _xlfn.IFS(
        (COUNTIFS('Tree List'!$C$3:$C$601,$C548,'Tree List'!$D$3:$D$601,"Coniferous")
        + COUNTIFS('Tree List'!$C$3:$C$601,$C548,'Tree List'!$D$3:$D$601,"Deciduous Conifer")) &gt; 0,
            _xlfn.IFS($K548="Small",0.5,$K548="Small/Medium",1,$K548="Medium/Large",1.4,$K548="Large",1.8),
        (COUNTIFS('Tree List'!$C$3:$C$601,$C548,'Tree List'!$D$3:$D$601,"Deciduous")
        + COUNTIFS('Tree List'!$C$3:$C$601,$C548,'Tree List'!$D$3:$D$601,"Broadleaf Evergreen")) &gt; 0,
            _xlfn.IFS($K548="Small",0.4,$K548="Small/Medium",0.8,$K548="Medium/Large",1.2,$K548="Large",1.6)
    ),
    ""
),
"")</f>
        <v/>
      </c>
      <c r="M548" s="475" t="str">
        <f t="shared" si="573"/>
        <v/>
      </c>
      <c r="N548" s="346" t="str" cm="1">
        <f t="array" aca="1" ref="N54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IF(AND(_xlpm.baseRow,ISNA(MATCH($C548,'Tree List'!$C$3:$C$601,0)),SUMPRODUCT(--ISNUMBER(SEARCH(Tables2!$C$677:$C$772,$O548)))&gt;0),
Error!$B$57,
IF(AND(_xlpm.hasDM,$F548="Remove",$H548&lt;&gt;"",OR($I548="On-site replacement",$I548="Off-site replacement",$I548="Payment In Lieu")),
Error!$B$56,
IF(AND(_xlpm.hasDM,$F548="Remove",$H548&lt;&gt;"",$I548="Relocation"),
Error!$B$66,
IF(AND(OR(_xlpm.hasCN,_xlpm.hasPH,_xlpm.hasGR),$H548&lt;&gt;"",COUNTIF(Tables!$B$132:$B$134,$H548)&gt;0,$I548="N/A (No replacement required)"),
Error!$B$62,
IF(AND(_xlpm.baseRow,$E548&lt;&gt;"",ISNA(MATCH($E548,Tables!$B$225:$B$232,0))),
Error!$B$2,
IF(AND(_xlpm.baseRow,$F548&lt;&gt;"",ISNA(MATCH($F548,Tables!$B$234:$B$235,0))),
Error!$B$24,
IF(AND(_xlpm.baseRow,_xlpm.ECA_H&gt;0,_xlpm.Shore_H&gt;0),
Error!$B$16,
IF(AND(_xlpm.baseRow,$E548&lt;&gt;"",$D548=""),
Error!$B$3,
IF(AND(_xlpm.baseRow,OR($E548="Tier 3",$E548="Tier 4"),$C548&lt;&gt;"",$D548&gt;=24,COUNTIF(Tables2!$B$166:$B$674,$C548)&gt;0),
Error!$B$44,
IF(AND(_xlpm.baseRow,OR($E548="Tier 3",$E548="Tier 4"),$C548&lt;&gt;"",$D548&lt;&gt;"",COUNTIF(Tables2!$B$73:$B$152,$C548)&gt;0,
$D548&gt;=IFERROR(INDEX(Tables2!$C$73:$C$152,MATCH($C548,Tables2!$B$73:$B$152,0)),-1)),
Error!$B$44,
IF(AND(_xlpm.baseRow,OR($E548="Tier 2",$E548="Tier 2 Grove"),$C548&lt;&gt;"",$D548&gt;=12,COUNTIF(Tables2!$B$153:$B$162,$C548)&gt;0),
Error!$B$45,
IF(AND(_xlpm.baseRow,$E548="Tier 2 Grove",$D548&lt;12),
Error!$B$41,
IF(AND(_xlpm.baseRow,$E548="Tier 2",$D548&lt;5.88),
Error!$B$40,
IF(AND(_xlpm.baseRow,OR($E548="Tier 2",$E548="Tier 2 Grove"),$C548&lt;&gt;"",$D548&lt;12,$D548&gt;=6,COUNTIF(Tables2!$B$153:$B$162,$C548)&gt;0),
Error!$B$54,
IF(AND(_xlpm.baseRow,$E548="Tier 2",COUNTIF(Tables2!$B$166:$B$674,$C548)&gt;0,$D548&lt;24),
Error!$B$54,
IF(AND(_xlpm.baseRow,$E548="Tier 3",ISNA(MATCH($C548,Tables2!$B$153:$B$162,0)),OR($D548&lt;12,$D548&gt;=24)),
Error!$B$9,
IF(AND(_xlpm.baseRow,$E548="Tier 3",COUNTIF(Tables2!$B$153:$B$162,$C548)&gt;0,$D548&lt;12),
Error!$B$46,
IF(AND(_xlpm.baseRow,$E548="Tier 4",OR($D548&lt;6,$D548&gt;=12)),
Error!$B$10,
IF(AND(_xlpm.baseRow,$E548="&lt;6in DSH for Tree Points",OR($D548&gt;=6,$D548="")),
Error!$B$8,
IF(AND(_xlpm.baseRow,$E548="Street Tree for Green Factor",$F548&lt;&gt;"",$F548&lt;&gt;"Retain"),
Error!$B$14,
IF(AND($E548="&lt;6in DSH for Tree Points",$F548="Retain",$H548&lt;&gt;"",ISNA(MATCH($H548,Tables!$B$174:$B$174,0))),
Error!$B$15,
IF(AND($E548="Street Tree for Green Factor",$F548="Retain",$H548&lt;&gt;"",$H548&lt;&gt;"Zoning: Green Factor"),
Error!$B$15,
IF(AND($E548="ECA / Shoreline Tree",$F548="Remove",$H548&lt;&gt;"",ISNA(MATCH($H548,Tables!$B$189:$B$190,0))),
Error!$B$15,
IF(AND($E548="ECA / Shoreline Tree",$F548="Retain",$H548&lt;&gt;"",ISNA(MATCH($H548,Tables!$B$184:$B$186,0))),
Error!$B$15,
IF(AND($E548="Tier 4",$F548="Remove",$H548&lt;&gt;"",ISNA(MATCH($H548,Tables!$B$171,0))),
Error!$B$15,
IF(AND($E548="Tier 4",$F548="Retain",$H548&lt;&gt;"",ISNA(MATCH($H548,Tables!$B$166:$B$168,0))),
Error!$B$15,
IF(AND($E548="Tier 3",$F548="Retain",$H548&lt;&gt;"",ISNA(MATCH($H548,Tables!$B$158:$B$160,0))),
Error!$B$15,
IF(AND($E548="Tier 3",$F548="Remove",$H548&lt;&gt;"",ISNA(MATCH($H548,Tables!$B$163,0))),
Error!$B$15,
IF(AND(OR($E548="Tier 2",$E548="Tier 2 Grove"),$F548="Remove",$H548&lt;&gt;"",ISNA(MATCH($H548,Tables!$B$153:$B$155,0))),
Error!$B$15,
IF(AND(OR($E548="Tier 2",$E548="Tier 2 Grove"),$F548="Retain",$H548&lt;&gt;"",ISNA(MATCH($H548,Tables!$B$147:$B$150,0))),
Error!$B$15,
IF(AND($E548="Tier 1",$F548="Remove",$H548&lt;&gt;"",ISNA(MATCH($H548,Tables!$B$143:$B$144,0))),
Error!$B$15,
IF(AND($E548="Tier 1",$F548="Retain",$H548&lt;&gt;"",ISNA(MATCH($H548,Tables!$B$137:$B$140,0))),
Error!$B$15,
IF(AND($E548&lt;&gt;"Tier 2",$E548&lt;&gt;"Tier 2 Grove",$E548&lt;&gt;"Tier 3",$E548&lt;&gt;"Tier 4",$H548="Zoning: Green Factor",OR($D548="",$D548&lt;6)),
Error!$B$11,
IF(AND(_xlpm.baseRow,$D548&lt;6,$E548="&lt;6in DSH for Tree Points",_xlpm.TreePoints_H=0),
Error!$B$21,
IF(AND(_xlpm.baseRow,$E548&lt;&gt;"",$D548&lt;&gt;"",$F548=""),
Error!$B$4,
IF(AND(_xlpm.baseRow,$F548="Remove",OR($E548="Tier 1",$E548="Tier 2",$E548="Tier 2 Grove"),COUNTBLANK(_xlpm.HRange)&lt;3,_xlpm.uniqueH&gt;=2),
Error!$B$48,
IF(AND(_xlpm.baseRow,$F548="Retain",OR($E548="Tier 1",$E548="Tier 2",$E548="Tier 2 Grove"),COUNTIF(_xlpm.HRange,"Tree Code: Required to Retain Tier 1-2 Tree")=0),
Error!$B$47,
IF(AND(_xlpm.baseRow,$E548&lt;&gt;"",$D548&lt;&gt;"",$F548&lt;&gt;"",COUNTBLANK(_xlpm.HRange)=4),
Error!$B$5,
IF(AND($F548="Remove",$H548&lt;&gt;"",$I548=""),
Error!$B$18,
IF(AND($E548="Tier 4",$F548="Remove",$H548="Tree Protection Code: Tier 3 or Tier 4 Allowance",$H548&lt;&gt;"",ISNA(MATCH($I548,Tables!$B$200,0))),
Error!$B$17,
IF(AND($E548="Tier 3",$F548="Remove",$H548&lt;&gt;"",$H548="Tree Protection Code: Tier 3 or Tier 4 Allowance",OR($I548="",ISNA(MATCH($I548,Tables!$B$193:$B$197,0)))),
Error!$B$17,
IF(AND(OR($E548="Tier 2",$E548="Tier 2 Grove"),$F548="Remove",$H548="Tree Protection Code: Other removal allowance or exemption",$I548&lt;&gt;"",ISNA(MATCH($I548,Tables!$B$215:$B$218,0))),
Error!$B$17,
IF(AND(OR($E548="Tier 2",$E548="Tier 2 Grove"),$F548="Remove",$H548="Tree Protection Code: Development Capacity",$I548&lt;&gt;"",ISNA(MATCH($I548,Tables!$B$193:$B$197,0))),
Error!$B$17,
IF(AND(OR($E548="Tier 2",$E548="Tier 2 Grove"),$F548="Remove",$H548="Tree Protection Code: Necessary for Construction",$I548&lt;&gt;"",ISNA(MATCH($I548,Tables!$B$193:$B$197,0))),
Error!$B$17,
IF(AND($E548="Tier 1",$F548="Remove",$H548="Tree Protection Code: Special Exception",$I548&lt;&gt;"",ISNA(MATCH($I548,Tables!$B$215:$B$218,0))),
Error!$B$17,
IF(AND($E548="Tier 1",$F548="Remove",$H548="Tree Protection Code: Other removal allowance or exemption",$I548&lt;&gt;"",ISNA(MATCH($I548,Tables!$B$215:$B$218,0))),
Error!$B$17,
IF(AND($E548="ECA / Shoreline Tree",$F548="Remove",$H548&lt;&gt;"",OR($H548="Shoreline",$H548="Environmental Critical Area (ECA)"),ISNA(MATCH($I548,Tables!$B$209:$B$212,0))),
Error!$B$17,
IF(AND(_xlpm.baseRow,$F548="Retain",$E548="ECA / Shoreline Tree",_xlpm.ECA_Short=0),
Error!$B$61,
IF(AND($F548="Remove",ISNUMBER(MATCH($E548,{"Tier 1","Tier 2","Tier 3","Tier 4","Tier 2 Grove"},0)),ISNUMBER(MATCH($I548,{"On-site replacement","Off-site replacement"},0)),$J548="",$H548&lt;&gt;""),
Error!$B$19,
IF(AND(_xlpm.baseRow,$E548&lt;&gt;"",$D548&lt;&gt;"",$F548&lt;&gt;"",COUNTBLANK($B548:$C548)&gt;0,COUNTBLANK(_xlpm.HRange)&lt;&gt;4),
Error!$B$22,
IF(AND($H548="Zoning: Tree Points",$K548&lt;&gt;"",ISNA(MATCH($K548,Tables!$B$242:$B$253,0))),
Error!$B$58,
IF(AND($H548="Zoning: Tree Points",$K548="Small",$L548&lt;&gt;"",ISNA(MATCH($L548,Tables!$C$243:$C$244,0))),
Error!$B$59,
IF(AND($H548="Zoning: Tree Points",$K548="Small/Medium",$L548&lt;&gt;"",ISNA(MATCH($L548,Tables!$C$246:$C$247,0))),
Error!$B$59,
IF(AND($H548="Zoning: Tree Points",$K548="Medium/Large",$L548&lt;&gt;"",ISNA(MATCH($L548,Tables!$C$249:$C$250,0))),
Error!$B$59,
IF(AND($H548="Zoning: Tree Points",$K548="Large",$L548&lt;&gt;"",ISNA(MATCH($L548,Tables!$C$252:$C$253,0))),
Error!$B$59,
IF(AND($F548="Retain",$H548="Zoning: Tree Points",$C548&lt;&gt;"",$D548&lt;&gt;"",OR($K548="",$L548="",$M548="")),
Error!$B$20,
""
)))))))))))))))))))))))))))))))))))))))))))))))))))))))),
Error!$B$23))</f>
        <v/>
      </c>
      <c r="O548" s="343" t="str" cm="1">
        <f t="array" aca="1" ref="O548" ca="1">IFERROR(_xlfn.LET(
    _xlpm.txt, $C548,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49" spans="1:15" x14ac:dyDescent="0.3">
      <c r="A549" s="320"/>
      <c r="B549" s="616" t="str">
        <f t="shared" si="634"/>
        <v/>
      </c>
      <c r="C549" s="617" t="str">
        <f t="shared" si="635"/>
        <v/>
      </c>
      <c r="D549" s="618" t="str">
        <f t="shared" si="636"/>
        <v/>
      </c>
      <c r="E549" s="616" t="str">
        <f t="shared" si="637"/>
        <v/>
      </c>
      <c r="F549" s="616" t="str">
        <f t="shared" si="638"/>
        <v/>
      </c>
      <c r="G549" s="619" t="str">
        <f>IF(Tree_Table1[[#This Row],[Tree Status  &amp;]]="Retain", Tables!$B$237, IF(Tree_Table1[[#This Row],[Tree Status  &amp;]]="Remove", Tables!$B$238, ""))</f>
        <v/>
      </c>
      <c r="H549" s="321"/>
      <c r="I549" s="322"/>
      <c r="J549" s="453"/>
      <c r="K549" s="323" t="str">
        <f>IFERROR(
    IF(
        AND($H549="Zoning: Tree Points", NOT(ISNUMBER(SEARCH("sp.", $C549)))),
        VLOOKUP($C549, 'Tree List'!$C$3:$F$601, 4, FALSE),
        ""
    ),
"")</f>
        <v/>
      </c>
      <c r="L549" s="324" t="str" cm="1">
        <f t="array" ref="L549">IFERROR(
IF(
    AND($H549="Zoning: Tree Points", NOT(ISNUMBER(SEARCH("sp.", $C549)))),
    _xlfn.IFS(
        (COUNTIFS('Tree List'!$C$3:$C$601,$C549,'Tree List'!$D$3:$D$601,"Coniferous")
        + COUNTIFS('Tree List'!$C$3:$C$601,$C549,'Tree List'!$D$3:$D$601,"Deciduous Conifer")) &gt; 0,
            _xlfn.IFS($K549="Small",0.5,$K549="Small/Medium",1,$K549="Medium/Large",1.4,$K549="Large",1.8),
        (COUNTIFS('Tree List'!$C$3:$C$601,$C549,'Tree List'!$D$3:$D$601,"Deciduous")
        + COUNTIFS('Tree List'!$C$3:$C$601,$C549,'Tree List'!$D$3:$D$601,"Broadleaf Evergreen")) &gt; 0,
            _xlfn.IFS($K549="Small",0.4,$K549="Small/Medium",0.8,$K549="Medium/Large",1.2,$K549="Large",1.6)
    ),
    ""
),
"")</f>
        <v/>
      </c>
      <c r="M549" s="475" t="str">
        <f t="shared" si="573"/>
        <v/>
      </c>
      <c r="N549" s="346" t="str" cm="1">
        <f t="array" aca="1" ref="N54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IF(AND(_xlpm.baseRow,ISNA(MATCH($C549,'Tree List'!$C$3:$C$601,0)),SUMPRODUCT(--ISNUMBER(SEARCH(Tables2!$C$677:$C$772,$O549)))&gt;0),
Error!$B$57,
IF(AND(_xlpm.hasDM,$F549="Remove",$H549&lt;&gt;"",OR($I549="On-site replacement",$I549="Off-site replacement",$I549="Payment In Lieu")),
Error!$B$56,
IF(AND(_xlpm.hasDM,$F549="Remove",$H549&lt;&gt;"",$I549="Relocation"),
Error!$B$66,
IF(AND(OR(_xlpm.hasCN,_xlpm.hasPH,_xlpm.hasGR),$H549&lt;&gt;"",COUNTIF(Tables!$B$132:$B$134,$H549)&gt;0,$I549="N/A (No replacement required)"),
Error!$B$62,
IF(AND(_xlpm.baseRow,$E549&lt;&gt;"",ISNA(MATCH($E549,Tables!$B$225:$B$232,0))),
Error!$B$2,
IF(AND(_xlpm.baseRow,$F549&lt;&gt;"",ISNA(MATCH($F549,Tables!$B$234:$B$235,0))),
Error!$B$24,
IF(AND(_xlpm.baseRow,_xlpm.ECA_H&gt;0,_xlpm.Shore_H&gt;0),
Error!$B$16,
IF(AND(_xlpm.baseRow,$E549&lt;&gt;"",$D549=""),
Error!$B$3,
IF(AND(_xlpm.baseRow,OR($E549="Tier 3",$E549="Tier 4"),$C549&lt;&gt;"",$D549&gt;=24,COUNTIF(Tables2!$B$166:$B$674,$C549)&gt;0),
Error!$B$44,
IF(AND(_xlpm.baseRow,OR($E549="Tier 3",$E549="Tier 4"),$C549&lt;&gt;"",$D549&lt;&gt;"",COUNTIF(Tables2!$B$73:$B$152,$C549)&gt;0,
$D549&gt;=IFERROR(INDEX(Tables2!$C$73:$C$152,MATCH($C549,Tables2!$B$73:$B$152,0)),-1)),
Error!$B$44,
IF(AND(_xlpm.baseRow,OR($E549="Tier 2",$E549="Tier 2 Grove"),$C549&lt;&gt;"",$D549&gt;=12,COUNTIF(Tables2!$B$153:$B$162,$C549)&gt;0),
Error!$B$45,
IF(AND(_xlpm.baseRow,$E549="Tier 2 Grove",$D549&lt;12),
Error!$B$41,
IF(AND(_xlpm.baseRow,$E549="Tier 2",$D549&lt;5.88),
Error!$B$40,
IF(AND(_xlpm.baseRow,OR($E549="Tier 2",$E549="Tier 2 Grove"),$C549&lt;&gt;"",$D549&lt;12,$D549&gt;=6,COUNTIF(Tables2!$B$153:$B$162,$C549)&gt;0),
Error!$B$54,
IF(AND(_xlpm.baseRow,$E549="Tier 2",COUNTIF(Tables2!$B$166:$B$674,$C549)&gt;0,$D549&lt;24),
Error!$B$54,
IF(AND(_xlpm.baseRow,$E549="Tier 3",ISNA(MATCH($C549,Tables2!$B$153:$B$162,0)),OR($D549&lt;12,$D549&gt;=24)),
Error!$B$9,
IF(AND(_xlpm.baseRow,$E549="Tier 3",COUNTIF(Tables2!$B$153:$B$162,$C549)&gt;0,$D549&lt;12),
Error!$B$46,
IF(AND(_xlpm.baseRow,$E549="Tier 4",OR($D549&lt;6,$D549&gt;=12)),
Error!$B$10,
IF(AND(_xlpm.baseRow,$E549="&lt;6in DSH for Tree Points",OR($D549&gt;=6,$D549="")),
Error!$B$8,
IF(AND(_xlpm.baseRow,$E549="Street Tree for Green Factor",$F549&lt;&gt;"",$F549&lt;&gt;"Retain"),
Error!$B$14,
IF(AND($E549="&lt;6in DSH for Tree Points",$F549="Retain",$H549&lt;&gt;"",ISNA(MATCH($H549,Tables!$B$174:$B$174,0))),
Error!$B$15,
IF(AND($E549="Street Tree for Green Factor",$F549="Retain",$H549&lt;&gt;"",$H549&lt;&gt;"Zoning: Green Factor"),
Error!$B$15,
IF(AND($E549="ECA / Shoreline Tree",$F549="Remove",$H549&lt;&gt;"",ISNA(MATCH($H549,Tables!$B$189:$B$190,0))),
Error!$B$15,
IF(AND($E549="ECA / Shoreline Tree",$F549="Retain",$H549&lt;&gt;"",ISNA(MATCH($H549,Tables!$B$184:$B$186,0))),
Error!$B$15,
IF(AND($E549="Tier 4",$F549="Remove",$H549&lt;&gt;"",ISNA(MATCH($H549,Tables!$B$171,0))),
Error!$B$15,
IF(AND($E549="Tier 4",$F549="Retain",$H549&lt;&gt;"",ISNA(MATCH($H549,Tables!$B$166:$B$168,0))),
Error!$B$15,
IF(AND($E549="Tier 3",$F549="Retain",$H549&lt;&gt;"",ISNA(MATCH($H549,Tables!$B$158:$B$160,0))),
Error!$B$15,
IF(AND($E549="Tier 3",$F549="Remove",$H549&lt;&gt;"",ISNA(MATCH($H549,Tables!$B$163,0))),
Error!$B$15,
IF(AND(OR($E549="Tier 2",$E549="Tier 2 Grove"),$F549="Remove",$H549&lt;&gt;"",ISNA(MATCH($H549,Tables!$B$153:$B$155,0))),
Error!$B$15,
IF(AND(OR($E549="Tier 2",$E549="Tier 2 Grove"),$F549="Retain",$H549&lt;&gt;"",ISNA(MATCH($H549,Tables!$B$147:$B$150,0))),
Error!$B$15,
IF(AND($E549="Tier 1",$F549="Remove",$H549&lt;&gt;"",ISNA(MATCH($H549,Tables!$B$143:$B$144,0))),
Error!$B$15,
IF(AND($E549="Tier 1",$F549="Retain",$H549&lt;&gt;"",ISNA(MATCH($H549,Tables!$B$137:$B$140,0))),
Error!$B$15,
IF(AND($E549&lt;&gt;"Tier 2",$E549&lt;&gt;"Tier 2 Grove",$E549&lt;&gt;"Tier 3",$E549&lt;&gt;"Tier 4",$H549="Zoning: Green Factor",OR($D549="",$D549&lt;6)),
Error!$B$11,
IF(AND(_xlpm.baseRow,$D549&lt;6,$E549="&lt;6in DSH for Tree Points",_xlpm.TreePoints_H=0),
Error!$B$21,
IF(AND(_xlpm.baseRow,$E549&lt;&gt;"",$D549&lt;&gt;"",$F549=""),
Error!$B$4,
IF(AND(_xlpm.baseRow,$F549="Remove",OR($E549="Tier 1",$E549="Tier 2",$E549="Tier 2 Grove"),COUNTBLANK(_xlpm.HRange)&lt;3,_xlpm.uniqueH&gt;=2),
Error!$B$48,
IF(AND(_xlpm.baseRow,$F549="Retain",OR($E549="Tier 1",$E549="Tier 2",$E549="Tier 2 Grove"),COUNTIF(_xlpm.HRange,"Tree Code: Required to Retain Tier 1-2 Tree")=0),
Error!$B$47,
IF(AND(_xlpm.baseRow,$E549&lt;&gt;"",$D549&lt;&gt;"",$F549&lt;&gt;"",COUNTBLANK(_xlpm.HRange)=4),
Error!$B$5,
IF(AND($F549="Remove",$H549&lt;&gt;"",$I549=""),
Error!$B$18,
IF(AND($E549="Tier 4",$F549="Remove",$H549="Tree Protection Code: Tier 3 or Tier 4 Allowance",$H549&lt;&gt;"",ISNA(MATCH($I549,Tables!$B$200,0))),
Error!$B$17,
IF(AND($E549="Tier 3",$F549="Remove",$H549&lt;&gt;"",$H549="Tree Protection Code: Tier 3 or Tier 4 Allowance",OR($I549="",ISNA(MATCH($I549,Tables!$B$193:$B$197,0)))),
Error!$B$17,
IF(AND(OR($E549="Tier 2",$E549="Tier 2 Grove"),$F549="Remove",$H549="Tree Protection Code: Other removal allowance or exemption",$I549&lt;&gt;"",ISNA(MATCH($I549,Tables!$B$215:$B$218,0))),
Error!$B$17,
IF(AND(OR($E549="Tier 2",$E549="Tier 2 Grove"),$F549="Remove",$H549="Tree Protection Code: Development Capacity",$I549&lt;&gt;"",ISNA(MATCH($I549,Tables!$B$193:$B$197,0))),
Error!$B$17,
IF(AND(OR($E549="Tier 2",$E549="Tier 2 Grove"),$F549="Remove",$H549="Tree Protection Code: Necessary for Construction",$I549&lt;&gt;"",ISNA(MATCH($I549,Tables!$B$193:$B$197,0))),
Error!$B$17,
IF(AND($E549="Tier 1",$F549="Remove",$H549="Tree Protection Code: Special Exception",$I549&lt;&gt;"",ISNA(MATCH($I549,Tables!$B$215:$B$218,0))),
Error!$B$17,
IF(AND($E549="Tier 1",$F549="Remove",$H549="Tree Protection Code: Other removal allowance or exemption",$I549&lt;&gt;"",ISNA(MATCH($I549,Tables!$B$215:$B$218,0))),
Error!$B$17,
IF(AND($E549="ECA / Shoreline Tree",$F549="Remove",$H549&lt;&gt;"",OR($H549="Shoreline",$H549="Environmental Critical Area (ECA)"),ISNA(MATCH($I549,Tables!$B$209:$B$212,0))),
Error!$B$17,
IF(AND(_xlpm.baseRow,$F549="Retain",$E549="ECA / Shoreline Tree",_xlpm.ECA_Short=0),
Error!$B$61,
IF(AND($F549="Remove",ISNUMBER(MATCH($E549,{"Tier 1","Tier 2","Tier 3","Tier 4","Tier 2 Grove"},0)),ISNUMBER(MATCH($I549,{"On-site replacement","Off-site replacement"},0)),$J549="",$H549&lt;&gt;""),
Error!$B$19,
IF(AND(_xlpm.baseRow,$E549&lt;&gt;"",$D549&lt;&gt;"",$F549&lt;&gt;"",COUNTBLANK($B549:$C549)&gt;0,COUNTBLANK(_xlpm.HRange)&lt;&gt;4),
Error!$B$22,
IF(AND($H549="Zoning: Tree Points",$K549&lt;&gt;"",ISNA(MATCH($K549,Tables!$B$242:$B$253,0))),
Error!$B$58,
IF(AND($H549="Zoning: Tree Points",$K549="Small",$L549&lt;&gt;"",ISNA(MATCH($L549,Tables!$C$243:$C$244,0))),
Error!$B$59,
IF(AND($H549="Zoning: Tree Points",$K549="Small/Medium",$L549&lt;&gt;"",ISNA(MATCH($L549,Tables!$C$246:$C$247,0))),
Error!$B$59,
IF(AND($H549="Zoning: Tree Points",$K549="Medium/Large",$L549&lt;&gt;"",ISNA(MATCH($L549,Tables!$C$249:$C$250,0))),
Error!$B$59,
IF(AND($H549="Zoning: Tree Points",$K549="Large",$L549&lt;&gt;"",ISNA(MATCH($L549,Tables!$C$252:$C$253,0))),
Error!$B$59,
IF(AND($F549="Retain",$H549="Zoning: Tree Points",$C549&lt;&gt;"",$D549&lt;&gt;"",OR($K549="",$L549="",$M549="")),
Error!$B$20,
""
)))))))))))))))))))))))))))))))))))))))))))))))))))))))),
Error!$B$23))</f>
        <v/>
      </c>
      <c r="O549" s="343" t="str" cm="1">
        <f t="array" aca="1" ref="O549" ca="1">IFERROR(_xlfn.LET(
    _xlpm.txt, $C549,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50" spans="1:15" ht="15" thickBot="1" x14ac:dyDescent="0.35">
      <c r="A550" s="331"/>
      <c r="B550" s="616" t="str">
        <f t="shared" si="634"/>
        <v/>
      </c>
      <c r="C550" s="617" t="str">
        <f t="shared" si="635"/>
        <v/>
      </c>
      <c r="D550" s="618" t="str">
        <f t="shared" si="636"/>
        <v/>
      </c>
      <c r="E550" s="616" t="str">
        <f t="shared" si="637"/>
        <v/>
      </c>
      <c r="F550" s="616" t="str">
        <f t="shared" si="638"/>
        <v/>
      </c>
      <c r="G550" s="619" t="str">
        <f>IF(Tree_Table1[[#This Row],[Tree Status  &amp;]]="Retain", Tables!$B$237, IF(Tree_Table1[[#This Row],[Tree Status  &amp;]]="Remove", Tables!$B$238, ""))</f>
        <v/>
      </c>
      <c r="H550" s="329"/>
      <c r="I550" s="330"/>
      <c r="J550" s="455"/>
      <c r="K550" s="327" t="str">
        <f>IFERROR(
    IF(
        AND($H550="Zoning: Tree Points", NOT(ISNUMBER(SEARCH("sp.", $C550)))),
        VLOOKUP($C550, 'Tree List'!$C$3:$F$601, 4, FALSE),
        ""
    ),
"")</f>
        <v/>
      </c>
      <c r="L550" s="328" t="str" cm="1">
        <f t="array" ref="L550">IFERROR(
IF(
    AND($H550="Zoning: Tree Points", NOT(ISNUMBER(SEARCH("sp.", $C550)))),
    _xlfn.IFS(
        (COUNTIFS('Tree List'!$C$3:$C$601,$C550,'Tree List'!$D$3:$D$601,"Coniferous")
        + COUNTIFS('Tree List'!$C$3:$C$601,$C550,'Tree List'!$D$3:$D$601,"Deciduous Conifer")) &gt; 0,
            _xlfn.IFS($K550="Small",0.5,$K550="Small/Medium",1,$K550="Medium/Large",1.4,$K550="Large",1.8),
        (COUNTIFS('Tree List'!$C$3:$C$601,$C550,'Tree List'!$D$3:$D$601,"Deciduous")
        + COUNTIFS('Tree List'!$C$3:$C$601,$C550,'Tree List'!$D$3:$D$601,"Broadleaf Evergreen")) &gt; 0,
            _xlfn.IFS($K550="Small",0.4,$K550="Small/Medium",0.8,$K550="Medium/Large",1.2,$K550="Large",1.6)
    ),
    ""
),
"")</f>
        <v/>
      </c>
      <c r="M550" s="476" t="str">
        <f t="shared" si="573"/>
        <v/>
      </c>
      <c r="N550" s="347" t="str" cm="1">
        <f t="array" aca="1" ref="N55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IF(AND(_xlpm.baseRow,ISNA(MATCH($C550,'Tree List'!$C$3:$C$601,0)),SUMPRODUCT(--ISNUMBER(SEARCH(Tables2!$C$677:$C$772,$O550)))&gt;0),
Error!$B$57,
IF(AND(_xlpm.hasDM,$F550="Remove",$H550&lt;&gt;"",OR($I550="On-site replacement",$I550="Off-site replacement",$I550="Payment In Lieu")),
Error!$B$56,
IF(AND(_xlpm.hasDM,$F550="Remove",$H550&lt;&gt;"",$I550="Relocation"),
Error!$B$66,
IF(AND(OR(_xlpm.hasCN,_xlpm.hasPH,_xlpm.hasGR),$H550&lt;&gt;"",COUNTIF(Tables!$B$132:$B$134,$H550)&gt;0,$I550="N/A (No replacement required)"),
Error!$B$62,
IF(AND(_xlpm.baseRow,$E550&lt;&gt;"",ISNA(MATCH($E550,Tables!$B$225:$B$232,0))),
Error!$B$2,
IF(AND(_xlpm.baseRow,$F550&lt;&gt;"",ISNA(MATCH($F550,Tables!$B$234:$B$235,0))),
Error!$B$24,
IF(AND(_xlpm.baseRow,_xlpm.ECA_H&gt;0,_xlpm.Shore_H&gt;0),
Error!$B$16,
IF(AND(_xlpm.baseRow,$E550&lt;&gt;"",$D550=""),
Error!$B$3,
IF(AND(_xlpm.baseRow,OR($E550="Tier 3",$E550="Tier 4"),$C550&lt;&gt;"",$D550&gt;=24,COUNTIF(Tables2!$B$166:$B$674,$C550)&gt;0),
Error!$B$44,
IF(AND(_xlpm.baseRow,OR($E550="Tier 3",$E550="Tier 4"),$C550&lt;&gt;"",$D550&lt;&gt;"",COUNTIF(Tables2!$B$73:$B$152,$C550)&gt;0,
$D550&gt;=IFERROR(INDEX(Tables2!$C$73:$C$152,MATCH($C550,Tables2!$B$73:$B$152,0)),-1)),
Error!$B$44,
IF(AND(_xlpm.baseRow,OR($E550="Tier 2",$E550="Tier 2 Grove"),$C550&lt;&gt;"",$D550&gt;=12,COUNTIF(Tables2!$B$153:$B$162,$C550)&gt;0),
Error!$B$45,
IF(AND(_xlpm.baseRow,$E550="Tier 2 Grove",$D550&lt;12),
Error!$B$41,
IF(AND(_xlpm.baseRow,$E550="Tier 2",$D550&lt;5.88),
Error!$B$40,
IF(AND(_xlpm.baseRow,OR($E550="Tier 2",$E550="Tier 2 Grove"),$C550&lt;&gt;"",$D550&lt;12,$D550&gt;=6,COUNTIF(Tables2!$B$153:$B$162,$C550)&gt;0),
Error!$B$54,
IF(AND(_xlpm.baseRow,$E550="Tier 2",COUNTIF(Tables2!$B$166:$B$674,$C550)&gt;0,$D550&lt;24),
Error!$B$54,
IF(AND(_xlpm.baseRow,$E550="Tier 3",ISNA(MATCH($C550,Tables2!$B$153:$B$162,0)),OR($D550&lt;12,$D550&gt;=24)),
Error!$B$9,
IF(AND(_xlpm.baseRow,$E550="Tier 3",COUNTIF(Tables2!$B$153:$B$162,$C550)&gt;0,$D550&lt;12),
Error!$B$46,
IF(AND(_xlpm.baseRow,$E550="Tier 4",OR($D550&lt;6,$D550&gt;=12)),
Error!$B$10,
IF(AND(_xlpm.baseRow,$E550="&lt;6in DSH for Tree Points",OR($D550&gt;=6,$D550="")),
Error!$B$8,
IF(AND(_xlpm.baseRow,$E550="Street Tree for Green Factor",$F550&lt;&gt;"",$F550&lt;&gt;"Retain"),
Error!$B$14,
IF(AND($E550="&lt;6in DSH for Tree Points",$F550="Retain",$H550&lt;&gt;"",ISNA(MATCH($H550,Tables!$B$174:$B$174,0))),
Error!$B$15,
IF(AND($E550="Street Tree for Green Factor",$F550="Retain",$H550&lt;&gt;"",$H550&lt;&gt;"Zoning: Green Factor"),
Error!$B$15,
IF(AND($E550="ECA / Shoreline Tree",$F550="Remove",$H550&lt;&gt;"",ISNA(MATCH($H550,Tables!$B$189:$B$190,0))),
Error!$B$15,
IF(AND($E550="ECA / Shoreline Tree",$F550="Retain",$H550&lt;&gt;"",ISNA(MATCH($H550,Tables!$B$184:$B$186,0))),
Error!$B$15,
IF(AND($E550="Tier 4",$F550="Remove",$H550&lt;&gt;"",ISNA(MATCH($H550,Tables!$B$171,0))),
Error!$B$15,
IF(AND($E550="Tier 4",$F550="Retain",$H550&lt;&gt;"",ISNA(MATCH($H550,Tables!$B$166:$B$168,0))),
Error!$B$15,
IF(AND($E550="Tier 3",$F550="Retain",$H550&lt;&gt;"",ISNA(MATCH($H550,Tables!$B$158:$B$160,0))),
Error!$B$15,
IF(AND($E550="Tier 3",$F550="Remove",$H550&lt;&gt;"",ISNA(MATCH($H550,Tables!$B$163,0))),
Error!$B$15,
IF(AND(OR($E550="Tier 2",$E550="Tier 2 Grove"),$F550="Remove",$H550&lt;&gt;"",ISNA(MATCH($H550,Tables!$B$153:$B$155,0))),
Error!$B$15,
IF(AND(OR($E550="Tier 2",$E550="Tier 2 Grove"),$F550="Retain",$H550&lt;&gt;"",ISNA(MATCH($H550,Tables!$B$147:$B$150,0))),
Error!$B$15,
IF(AND($E550="Tier 1",$F550="Remove",$H550&lt;&gt;"",ISNA(MATCH($H550,Tables!$B$143:$B$144,0))),
Error!$B$15,
IF(AND($E550="Tier 1",$F550="Retain",$H550&lt;&gt;"",ISNA(MATCH($H550,Tables!$B$137:$B$140,0))),
Error!$B$15,
IF(AND($E550&lt;&gt;"Tier 2",$E550&lt;&gt;"Tier 2 Grove",$E550&lt;&gt;"Tier 3",$E550&lt;&gt;"Tier 4",$H550="Zoning: Green Factor",OR($D550="",$D550&lt;6)),
Error!$B$11,
IF(AND(_xlpm.baseRow,$D550&lt;6,$E550="&lt;6in DSH for Tree Points",_xlpm.TreePoints_H=0),
Error!$B$21,
IF(AND(_xlpm.baseRow,$E550&lt;&gt;"",$D550&lt;&gt;"",$F550=""),
Error!$B$4,
IF(AND(_xlpm.baseRow,$F550="Remove",OR($E550="Tier 1",$E550="Tier 2",$E550="Tier 2 Grove"),COUNTBLANK(_xlpm.HRange)&lt;3,_xlpm.uniqueH&gt;=2),
Error!$B$48,
IF(AND(_xlpm.baseRow,$F550="Retain",OR($E550="Tier 1",$E550="Tier 2",$E550="Tier 2 Grove"),COUNTIF(_xlpm.HRange,"Tree Code: Required to Retain Tier 1-2 Tree")=0),
Error!$B$47,
IF(AND(_xlpm.baseRow,$E550&lt;&gt;"",$D550&lt;&gt;"",$F550&lt;&gt;"",COUNTBLANK(_xlpm.HRange)=4),
Error!$B$5,
IF(AND($F550="Remove",$H550&lt;&gt;"",$I550=""),
Error!$B$18,
IF(AND($E550="Tier 4",$F550="Remove",$H550="Tree Protection Code: Tier 3 or Tier 4 Allowance",$H550&lt;&gt;"",ISNA(MATCH($I550,Tables!$B$200,0))),
Error!$B$17,
IF(AND($E550="Tier 3",$F550="Remove",$H550&lt;&gt;"",$H550="Tree Protection Code: Tier 3 or Tier 4 Allowance",OR($I550="",ISNA(MATCH($I550,Tables!$B$193:$B$197,0)))),
Error!$B$17,
IF(AND(OR($E550="Tier 2",$E550="Tier 2 Grove"),$F550="Remove",$H550="Tree Protection Code: Other removal allowance or exemption",$I550&lt;&gt;"",ISNA(MATCH($I550,Tables!$B$215:$B$218,0))),
Error!$B$17,
IF(AND(OR($E550="Tier 2",$E550="Tier 2 Grove"),$F550="Remove",$H550="Tree Protection Code: Development Capacity",$I550&lt;&gt;"",ISNA(MATCH($I550,Tables!$B$193:$B$197,0))),
Error!$B$17,
IF(AND(OR($E550="Tier 2",$E550="Tier 2 Grove"),$F550="Remove",$H550="Tree Protection Code: Necessary for Construction",$I550&lt;&gt;"",ISNA(MATCH($I550,Tables!$B$193:$B$197,0))),
Error!$B$17,
IF(AND($E550="Tier 1",$F550="Remove",$H550="Tree Protection Code: Special Exception",$I550&lt;&gt;"",ISNA(MATCH($I550,Tables!$B$215:$B$218,0))),
Error!$B$17,
IF(AND($E550="Tier 1",$F550="Remove",$H550="Tree Protection Code: Other removal allowance or exemption",$I550&lt;&gt;"",ISNA(MATCH($I550,Tables!$B$215:$B$218,0))),
Error!$B$17,
IF(AND($E550="ECA / Shoreline Tree",$F550="Remove",$H550&lt;&gt;"",OR($H550="Shoreline",$H550="Environmental Critical Area (ECA)"),ISNA(MATCH($I550,Tables!$B$209:$B$212,0))),
Error!$B$17,
IF(AND(_xlpm.baseRow,$F550="Retain",$E550="ECA / Shoreline Tree",_xlpm.ECA_Short=0),
Error!$B$61,
IF(AND($F550="Remove",ISNUMBER(MATCH($E550,{"Tier 1","Tier 2","Tier 3","Tier 4","Tier 2 Grove"},0)),ISNUMBER(MATCH($I550,{"On-site replacement","Off-site replacement"},0)),$J550="",$H550&lt;&gt;""),
Error!$B$19,
IF(AND(_xlpm.baseRow,$E550&lt;&gt;"",$D550&lt;&gt;"",$F550&lt;&gt;"",COUNTBLANK($B550:$C550)&gt;0,COUNTBLANK(_xlpm.HRange)&lt;&gt;4),
Error!$B$22,
IF(AND($H550="Zoning: Tree Points",$K550&lt;&gt;"",ISNA(MATCH($K550,Tables!$B$242:$B$253,0))),
Error!$B$58,
IF(AND($H550="Zoning: Tree Points",$K550="Small",$L550&lt;&gt;"",ISNA(MATCH($L550,Tables!$C$243:$C$244,0))),
Error!$B$59,
IF(AND($H550="Zoning: Tree Points",$K550="Small/Medium",$L550&lt;&gt;"",ISNA(MATCH($L550,Tables!$C$246:$C$247,0))),
Error!$B$59,
IF(AND($H550="Zoning: Tree Points",$K550="Medium/Large",$L550&lt;&gt;"",ISNA(MATCH($L550,Tables!$C$249:$C$250,0))),
Error!$B$59,
IF(AND($H550="Zoning: Tree Points",$K550="Large",$L550&lt;&gt;"",ISNA(MATCH($L550,Tables!$C$252:$C$253,0))),
Error!$B$59,
IF(AND($F550="Retain",$H550="Zoning: Tree Points",$C550&lt;&gt;"",$D550&lt;&gt;"",OR($K550="",$L550="",$M550="")),
Error!$B$20,
""
)))))))))))))))))))))))))))))))))))))))))))))))))))))))),
Error!$B$23))</f>
        <v/>
      </c>
      <c r="O550" s="343" t="str" cm="1">
        <f t="array" aca="1" ref="O550" ca="1">IFERROR(_xlfn.LET(
    _xlpm.txt, $C550,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51" spans="1:15" ht="15" thickBot="1" x14ac:dyDescent="0.35">
      <c r="A551" s="311">
        <v>136</v>
      </c>
      <c r="B551" s="312"/>
      <c r="C551" s="313"/>
      <c r="D551" s="478"/>
      <c r="E551" s="314"/>
      <c r="F551" s="314"/>
      <c r="G551" s="315" t="str">
        <f>IF(Tree_Table1[[#This Row],[Tree Status  &amp;]]="Retain", Tables!$B$237, IF(Tree_Table1[[#This Row],[Tree Status  &amp;]]="Remove", Tables!$B$238, ""))</f>
        <v/>
      </c>
      <c r="H551" s="316"/>
      <c r="I551" s="317"/>
      <c r="J551" s="452"/>
      <c r="K551" s="318" t="str">
        <f>IFERROR(
    IF(
        AND($H551="Zoning: Tree Points", NOT(ISNUMBER(SEARCH("sp.", $C551)))),
        VLOOKUP($C551, 'Tree List'!$C$3:$F$601, 4, FALSE),
        ""
    ),
"")</f>
        <v/>
      </c>
      <c r="L551" s="319" t="str" cm="1">
        <f t="array" ref="L551">IFERROR(
IF(
    AND($H551="Zoning: Tree Points", NOT(ISNUMBER(SEARCH("sp.", $C551)))),
    _xlfn.IFS(
        (COUNTIFS('Tree List'!$C$3:$C$601,$C551,'Tree List'!$D$3:$D$601,"Coniferous")
        + COUNTIFS('Tree List'!$C$3:$C$601,$C551,'Tree List'!$D$3:$D$601,"Deciduous Conifer")) &gt; 0,
            _xlfn.IFS($K551="Small",0.5,$K551="Small/Medium",1,$K551="Medium/Large",1.4,$K551="Large",1.8),
        (COUNTIFS('Tree List'!$C$3:$C$601,$C551,'Tree List'!$D$3:$D$601,"Deciduous")
        + COUNTIFS('Tree List'!$C$3:$C$601,$C551,'Tree List'!$D$3:$D$601,"Broadleaf Evergreen")) &gt; 0,
            _xlfn.IFS($K551="Small",0.4,$K551="Small/Medium",0.8,$K551="Medium/Large",1.2,$K551="Large",1.6)
    ),
    ""
),
"")</f>
        <v/>
      </c>
      <c r="M551" s="474" t="str">
        <f t="shared" si="573"/>
        <v/>
      </c>
      <c r="N551" s="620" t="str" cm="1">
        <f t="array" aca="1" ref="N55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IF(AND(_xlpm.baseRow,ISNA(MATCH($C551,'Tree List'!$C$3:$C$601,0)),SUMPRODUCT(--ISNUMBER(SEARCH(Tables2!$C$677:$C$772,$O551)))&gt;0),
Error!$B$57,
IF(AND(_xlpm.hasDM,$F551="Remove",$H551&lt;&gt;"",OR($I551="On-site replacement",$I551="Off-site replacement",$I551="Payment In Lieu")),
Error!$B$56,
IF(AND(_xlpm.hasDM,$F551="Remove",$H551&lt;&gt;"",$I551="Relocation"),
Error!$B$66,
IF(AND(OR(_xlpm.hasCN,_xlpm.hasPH,_xlpm.hasGR),$H551&lt;&gt;"",COUNTIF(Tables!$B$132:$B$134,$H551)&gt;0,$I551="N/A (No replacement required)"),
Error!$B$62,
IF(AND(_xlpm.baseRow,$E551&lt;&gt;"",ISNA(MATCH($E551,Tables!$B$225:$B$232,0))),
Error!$B$2,
IF(AND(_xlpm.baseRow,$F551&lt;&gt;"",ISNA(MATCH($F551,Tables!$B$234:$B$235,0))),
Error!$B$24,
IF(AND(_xlpm.baseRow,_xlpm.ECA_H&gt;0,_xlpm.Shore_H&gt;0),
Error!$B$16,
IF(AND(_xlpm.baseRow,$E551&lt;&gt;"",$D551=""),
Error!$B$3,
IF(AND(_xlpm.baseRow,OR($E551="Tier 3",$E551="Tier 4"),$C551&lt;&gt;"",$D551&gt;=24,COUNTIF(Tables2!$B$166:$B$674,$C551)&gt;0),
Error!$B$44,
IF(AND(_xlpm.baseRow,OR($E551="Tier 3",$E551="Tier 4"),$C551&lt;&gt;"",$D551&lt;&gt;"",COUNTIF(Tables2!$B$73:$B$152,$C551)&gt;0,
$D551&gt;=IFERROR(INDEX(Tables2!$C$73:$C$152,MATCH($C551,Tables2!$B$73:$B$152,0)),-1)),
Error!$B$44,
IF(AND(_xlpm.baseRow,OR($E551="Tier 2",$E551="Tier 2 Grove"),$C551&lt;&gt;"",$D551&gt;=12,COUNTIF(Tables2!$B$153:$B$162,$C551)&gt;0),
Error!$B$45,
IF(AND(_xlpm.baseRow,$E551="Tier 2 Grove",$D551&lt;12),
Error!$B$41,
IF(AND(_xlpm.baseRow,$E551="Tier 2",$D551&lt;5.88),
Error!$B$40,
IF(AND(_xlpm.baseRow,OR($E551="Tier 2",$E551="Tier 2 Grove"),$C551&lt;&gt;"",$D551&lt;12,$D551&gt;=6,COUNTIF(Tables2!$B$153:$B$162,$C551)&gt;0),
Error!$B$54,
IF(AND(_xlpm.baseRow,$E551="Tier 2",COUNTIF(Tables2!$B$166:$B$674,$C551)&gt;0,$D551&lt;24),
Error!$B$54,
IF(AND(_xlpm.baseRow,$E551="Tier 3",ISNA(MATCH($C551,Tables2!$B$153:$B$162,0)),OR($D551&lt;12,$D551&gt;=24)),
Error!$B$9,
IF(AND(_xlpm.baseRow,$E551="Tier 3",COUNTIF(Tables2!$B$153:$B$162,$C551)&gt;0,$D551&lt;12),
Error!$B$46,
IF(AND(_xlpm.baseRow,$E551="Tier 4",OR($D551&lt;6,$D551&gt;=12)),
Error!$B$10,
IF(AND(_xlpm.baseRow,$E551="&lt;6in DSH for Tree Points",OR($D551&gt;=6,$D551="")),
Error!$B$8,
IF(AND(_xlpm.baseRow,$E551="Street Tree for Green Factor",$F551&lt;&gt;"",$F551&lt;&gt;"Retain"),
Error!$B$14,
IF(AND($E551="&lt;6in DSH for Tree Points",$F551="Retain",$H551&lt;&gt;"",ISNA(MATCH($H551,Tables!$B$174:$B$174,0))),
Error!$B$15,
IF(AND($E551="Street Tree for Green Factor",$F551="Retain",$H551&lt;&gt;"",$H551&lt;&gt;"Zoning: Green Factor"),
Error!$B$15,
IF(AND($E551="ECA / Shoreline Tree",$F551="Remove",$H551&lt;&gt;"",ISNA(MATCH($H551,Tables!$B$189:$B$190,0))),
Error!$B$15,
IF(AND($E551="ECA / Shoreline Tree",$F551="Retain",$H551&lt;&gt;"",ISNA(MATCH($H551,Tables!$B$184:$B$186,0))),
Error!$B$15,
IF(AND($E551="Tier 4",$F551="Remove",$H551&lt;&gt;"",ISNA(MATCH($H551,Tables!$B$171,0))),
Error!$B$15,
IF(AND($E551="Tier 4",$F551="Retain",$H551&lt;&gt;"",ISNA(MATCH($H551,Tables!$B$166:$B$168,0))),
Error!$B$15,
IF(AND($E551="Tier 3",$F551="Retain",$H551&lt;&gt;"",ISNA(MATCH($H551,Tables!$B$158:$B$160,0))),
Error!$B$15,
IF(AND($E551="Tier 3",$F551="Remove",$H551&lt;&gt;"",ISNA(MATCH($H551,Tables!$B$163,0))),
Error!$B$15,
IF(AND(OR($E551="Tier 2",$E551="Tier 2 Grove"),$F551="Remove",$H551&lt;&gt;"",ISNA(MATCH($H551,Tables!$B$153:$B$155,0))),
Error!$B$15,
IF(AND(OR($E551="Tier 2",$E551="Tier 2 Grove"),$F551="Retain",$H551&lt;&gt;"",ISNA(MATCH($H551,Tables!$B$147:$B$150,0))),
Error!$B$15,
IF(AND($E551="Tier 1",$F551="Remove",$H551&lt;&gt;"",ISNA(MATCH($H551,Tables!$B$143:$B$144,0))),
Error!$B$15,
IF(AND($E551="Tier 1",$F551="Retain",$H551&lt;&gt;"",ISNA(MATCH($H551,Tables!$B$137:$B$140,0))),
Error!$B$15,
IF(AND($E551&lt;&gt;"Tier 2",$E551&lt;&gt;"Tier 2 Grove",$E551&lt;&gt;"Tier 3",$E551&lt;&gt;"Tier 4",$H551="Zoning: Green Factor",OR($D551="",$D551&lt;6)),
Error!$B$11,
IF(AND(_xlpm.baseRow,$D551&lt;6,$E551="&lt;6in DSH for Tree Points",_xlpm.TreePoints_H=0),
Error!$B$21,
IF(AND(_xlpm.baseRow,$E551&lt;&gt;"",$D551&lt;&gt;"",$F551=""),
Error!$B$4,
IF(AND(_xlpm.baseRow,$F551="Remove",OR($E551="Tier 1",$E551="Tier 2",$E551="Tier 2 Grove"),COUNTBLANK(_xlpm.HRange)&lt;3,_xlpm.uniqueH&gt;=2),
Error!$B$48,
IF(AND(_xlpm.baseRow,$F551="Retain",OR($E551="Tier 1",$E551="Tier 2",$E551="Tier 2 Grove"),COUNTIF(_xlpm.HRange,"Tree Code: Required to Retain Tier 1-2 Tree")=0),
Error!$B$47,
IF(AND(_xlpm.baseRow,$E551&lt;&gt;"",$D551&lt;&gt;"",$F551&lt;&gt;"",COUNTBLANK(_xlpm.HRange)=4),
Error!$B$5,
IF(AND($F551="Remove",$H551&lt;&gt;"",$I551=""),
Error!$B$18,
IF(AND($E551="Tier 4",$F551="Remove",$H551="Tree Protection Code: Tier 3 or Tier 4 Allowance",$H551&lt;&gt;"",ISNA(MATCH($I551,Tables!$B$200,0))),
Error!$B$17,
IF(AND($E551="Tier 3",$F551="Remove",$H551&lt;&gt;"",$H551="Tree Protection Code: Tier 3 or Tier 4 Allowance",OR($I551="",ISNA(MATCH($I551,Tables!$B$193:$B$197,0)))),
Error!$B$17,
IF(AND(OR($E551="Tier 2",$E551="Tier 2 Grove"),$F551="Remove",$H551="Tree Protection Code: Other removal allowance or exemption",$I551&lt;&gt;"",ISNA(MATCH($I551,Tables!$B$215:$B$218,0))),
Error!$B$17,
IF(AND(OR($E551="Tier 2",$E551="Tier 2 Grove"),$F551="Remove",$H551="Tree Protection Code: Development Capacity",$I551&lt;&gt;"",ISNA(MATCH($I551,Tables!$B$193:$B$197,0))),
Error!$B$17,
IF(AND(OR($E551="Tier 2",$E551="Tier 2 Grove"),$F551="Remove",$H551="Tree Protection Code: Necessary for Construction",$I551&lt;&gt;"",ISNA(MATCH($I551,Tables!$B$193:$B$197,0))),
Error!$B$17,
IF(AND($E551="Tier 1",$F551="Remove",$H551="Tree Protection Code: Special Exception",$I551&lt;&gt;"",ISNA(MATCH($I551,Tables!$B$215:$B$218,0))),
Error!$B$17,
IF(AND($E551="Tier 1",$F551="Remove",$H551="Tree Protection Code: Other removal allowance or exemption",$I551&lt;&gt;"",ISNA(MATCH($I551,Tables!$B$215:$B$218,0))),
Error!$B$17,
IF(AND($E551="ECA / Shoreline Tree",$F551="Remove",$H551&lt;&gt;"",OR($H551="Shoreline",$H551="Environmental Critical Area (ECA)"),ISNA(MATCH($I551,Tables!$B$209:$B$212,0))),
Error!$B$17,
IF(AND(_xlpm.baseRow,$F551="Retain",$E551="ECA / Shoreline Tree",_xlpm.ECA_Short=0),
Error!$B$61,
IF(AND($F551="Remove",ISNUMBER(MATCH($E551,{"Tier 1","Tier 2","Tier 3","Tier 4","Tier 2 Grove"},0)),ISNUMBER(MATCH($I551,{"On-site replacement","Off-site replacement"},0)),$J551="",$H551&lt;&gt;""),
Error!$B$19,
IF(AND(_xlpm.baseRow,$E551&lt;&gt;"",$D551&lt;&gt;"",$F551&lt;&gt;"",COUNTBLANK($B551:$C551)&gt;0,COUNTBLANK(_xlpm.HRange)&lt;&gt;4),
Error!$B$22,
IF(AND($H551="Zoning: Tree Points",$K551&lt;&gt;"",ISNA(MATCH($K551,Tables!$B$242:$B$253,0))),
Error!$B$58,
IF(AND($H551="Zoning: Tree Points",$K551="Small",$L551&lt;&gt;"",ISNA(MATCH($L551,Tables!$C$243:$C$244,0))),
Error!$B$59,
IF(AND($H551="Zoning: Tree Points",$K551="Small/Medium",$L551&lt;&gt;"",ISNA(MATCH($L551,Tables!$C$246:$C$247,0))),
Error!$B$59,
IF(AND($H551="Zoning: Tree Points",$K551="Medium/Large",$L551&lt;&gt;"",ISNA(MATCH($L551,Tables!$C$249:$C$250,0))),
Error!$B$59,
IF(AND($H551="Zoning: Tree Points",$K551="Large",$L551&lt;&gt;"",ISNA(MATCH($L551,Tables!$C$252:$C$253,0))),
Error!$B$59,
IF(AND($F551="Retain",$H551="Zoning: Tree Points",$C551&lt;&gt;"",$D551&lt;&gt;"",OR($K551="",$L551="",$M551="")),
Error!$B$20,
""
)))))))))))))))))))))))))))))))))))))))))))))))))))))))),
Error!$B$23))</f>
        <v/>
      </c>
      <c r="O551" s="343" t="str" cm="1">
        <f t="array" aca="1" ref="O551" ca="1">IFERROR(_xlfn.LET(
    _xlpm.txt, $C551,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52" spans="1:15" x14ac:dyDescent="0.3">
      <c r="A552" s="320"/>
      <c r="B552" s="616" t="str">
        <f t="shared" ref="B552:B554" si="639">IF($B551="", "", $B551)</f>
        <v/>
      </c>
      <c r="C552" s="617" t="str">
        <f t="shared" ref="C552:C554" si="640">IF($C551="", "", $C551)</f>
        <v/>
      </c>
      <c r="D552" s="618" t="str">
        <f t="shared" ref="D552:D554" si="641">IF($D551="", "", $D551)</f>
        <v/>
      </c>
      <c r="E552" s="616" t="str">
        <f t="shared" ref="E552:E554" si="642">IF($E551="", "", $E551)</f>
        <v/>
      </c>
      <c r="F552" s="616" t="str">
        <f t="shared" ref="F552:F554" si="643">IF($F551="", "", $F551)</f>
        <v/>
      </c>
      <c r="G552" s="619" t="str">
        <f>IF(Tree_Table1[[#This Row],[Tree Status  &amp;]]="Retain", Tables!$B$237, IF(Tree_Table1[[#This Row],[Tree Status  &amp;]]="Remove", Tables!$B$238, ""))</f>
        <v/>
      </c>
      <c r="H552" s="321"/>
      <c r="I552" s="322"/>
      <c r="J552" s="453"/>
      <c r="K552" s="323" t="str">
        <f>IFERROR(
    IF(
        AND($H552="Zoning: Tree Points", NOT(ISNUMBER(SEARCH("sp.", $C552)))),
        VLOOKUP($C552, 'Tree List'!$C$3:$F$601, 4, FALSE),
        ""
    ),
"")</f>
        <v/>
      </c>
      <c r="L552" s="324" t="str" cm="1">
        <f t="array" ref="L552">IFERROR(
IF(
    AND($H552="Zoning: Tree Points", NOT(ISNUMBER(SEARCH("sp.", $C552)))),
    _xlfn.IFS(
        (COUNTIFS('Tree List'!$C$3:$C$601,$C552,'Tree List'!$D$3:$D$601,"Coniferous")
        + COUNTIFS('Tree List'!$C$3:$C$601,$C552,'Tree List'!$D$3:$D$601,"Deciduous Conifer")) &gt; 0,
            _xlfn.IFS($K552="Small",0.5,$K552="Small/Medium",1,$K552="Medium/Large",1.4,$K552="Large",1.8),
        (COUNTIFS('Tree List'!$C$3:$C$601,$C552,'Tree List'!$D$3:$D$601,"Deciduous")
        + COUNTIFS('Tree List'!$C$3:$C$601,$C552,'Tree List'!$D$3:$D$601,"Broadleaf Evergreen")) &gt; 0,
            _xlfn.IFS($K552="Small",0.4,$K552="Small/Medium",0.8,$K552="Medium/Large",1.2,$K552="Large",1.6)
    ),
    ""
),
"")</f>
        <v/>
      </c>
      <c r="M552" s="475" t="str">
        <f t="shared" si="573"/>
        <v/>
      </c>
      <c r="N552" s="346" t="str" cm="1">
        <f t="array" aca="1" ref="N55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IF(AND(_xlpm.baseRow,ISNA(MATCH($C552,'Tree List'!$C$3:$C$601,0)),SUMPRODUCT(--ISNUMBER(SEARCH(Tables2!$C$677:$C$772,$O552)))&gt;0),
Error!$B$57,
IF(AND(_xlpm.hasDM,$F552="Remove",$H552&lt;&gt;"",OR($I552="On-site replacement",$I552="Off-site replacement",$I552="Payment In Lieu")),
Error!$B$56,
IF(AND(_xlpm.hasDM,$F552="Remove",$H552&lt;&gt;"",$I552="Relocation"),
Error!$B$66,
IF(AND(OR(_xlpm.hasCN,_xlpm.hasPH,_xlpm.hasGR),$H552&lt;&gt;"",COUNTIF(Tables!$B$132:$B$134,$H552)&gt;0,$I552="N/A (No replacement required)"),
Error!$B$62,
IF(AND(_xlpm.baseRow,$E552&lt;&gt;"",ISNA(MATCH($E552,Tables!$B$225:$B$232,0))),
Error!$B$2,
IF(AND(_xlpm.baseRow,$F552&lt;&gt;"",ISNA(MATCH($F552,Tables!$B$234:$B$235,0))),
Error!$B$24,
IF(AND(_xlpm.baseRow,_xlpm.ECA_H&gt;0,_xlpm.Shore_H&gt;0),
Error!$B$16,
IF(AND(_xlpm.baseRow,$E552&lt;&gt;"",$D552=""),
Error!$B$3,
IF(AND(_xlpm.baseRow,OR($E552="Tier 3",$E552="Tier 4"),$C552&lt;&gt;"",$D552&gt;=24,COUNTIF(Tables2!$B$166:$B$674,$C552)&gt;0),
Error!$B$44,
IF(AND(_xlpm.baseRow,OR($E552="Tier 3",$E552="Tier 4"),$C552&lt;&gt;"",$D552&lt;&gt;"",COUNTIF(Tables2!$B$73:$B$152,$C552)&gt;0,
$D552&gt;=IFERROR(INDEX(Tables2!$C$73:$C$152,MATCH($C552,Tables2!$B$73:$B$152,0)),-1)),
Error!$B$44,
IF(AND(_xlpm.baseRow,OR($E552="Tier 2",$E552="Tier 2 Grove"),$C552&lt;&gt;"",$D552&gt;=12,COUNTIF(Tables2!$B$153:$B$162,$C552)&gt;0),
Error!$B$45,
IF(AND(_xlpm.baseRow,$E552="Tier 2 Grove",$D552&lt;12),
Error!$B$41,
IF(AND(_xlpm.baseRow,$E552="Tier 2",$D552&lt;5.88),
Error!$B$40,
IF(AND(_xlpm.baseRow,OR($E552="Tier 2",$E552="Tier 2 Grove"),$C552&lt;&gt;"",$D552&lt;12,$D552&gt;=6,COUNTIF(Tables2!$B$153:$B$162,$C552)&gt;0),
Error!$B$54,
IF(AND(_xlpm.baseRow,$E552="Tier 2",COUNTIF(Tables2!$B$166:$B$674,$C552)&gt;0,$D552&lt;24),
Error!$B$54,
IF(AND(_xlpm.baseRow,$E552="Tier 3",ISNA(MATCH($C552,Tables2!$B$153:$B$162,0)),OR($D552&lt;12,$D552&gt;=24)),
Error!$B$9,
IF(AND(_xlpm.baseRow,$E552="Tier 3",COUNTIF(Tables2!$B$153:$B$162,$C552)&gt;0,$D552&lt;12),
Error!$B$46,
IF(AND(_xlpm.baseRow,$E552="Tier 4",OR($D552&lt;6,$D552&gt;=12)),
Error!$B$10,
IF(AND(_xlpm.baseRow,$E552="&lt;6in DSH for Tree Points",OR($D552&gt;=6,$D552="")),
Error!$B$8,
IF(AND(_xlpm.baseRow,$E552="Street Tree for Green Factor",$F552&lt;&gt;"",$F552&lt;&gt;"Retain"),
Error!$B$14,
IF(AND($E552="&lt;6in DSH for Tree Points",$F552="Retain",$H552&lt;&gt;"",ISNA(MATCH($H552,Tables!$B$174:$B$174,0))),
Error!$B$15,
IF(AND($E552="Street Tree for Green Factor",$F552="Retain",$H552&lt;&gt;"",$H552&lt;&gt;"Zoning: Green Factor"),
Error!$B$15,
IF(AND($E552="ECA / Shoreline Tree",$F552="Remove",$H552&lt;&gt;"",ISNA(MATCH($H552,Tables!$B$189:$B$190,0))),
Error!$B$15,
IF(AND($E552="ECA / Shoreline Tree",$F552="Retain",$H552&lt;&gt;"",ISNA(MATCH($H552,Tables!$B$184:$B$186,0))),
Error!$B$15,
IF(AND($E552="Tier 4",$F552="Remove",$H552&lt;&gt;"",ISNA(MATCH($H552,Tables!$B$171,0))),
Error!$B$15,
IF(AND($E552="Tier 4",$F552="Retain",$H552&lt;&gt;"",ISNA(MATCH($H552,Tables!$B$166:$B$168,0))),
Error!$B$15,
IF(AND($E552="Tier 3",$F552="Retain",$H552&lt;&gt;"",ISNA(MATCH($H552,Tables!$B$158:$B$160,0))),
Error!$B$15,
IF(AND($E552="Tier 3",$F552="Remove",$H552&lt;&gt;"",ISNA(MATCH($H552,Tables!$B$163,0))),
Error!$B$15,
IF(AND(OR($E552="Tier 2",$E552="Tier 2 Grove"),$F552="Remove",$H552&lt;&gt;"",ISNA(MATCH($H552,Tables!$B$153:$B$155,0))),
Error!$B$15,
IF(AND(OR($E552="Tier 2",$E552="Tier 2 Grove"),$F552="Retain",$H552&lt;&gt;"",ISNA(MATCH($H552,Tables!$B$147:$B$150,0))),
Error!$B$15,
IF(AND($E552="Tier 1",$F552="Remove",$H552&lt;&gt;"",ISNA(MATCH($H552,Tables!$B$143:$B$144,0))),
Error!$B$15,
IF(AND($E552="Tier 1",$F552="Retain",$H552&lt;&gt;"",ISNA(MATCH($H552,Tables!$B$137:$B$140,0))),
Error!$B$15,
IF(AND($E552&lt;&gt;"Tier 2",$E552&lt;&gt;"Tier 2 Grove",$E552&lt;&gt;"Tier 3",$E552&lt;&gt;"Tier 4",$H552="Zoning: Green Factor",OR($D552="",$D552&lt;6)),
Error!$B$11,
IF(AND(_xlpm.baseRow,$D552&lt;6,$E552="&lt;6in DSH for Tree Points",_xlpm.TreePoints_H=0),
Error!$B$21,
IF(AND(_xlpm.baseRow,$E552&lt;&gt;"",$D552&lt;&gt;"",$F552=""),
Error!$B$4,
IF(AND(_xlpm.baseRow,$F552="Remove",OR($E552="Tier 1",$E552="Tier 2",$E552="Tier 2 Grove"),COUNTBLANK(_xlpm.HRange)&lt;3,_xlpm.uniqueH&gt;=2),
Error!$B$48,
IF(AND(_xlpm.baseRow,$F552="Retain",OR($E552="Tier 1",$E552="Tier 2",$E552="Tier 2 Grove"),COUNTIF(_xlpm.HRange,"Tree Code: Required to Retain Tier 1-2 Tree")=0),
Error!$B$47,
IF(AND(_xlpm.baseRow,$E552&lt;&gt;"",$D552&lt;&gt;"",$F552&lt;&gt;"",COUNTBLANK(_xlpm.HRange)=4),
Error!$B$5,
IF(AND($F552="Remove",$H552&lt;&gt;"",$I552=""),
Error!$B$18,
IF(AND($E552="Tier 4",$F552="Remove",$H552="Tree Protection Code: Tier 3 or Tier 4 Allowance",$H552&lt;&gt;"",ISNA(MATCH($I552,Tables!$B$200,0))),
Error!$B$17,
IF(AND($E552="Tier 3",$F552="Remove",$H552&lt;&gt;"",$H552="Tree Protection Code: Tier 3 or Tier 4 Allowance",OR($I552="",ISNA(MATCH($I552,Tables!$B$193:$B$197,0)))),
Error!$B$17,
IF(AND(OR($E552="Tier 2",$E552="Tier 2 Grove"),$F552="Remove",$H552="Tree Protection Code: Other removal allowance or exemption",$I552&lt;&gt;"",ISNA(MATCH($I552,Tables!$B$215:$B$218,0))),
Error!$B$17,
IF(AND(OR($E552="Tier 2",$E552="Tier 2 Grove"),$F552="Remove",$H552="Tree Protection Code: Development Capacity",$I552&lt;&gt;"",ISNA(MATCH($I552,Tables!$B$193:$B$197,0))),
Error!$B$17,
IF(AND(OR($E552="Tier 2",$E552="Tier 2 Grove"),$F552="Remove",$H552="Tree Protection Code: Necessary for Construction",$I552&lt;&gt;"",ISNA(MATCH($I552,Tables!$B$193:$B$197,0))),
Error!$B$17,
IF(AND($E552="Tier 1",$F552="Remove",$H552="Tree Protection Code: Special Exception",$I552&lt;&gt;"",ISNA(MATCH($I552,Tables!$B$215:$B$218,0))),
Error!$B$17,
IF(AND($E552="Tier 1",$F552="Remove",$H552="Tree Protection Code: Other removal allowance or exemption",$I552&lt;&gt;"",ISNA(MATCH($I552,Tables!$B$215:$B$218,0))),
Error!$B$17,
IF(AND($E552="ECA / Shoreline Tree",$F552="Remove",$H552&lt;&gt;"",OR($H552="Shoreline",$H552="Environmental Critical Area (ECA)"),ISNA(MATCH($I552,Tables!$B$209:$B$212,0))),
Error!$B$17,
IF(AND(_xlpm.baseRow,$F552="Retain",$E552="ECA / Shoreline Tree",_xlpm.ECA_Short=0),
Error!$B$61,
IF(AND($F552="Remove",ISNUMBER(MATCH($E552,{"Tier 1","Tier 2","Tier 3","Tier 4","Tier 2 Grove"},0)),ISNUMBER(MATCH($I552,{"On-site replacement","Off-site replacement"},0)),$J552="",$H552&lt;&gt;""),
Error!$B$19,
IF(AND(_xlpm.baseRow,$E552&lt;&gt;"",$D552&lt;&gt;"",$F552&lt;&gt;"",COUNTBLANK($B552:$C552)&gt;0,COUNTBLANK(_xlpm.HRange)&lt;&gt;4),
Error!$B$22,
IF(AND($H552="Zoning: Tree Points",$K552&lt;&gt;"",ISNA(MATCH($K552,Tables!$B$242:$B$253,0))),
Error!$B$58,
IF(AND($H552="Zoning: Tree Points",$K552="Small",$L552&lt;&gt;"",ISNA(MATCH($L552,Tables!$C$243:$C$244,0))),
Error!$B$59,
IF(AND($H552="Zoning: Tree Points",$K552="Small/Medium",$L552&lt;&gt;"",ISNA(MATCH($L552,Tables!$C$246:$C$247,0))),
Error!$B$59,
IF(AND($H552="Zoning: Tree Points",$K552="Medium/Large",$L552&lt;&gt;"",ISNA(MATCH($L552,Tables!$C$249:$C$250,0))),
Error!$B$59,
IF(AND($H552="Zoning: Tree Points",$K552="Large",$L552&lt;&gt;"",ISNA(MATCH($L552,Tables!$C$252:$C$253,0))),
Error!$B$59,
IF(AND($F552="Retain",$H552="Zoning: Tree Points",$C552&lt;&gt;"",$D552&lt;&gt;"",OR($K552="",$L552="",$M552="")),
Error!$B$20,
""
)))))))))))))))))))))))))))))))))))))))))))))))))))))))),
Error!$B$23))</f>
        <v/>
      </c>
      <c r="O552" s="343" t="str" cm="1">
        <f t="array" aca="1" ref="O552" ca="1">IFERROR(_xlfn.LET(
    _xlpm.txt, $C552,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53" spans="1:15" x14ac:dyDescent="0.3">
      <c r="A553" s="320"/>
      <c r="B553" s="616" t="str">
        <f t="shared" si="639"/>
        <v/>
      </c>
      <c r="C553" s="617" t="str">
        <f t="shared" si="640"/>
        <v/>
      </c>
      <c r="D553" s="618" t="str">
        <f t="shared" si="641"/>
        <v/>
      </c>
      <c r="E553" s="616" t="str">
        <f t="shared" si="642"/>
        <v/>
      </c>
      <c r="F553" s="616" t="str">
        <f t="shared" si="643"/>
        <v/>
      </c>
      <c r="G553" s="619" t="str">
        <f>IF(Tree_Table1[[#This Row],[Tree Status  &amp;]]="Retain", Tables!$B$237, IF(Tree_Table1[[#This Row],[Tree Status  &amp;]]="Remove", Tables!$B$238, ""))</f>
        <v/>
      </c>
      <c r="H553" s="321"/>
      <c r="I553" s="322"/>
      <c r="J553" s="453"/>
      <c r="K553" s="323" t="str">
        <f>IFERROR(
    IF(
        AND($H553="Zoning: Tree Points", NOT(ISNUMBER(SEARCH("sp.", $C553)))),
        VLOOKUP($C553, 'Tree List'!$C$3:$F$601, 4, FALSE),
        ""
    ),
"")</f>
        <v/>
      </c>
      <c r="L553" s="324" t="str" cm="1">
        <f t="array" ref="L553">IFERROR(
IF(
    AND($H553="Zoning: Tree Points", NOT(ISNUMBER(SEARCH("sp.", $C553)))),
    _xlfn.IFS(
        (COUNTIFS('Tree List'!$C$3:$C$601,$C553,'Tree List'!$D$3:$D$601,"Coniferous")
        + COUNTIFS('Tree List'!$C$3:$C$601,$C553,'Tree List'!$D$3:$D$601,"Deciduous Conifer")) &gt; 0,
            _xlfn.IFS($K553="Small",0.5,$K553="Small/Medium",1,$K553="Medium/Large",1.4,$K553="Large",1.8),
        (COUNTIFS('Tree List'!$C$3:$C$601,$C553,'Tree List'!$D$3:$D$601,"Deciduous")
        + COUNTIFS('Tree List'!$C$3:$C$601,$C553,'Tree List'!$D$3:$D$601,"Broadleaf Evergreen")) &gt; 0,
            _xlfn.IFS($K553="Small",0.4,$K553="Small/Medium",0.8,$K553="Medium/Large",1.2,$K553="Large",1.6)
    ),
    ""
),
"")</f>
        <v/>
      </c>
      <c r="M553" s="475" t="str">
        <f t="shared" si="573"/>
        <v/>
      </c>
      <c r="N553" s="346" t="str" cm="1">
        <f t="array" aca="1" ref="N55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IF(AND(_xlpm.baseRow,ISNA(MATCH($C553,'Tree List'!$C$3:$C$601,0)),SUMPRODUCT(--ISNUMBER(SEARCH(Tables2!$C$677:$C$772,$O553)))&gt;0),
Error!$B$57,
IF(AND(_xlpm.hasDM,$F553="Remove",$H553&lt;&gt;"",OR($I553="On-site replacement",$I553="Off-site replacement",$I553="Payment In Lieu")),
Error!$B$56,
IF(AND(_xlpm.hasDM,$F553="Remove",$H553&lt;&gt;"",$I553="Relocation"),
Error!$B$66,
IF(AND(OR(_xlpm.hasCN,_xlpm.hasPH,_xlpm.hasGR),$H553&lt;&gt;"",COUNTIF(Tables!$B$132:$B$134,$H553)&gt;0,$I553="N/A (No replacement required)"),
Error!$B$62,
IF(AND(_xlpm.baseRow,$E553&lt;&gt;"",ISNA(MATCH($E553,Tables!$B$225:$B$232,0))),
Error!$B$2,
IF(AND(_xlpm.baseRow,$F553&lt;&gt;"",ISNA(MATCH($F553,Tables!$B$234:$B$235,0))),
Error!$B$24,
IF(AND(_xlpm.baseRow,_xlpm.ECA_H&gt;0,_xlpm.Shore_H&gt;0),
Error!$B$16,
IF(AND(_xlpm.baseRow,$E553&lt;&gt;"",$D553=""),
Error!$B$3,
IF(AND(_xlpm.baseRow,OR($E553="Tier 3",$E553="Tier 4"),$C553&lt;&gt;"",$D553&gt;=24,COUNTIF(Tables2!$B$166:$B$674,$C553)&gt;0),
Error!$B$44,
IF(AND(_xlpm.baseRow,OR($E553="Tier 3",$E553="Tier 4"),$C553&lt;&gt;"",$D553&lt;&gt;"",COUNTIF(Tables2!$B$73:$B$152,$C553)&gt;0,
$D553&gt;=IFERROR(INDEX(Tables2!$C$73:$C$152,MATCH($C553,Tables2!$B$73:$B$152,0)),-1)),
Error!$B$44,
IF(AND(_xlpm.baseRow,OR($E553="Tier 2",$E553="Tier 2 Grove"),$C553&lt;&gt;"",$D553&gt;=12,COUNTIF(Tables2!$B$153:$B$162,$C553)&gt;0),
Error!$B$45,
IF(AND(_xlpm.baseRow,$E553="Tier 2 Grove",$D553&lt;12),
Error!$B$41,
IF(AND(_xlpm.baseRow,$E553="Tier 2",$D553&lt;5.88),
Error!$B$40,
IF(AND(_xlpm.baseRow,OR($E553="Tier 2",$E553="Tier 2 Grove"),$C553&lt;&gt;"",$D553&lt;12,$D553&gt;=6,COUNTIF(Tables2!$B$153:$B$162,$C553)&gt;0),
Error!$B$54,
IF(AND(_xlpm.baseRow,$E553="Tier 2",COUNTIF(Tables2!$B$166:$B$674,$C553)&gt;0,$D553&lt;24),
Error!$B$54,
IF(AND(_xlpm.baseRow,$E553="Tier 3",ISNA(MATCH($C553,Tables2!$B$153:$B$162,0)),OR($D553&lt;12,$D553&gt;=24)),
Error!$B$9,
IF(AND(_xlpm.baseRow,$E553="Tier 3",COUNTIF(Tables2!$B$153:$B$162,$C553)&gt;0,$D553&lt;12),
Error!$B$46,
IF(AND(_xlpm.baseRow,$E553="Tier 4",OR($D553&lt;6,$D553&gt;=12)),
Error!$B$10,
IF(AND(_xlpm.baseRow,$E553="&lt;6in DSH for Tree Points",OR($D553&gt;=6,$D553="")),
Error!$B$8,
IF(AND(_xlpm.baseRow,$E553="Street Tree for Green Factor",$F553&lt;&gt;"",$F553&lt;&gt;"Retain"),
Error!$B$14,
IF(AND($E553="&lt;6in DSH for Tree Points",$F553="Retain",$H553&lt;&gt;"",ISNA(MATCH($H553,Tables!$B$174:$B$174,0))),
Error!$B$15,
IF(AND($E553="Street Tree for Green Factor",$F553="Retain",$H553&lt;&gt;"",$H553&lt;&gt;"Zoning: Green Factor"),
Error!$B$15,
IF(AND($E553="ECA / Shoreline Tree",$F553="Remove",$H553&lt;&gt;"",ISNA(MATCH($H553,Tables!$B$189:$B$190,0))),
Error!$B$15,
IF(AND($E553="ECA / Shoreline Tree",$F553="Retain",$H553&lt;&gt;"",ISNA(MATCH($H553,Tables!$B$184:$B$186,0))),
Error!$B$15,
IF(AND($E553="Tier 4",$F553="Remove",$H553&lt;&gt;"",ISNA(MATCH($H553,Tables!$B$171,0))),
Error!$B$15,
IF(AND($E553="Tier 4",$F553="Retain",$H553&lt;&gt;"",ISNA(MATCH($H553,Tables!$B$166:$B$168,0))),
Error!$B$15,
IF(AND($E553="Tier 3",$F553="Retain",$H553&lt;&gt;"",ISNA(MATCH($H553,Tables!$B$158:$B$160,0))),
Error!$B$15,
IF(AND($E553="Tier 3",$F553="Remove",$H553&lt;&gt;"",ISNA(MATCH($H553,Tables!$B$163,0))),
Error!$B$15,
IF(AND(OR($E553="Tier 2",$E553="Tier 2 Grove"),$F553="Remove",$H553&lt;&gt;"",ISNA(MATCH($H553,Tables!$B$153:$B$155,0))),
Error!$B$15,
IF(AND(OR($E553="Tier 2",$E553="Tier 2 Grove"),$F553="Retain",$H553&lt;&gt;"",ISNA(MATCH($H553,Tables!$B$147:$B$150,0))),
Error!$B$15,
IF(AND($E553="Tier 1",$F553="Remove",$H553&lt;&gt;"",ISNA(MATCH($H553,Tables!$B$143:$B$144,0))),
Error!$B$15,
IF(AND($E553="Tier 1",$F553="Retain",$H553&lt;&gt;"",ISNA(MATCH($H553,Tables!$B$137:$B$140,0))),
Error!$B$15,
IF(AND($E553&lt;&gt;"Tier 2",$E553&lt;&gt;"Tier 2 Grove",$E553&lt;&gt;"Tier 3",$E553&lt;&gt;"Tier 4",$H553="Zoning: Green Factor",OR($D553="",$D553&lt;6)),
Error!$B$11,
IF(AND(_xlpm.baseRow,$D553&lt;6,$E553="&lt;6in DSH for Tree Points",_xlpm.TreePoints_H=0),
Error!$B$21,
IF(AND(_xlpm.baseRow,$E553&lt;&gt;"",$D553&lt;&gt;"",$F553=""),
Error!$B$4,
IF(AND(_xlpm.baseRow,$F553="Remove",OR($E553="Tier 1",$E553="Tier 2",$E553="Tier 2 Grove"),COUNTBLANK(_xlpm.HRange)&lt;3,_xlpm.uniqueH&gt;=2),
Error!$B$48,
IF(AND(_xlpm.baseRow,$F553="Retain",OR($E553="Tier 1",$E553="Tier 2",$E553="Tier 2 Grove"),COUNTIF(_xlpm.HRange,"Tree Code: Required to Retain Tier 1-2 Tree")=0),
Error!$B$47,
IF(AND(_xlpm.baseRow,$E553&lt;&gt;"",$D553&lt;&gt;"",$F553&lt;&gt;"",COUNTBLANK(_xlpm.HRange)=4),
Error!$B$5,
IF(AND($F553="Remove",$H553&lt;&gt;"",$I553=""),
Error!$B$18,
IF(AND($E553="Tier 4",$F553="Remove",$H553="Tree Protection Code: Tier 3 or Tier 4 Allowance",$H553&lt;&gt;"",ISNA(MATCH($I553,Tables!$B$200,0))),
Error!$B$17,
IF(AND($E553="Tier 3",$F553="Remove",$H553&lt;&gt;"",$H553="Tree Protection Code: Tier 3 or Tier 4 Allowance",OR($I553="",ISNA(MATCH($I553,Tables!$B$193:$B$197,0)))),
Error!$B$17,
IF(AND(OR($E553="Tier 2",$E553="Tier 2 Grove"),$F553="Remove",$H553="Tree Protection Code: Other removal allowance or exemption",$I553&lt;&gt;"",ISNA(MATCH($I553,Tables!$B$215:$B$218,0))),
Error!$B$17,
IF(AND(OR($E553="Tier 2",$E553="Tier 2 Grove"),$F553="Remove",$H553="Tree Protection Code: Development Capacity",$I553&lt;&gt;"",ISNA(MATCH($I553,Tables!$B$193:$B$197,0))),
Error!$B$17,
IF(AND(OR($E553="Tier 2",$E553="Tier 2 Grove"),$F553="Remove",$H553="Tree Protection Code: Necessary for Construction",$I553&lt;&gt;"",ISNA(MATCH($I553,Tables!$B$193:$B$197,0))),
Error!$B$17,
IF(AND($E553="Tier 1",$F553="Remove",$H553="Tree Protection Code: Special Exception",$I553&lt;&gt;"",ISNA(MATCH($I553,Tables!$B$215:$B$218,0))),
Error!$B$17,
IF(AND($E553="Tier 1",$F553="Remove",$H553="Tree Protection Code: Other removal allowance or exemption",$I553&lt;&gt;"",ISNA(MATCH($I553,Tables!$B$215:$B$218,0))),
Error!$B$17,
IF(AND($E553="ECA / Shoreline Tree",$F553="Remove",$H553&lt;&gt;"",OR($H553="Shoreline",$H553="Environmental Critical Area (ECA)"),ISNA(MATCH($I553,Tables!$B$209:$B$212,0))),
Error!$B$17,
IF(AND(_xlpm.baseRow,$F553="Retain",$E553="ECA / Shoreline Tree",_xlpm.ECA_Short=0),
Error!$B$61,
IF(AND($F553="Remove",ISNUMBER(MATCH($E553,{"Tier 1","Tier 2","Tier 3","Tier 4","Tier 2 Grove"},0)),ISNUMBER(MATCH($I553,{"On-site replacement","Off-site replacement"},0)),$J553="",$H553&lt;&gt;""),
Error!$B$19,
IF(AND(_xlpm.baseRow,$E553&lt;&gt;"",$D553&lt;&gt;"",$F553&lt;&gt;"",COUNTBLANK($B553:$C553)&gt;0,COUNTBLANK(_xlpm.HRange)&lt;&gt;4),
Error!$B$22,
IF(AND($H553="Zoning: Tree Points",$K553&lt;&gt;"",ISNA(MATCH($K553,Tables!$B$242:$B$253,0))),
Error!$B$58,
IF(AND($H553="Zoning: Tree Points",$K553="Small",$L553&lt;&gt;"",ISNA(MATCH($L553,Tables!$C$243:$C$244,0))),
Error!$B$59,
IF(AND($H553="Zoning: Tree Points",$K553="Small/Medium",$L553&lt;&gt;"",ISNA(MATCH($L553,Tables!$C$246:$C$247,0))),
Error!$B$59,
IF(AND($H553="Zoning: Tree Points",$K553="Medium/Large",$L553&lt;&gt;"",ISNA(MATCH($L553,Tables!$C$249:$C$250,0))),
Error!$B$59,
IF(AND($H553="Zoning: Tree Points",$K553="Large",$L553&lt;&gt;"",ISNA(MATCH($L553,Tables!$C$252:$C$253,0))),
Error!$B$59,
IF(AND($F553="Retain",$H553="Zoning: Tree Points",$C553&lt;&gt;"",$D553&lt;&gt;"",OR($K553="",$L553="",$M553="")),
Error!$B$20,
""
)))))))))))))))))))))))))))))))))))))))))))))))))))))))),
Error!$B$23))</f>
        <v/>
      </c>
      <c r="O553" s="343" t="str" cm="1">
        <f t="array" aca="1" ref="O553" ca="1">IFERROR(_xlfn.LET(
    _xlpm.txt, $C553,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54" spans="1:15" ht="15" thickBot="1" x14ac:dyDescent="0.35">
      <c r="A554" s="331"/>
      <c r="B554" s="616" t="str">
        <f t="shared" si="639"/>
        <v/>
      </c>
      <c r="C554" s="617" t="str">
        <f t="shared" si="640"/>
        <v/>
      </c>
      <c r="D554" s="618" t="str">
        <f t="shared" si="641"/>
        <v/>
      </c>
      <c r="E554" s="616" t="str">
        <f t="shared" si="642"/>
        <v/>
      </c>
      <c r="F554" s="616" t="str">
        <f t="shared" si="643"/>
        <v/>
      </c>
      <c r="G554" s="619" t="str">
        <f>IF(Tree_Table1[[#This Row],[Tree Status  &amp;]]="Retain", Tables!$B$237, IF(Tree_Table1[[#This Row],[Tree Status  &amp;]]="Remove", Tables!$B$238, ""))</f>
        <v/>
      </c>
      <c r="H554" s="329"/>
      <c r="I554" s="330"/>
      <c r="J554" s="455"/>
      <c r="K554" s="327" t="str">
        <f>IFERROR(
    IF(
        AND($H554="Zoning: Tree Points", NOT(ISNUMBER(SEARCH("sp.", $C554)))),
        VLOOKUP($C554, 'Tree List'!$C$3:$F$601, 4, FALSE),
        ""
    ),
"")</f>
        <v/>
      </c>
      <c r="L554" s="328" t="str" cm="1">
        <f t="array" ref="L554">IFERROR(
IF(
    AND($H554="Zoning: Tree Points", NOT(ISNUMBER(SEARCH("sp.", $C554)))),
    _xlfn.IFS(
        (COUNTIFS('Tree List'!$C$3:$C$601,$C554,'Tree List'!$D$3:$D$601,"Coniferous")
        + COUNTIFS('Tree List'!$C$3:$C$601,$C554,'Tree List'!$D$3:$D$601,"Deciduous Conifer")) &gt; 0,
            _xlfn.IFS($K554="Small",0.5,$K554="Small/Medium",1,$K554="Medium/Large",1.4,$K554="Large",1.8),
        (COUNTIFS('Tree List'!$C$3:$C$601,$C554,'Tree List'!$D$3:$D$601,"Deciduous")
        + COUNTIFS('Tree List'!$C$3:$C$601,$C554,'Tree List'!$D$3:$D$601,"Broadleaf Evergreen")) &gt; 0,
            _xlfn.IFS($K554="Small",0.4,$K554="Small/Medium",0.8,$K554="Medium/Large",1.2,$K554="Large",1.6)
    ),
    ""
),
"")</f>
        <v/>
      </c>
      <c r="M554" s="476" t="str">
        <f t="shared" si="573"/>
        <v/>
      </c>
      <c r="N554" s="347" t="str" cm="1">
        <f t="array" aca="1" ref="N55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IF(AND(_xlpm.baseRow,ISNA(MATCH($C554,'Tree List'!$C$3:$C$601,0)),SUMPRODUCT(--ISNUMBER(SEARCH(Tables2!$C$677:$C$772,$O554)))&gt;0),
Error!$B$57,
IF(AND(_xlpm.hasDM,$F554="Remove",$H554&lt;&gt;"",OR($I554="On-site replacement",$I554="Off-site replacement",$I554="Payment In Lieu")),
Error!$B$56,
IF(AND(_xlpm.hasDM,$F554="Remove",$H554&lt;&gt;"",$I554="Relocation"),
Error!$B$66,
IF(AND(OR(_xlpm.hasCN,_xlpm.hasPH,_xlpm.hasGR),$H554&lt;&gt;"",COUNTIF(Tables!$B$132:$B$134,$H554)&gt;0,$I554="N/A (No replacement required)"),
Error!$B$62,
IF(AND(_xlpm.baseRow,$E554&lt;&gt;"",ISNA(MATCH($E554,Tables!$B$225:$B$232,0))),
Error!$B$2,
IF(AND(_xlpm.baseRow,$F554&lt;&gt;"",ISNA(MATCH($F554,Tables!$B$234:$B$235,0))),
Error!$B$24,
IF(AND(_xlpm.baseRow,_xlpm.ECA_H&gt;0,_xlpm.Shore_H&gt;0),
Error!$B$16,
IF(AND(_xlpm.baseRow,$E554&lt;&gt;"",$D554=""),
Error!$B$3,
IF(AND(_xlpm.baseRow,OR($E554="Tier 3",$E554="Tier 4"),$C554&lt;&gt;"",$D554&gt;=24,COUNTIF(Tables2!$B$166:$B$674,$C554)&gt;0),
Error!$B$44,
IF(AND(_xlpm.baseRow,OR($E554="Tier 3",$E554="Tier 4"),$C554&lt;&gt;"",$D554&lt;&gt;"",COUNTIF(Tables2!$B$73:$B$152,$C554)&gt;0,
$D554&gt;=IFERROR(INDEX(Tables2!$C$73:$C$152,MATCH($C554,Tables2!$B$73:$B$152,0)),-1)),
Error!$B$44,
IF(AND(_xlpm.baseRow,OR($E554="Tier 2",$E554="Tier 2 Grove"),$C554&lt;&gt;"",$D554&gt;=12,COUNTIF(Tables2!$B$153:$B$162,$C554)&gt;0),
Error!$B$45,
IF(AND(_xlpm.baseRow,$E554="Tier 2 Grove",$D554&lt;12),
Error!$B$41,
IF(AND(_xlpm.baseRow,$E554="Tier 2",$D554&lt;5.88),
Error!$B$40,
IF(AND(_xlpm.baseRow,OR($E554="Tier 2",$E554="Tier 2 Grove"),$C554&lt;&gt;"",$D554&lt;12,$D554&gt;=6,COUNTIF(Tables2!$B$153:$B$162,$C554)&gt;0),
Error!$B$54,
IF(AND(_xlpm.baseRow,$E554="Tier 2",COUNTIF(Tables2!$B$166:$B$674,$C554)&gt;0,$D554&lt;24),
Error!$B$54,
IF(AND(_xlpm.baseRow,$E554="Tier 3",ISNA(MATCH($C554,Tables2!$B$153:$B$162,0)),OR($D554&lt;12,$D554&gt;=24)),
Error!$B$9,
IF(AND(_xlpm.baseRow,$E554="Tier 3",COUNTIF(Tables2!$B$153:$B$162,$C554)&gt;0,$D554&lt;12),
Error!$B$46,
IF(AND(_xlpm.baseRow,$E554="Tier 4",OR($D554&lt;6,$D554&gt;=12)),
Error!$B$10,
IF(AND(_xlpm.baseRow,$E554="&lt;6in DSH for Tree Points",OR($D554&gt;=6,$D554="")),
Error!$B$8,
IF(AND(_xlpm.baseRow,$E554="Street Tree for Green Factor",$F554&lt;&gt;"",$F554&lt;&gt;"Retain"),
Error!$B$14,
IF(AND($E554="&lt;6in DSH for Tree Points",$F554="Retain",$H554&lt;&gt;"",ISNA(MATCH($H554,Tables!$B$174:$B$174,0))),
Error!$B$15,
IF(AND($E554="Street Tree for Green Factor",$F554="Retain",$H554&lt;&gt;"",$H554&lt;&gt;"Zoning: Green Factor"),
Error!$B$15,
IF(AND($E554="ECA / Shoreline Tree",$F554="Remove",$H554&lt;&gt;"",ISNA(MATCH($H554,Tables!$B$189:$B$190,0))),
Error!$B$15,
IF(AND($E554="ECA / Shoreline Tree",$F554="Retain",$H554&lt;&gt;"",ISNA(MATCH($H554,Tables!$B$184:$B$186,0))),
Error!$B$15,
IF(AND($E554="Tier 4",$F554="Remove",$H554&lt;&gt;"",ISNA(MATCH($H554,Tables!$B$171,0))),
Error!$B$15,
IF(AND($E554="Tier 4",$F554="Retain",$H554&lt;&gt;"",ISNA(MATCH($H554,Tables!$B$166:$B$168,0))),
Error!$B$15,
IF(AND($E554="Tier 3",$F554="Retain",$H554&lt;&gt;"",ISNA(MATCH($H554,Tables!$B$158:$B$160,0))),
Error!$B$15,
IF(AND($E554="Tier 3",$F554="Remove",$H554&lt;&gt;"",ISNA(MATCH($H554,Tables!$B$163,0))),
Error!$B$15,
IF(AND(OR($E554="Tier 2",$E554="Tier 2 Grove"),$F554="Remove",$H554&lt;&gt;"",ISNA(MATCH($H554,Tables!$B$153:$B$155,0))),
Error!$B$15,
IF(AND(OR($E554="Tier 2",$E554="Tier 2 Grove"),$F554="Retain",$H554&lt;&gt;"",ISNA(MATCH($H554,Tables!$B$147:$B$150,0))),
Error!$B$15,
IF(AND($E554="Tier 1",$F554="Remove",$H554&lt;&gt;"",ISNA(MATCH($H554,Tables!$B$143:$B$144,0))),
Error!$B$15,
IF(AND($E554="Tier 1",$F554="Retain",$H554&lt;&gt;"",ISNA(MATCH($H554,Tables!$B$137:$B$140,0))),
Error!$B$15,
IF(AND($E554&lt;&gt;"Tier 2",$E554&lt;&gt;"Tier 2 Grove",$E554&lt;&gt;"Tier 3",$E554&lt;&gt;"Tier 4",$H554="Zoning: Green Factor",OR($D554="",$D554&lt;6)),
Error!$B$11,
IF(AND(_xlpm.baseRow,$D554&lt;6,$E554="&lt;6in DSH for Tree Points",_xlpm.TreePoints_H=0),
Error!$B$21,
IF(AND(_xlpm.baseRow,$E554&lt;&gt;"",$D554&lt;&gt;"",$F554=""),
Error!$B$4,
IF(AND(_xlpm.baseRow,$F554="Remove",OR($E554="Tier 1",$E554="Tier 2",$E554="Tier 2 Grove"),COUNTBLANK(_xlpm.HRange)&lt;3,_xlpm.uniqueH&gt;=2),
Error!$B$48,
IF(AND(_xlpm.baseRow,$F554="Retain",OR($E554="Tier 1",$E554="Tier 2",$E554="Tier 2 Grove"),COUNTIF(_xlpm.HRange,"Tree Code: Required to Retain Tier 1-2 Tree")=0),
Error!$B$47,
IF(AND(_xlpm.baseRow,$E554&lt;&gt;"",$D554&lt;&gt;"",$F554&lt;&gt;"",COUNTBLANK(_xlpm.HRange)=4),
Error!$B$5,
IF(AND($F554="Remove",$H554&lt;&gt;"",$I554=""),
Error!$B$18,
IF(AND($E554="Tier 4",$F554="Remove",$H554="Tree Protection Code: Tier 3 or Tier 4 Allowance",$H554&lt;&gt;"",ISNA(MATCH($I554,Tables!$B$200,0))),
Error!$B$17,
IF(AND($E554="Tier 3",$F554="Remove",$H554&lt;&gt;"",$H554="Tree Protection Code: Tier 3 or Tier 4 Allowance",OR($I554="",ISNA(MATCH($I554,Tables!$B$193:$B$197,0)))),
Error!$B$17,
IF(AND(OR($E554="Tier 2",$E554="Tier 2 Grove"),$F554="Remove",$H554="Tree Protection Code: Other removal allowance or exemption",$I554&lt;&gt;"",ISNA(MATCH($I554,Tables!$B$215:$B$218,0))),
Error!$B$17,
IF(AND(OR($E554="Tier 2",$E554="Tier 2 Grove"),$F554="Remove",$H554="Tree Protection Code: Development Capacity",$I554&lt;&gt;"",ISNA(MATCH($I554,Tables!$B$193:$B$197,0))),
Error!$B$17,
IF(AND(OR($E554="Tier 2",$E554="Tier 2 Grove"),$F554="Remove",$H554="Tree Protection Code: Necessary for Construction",$I554&lt;&gt;"",ISNA(MATCH($I554,Tables!$B$193:$B$197,0))),
Error!$B$17,
IF(AND($E554="Tier 1",$F554="Remove",$H554="Tree Protection Code: Special Exception",$I554&lt;&gt;"",ISNA(MATCH($I554,Tables!$B$215:$B$218,0))),
Error!$B$17,
IF(AND($E554="Tier 1",$F554="Remove",$H554="Tree Protection Code: Other removal allowance or exemption",$I554&lt;&gt;"",ISNA(MATCH($I554,Tables!$B$215:$B$218,0))),
Error!$B$17,
IF(AND($E554="ECA / Shoreline Tree",$F554="Remove",$H554&lt;&gt;"",OR($H554="Shoreline",$H554="Environmental Critical Area (ECA)"),ISNA(MATCH($I554,Tables!$B$209:$B$212,0))),
Error!$B$17,
IF(AND(_xlpm.baseRow,$F554="Retain",$E554="ECA / Shoreline Tree",_xlpm.ECA_Short=0),
Error!$B$61,
IF(AND($F554="Remove",ISNUMBER(MATCH($E554,{"Tier 1","Tier 2","Tier 3","Tier 4","Tier 2 Grove"},0)),ISNUMBER(MATCH($I554,{"On-site replacement","Off-site replacement"},0)),$J554="",$H554&lt;&gt;""),
Error!$B$19,
IF(AND(_xlpm.baseRow,$E554&lt;&gt;"",$D554&lt;&gt;"",$F554&lt;&gt;"",COUNTBLANK($B554:$C554)&gt;0,COUNTBLANK(_xlpm.HRange)&lt;&gt;4),
Error!$B$22,
IF(AND($H554="Zoning: Tree Points",$K554&lt;&gt;"",ISNA(MATCH($K554,Tables!$B$242:$B$253,0))),
Error!$B$58,
IF(AND($H554="Zoning: Tree Points",$K554="Small",$L554&lt;&gt;"",ISNA(MATCH($L554,Tables!$C$243:$C$244,0))),
Error!$B$59,
IF(AND($H554="Zoning: Tree Points",$K554="Small/Medium",$L554&lt;&gt;"",ISNA(MATCH($L554,Tables!$C$246:$C$247,0))),
Error!$B$59,
IF(AND($H554="Zoning: Tree Points",$K554="Medium/Large",$L554&lt;&gt;"",ISNA(MATCH($L554,Tables!$C$249:$C$250,0))),
Error!$B$59,
IF(AND($H554="Zoning: Tree Points",$K554="Large",$L554&lt;&gt;"",ISNA(MATCH($L554,Tables!$C$252:$C$253,0))),
Error!$B$59,
IF(AND($F554="Retain",$H554="Zoning: Tree Points",$C554&lt;&gt;"",$D554&lt;&gt;"",OR($K554="",$L554="",$M554="")),
Error!$B$20,
""
)))))))))))))))))))))))))))))))))))))))))))))))))))))))),
Error!$B$23))</f>
        <v/>
      </c>
      <c r="O554" s="343" t="str" cm="1">
        <f t="array" aca="1" ref="O554" ca="1">IFERROR(_xlfn.LET(
    _xlpm.txt, $C554,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55" spans="1:15" ht="15" thickBot="1" x14ac:dyDescent="0.35">
      <c r="A555" s="311">
        <v>137</v>
      </c>
      <c r="B555" s="312"/>
      <c r="C555" s="313"/>
      <c r="D555" s="478"/>
      <c r="E555" s="314"/>
      <c r="F555" s="314"/>
      <c r="G555" s="315" t="str">
        <f>IF(Tree_Table1[[#This Row],[Tree Status  &amp;]]="Retain", Tables!$B$237, IF(Tree_Table1[[#This Row],[Tree Status  &amp;]]="Remove", Tables!$B$238, ""))</f>
        <v/>
      </c>
      <c r="H555" s="316"/>
      <c r="I555" s="317"/>
      <c r="J555" s="452"/>
      <c r="K555" s="318" t="str">
        <f>IFERROR(
    IF(
        AND($H555="Zoning: Tree Points", NOT(ISNUMBER(SEARCH("sp.", $C555)))),
        VLOOKUP($C555, 'Tree List'!$C$3:$F$601, 4, FALSE),
        ""
    ),
"")</f>
        <v/>
      </c>
      <c r="L555" s="319" t="str" cm="1">
        <f t="array" ref="L555">IFERROR(
IF(
    AND($H555="Zoning: Tree Points", NOT(ISNUMBER(SEARCH("sp.", $C555)))),
    _xlfn.IFS(
        (COUNTIFS('Tree List'!$C$3:$C$601,$C555,'Tree List'!$D$3:$D$601,"Coniferous")
        + COUNTIFS('Tree List'!$C$3:$C$601,$C555,'Tree List'!$D$3:$D$601,"Deciduous Conifer")) &gt; 0,
            _xlfn.IFS($K555="Small",0.5,$K555="Small/Medium",1,$K555="Medium/Large",1.4,$K555="Large",1.8),
        (COUNTIFS('Tree List'!$C$3:$C$601,$C555,'Tree List'!$D$3:$D$601,"Deciduous")
        + COUNTIFS('Tree List'!$C$3:$C$601,$C555,'Tree List'!$D$3:$D$601,"Broadleaf Evergreen")) &gt; 0,
            _xlfn.IFS($K555="Small",0.4,$K555="Small/Medium",0.8,$K555="Medium/Large",1.2,$K555="Large",1.6)
    ),
    ""
),
"")</f>
        <v/>
      </c>
      <c r="M555" s="474" t="str">
        <f t="shared" si="573"/>
        <v/>
      </c>
      <c r="N555" s="620" t="str" cm="1">
        <f t="array" aca="1" ref="N55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IF(AND(_xlpm.baseRow,ISNA(MATCH($C555,'Tree List'!$C$3:$C$601,0)),SUMPRODUCT(--ISNUMBER(SEARCH(Tables2!$C$677:$C$772,$O555)))&gt;0),
Error!$B$57,
IF(AND(_xlpm.hasDM,$F555="Remove",$H555&lt;&gt;"",OR($I555="On-site replacement",$I555="Off-site replacement",$I555="Payment In Lieu")),
Error!$B$56,
IF(AND(_xlpm.hasDM,$F555="Remove",$H555&lt;&gt;"",$I555="Relocation"),
Error!$B$66,
IF(AND(OR(_xlpm.hasCN,_xlpm.hasPH,_xlpm.hasGR),$H555&lt;&gt;"",COUNTIF(Tables!$B$132:$B$134,$H555)&gt;0,$I555="N/A (No replacement required)"),
Error!$B$62,
IF(AND(_xlpm.baseRow,$E555&lt;&gt;"",ISNA(MATCH($E555,Tables!$B$225:$B$232,0))),
Error!$B$2,
IF(AND(_xlpm.baseRow,$F555&lt;&gt;"",ISNA(MATCH($F555,Tables!$B$234:$B$235,0))),
Error!$B$24,
IF(AND(_xlpm.baseRow,_xlpm.ECA_H&gt;0,_xlpm.Shore_H&gt;0),
Error!$B$16,
IF(AND(_xlpm.baseRow,$E555&lt;&gt;"",$D555=""),
Error!$B$3,
IF(AND(_xlpm.baseRow,OR($E555="Tier 3",$E555="Tier 4"),$C555&lt;&gt;"",$D555&gt;=24,COUNTIF(Tables2!$B$166:$B$674,$C555)&gt;0),
Error!$B$44,
IF(AND(_xlpm.baseRow,OR($E555="Tier 3",$E555="Tier 4"),$C555&lt;&gt;"",$D555&lt;&gt;"",COUNTIF(Tables2!$B$73:$B$152,$C555)&gt;0,
$D555&gt;=IFERROR(INDEX(Tables2!$C$73:$C$152,MATCH($C555,Tables2!$B$73:$B$152,0)),-1)),
Error!$B$44,
IF(AND(_xlpm.baseRow,OR($E555="Tier 2",$E555="Tier 2 Grove"),$C555&lt;&gt;"",$D555&gt;=12,COUNTIF(Tables2!$B$153:$B$162,$C555)&gt;0),
Error!$B$45,
IF(AND(_xlpm.baseRow,$E555="Tier 2 Grove",$D555&lt;12),
Error!$B$41,
IF(AND(_xlpm.baseRow,$E555="Tier 2",$D555&lt;5.88),
Error!$B$40,
IF(AND(_xlpm.baseRow,OR($E555="Tier 2",$E555="Tier 2 Grove"),$C555&lt;&gt;"",$D555&lt;12,$D555&gt;=6,COUNTIF(Tables2!$B$153:$B$162,$C555)&gt;0),
Error!$B$54,
IF(AND(_xlpm.baseRow,$E555="Tier 2",COUNTIF(Tables2!$B$166:$B$674,$C555)&gt;0,$D555&lt;24),
Error!$B$54,
IF(AND(_xlpm.baseRow,$E555="Tier 3",ISNA(MATCH($C555,Tables2!$B$153:$B$162,0)),OR($D555&lt;12,$D555&gt;=24)),
Error!$B$9,
IF(AND(_xlpm.baseRow,$E555="Tier 3",COUNTIF(Tables2!$B$153:$B$162,$C555)&gt;0,$D555&lt;12),
Error!$B$46,
IF(AND(_xlpm.baseRow,$E555="Tier 4",OR($D555&lt;6,$D555&gt;=12)),
Error!$B$10,
IF(AND(_xlpm.baseRow,$E555="&lt;6in DSH for Tree Points",OR($D555&gt;=6,$D555="")),
Error!$B$8,
IF(AND(_xlpm.baseRow,$E555="Street Tree for Green Factor",$F555&lt;&gt;"",$F555&lt;&gt;"Retain"),
Error!$B$14,
IF(AND($E555="&lt;6in DSH for Tree Points",$F555="Retain",$H555&lt;&gt;"",ISNA(MATCH($H555,Tables!$B$174:$B$174,0))),
Error!$B$15,
IF(AND($E555="Street Tree for Green Factor",$F555="Retain",$H555&lt;&gt;"",$H555&lt;&gt;"Zoning: Green Factor"),
Error!$B$15,
IF(AND($E555="ECA / Shoreline Tree",$F555="Remove",$H555&lt;&gt;"",ISNA(MATCH($H555,Tables!$B$189:$B$190,0))),
Error!$B$15,
IF(AND($E555="ECA / Shoreline Tree",$F555="Retain",$H555&lt;&gt;"",ISNA(MATCH($H555,Tables!$B$184:$B$186,0))),
Error!$B$15,
IF(AND($E555="Tier 4",$F555="Remove",$H555&lt;&gt;"",ISNA(MATCH($H555,Tables!$B$171,0))),
Error!$B$15,
IF(AND($E555="Tier 4",$F555="Retain",$H555&lt;&gt;"",ISNA(MATCH($H555,Tables!$B$166:$B$168,0))),
Error!$B$15,
IF(AND($E555="Tier 3",$F555="Retain",$H555&lt;&gt;"",ISNA(MATCH($H555,Tables!$B$158:$B$160,0))),
Error!$B$15,
IF(AND($E555="Tier 3",$F555="Remove",$H555&lt;&gt;"",ISNA(MATCH($H555,Tables!$B$163,0))),
Error!$B$15,
IF(AND(OR($E555="Tier 2",$E555="Tier 2 Grove"),$F555="Remove",$H555&lt;&gt;"",ISNA(MATCH($H555,Tables!$B$153:$B$155,0))),
Error!$B$15,
IF(AND(OR($E555="Tier 2",$E555="Tier 2 Grove"),$F555="Retain",$H555&lt;&gt;"",ISNA(MATCH($H555,Tables!$B$147:$B$150,0))),
Error!$B$15,
IF(AND($E555="Tier 1",$F555="Remove",$H555&lt;&gt;"",ISNA(MATCH($H555,Tables!$B$143:$B$144,0))),
Error!$B$15,
IF(AND($E555="Tier 1",$F555="Retain",$H555&lt;&gt;"",ISNA(MATCH($H555,Tables!$B$137:$B$140,0))),
Error!$B$15,
IF(AND($E555&lt;&gt;"Tier 2",$E555&lt;&gt;"Tier 2 Grove",$E555&lt;&gt;"Tier 3",$E555&lt;&gt;"Tier 4",$H555="Zoning: Green Factor",OR($D555="",$D555&lt;6)),
Error!$B$11,
IF(AND(_xlpm.baseRow,$D555&lt;6,$E555="&lt;6in DSH for Tree Points",_xlpm.TreePoints_H=0),
Error!$B$21,
IF(AND(_xlpm.baseRow,$E555&lt;&gt;"",$D555&lt;&gt;"",$F555=""),
Error!$B$4,
IF(AND(_xlpm.baseRow,$F555="Remove",OR($E555="Tier 1",$E555="Tier 2",$E555="Tier 2 Grove"),COUNTBLANK(_xlpm.HRange)&lt;3,_xlpm.uniqueH&gt;=2),
Error!$B$48,
IF(AND(_xlpm.baseRow,$F555="Retain",OR($E555="Tier 1",$E555="Tier 2",$E555="Tier 2 Grove"),COUNTIF(_xlpm.HRange,"Tree Code: Required to Retain Tier 1-2 Tree")=0),
Error!$B$47,
IF(AND(_xlpm.baseRow,$E555&lt;&gt;"",$D555&lt;&gt;"",$F555&lt;&gt;"",COUNTBLANK(_xlpm.HRange)=4),
Error!$B$5,
IF(AND($F555="Remove",$H555&lt;&gt;"",$I555=""),
Error!$B$18,
IF(AND($E555="Tier 4",$F555="Remove",$H555="Tree Protection Code: Tier 3 or Tier 4 Allowance",$H555&lt;&gt;"",ISNA(MATCH($I555,Tables!$B$200,0))),
Error!$B$17,
IF(AND($E555="Tier 3",$F555="Remove",$H555&lt;&gt;"",$H555="Tree Protection Code: Tier 3 or Tier 4 Allowance",OR($I555="",ISNA(MATCH($I555,Tables!$B$193:$B$197,0)))),
Error!$B$17,
IF(AND(OR($E555="Tier 2",$E555="Tier 2 Grove"),$F555="Remove",$H555="Tree Protection Code: Other removal allowance or exemption",$I555&lt;&gt;"",ISNA(MATCH($I555,Tables!$B$215:$B$218,0))),
Error!$B$17,
IF(AND(OR($E555="Tier 2",$E555="Tier 2 Grove"),$F555="Remove",$H555="Tree Protection Code: Development Capacity",$I555&lt;&gt;"",ISNA(MATCH($I555,Tables!$B$193:$B$197,0))),
Error!$B$17,
IF(AND(OR($E555="Tier 2",$E555="Tier 2 Grove"),$F555="Remove",$H555="Tree Protection Code: Necessary for Construction",$I555&lt;&gt;"",ISNA(MATCH($I555,Tables!$B$193:$B$197,0))),
Error!$B$17,
IF(AND($E555="Tier 1",$F555="Remove",$H555="Tree Protection Code: Special Exception",$I555&lt;&gt;"",ISNA(MATCH($I555,Tables!$B$215:$B$218,0))),
Error!$B$17,
IF(AND($E555="Tier 1",$F555="Remove",$H555="Tree Protection Code: Other removal allowance or exemption",$I555&lt;&gt;"",ISNA(MATCH($I555,Tables!$B$215:$B$218,0))),
Error!$B$17,
IF(AND($E555="ECA / Shoreline Tree",$F555="Remove",$H555&lt;&gt;"",OR($H555="Shoreline",$H555="Environmental Critical Area (ECA)"),ISNA(MATCH($I555,Tables!$B$209:$B$212,0))),
Error!$B$17,
IF(AND(_xlpm.baseRow,$F555="Retain",$E555="ECA / Shoreline Tree",_xlpm.ECA_Short=0),
Error!$B$61,
IF(AND($F555="Remove",ISNUMBER(MATCH($E555,{"Tier 1","Tier 2","Tier 3","Tier 4","Tier 2 Grove"},0)),ISNUMBER(MATCH($I555,{"On-site replacement","Off-site replacement"},0)),$J555="",$H555&lt;&gt;""),
Error!$B$19,
IF(AND(_xlpm.baseRow,$E555&lt;&gt;"",$D555&lt;&gt;"",$F555&lt;&gt;"",COUNTBLANK($B555:$C555)&gt;0,COUNTBLANK(_xlpm.HRange)&lt;&gt;4),
Error!$B$22,
IF(AND($H555="Zoning: Tree Points",$K555&lt;&gt;"",ISNA(MATCH($K555,Tables!$B$242:$B$253,0))),
Error!$B$58,
IF(AND($H555="Zoning: Tree Points",$K555="Small",$L555&lt;&gt;"",ISNA(MATCH($L555,Tables!$C$243:$C$244,0))),
Error!$B$59,
IF(AND($H555="Zoning: Tree Points",$K555="Small/Medium",$L555&lt;&gt;"",ISNA(MATCH($L555,Tables!$C$246:$C$247,0))),
Error!$B$59,
IF(AND($H555="Zoning: Tree Points",$K555="Medium/Large",$L555&lt;&gt;"",ISNA(MATCH($L555,Tables!$C$249:$C$250,0))),
Error!$B$59,
IF(AND($H555="Zoning: Tree Points",$K555="Large",$L555&lt;&gt;"",ISNA(MATCH($L555,Tables!$C$252:$C$253,0))),
Error!$B$59,
IF(AND($F555="Retain",$H555="Zoning: Tree Points",$C555&lt;&gt;"",$D555&lt;&gt;"",OR($K555="",$L555="",$M555="")),
Error!$B$20,
""
)))))))))))))))))))))))))))))))))))))))))))))))))))))))),
Error!$B$23))</f>
        <v/>
      </c>
      <c r="O555" s="343" t="str" cm="1">
        <f t="array" aca="1" ref="O555" ca="1">IFERROR(_xlfn.LET(
    _xlpm.txt, $C555,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56" spans="1:15" x14ac:dyDescent="0.3">
      <c r="A556" s="320"/>
      <c r="B556" s="616" t="str">
        <f t="shared" ref="B556:B558" si="644">IF($B555="", "", $B555)</f>
        <v/>
      </c>
      <c r="C556" s="617" t="str">
        <f t="shared" ref="C556:C558" si="645">IF($C555="", "", $C555)</f>
        <v/>
      </c>
      <c r="D556" s="618" t="str">
        <f t="shared" ref="D556:D558" si="646">IF($D555="", "", $D555)</f>
        <v/>
      </c>
      <c r="E556" s="616" t="str">
        <f t="shared" ref="E556:E558" si="647">IF($E555="", "", $E555)</f>
        <v/>
      </c>
      <c r="F556" s="616" t="str">
        <f t="shared" ref="F556:F558" si="648">IF($F555="", "", $F555)</f>
        <v/>
      </c>
      <c r="G556" s="619" t="str">
        <f>IF(Tree_Table1[[#This Row],[Tree Status  &amp;]]="Retain", Tables!$B$237, IF(Tree_Table1[[#This Row],[Tree Status  &amp;]]="Remove", Tables!$B$238, ""))</f>
        <v/>
      </c>
      <c r="H556" s="321"/>
      <c r="I556" s="322"/>
      <c r="J556" s="453"/>
      <c r="K556" s="323" t="str">
        <f>IFERROR(
    IF(
        AND($H556="Zoning: Tree Points", NOT(ISNUMBER(SEARCH("sp.", $C556)))),
        VLOOKUP($C556, 'Tree List'!$C$3:$F$601, 4, FALSE),
        ""
    ),
"")</f>
        <v/>
      </c>
      <c r="L556" s="324" t="str" cm="1">
        <f t="array" ref="L556">IFERROR(
IF(
    AND($H556="Zoning: Tree Points", NOT(ISNUMBER(SEARCH("sp.", $C556)))),
    _xlfn.IFS(
        (COUNTIFS('Tree List'!$C$3:$C$601,$C556,'Tree List'!$D$3:$D$601,"Coniferous")
        + COUNTIFS('Tree List'!$C$3:$C$601,$C556,'Tree List'!$D$3:$D$601,"Deciduous Conifer")) &gt; 0,
            _xlfn.IFS($K556="Small",0.5,$K556="Small/Medium",1,$K556="Medium/Large",1.4,$K556="Large",1.8),
        (COUNTIFS('Tree List'!$C$3:$C$601,$C556,'Tree List'!$D$3:$D$601,"Deciduous")
        + COUNTIFS('Tree List'!$C$3:$C$601,$C556,'Tree List'!$D$3:$D$601,"Broadleaf Evergreen")) &gt; 0,
            _xlfn.IFS($K556="Small",0.4,$K556="Small/Medium",0.8,$K556="Medium/Large",1.2,$K556="Large",1.6)
    ),
    ""
),
"")</f>
        <v/>
      </c>
      <c r="M556" s="475" t="str">
        <f t="shared" si="573"/>
        <v/>
      </c>
      <c r="N556" s="346" t="str" cm="1">
        <f t="array" aca="1" ref="N55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IF(AND(_xlpm.baseRow,ISNA(MATCH($C556,'Tree List'!$C$3:$C$601,0)),SUMPRODUCT(--ISNUMBER(SEARCH(Tables2!$C$677:$C$772,$O556)))&gt;0),
Error!$B$57,
IF(AND(_xlpm.hasDM,$F556="Remove",$H556&lt;&gt;"",OR($I556="On-site replacement",$I556="Off-site replacement",$I556="Payment In Lieu")),
Error!$B$56,
IF(AND(_xlpm.hasDM,$F556="Remove",$H556&lt;&gt;"",$I556="Relocation"),
Error!$B$66,
IF(AND(OR(_xlpm.hasCN,_xlpm.hasPH,_xlpm.hasGR),$H556&lt;&gt;"",COUNTIF(Tables!$B$132:$B$134,$H556)&gt;0,$I556="N/A (No replacement required)"),
Error!$B$62,
IF(AND(_xlpm.baseRow,$E556&lt;&gt;"",ISNA(MATCH($E556,Tables!$B$225:$B$232,0))),
Error!$B$2,
IF(AND(_xlpm.baseRow,$F556&lt;&gt;"",ISNA(MATCH($F556,Tables!$B$234:$B$235,0))),
Error!$B$24,
IF(AND(_xlpm.baseRow,_xlpm.ECA_H&gt;0,_xlpm.Shore_H&gt;0),
Error!$B$16,
IF(AND(_xlpm.baseRow,$E556&lt;&gt;"",$D556=""),
Error!$B$3,
IF(AND(_xlpm.baseRow,OR($E556="Tier 3",$E556="Tier 4"),$C556&lt;&gt;"",$D556&gt;=24,COUNTIF(Tables2!$B$166:$B$674,$C556)&gt;0),
Error!$B$44,
IF(AND(_xlpm.baseRow,OR($E556="Tier 3",$E556="Tier 4"),$C556&lt;&gt;"",$D556&lt;&gt;"",COUNTIF(Tables2!$B$73:$B$152,$C556)&gt;0,
$D556&gt;=IFERROR(INDEX(Tables2!$C$73:$C$152,MATCH($C556,Tables2!$B$73:$B$152,0)),-1)),
Error!$B$44,
IF(AND(_xlpm.baseRow,OR($E556="Tier 2",$E556="Tier 2 Grove"),$C556&lt;&gt;"",$D556&gt;=12,COUNTIF(Tables2!$B$153:$B$162,$C556)&gt;0),
Error!$B$45,
IF(AND(_xlpm.baseRow,$E556="Tier 2 Grove",$D556&lt;12),
Error!$B$41,
IF(AND(_xlpm.baseRow,$E556="Tier 2",$D556&lt;5.88),
Error!$B$40,
IF(AND(_xlpm.baseRow,OR($E556="Tier 2",$E556="Tier 2 Grove"),$C556&lt;&gt;"",$D556&lt;12,$D556&gt;=6,COUNTIF(Tables2!$B$153:$B$162,$C556)&gt;0),
Error!$B$54,
IF(AND(_xlpm.baseRow,$E556="Tier 2",COUNTIF(Tables2!$B$166:$B$674,$C556)&gt;0,$D556&lt;24),
Error!$B$54,
IF(AND(_xlpm.baseRow,$E556="Tier 3",ISNA(MATCH($C556,Tables2!$B$153:$B$162,0)),OR($D556&lt;12,$D556&gt;=24)),
Error!$B$9,
IF(AND(_xlpm.baseRow,$E556="Tier 3",COUNTIF(Tables2!$B$153:$B$162,$C556)&gt;0,$D556&lt;12),
Error!$B$46,
IF(AND(_xlpm.baseRow,$E556="Tier 4",OR($D556&lt;6,$D556&gt;=12)),
Error!$B$10,
IF(AND(_xlpm.baseRow,$E556="&lt;6in DSH for Tree Points",OR($D556&gt;=6,$D556="")),
Error!$B$8,
IF(AND(_xlpm.baseRow,$E556="Street Tree for Green Factor",$F556&lt;&gt;"",$F556&lt;&gt;"Retain"),
Error!$B$14,
IF(AND($E556="&lt;6in DSH for Tree Points",$F556="Retain",$H556&lt;&gt;"",ISNA(MATCH($H556,Tables!$B$174:$B$174,0))),
Error!$B$15,
IF(AND($E556="Street Tree for Green Factor",$F556="Retain",$H556&lt;&gt;"",$H556&lt;&gt;"Zoning: Green Factor"),
Error!$B$15,
IF(AND($E556="ECA / Shoreline Tree",$F556="Remove",$H556&lt;&gt;"",ISNA(MATCH($H556,Tables!$B$189:$B$190,0))),
Error!$B$15,
IF(AND($E556="ECA / Shoreline Tree",$F556="Retain",$H556&lt;&gt;"",ISNA(MATCH($H556,Tables!$B$184:$B$186,0))),
Error!$B$15,
IF(AND($E556="Tier 4",$F556="Remove",$H556&lt;&gt;"",ISNA(MATCH($H556,Tables!$B$171,0))),
Error!$B$15,
IF(AND($E556="Tier 4",$F556="Retain",$H556&lt;&gt;"",ISNA(MATCH($H556,Tables!$B$166:$B$168,0))),
Error!$B$15,
IF(AND($E556="Tier 3",$F556="Retain",$H556&lt;&gt;"",ISNA(MATCH($H556,Tables!$B$158:$B$160,0))),
Error!$B$15,
IF(AND($E556="Tier 3",$F556="Remove",$H556&lt;&gt;"",ISNA(MATCH($H556,Tables!$B$163,0))),
Error!$B$15,
IF(AND(OR($E556="Tier 2",$E556="Tier 2 Grove"),$F556="Remove",$H556&lt;&gt;"",ISNA(MATCH($H556,Tables!$B$153:$B$155,0))),
Error!$B$15,
IF(AND(OR($E556="Tier 2",$E556="Tier 2 Grove"),$F556="Retain",$H556&lt;&gt;"",ISNA(MATCH($H556,Tables!$B$147:$B$150,0))),
Error!$B$15,
IF(AND($E556="Tier 1",$F556="Remove",$H556&lt;&gt;"",ISNA(MATCH($H556,Tables!$B$143:$B$144,0))),
Error!$B$15,
IF(AND($E556="Tier 1",$F556="Retain",$H556&lt;&gt;"",ISNA(MATCH($H556,Tables!$B$137:$B$140,0))),
Error!$B$15,
IF(AND($E556&lt;&gt;"Tier 2",$E556&lt;&gt;"Tier 2 Grove",$E556&lt;&gt;"Tier 3",$E556&lt;&gt;"Tier 4",$H556="Zoning: Green Factor",OR($D556="",$D556&lt;6)),
Error!$B$11,
IF(AND(_xlpm.baseRow,$D556&lt;6,$E556="&lt;6in DSH for Tree Points",_xlpm.TreePoints_H=0),
Error!$B$21,
IF(AND(_xlpm.baseRow,$E556&lt;&gt;"",$D556&lt;&gt;"",$F556=""),
Error!$B$4,
IF(AND(_xlpm.baseRow,$F556="Remove",OR($E556="Tier 1",$E556="Tier 2",$E556="Tier 2 Grove"),COUNTBLANK(_xlpm.HRange)&lt;3,_xlpm.uniqueH&gt;=2),
Error!$B$48,
IF(AND(_xlpm.baseRow,$F556="Retain",OR($E556="Tier 1",$E556="Tier 2",$E556="Tier 2 Grove"),COUNTIF(_xlpm.HRange,"Tree Code: Required to Retain Tier 1-2 Tree")=0),
Error!$B$47,
IF(AND(_xlpm.baseRow,$E556&lt;&gt;"",$D556&lt;&gt;"",$F556&lt;&gt;"",COUNTBLANK(_xlpm.HRange)=4),
Error!$B$5,
IF(AND($F556="Remove",$H556&lt;&gt;"",$I556=""),
Error!$B$18,
IF(AND($E556="Tier 4",$F556="Remove",$H556="Tree Protection Code: Tier 3 or Tier 4 Allowance",$H556&lt;&gt;"",ISNA(MATCH($I556,Tables!$B$200,0))),
Error!$B$17,
IF(AND($E556="Tier 3",$F556="Remove",$H556&lt;&gt;"",$H556="Tree Protection Code: Tier 3 or Tier 4 Allowance",OR($I556="",ISNA(MATCH($I556,Tables!$B$193:$B$197,0)))),
Error!$B$17,
IF(AND(OR($E556="Tier 2",$E556="Tier 2 Grove"),$F556="Remove",$H556="Tree Protection Code: Other removal allowance or exemption",$I556&lt;&gt;"",ISNA(MATCH($I556,Tables!$B$215:$B$218,0))),
Error!$B$17,
IF(AND(OR($E556="Tier 2",$E556="Tier 2 Grove"),$F556="Remove",$H556="Tree Protection Code: Development Capacity",$I556&lt;&gt;"",ISNA(MATCH($I556,Tables!$B$193:$B$197,0))),
Error!$B$17,
IF(AND(OR($E556="Tier 2",$E556="Tier 2 Grove"),$F556="Remove",$H556="Tree Protection Code: Necessary for Construction",$I556&lt;&gt;"",ISNA(MATCH($I556,Tables!$B$193:$B$197,0))),
Error!$B$17,
IF(AND($E556="Tier 1",$F556="Remove",$H556="Tree Protection Code: Special Exception",$I556&lt;&gt;"",ISNA(MATCH($I556,Tables!$B$215:$B$218,0))),
Error!$B$17,
IF(AND($E556="Tier 1",$F556="Remove",$H556="Tree Protection Code: Other removal allowance or exemption",$I556&lt;&gt;"",ISNA(MATCH($I556,Tables!$B$215:$B$218,0))),
Error!$B$17,
IF(AND($E556="ECA / Shoreline Tree",$F556="Remove",$H556&lt;&gt;"",OR($H556="Shoreline",$H556="Environmental Critical Area (ECA)"),ISNA(MATCH($I556,Tables!$B$209:$B$212,0))),
Error!$B$17,
IF(AND(_xlpm.baseRow,$F556="Retain",$E556="ECA / Shoreline Tree",_xlpm.ECA_Short=0),
Error!$B$61,
IF(AND($F556="Remove",ISNUMBER(MATCH($E556,{"Tier 1","Tier 2","Tier 3","Tier 4","Tier 2 Grove"},0)),ISNUMBER(MATCH($I556,{"On-site replacement","Off-site replacement"},0)),$J556="",$H556&lt;&gt;""),
Error!$B$19,
IF(AND(_xlpm.baseRow,$E556&lt;&gt;"",$D556&lt;&gt;"",$F556&lt;&gt;"",COUNTBLANK($B556:$C556)&gt;0,COUNTBLANK(_xlpm.HRange)&lt;&gt;4),
Error!$B$22,
IF(AND($H556="Zoning: Tree Points",$K556&lt;&gt;"",ISNA(MATCH($K556,Tables!$B$242:$B$253,0))),
Error!$B$58,
IF(AND($H556="Zoning: Tree Points",$K556="Small",$L556&lt;&gt;"",ISNA(MATCH($L556,Tables!$C$243:$C$244,0))),
Error!$B$59,
IF(AND($H556="Zoning: Tree Points",$K556="Small/Medium",$L556&lt;&gt;"",ISNA(MATCH($L556,Tables!$C$246:$C$247,0))),
Error!$B$59,
IF(AND($H556="Zoning: Tree Points",$K556="Medium/Large",$L556&lt;&gt;"",ISNA(MATCH($L556,Tables!$C$249:$C$250,0))),
Error!$B$59,
IF(AND($H556="Zoning: Tree Points",$K556="Large",$L556&lt;&gt;"",ISNA(MATCH($L556,Tables!$C$252:$C$253,0))),
Error!$B$59,
IF(AND($F556="Retain",$H556="Zoning: Tree Points",$C556&lt;&gt;"",$D556&lt;&gt;"",OR($K556="",$L556="",$M556="")),
Error!$B$20,
""
)))))))))))))))))))))))))))))))))))))))))))))))))))))))),
Error!$B$23))</f>
        <v/>
      </c>
      <c r="O556" s="343" t="str" cm="1">
        <f t="array" aca="1" ref="O556" ca="1">IFERROR(_xlfn.LET(
    _xlpm.txt, $C556,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57" spans="1:15" x14ac:dyDescent="0.3">
      <c r="A557" s="320"/>
      <c r="B557" s="616" t="str">
        <f t="shared" si="644"/>
        <v/>
      </c>
      <c r="C557" s="617" t="str">
        <f t="shared" si="645"/>
        <v/>
      </c>
      <c r="D557" s="618" t="str">
        <f t="shared" si="646"/>
        <v/>
      </c>
      <c r="E557" s="616" t="str">
        <f t="shared" si="647"/>
        <v/>
      </c>
      <c r="F557" s="616" t="str">
        <f t="shared" si="648"/>
        <v/>
      </c>
      <c r="G557" s="619" t="str">
        <f>IF(Tree_Table1[[#This Row],[Tree Status  &amp;]]="Retain", Tables!$B$237, IF(Tree_Table1[[#This Row],[Tree Status  &amp;]]="Remove", Tables!$B$238, ""))</f>
        <v/>
      </c>
      <c r="H557" s="321"/>
      <c r="I557" s="322"/>
      <c r="J557" s="453"/>
      <c r="K557" s="323" t="str">
        <f>IFERROR(
    IF(
        AND($H557="Zoning: Tree Points", NOT(ISNUMBER(SEARCH("sp.", $C557)))),
        VLOOKUP($C557, 'Tree List'!$C$3:$F$601, 4, FALSE),
        ""
    ),
"")</f>
        <v/>
      </c>
      <c r="L557" s="324" t="str" cm="1">
        <f t="array" ref="L557">IFERROR(
IF(
    AND($H557="Zoning: Tree Points", NOT(ISNUMBER(SEARCH("sp.", $C557)))),
    _xlfn.IFS(
        (COUNTIFS('Tree List'!$C$3:$C$601,$C557,'Tree List'!$D$3:$D$601,"Coniferous")
        + COUNTIFS('Tree List'!$C$3:$C$601,$C557,'Tree List'!$D$3:$D$601,"Deciduous Conifer")) &gt; 0,
            _xlfn.IFS($K557="Small",0.5,$K557="Small/Medium",1,$K557="Medium/Large",1.4,$K557="Large",1.8),
        (COUNTIFS('Tree List'!$C$3:$C$601,$C557,'Tree List'!$D$3:$D$601,"Deciduous")
        + COUNTIFS('Tree List'!$C$3:$C$601,$C557,'Tree List'!$D$3:$D$601,"Broadleaf Evergreen")) &gt; 0,
            _xlfn.IFS($K557="Small",0.4,$K557="Small/Medium",0.8,$K557="Medium/Large",1.2,$K557="Large",1.6)
    ),
    ""
),
"")</f>
        <v/>
      </c>
      <c r="M557" s="475" t="str">
        <f t="shared" si="573"/>
        <v/>
      </c>
      <c r="N557" s="346" t="str" cm="1">
        <f t="array" aca="1" ref="N55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IF(AND(_xlpm.baseRow,ISNA(MATCH($C557,'Tree List'!$C$3:$C$601,0)),SUMPRODUCT(--ISNUMBER(SEARCH(Tables2!$C$677:$C$772,$O557)))&gt;0),
Error!$B$57,
IF(AND(_xlpm.hasDM,$F557="Remove",$H557&lt;&gt;"",OR($I557="On-site replacement",$I557="Off-site replacement",$I557="Payment In Lieu")),
Error!$B$56,
IF(AND(_xlpm.hasDM,$F557="Remove",$H557&lt;&gt;"",$I557="Relocation"),
Error!$B$66,
IF(AND(OR(_xlpm.hasCN,_xlpm.hasPH,_xlpm.hasGR),$H557&lt;&gt;"",COUNTIF(Tables!$B$132:$B$134,$H557)&gt;0,$I557="N/A (No replacement required)"),
Error!$B$62,
IF(AND(_xlpm.baseRow,$E557&lt;&gt;"",ISNA(MATCH($E557,Tables!$B$225:$B$232,0))),
Error!$B$2,
IF(AND(_xlpm.baseRow,$F557&lt;&gt;"",ISNA(MATCH($F557,Tables!$B$234:$B$235,0))),
Error!$B$24,
IF(AND(_xlpm.baseRow,_xlpm.ECA_H&gt;0,_xlpm.Shore_H&gt;0),
Error!$B$16,
IF(AND(_xlpm.baseRow,$E557&lt;&gt;"",$D557=""),
Error!$B$3,
IF(AND(_xlpm.baseRow,OR($E557="Tier 3",$E557="Tier 4"),$C557&lt;&gt;"",$D557&gt;=24,COUNTIF(Tables2!$B$166:$B$674,$C557)&gt;0),
Error!$B$44,
IF(AND(_xlpm.baseRow,OR($E557="Tier 3",$E557="Tier 4"),$C557&lt;&gt;"",$D557&lt;&gt;"",COUNTIF(Tables2!$B$73:$B$152,$C557)&gt;0,
$D557&gt;=IFERROR(INDEX(Tables2!$C$73:$C$152,MATCH($C557,Tables2!$B$73:$B$152,0)),-1)),
Error!$B$44,
IF(AND(_xlpm.baseRow,OR($E557="Tier 2",$E557="Tier 2 Grove"),$C557&lt;&gt;"",$D557&gt;=12,COUNTIF(Tables2!$B$153:$B$162,$C557)&gt;0),
Error!$B$45,
IF(AND(_xlpm.baseRow,$E557="Tier 2 Grove",$D557&lt;12),
Error!$B$41,
IF(AND(_xlpm.baseRow,$E557="Tier 2",$D557&lt;5.88),
Error!$B$40,
IF(AND(_xlpm.baseRow,OR($E557="Tier 2",$E557="Tier 2 Grove"),$C557&lt;&gt;"",$D557&lt;12,$D557&gt;=6,COUNTIF(Tables2!$B$153:$B$162,$C557)&gt;0),
Error!$B$54,
IF(AND(_xlpm.baseRow,$E557="Tier 2",COUNTIF(Tables2!$B$166:$B$674,$C557)&gt;0,$D557&lt;24),
Error!$B$54,
IF(AND(_xlpm.baseRow,$E557="Tier 3",ISNA(MATCH($C557,Tables2!$B$153:$B$162,0)),OR($D557&lt;12,$D557&gt;=24)),
Error!$B$9,
IF(AND(_xlpm.baseRow,$E557="Tier 3",COUNTIF(Tables2!$B$153:$B$162,$C557)&gt;0,$D557&lt;12),
Error!$B$46,
IF(AND(_xlpm.baseRow,$E557="Tier 4",OR($D557&lt;6,$D557&gt;=12)),
Error!$B$10,
IF(AND(_xlpm.baseRow,$E557="&lt;6in DSH for Tree Points",OR($D557&gt;=6,$D557="")),
Error!$B$8,
IF(AND(_xlpm.baseRow,$E557="Street Tree for Green Factor",$F557&lt;&gt;"",$F557&lt;&gt;"Retain"),
Error!$B$14,
IF(AND($E557="&lt;6in DSH for Tree Points",$F557="Retain",$H557&lt;&gt;"",ISNA(MATCH($H557,Tables!$B$174:$B$174,0))),
Error!$B$15,
IF(AND($E557="Street Tree for Green Factor",$F557="Retain",$H557&lt;&gt;"",$H557&lt;&gt;"Zoning: Green Factor"),
Error!$B$15,
IF(AND($E557="ECA / Shoreline Tree",$F557="Remove",$H557&lt;&gt;"",ISNA(MATCH($H557,Tables!$B$189:$B$190,0))),
Error!$B$15,
IF(AND($E557="ECA / Shoreline Tree",$F557="Retain",$H557&lt;&gt;"",ISNA(MATCH($H557,Tables!$B$184:$B$186,0))),
Error!$B$15,
IF(AND($E557="Tier 4",$F557="Remove",$H557&lt;&gt;"",ISNA(MATCH($H557,Tables!$B$171,0))),
Error!$B$15,
IF(AND($E557="Tier 4",$F557="Retain",$H557&lt;&gt;"",ISNA(MATCH($H557,Tables!$B$166:$B$168,0))),
Error!$B$15,
IF(AND($E557="Tier 3",$F557="Retain",$H557&lt;&gt;"",ISNA(MATCH($H557,Tables!$B$158:$B$160,0))),
Error!$B$15,
IF(AND($E557="Tier 3",$F557="Remove",$H557&lt;&gt;"",ISNA(MATCH($H557,Tables!$B$163,0))),
Error!$B$15,
IF(AND(OR($E557="Tier 2",$E557="Tier 2 Grove"),$F557="Remove",$H557&lt;&gt;"",ISNA(MATCH($H557,Tables!$B$153:$B$155,0))),
Error!$B$15,
IF(AND(OR($E557="Tier 2",$E557="Tier 2 Grove"),$F557="Retain",$H557&lt;&gt;"",ISNA(MATCH($H557,Tables!$B$147:$B$150,0))),
Error!$B$15,
IF(AND($E557="Tier 1",$F557="Remove",$H557&lt;&gt;"",ISNA(MATCH($H557,Tables!$B$143:$B$144,0))),
Error!$B$15,
IF(AND($E557="Tier 1",$F557="Retain",$H557&lt;&gt;"",ISNA(MATCH($H557,Tables!$B$137:$B$140,0))),
Error!$B$15,
IF(AND($E557&lt;&gt;"Tier 2",$E557&lt;&gt;"Tier 2 Grove",$E557&lt;&gt;"Tier 3",$E557&lt;&gt;"Tier 4",$H557="Zoning: Green Factor",OR($D557="",$D557&lt;6)),
Error!$B$11,
IF(AND(_xlpm.baseRow,$D557&lt;6,$E557="&lt;6in DSH for Tree Points",_xlpm.TreePoints_H=0),
Error!$B$21,
IF(AND(_xlpm.baseRow,$E557&lt;&gt;"",$D557&lt;&gt;"",$F557=""),
Error!$B$4,
IF(AND(_xlpm.baseRow,$F557="Remove",OR($E557="Tier 1",$E557="Tier 2",$E557="Tier 2 Grove"),COUNTBLANK(_xlpm.HRange)&lt;3,_xlpm.uniqueH&gt;=2),
Error!$B$48,
IF(AND(_xlpm.baseRow,$F557="Retain",OR($E557="Tier 1",$E557="Tier 2",$E557="Tier 2 Grove"),COUNTIF(_xlpm.HRange,"Tree Code: Required to Retain Tier 1-2 Tree")=0),
Error!$B$47,
IF(AND(_xlpm.baseRow,$E557&lt;&gt;"",$D557&lt;&gt;"",$F557&lt;&gt;"",COUNTBLANK(_xlpm.HRange)=4),
Error!$B$5,
IF(AND($F557="Remove",$H557&lt;&gt;"",$I557=""),
Error!$B$18,
IF(AND($E557="Tier 4",$F557="Remove",$H557="Tree Protection Code: Tier 3 or Tier 4 Allowance",$H557&lt;&gt;"",ISNA(MATCH($I557,Tables!$B$200,0))),
Error!$B$17,
IF(AND($E557="Tier 3",$F557="Remove",$H557&lt;&gt;"",$H557="Tree Protection Code: Tier 3 or Tier 4 Allowance",OR($I557="",ISNA(MATCH($I557,Tables!$B$193:$B$197,0)))),
Error!$B$17,
IF(AND(OR($E557="Tier 2",$E557="Tier 2 Grove"),$F557="Remove",$H557="Tree Protection Code: Other removal allowance or exemption",$I557&lt;&gt;"",ISNA(MATCH($I557,Tables!$B$215:$B$218,0))),
Error!$B$17,
IF(AND(OR($E557="Tier 2",$E557="Tier 2 Grove"),$F557="Remove",$H557="Tree Protection Code: Development Capacity",$I557&lt;&gt;"",ISNA(MATCH($I557,Tables!$B$193:$B$197,0))),
Error!$B$17,
IF(AND(OR($E557="Tier 2",$E557="Tier 2 Grove"),$F557="Remove",$H557="Tree Protection Code: Necessary for Construction",$I557&lt;&gt;"",ISNA(MATCH($I557,Tables!$B$193:$B$197,0))),
Error!$B$17,
IF(AND($E557="Tier 1",$F557="Remove",$H557="Tree Protection Code: Special Exception",$I557&lt;&gt;"",ISNA(MATCH($I557,Tables!$B$215:$B$218,0))),
Error!$B$17,
IF(AND($E557="Tier 1",$F557="Remove",$H557="Tree Protection Code: Other removal allowance or exemption",$I557&lt;&gt;"",ISNA(MATCH($I557,Tables!$B$215:$B$218,0))),
Error!$B$17,
IF(AND($E557="ECA / Shoreline Tree",$F557="Remove",$H557&lt;&gt;"",OR($H557="Shoreline",$H557="Environmental Critical Area (ECA)"),ISNA(MATCH($I557,Tables!$B$209:$B$212,0))),
Error!$B$17,
IF(AND(_xlpm.baseRow,$F557="Retain",$E557="ECA / Shoreline Tree",_xlpm.ECA_Short=0),
Error!$B$61,
IF(AND($F557="Remove",ISNUMBER(MATCH($E557,{"Tier 1","Tier 2","Tier 3","Tier 4","Tier 2 Grove"},0)),ISNUMBER(MATCH($I557,{"On-site replacement","Off-site replacement"},0)),$J557="",$H557&lt;&gt;""),
Error!$B$19,
IF(AND(_xlpm.baseRow,$E557&lt;&gt;"",$D557&lt;&gt;"",$F557&lt;&gt;"",COUNTBLANK($B557:$C557)&gt;0,COUNTBLANK(_xlpm.HRange)&lt;&gt;4),
Error!$B$22,
IF(AND($H557="Zoning: Tree Points",$K557&lt;&gt;"",ISNA(MATCH($K557,Tables!$B$242:$B$253,0))),
Error!$B$58,
IF(AND($H557="Zoning: Tree Points",$K557="Small",$L557&lt;&gt;"",ISNA(MATCH($L557,Tables!$C$243:$C$244,0))),
Error!$B$59,
IF(AND($H557="Zoning: Tree Points",$K557="Small/Medium",$L557&lt;&gt;"",ISNA(MATCH($L557,Tables!$C$246:$C$247,0))),
Error!$B$59,
IF(AND($H557="Zoning: Tree Points",$K557="Medium/Large",$L557&lt;&gt;"",ISNA(MATCH($L557,Tables!$C$249:$C$250,0))),
Error!$B$59,
IF(AND($H557="Zoning: Tree Points",$K557="Large",$L557&lt;&gt;"",ISNA(MATCH($L557,Tables!$C$252:$C$253,0))),
Error!$B$59,
IF(AND($F557="Retain",$H557="Zoning: Tree Points",$C557&lt;&gt;"",$D557&lt;&gt;"",OR($K557="",$L557="",$M557="")),
Error!$B$20,
""
)))))))))))))))))))))))))))))))))))))))))))))))))))))))),
Error!$B$23))</f>
        <v/>
      </c>
      <c r="O557" s="343" t="str" cm="1">
        <f t="array" aca="1" ref="O557" ca="1">IFERROR(_xlfn.LET(
    _xlpm.txt, $C557,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58" spans="1:15" ht="15" thickBot="1" x14ac:dyDescent="0.35">
      <c r="A558" s="331"/>
      <c r="B558" s="616" t="str">
        <f t="shared" si="644"/>
        <v/>
      </c>
      <c r="C558" s="617" t="str">
        <f t="shared" si="645"/>
        <v/>
      </c>
      <c r="D558" s="618" t="str">
        <f t="shared" si="646"/>
        <v/>
      </c>
      <c r="E558" s="616" t="str">
        <f t="shared" si="647"/>
        <v/>
      </c>
      <c r="F558" s="616" t="str">
        <f t="shared" si="648"/>
        <v/>
      </c>
      <c r="G558" s="619" t="str">
        <f>IF(Tree_Table1[[#This Row],[Tree Status  &amp;]]="Retain", Tables!$B$237, IF(Tree_Table1[[#This Row],[Tree Status  &amp;]]="Remove", Tables!$B$238, ""))</f>
        <v/>
      </c>
      <c r="H558" s="329"/>
      <c r="I558" s="330"/>
      <c r="J558" s="455"/>
      <c r="K558" s="327" t="str">
        <f>IFERROR(
    IF(
        AND($H558="Zoning: Tree Points", NOT(ISNUMBER(SEARCH("sp.", $C558)))),
        VLOOKUP($C558, 'Tree List'!$C$3:$F$601, 4, FALSE),
        ""
    ),
"")</f>
        <v/>
      </c>
      <c r="L558" s="328" t="str" cm="1">
        <f t="array" ref="L558">IFERROR(
IF(
    AND($H558="Zoning: Tree Points", NOT(ISNUMBER(SEARCH("sp.", $C558)))),
    _xlfn.IFS(
        (COUNTIFS('Tree List'!$C$3:$C$601,$C558,'Tree List'!$D$3:$D$601,"Coniferous")
        + COUNTIFS('Tree List'!$C$3:$C$601,$C558,'Tree List'!$D$3:$D$601,"Deciduous Conifer")) &gt; 0,
            _xlfn.IFS($K558="Small",0.5,$K558="Small/Medium",1,$K558="Medium/Large",1.4,$K558="Large",1.8),
        (COUNTIFS('Tree List'!$C$3:$C$601,$C558,'Tree List'!$D$3:$D$601,"Deciduous")
        + COUNTIFS('Tree List'!$C$3:$C$601,$C558,'Tree List'!$D$3:$D$601,"Broadleaf Evergreen")) &gt; 0,
            _xlfn.IFS($K558="Small",0.4,$K558="Small/Medium",0.8,$K558="Medium/Large",1.2,$K558="Large",1.6)
    ),
    ""
),
"")</f>
        <v/>
      </c>
      <c r="M558" s="476" t="str">
        <f t="shared" si="573"/>
        <v/>
      </c>
      <c r="N558" s="347" t="str" cm="1">
        <f t="array" aca="1" ref="N55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IF(AND(_xlpm.baseRow,ISNA(MATCH($C558,'Tree List'!$C$3:$C$601,0)),SUMPRODUCT(--ISNUMBER(SEARCH(Tables2!$C$677:$C$772,$O558)))&gt;0),
Error!$B$57,
IF(AND(_xlpm.hasDM,$F558="Remove",$H558&lt;&gt;"",OR($I558="On-site replacement",$I558="Off-site replacement",$I558="Payment In Lieu")),
Error!$B$56,
IF(AND(_xlpm.hasDM,$F558="Remove",$H558&lt;&gt;"",$I558="Relocation"),
Error!$B$66,
IF(AND(OR(_xlpm.hasCN,_xlpm.hasPH,_xlpm.hasGR),$H558&lt;&gt;"",COUNTIF(Tables!$B$132:$B$134,$H558)&gt;0,$I558="N/A (No replacement required)"),
Error!$B$62,
IF(AND(_xlpm.baseRow,$E558&lt;&gt;"",ISNA(MATCH($E558,Tables!$B$225:$B$232,0))),
Error!$B$2,
IF(AND(_xlpm.baseRow,$F558&lt;&gt;"",ISNA(MATCH($F558,Tables!$B$234:$B$235,0))),
Error!$B$24,
IF(AND(_xlpm.baseRow,_xlpm.ECA_H&gt;0,_xlpm.Shore_H&gt;0),
Error!$B$16,
IF(AND(_xlpm.baseRow,$E558&lt;&gt;"",$D558=""),
Error!$B$3,
IF(AND(_xlpm.baseRow,OR($E558="Tier 3",$E558="Tier 4"),$C558&lt;&gt;"",$D558&gt;=24,COUNTIF(Tables2!$B$166:$B$674,$C558)&gt;0),
Error!$B$44,
IF(AND(_xlpm.baseRow,OR($E558="Tier 3",$E558="Tier 4"),$C558&lt;&gt;"",$D558&lt;&gt;"",COUNTIF(Tables2!$B$73:$B$152,$C558)&gt;0,
$D558&gt;=IFERROR(INDEX(Tables2!$C$73:$C$152,MATCH($C558,Tables2!$B$73:$B$152,0)),-1)),
Error!$B$44,
IF(AND(_xlpm.baseRow,OR($E558="Tier 2",$E558="Tier 2 Grove"),$C558&lt;&gt;"",$D558&gt;=12,COUNTIF(Tables2!$B$153:$B$162,$C558)&gt;0),
Error!$B$45,
IF(AND(_xlpm.baseRow,$E558="Tier 2 Grove",$D558&lt;12),
Error!$B$41,
IF(AND(_xlpm.baseRow,$E558="Tier 2",$D558&lt;5.88),
Error!$B$40,
IF(AND(_xlpm.baseRow,OR($E558="Tier 2",$E558="Tier 2 Grove"),$C558&lt;&gt;"",$D558&lt;12,$D558&gt;=6,COUNTIF(Tables2!$B$153:$B$162,$C558)&gt;0),
Error!$B$54,
IF(AND(_xlpm.baseRow,$E558="Tier 2",COUNTIF(Tables2!$B$166:$B$674,$C558)&gt;0,$D558&lt;24),
Error!$B$54,
IF(AND(_xlpm.baseRow,$E558="Tier 3",ISNA(MATCH($C558,Tables2!$B$153:$B$162,0)),OR($D558&lt;12,$D558&gt;=24)),
Error!$B$9,
IF(AND(_xlpm.baseRow,$E558="Tier 3",COUNTIF(Tables2!$B$153:$B$162,$C558)&gt;0,$D558&lt;12),
Error!$B$46,
IF(AND(_xlpm.baseRow,$E558="Tier 4",OR($D558&lt;6,$D558&gt;=12)),
Error!$B$10,
IF(AND(_xlpm.baseRow,$E558="&lt;6in DSH for Tree Points",OR($D558&gt;=6,$D558="")),
Error!$B$8,
IF(AND(_xlpm.baseRow,$E558="Street Tree for Green Factor",$F558&lt;&gt;"",$F558&lt;&gt;"Retain"),
Error!$B$14,
IF(AND($E558="&lt;6in DSH for Tree Points",$F558="Retain",$H558&lt;&gt;"",ISNA(MATCH($H558,Tables!$B$174:$B$174,0))),
Error!$B$15,
IF(AND($E558="Street Tree for Green Factor",$F558="Retain",$H558&lt;&gt;"",$H558&lt;&gt;"Zoning: Green Factor"),
Error!$B$15,
IF(AND($E558="ECA / Shoreline Tree",$F558="Remove",$H558&lt;&gt;"",ISNA(MATCH($H558,Tables!$B$189:$B$190,0))),
Error!$B$15,
IF(AND($E558="ECA / Shoreline Tree",$F558="Retain",$H558&lt;&gt;"",ISNA(MATCH($H558,Tables!$B$184:$B$186,0))),
Error!$B$15,
IF(AND($E558="Tier 4",$F558="Remove",$H558&lt;&gt;"",ISNA(MATCH($H558,Tables!$B$171,0))),
Error!$B$15,
IF(AND($E558="Tier 4",$F558="Retain",$H558&lt;&gt;"",ISNA(MATCH($H558,Tables!$B$166:$B$168,0))),
Error!$B$15,
IF(AND($E558="Tier 3",$F558="Retain",$H558&lt;&gt;"",ISNA(MATCH($H558,Tables!$B$158:$B$160,0))),
Error!$B$15,
IF(AND($E558="Tier 3",$F558="Remove",$H558&lt;&gt;"",ISNA(MATCH($H558,Tables!$B$163,0))),
Error!$B$15,
IF(AND(OR($E558="Tier 2",$E558="Tier 2 Grove"),$F558="Remove",$H558&lt;&gt;"",ISNA(MATCH($H558,Tables!$B$153:$B$155,0))),
Error!$B$15,
IF(AND(OR($E558="Tier 2",$E558="Tier 2 Grove"),$F558="Retain",$H558&lt;&gt;"",ISNA(MATCH($H558,Tables!$B$147:$B$150,0))),
Error!$B$15,
IF(AND($E558="Tier 1",$F558="Remove",$H558&lt;&gt;"",ISNA(MATCH($H558,Tables!$B$143:$B$144,0))),
Error!$B$15,
IF(AND($E558="Tier 1",$F558="Retain",$H558&lt;&gt;"",ISNA(MATCH($H558,Tables!$B$137:$B$140,0))),
Error!$B$15,
IF(AND($E558&lt;&gt;"Tier 2",$E558&lt;&gt;"Tier 2 Grove",$E558&lt;&gt;"Tier 3",$E558&lt;&gt;"Tier 4",$H558="Zoning: Green Factor",OR($D558="",$D558&lt;6)),
Error!$B$11,
IF(AND(_xlpm.baseRow,$D558&lt;6,$E558="&lt;6in DSH for Tree Points",_xlpm.TreePoints_H=0),
Error!$B$21,
IF(AND(_xlpm.baseRow,$E558&lt;&gt;"",$D558&lt;&gt;"",$F558=""),
Error!$B$4,
IF(AND(_xlpm.baseRow,$F558="Remove",OR($E558="Tier 1",$E558="Tier 2",$E558="Tier 2 Grove"),COUNTBLANK(_xlpm.HRange)&lt;3,_xlpm.uniqueH&gt;=2),
Error!$B$48,
IF(AND(_xlpm.baseRow,$F558="Retain",OR($E558="Tier 1",$E558="Tier 2",$E558="Tier 2 Grove"),COUNTIF(_xlpm.HRange,"Tree Code: Required to Retain Tier 1-2 Tree")=0),
Error!$B$47,
IF(AND(_xlpm.baseRow,$E558&lt;&gt;"",$D558&lt;&gt;"",$F558&lt;&gt;"",COUNTBLANK(_xlpm.HRange)=4),
Error!$B$5,
IF(AND($F558="Remove",$H558&lt;&gt;"",$I558=""),
Error!$B$18,
IF(AND($E558="Tier 4",$F558="Remove",$H558="Tree Protection Code: Tier 3 or Tier 4 Allowance",$H558&lt;&gt;"",ISNA(MATCH($I558,Tables!$B$200,0))),
Error!$B$17,
IF(AND($E558="Tier 3",$F558="Remove",$H558&lt;&gt;"",$H558="Tree Protection Code: Tier 3 or Tier 4 Allowance",OR($I558="",ISNA(MATCH($I558,Tables!$B$193:$B$197,0)))),
Error!$B$17,
IF(AND(OR($E558="Tier 2",$E558="Tier 2 Grove"),$F558="Remove",$H558="Tree Protection Code: Other removal allowance or exemption",$I558&lt;&gt;"",ISNA(MATCH($I558,Tables!$B$215:$B$218,0))),
Error!$B$17,
IF(AND(OR($E558="Tier 2",$E558="Tier 2 Grove"),$F558="Remove",$H558="Tree Protection Code: Development Capacity",$I558&lt;&gt;"",ISNA(MATCH($I558,Tables!$B$193:$B$197,0))),
Error!$B$17,
IF(AND(OR($E558="Tier 2",$E558="Tier 2 Grove"),$F558="Remove",$H558="Tree Protection Code: Necessary for Construction",$I558&lt;&gt;"",ISNA(MATCH($I558,Tables!$B$193:$B$197,0))),
Error!$B$17,
IF(AND($E558="Tier 1",$F558="Remove",$H558="Tree Protection Code: Special Exception",$I558&lt;&gt;"",ISNA(MATCH($I558,Tables!$B$215:$B$218,0))),
Error!$B$17,
IF(AND($E558="Tier 1",$F558="Remove",$H558="Tree Protection Code: Other removal allowance or exemption",$I558&lt;&gt;"",ISNA(MATCH($I558,Tables!$B$215:$B$218,0))),
Error!$B$17,
IF(AND($E558="ECA / Shoreline Tree",$F558="Remove",$H558&lt;&gt;"",OR($H558="Shoreline",$H558="Environmental Critical Area (ECA)"),ISNA(MATCH($I558,Tables!$B$209:$B$212,0))),
Error!$B$17,
IF(AND(_xlpm.baseRow,$F558="Retain",$E558="ECA / Shoreline Tree",_xlpm.ECA_Short=0),
Error!$B$61,
IF(AND($F558="Remove",ISNUMBER(MATCH($E558,{"Tier 1","Tier 2","Tier 3","Tier 4","Tier 2 Grove"},0)),ISNUMBER(MATCH($I558,{"On-site replacement","Off-site replacement"},0)),$J558="",$H558&lt;&gt;""),
Error!$B$19,
IF(AND(_xlpm.baseRow,$E558&lt;&gt;"",$D558&lt;&gt;"",$F558&lt;&gt;"",COUNTBLANK($B558:$C558)&gt;0,COUNTBLANK(_xlpm.HRange)&lt;&gt;4),
Error!$B$22,
IF(AND($H558="Zoning: Tree Points",$K558&lt;&gt;"",ISNA(MATCH($K558,Tables!$B$242:$B$253,0))),
Error!$B$58,
IF(AND($H558="Zoning: Tree Points",$K558="Small",$L558&lt;&gt;"",ISNA(MATCH($L558,Tables!$C$243:$C$244,0))),
Error!$B$59,
IF(AND($H558="Zoning: Tree Points",$K558="Small/Medium",$L558&lt;&gt;"",ISNA(MATCH($L558,Tables!$C$246:$C$247,0))),
Error!$B$59,
IF(AND($H558="Zoning: Tree Points",$K558="Medium/Large",$L558&lt;&gt;"",ISNA(MATCH($L558,Tables!$C$249:$C$250,0))),
Error!$B$59,
IF(AND($H558="Zoning: Tree Points",$K558="Large",$L558&lt;&gt;"",ISNA(MATCH($L558,Tables!$C$252:$C$253,0))),
Error!$B$59,
IF(AND($F558="Retain",$H558="Zoning: Tree Points",$C558&lt;&gt;"",$D558&lt;&gt;"",OR($K558="",$L558="",$M558="")),
Error!$B$20,
""
)))))))))))))))))))))))))))))))))))))))))))))))))))))))),
Error!$B$23))</f>
        <v/>
      </c>
      <c r="O558" s="343" t="str" cm="1">
        <f t="array" aca="1" ref="O558" ca="1">IFERROR(_xlfn.LET(
    _xlpm.txt, $C558,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59" spans="1:15" ht="15" thickBot="1" x14ac:dyDescent="0.35">
      <c r="A559" s="311">
        <v>138</v>
      </c>
      <c r="B559" s="312"/>
      <c r="C559" s="313"/>
      <c r="D559" s="478"/>
      <c r="E559" s="314"/>
      <c r="F559" s="314"/>
      <c r="G559" s="315" t="str">
        <f>IF(Tree_Table1[[#This Row],[Tree Status  &amp;]]="Retain", Tables!$B$237, IF(Tree_Table1[[#This Row],[Tree Status  &amp;]]="Remove", Tables!$B$238, ""))</f>
        <v/>
      </c>
      <c r="H559" s="316"/>
      <c r="I559" s="317"/>
      <c r="J559" s="452"/>
      <c r="K559" s="318" t="str">
        <f>IFERROR(
    IF(
        AND($H559="Zoning: Tree Points", NOT(ISNUMBER(SEARCH("sp.", $C559)))),
        VLOOKUP($C559, 'Tree List'!$C$3:$F$601, 4, FALSE),
        ""
    ),
"")</f>
        <v/>
      </c>
      <c r="L559" s="319" t="str" cm="1">
        <f t="array" ref="L559">IFERROR(
IF(
    AND($H559="Zoning: Tree Points", NOT(ISNUMBER(SEARCH("sp.", $C559)))),
    _xlfn.IFS(
        (COUNTIFS('Tree List'!$C$3:$C$601,$C559,'Tree List'!$D$3:$D$601,"Coniferous")
        + COUNTIFS('Tree List'!$C$3:$C$601,$C559,'Tree List'!$D$3:$D$601,"Deciduous Conifer")) &gt; 0,
            _xlfn.IFS($K559="Small",0.5,$K559="Small/Medium",1,$K559="Medium/Large",1.4,$K559="Large",1.8),
        (COUNTIFS('Tree List'!$C$3:$C$601,$C559,'Tree List'!$D$3:$D$601,"Deciduous")
        + COUNTIFS('Tree List'!$C$3:$C$601,$C559,'Tree List'!$D$3:$D$601,"Broadleaf Evergreen")) &gt; 0,
            _xlfn.IFS($K559="Small",0.4,$K559="Small/Medium",0.8,$K559="Medium/Large",1.2,$K559="Large",1.6)
    ),
    ""
),
"")</f>
        <v/>
      </c>
      <c r="M559" s="474" t="str">
        <f t="shared" si="573"/>
        <v/>
      </c>
      <c r="N559" s="620" t="str" cm="1">
        <f t="array" aca="1" ref="N55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IF(AND(_xlpm.baseRow,ISNA(MATCH($C559,'Tree List'!$C$3:$C$601,0)),SUMPRODUCT(--ISNUMBER(SEARCH(Tables2!$C$677:$C$772,$O559)))&gt;0),
Error!$B$57,
IF(AND(_xlpm.hasDM,$F559="Remove",$H559&lt;&gt;"",OR($I559="On-site replacement",$I559="Off-site replacement",$I559="Payment In Lieu")),
Error!$B$56,
IF(AND(_xlpm.hasDM,$F559="Remove",$H559&lt;&gt;"",$I559="Relocation"),
Error!$B$66,
IF(AND(OR(_xlpm.hasCN,_xlpm.hasPH,_xlpm.hasGR),$H559&lt;&gt;"",COUNTIF(Tables!$B$132:$B$134,$H559)&gt;0,$I559="N/A (No replacement required)"),
Error!$B$62,
IF(AND(_xlpm.baseRow,$E559&lt;&gt;"",ISNA(MATCH($E559,Tables!$B$225:$B$232,0))),
Error!$B$2,
IF(AND(_xlpm.baseRow,$F559&lt;&gt;"",ISNA(MATCH($F559,Tables!$B$234:$B$235,0))),
Error!$B$24,
IF(AND(_xlpm.baseRow,_xlpm.ECA_H&gt;0,_xlpm.Shore_H&gt;0),
Error!$B$16,
IF(AND(_xlpm.baseRow,$E559&lt;&gt;"",$D559=""),
Error!$B$3,
IF(AND(_xlpm.baseRow,OR($E559="Tier 3",$E559="Tier 4"),$C559&lt;&gt;"",$D559&gt;=24,COUNTIF(Tables2!$B$166:$B$674,$C559)&gt;0),
Error!$B$44,
IF(AND(_xlpm.baseRow,OR($E559="Tier 3",$E559="Tier 4"),$C559&lt;&gt;"",$D559&lt;&gt;"",COUNTIF(Tables2!$B$73:$B$152,$C559)&gt;0,
$D559&gt;=IFERROR(INDEX(Tables2!$C$73:$C$152,MATCH($C559,Tables2!$B$73:$B$152,0)),-1)),
Error!$B$44,
IF(AND(_xlpm.baseRow,OR($E559="Tier 2",$E559="Tier 2 Grove"),$C559&lt;&gt;"",$D559&gt;=12,COUNTIF(Tables2!$B$153:$B$162,$C559)&gt;0),
Error!$B$45,
IF(AND(_xlpm.baseRow,$E559="Tier 2 Grove",$D559&lt;12),
Error!$B$41,
IF(AND(_xlpm.baseRow,$E559="Tier 2",$D559&lt;5.88),
Error!$B$40,
IF(AND(_xlpm.baseRow,OR($E559="Tier 2",$E559="Tier 2 Grove"),$C559&lt;&gt;"",$D559&lt;12,$D559&gt;=6,COUNTIF(Tables2!$B$153:$B$162,$C559)&gt;0),
Error!$B$54,
IF(AND(_xlpm.baseRow,$E559="Tier 2",COUNTIF(Tables2!$B$166:$B$674,$C559)&gt;0,$D559&lt;24),
Error!$B$54,
IF(AND(_xlpm.baseRow,$E559="Tier 3",ISNA(MATCH($C559,Tables2!$B$153:$B$162,0)),OR($D559&lt;12,$D559&gt;=24)),
Error!$B$9,
IF(AND(_xlpm.baseRow,$E559="Tier 3",COUNTIF(Tables2!$B$153:$B$162,$C559)&gt;0,$D559&lt;12),
Error!$B$46,
IF(AND(_xlpm.baseRow,$E559="Tier 4",OR($D559&lt;6,$D559&gt;=12)),
Error!$B$10,
IF(AND(_xlpm.baseRow,$E559="&lt;6in DSH for Tree Points",OR($D559&gt;=6,$D559="")),
Error!$B$8,
IF(AND(_xlpm.baseRow,$E559="Street Tree for Green Factor",$F559&lt;&gt;"",$F559&lt;&gt;"Retain"),
Error!$B$14,
IF(AND($E559="&lt;6in DSH for Tree Points",$F559="Retain",$H559&lt;&gt;"",ISNA(MATCH($H559,Tables!$B$174:$B$174,0))),
Error!$B$15,
IF(AND($E559="Street Tree for Green Factor",$F559="Retain",$H559&lt;&gt;"",$H559&lt;&gt;"Zoning: Green Factor"),
Error!$B$15,
IF(AND($E559="ECA / Shoreline Tree",$F559="Remove",$H559&lt;&gt;"",ISNA(MATCH($H559,Tables!$B$189:$B$190,0))),
Error!$B$15,
IF(AND($E559="ECA / Shoreline Tree",$F559="Retain",$H559&lt;&gt;"",ISNA(MATCH($H559,Tables!$B$184:$B$186,0))),
Error!$B$15,
IF(AND($E559="Tier 4",$F559="Remove",$H559&lt;&gt;"",ISNA(MATCH($H559,Tables!$B$171,0))),
Error!$B$15,
IF(AND($E559="Tier 4",$F559="Retain",$H559&lt;&gt;"",ISNA(MATCH($H559,Tables!$B$166:$B$168,0))),
Error!$B$15,
IF(AND($E559="Tier 3",$F559="Retain",$H559&lt;&gt;"",ISNA(MATCH($H559,Tables!$B$158:$B$160,0))),
Error!$B$15,
IF(AND($E559="Tier 3",$F559="Remove",$H559&lt;&gt;"",ISNA(MATCH($H559,Tables!$B$163,0))),
Error!$B$15,
IF(AND(OR($E559="Tier 2",$E559="Tier 2 Grove"),$F559="Remove",$H559&lt;&gt;"",ISNA(MATCH($H559,Tables!$B$153:$B$155,0))),
Error!$B$15,
IF(AND(OR($E559="Tier 2",$E559="Tier 2 Grove"),$F559="Retain",$H559&lt;&gt;"",ISNA(MATCH($H559,Tables!$B$147:$B$150,0))),
Error!$B$15,
IF(AND($E559="Tier 1",$F559="Remove",$H559&lt;&gt;"",ISNA(MATCH($H559,Tables!$B$143:$B$144,0))),
Error!$B$15,
IF(AND($E559="Tier 1",$F559="Retain",$H559&lt;&gt;"",ISNA(MATCH($H559,Tables!$B$137:$B$140,0))),
Error!$B$15,
IF(AND($E559&lt;&gt;"Tier 2",$E559&lt;&gt;"Tier 2 Grove",$E559&lt;&gt;"Tier 3",$E559&lt;&gt;"Tier 4",$H559="Zoning: Green Factor",OR($D559="",$D559&lt;6)),
Error!$B$11,
IF(AND(_xlpm.baseRow,$D559&lt;6,$E559="&lt;6in DSH for Tree Points",_xlpm.TreePoints_H=0),
Error!$B$21,
IF(AND(_xlpm.baseRow,$E559&lt;&gt;"",$D559&lt;&gt;"",$F559=""),
Error!$B$4,
IF(AND(_xlpm.baseRow,$F559="Remove",OR($E559="Tier 1",$E559="Tier 2",$E559="Tier 2 Grove"),COUNTBLANK(_xlpm.HRange)&lt;3,_xlpm.uniqueH&gt;=2),
Error!$B$48,
IF(AND(_xlpm.baseRow,$F559="Retain",OR($E559="Tier 1",$E559="Tier 2",$E559="Tier 2 Grove"),COUNTIF(_xlpm.HRange,"Tree Code: Required to Retain Tier 1-2 Tree")=0),
Error!$B$47,
IF(AND(_xlpm.baseRow,$E559&lt;&gt;"",$D559&lt;&gt;"",$F559&lt;&gt;"",COUNTBLANK(_xlpm.HRange)=4),
Error!$B$5,
IF(AND($F559="Remove",$H559&lt;&gt;"",$I559=""),
Error!$B$18,
IF(AND($E559="Tier 4",$F559="Remove",$H559="Tree Protection Code: Tier 3 or Tier 4 Allowance",$H559&lt;&gt;"",ISNA(MATCH($I559,Tables!$B$200,0))),
Error!$B$17,
IF(AND($E559="Tier 3",$F559="Remove",$H559&lt;&gt;"",$H559="Tree Protection Code: Tier 3 or Tier 4 Allowance",OR($I559="",ISNA(MATCH($I559,Tables!$B$193:$B$197,0)))),
Error!$B$17,
IF(AND(OR($E559="Tier 2",$E559="Tier 2 Grove"),$F559="Remove",$H559="Tree Protection Code: Other removal allowance or exemption",$I559&lt;&gt;"",ISNA(MATCH($I559,Tables!$B$215:$B$218,0))),
Error!$B$17,
IF(AND(OR($E559="Tier 2",$E559="Tier 2 Grove"),$F559="Remove",$H559="Tree Protection Code: Development Capacity",$I559&lt;&gt;"",ISNA(MATCH($I559,Tables!$B$193:$B$197,0))),
Error!$B$17,
IF(AND(OR($E559="Tier 2",$E559="Tier 2 Grove"),$F559="Remove",$H559="Tree Protection Code: Necessary for Construction",$I559&lt;&gt;"",ISNA(MATCH($I559,Tables!$B$193:$B$197,0))),
Error!$B$17,
IF(AND($E559="Tier 1",$F559="Remove",$H559="Tree Protection Code: Special Exception",$I559&lt;&gt;"",ISNA(MATCH($I559,Tables!$B$215:$B$218,0))),
Error!$B$17,
IF(AND($E559="Tier 1",$F559="Remove",$H559="Tree Protection Code: Other removal allowance or exemption",$I559&lt;&gt;"",ISNA(MATCH($I559,Tables!$B$215:$B$218,0))),
Error!$B$17,
IF(AND($E559="ECA / Shoreline Tree",$F559="Remove",$H559&lt;&gt;"",OR($H559="Shoreline",$H559="Environmental Critical Area (ECA)"),ISNA(MATCH($I559,Tables!$B$209:$B$212,0))),
Error!$B$17,
IF(AND(_xlpm.baseRow,$F559="Retain",$E559="ECA / Shoreline Tree",_xlpm.ECA_Short=0),
Error!$B$61,
IF(AND($F559="Remove",ISNUMBER(MATCH($E559,{"Tier 1","Tier 2","Tier 3","Tier 4","Tier 2 Grove"},0)),ISNUMBER(MATCH($I559,{"On-site replacement","Off-site replacement"},0)),$J559="",$H559&lt;&gt;""),
Error!$B$19,
IF(AND(_xlpm.baseRow,$E559&lt;&gt;"",$D559&lt;&gt;"",$F559&lt;&gt;"",COUNTBLANK($B559:$C559)&gt;0,COUNTBLANK(_xlpm.HRange)&lt;&gt;4),
Error!$B$22,
IF(AND($H559="Zoning: Tree Points",$K559&lt;&gt;"",ISNA(MATCH($K559,Tables!$B$242:$B$253,0))),
Error!$B$58,
IF(AND($H559="Zoning: Tree Points",$K559="Small",$L559&lt;&gt;"",ISNA(MATCH($L559,Tables!$C$243:$C$244,0))),
Error!$B$59,
IF(AND($H559="Zoning: Tree Points",$K559="Small/Medium",$L559&lt;&gt;"",ISNA(MATCH($L559,Tables!$C$246:$C$247,0))),
Error!$B$59,
IF(AND($H559="Zoning: Tree Points",$K559="Medium/Large",$L559&lt;&gt;"",ISNA(MATCH($L559,Tables!$C$249:$C$250,0))),
Error!$B$59,
IF(AND($H559="Zoning: Tree Points",$K559="Large",$L559&lt;&gt;"",ISNA(MATCH($L559,Tables!$C$252:$C$253,0))),
Error!$B$59,
IF(AND($F559="Retain",$H559="Zoning: Tree Points",$C559&lt;&gt;"",$D559&lt;&gt;"",OR($K559="",$L559="",$M559="")),
Error!$B$20,
""
)))))))))))))))))))))))))))))))))))))))))))))))))))))))),
Error!$B$23))</f>
        <v/>
      </c>
      <c r="O559" s="343" t="str" cm="1">
        <f t="array" aca="1" ref="O559" ca="1">IFERROR(_xlfn.LET(
    _xlpm.txt, $C559,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60" spans="1:15" x14ac:dyDescent="0.3">
      <c r="A560" s="320"/>
      <c r="B560" s="616" t="str">
        <f t="shared" ref="B560:B562" si="649">IF($B559="", "", $B559)</f>
        <v/>
      </c>
      <c r="C560" s="617" t="str">
        <f t="shared" ref="C560:C562" si="650">IF($C559="", "", $C559)</f>
        <v/>
      </c>
      <c r="D560" s="618" t="str">
        <f t="shared" ref="D560:D562" si="651">IF($D559="", "", $D559)</f>
        <v/>
      </c>
      <c r="E560" s="616" t="str">
        <f t="shared" ref="E560:E562" si="652">IF($E559="", "", $E559)</f>
        <v/>
      </c>
      <c r="F560" s="616" t="str">
        <f t="shared" ref="F560:F562" si="653">IF($F559="", "", $F559)</f>
        <v/>
      </c>
      <c r="G560" s="619" t="str">
        <f>IF(Tree_Table1[[#This Row],[Tree Status  &amp;]]="Retain", Tables!$B$237, IF(Tree_Table1[[#This Row],[Tree Status  &amp;]]="Remove", Tables!$B$238, ""))</f>
        <v/>
      </c>
      <c r="H560" s="321"/>
      <c r="I560" s="322"/>
      <c r="J560" s="453"/>
      <c r="K560" s="323" t="str">
        <f>IFERROR(
    IF(
        AND($H560="Zoning: Tree Points", NOT(ISNUMBER(SEARCH("sp.", $C560)))),
        VLOOKUP($C560, 'Tree List'!$C$3:$F$601, 4, FALSE),
        ""
    ),
"")</f>
        <v/>
      </c>
      <c r="L560" s="324" t="str" cm="1">
        <f t="array" ref="L560">IFERROR(
IF(
    AND($H560="Zoning: Tree Points", NOT(ISNUMBER(SEARCH("sp.", $C560)))),
    _xlfn.IFS(
        (COUNTIFS('Tree List'!$C$3:$C$601,$C560,'Tree List'!$D$3:$D$601,"Coniferous")
        + COUNTIFS('Tree List'!$C$3:$C$601,$C560,'Tree List'!$D$3:$D$601,"Deciduous Conifer")) &gt; 0,
            _xlfn.IFS($K560="Small",0.5,$K560="Small/Medium",1,$K560="Medium/Large",1.4,$K560="Large",1.8),
        (COUNTIFS('Tree List'!$C$3:$C$601,$C560,'Tree List'!$D$3:$D$601,"Deciduous")
        + COUNTIFS('Tree List'!$C$3:$C$601,$C560,'Tree List'!$D$3:$D$601,"Broadleaf Evergreen")) &gt; 0,
            _xlfn.IFS($K560="Small",0.4,$K560="Small/Medium",0.8,$K560="Medium/Large",1.2,$K560="Large",1.6)
    ),
    ""
),
"")</f>
        <v/>
      </c>
      <c r="M560" s="475" t="str">
        <f t="shared" si="573"/>
        <v/>
      </c>
      <c r="N560" s="346" t="str" cm="1">
        <f t="array" aca="1" ref="N56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IF(AND(_xlpm.baseRow,ISNA(MATCH($C560,'Tree List'!$C$3:$C$601,0)),SUMPRODUCT(--ISNUMBER(SEARCH(Tables2!$C$677:$C$772,$O560)))&gt;0),
Error!$B$57,
IF(AND(_xlpm.hasDM,$F560="Remove",$H560&lt;&gt;"",OR($I560="On-site replacement",$I560="Off-site replacement",$I560="Payment In Lieu")),
Error!$B$56,
IF(AND(_xlpm.hasDM,$F560="Remove",$H560&lt;&gt;"",$I560="Relocation"),
Error!$B$66,
IF(AND(OR(_xlpm.hasCN,_xlpm.hasPH,_xlpm.hasGR),$H560&lt;&gt;"",COUNTIF(Tables!$B$132:$B$134,$H560)&gt;0,$I560="N/A (No replacement required)"),
Error!$B$62,
IF(AND(_xlpm.baseRow,$E560&lt;&gt;"",ISNA(MATCH($E560,Tables!$B$225:$B$232,0))),
Error!$B$2,
IF(AND(_xlpm.baseRow,$F560&lt;&gt;"",ISNA(MATCH($F560,Tables!$B$234:$B$235,0))),
Error!$B$24,
IF(AND(_xlpm.baseRow,_xlpm.ECA_H&gt;0,_xlpm.Shore_H&gt;0),
Error!$B$16,
IF(AND(_xlpm.baseRow,$E560&lt;&gt;"",$D560=""),
Error!$B$3,
IF(AND(_xlpm.baseRow,OR($E560="Tier 3",$E560="Tier 4"),$C560&lt;&gt;"",$D560&gt;=24,COUNTIF(Tables2!$B$166:$B$674,$C560)&gt;0),
Error!$B$44,
IF(AND(_xlpm.baseRow,OR($E560="Tier 3",$E560="Tier 4"),$C560&lt;&gt;"",$D560&lt;&gt;"",COUNTIF(Tables2!$B$73:$B$152,$C560)&gt;0,
$D560&gt;=IFERROR(INDEX(Tables2!$C$73:$C$152,MATCH($C560,Tables2!$B$73:$B$152,0)),-1)),
Error!$B$44,
IF(AND(_xlpm.baseRow,OR($E560="Tier 2",$E560="Tier 2 Grove"),$C560&lt;&gt;"",$D560&gt;=12,COUNTIF(Tables2!$B$153:$B$162,$C560)&gt;0),
Error!$B$45,
IF(AND(_xlpm.baseRow,$E560="Tier 2 Grove",$D560&lt;12),
Error!$B$41,
IF(AND(_xlpm.baseRow,$E560="Tier 2",$D560&lt;5.88),
Error!$B$40,
IF(AND(_xlpm.baseRow,OR($E560="Tier 2",$E560="Tier 2 Grove"),$C560&lt;&gt;"",$D560&lt;12,$D560&gt;=6,COUNTIF(Tables2!$B$153:$B$162,$C560)&gt;0),
Error!$B$54,
IF(AND(_xlpm.baseRow,$E560="Tier 2",COUNTIF(Tables2!$B$166:$B$674,$C560)&gt;0,$D560&lt;24),
Error!$B$54,
IF(AND(_xlpm.baseRow,$E560="Tier 3",ISNA(MATCH($C560,Tables2!$B$153:$B$162,0)),OR($D560&lt;12,$D560&gt;=24)),
Error!$B$9,
IF(AND(_xlpm.baseRow,$E560="Tier 3",COUNTIF(Tables2!$B$153:$B$162,$C560)&gt;0,$D560&lt;12),
Error!$B$46,
IF(AND(_xlpm.baseRow,$E560="Tier 4",OR($D560&lt;6,$D560&gt;=12)),
Error!$B$10,
IF(AND(_xlpm.baseRow,$E560="&lt;6in DSH for Tree Points",OR($D560&gt;=6,$D560="")),
Error!$B$8,
IF(AND(_xlpm.baseRow,$E560="Street Tree for Green Factor",$F560&lt;&gt;"",$F560&lt;&gt;"Retain"),
Error!$B$14,
IF(AND($E560="&lt;6in DSH for Tree Points",$F560="Retain",$H560&lt;&gt;"",ISNA(MATCH($H560,Tables!$B$174:$B$174,0))),
Error!$B$15,
IF(AND($E560="Street Tree for Green Factor",$F560="Retain",$H560&lt;&gt;"",$H560&lt;&gt;"Zoning: Green Factor"),
Error!$B$15,
IF(AND($E560="ECA / Shoreline Tree",$F560="Remove",$H560&lt;&gt;"",ISNA(MATCH($H560,Tables!$B$189:$B$190,0))),
Error!$B$15,
IF(AND($E560="ECA / Shoreline Tree",$F560="Retain",$H560&lt;&gt;"",ISNA(MATCH($H560,Tables!$B$184:$B$186,0))),
Error!$B$15,
IF(AND($E560="Tier 4",$F560="Remove",$H560&lt;&gt;"",ISNA(MATCH($H560,Tables!$B$171,0))),
Error!$B$15,
IF(AND($E560="Tier 4",$F560="Retain",$H560&lt;&gt;"",ISNA(MATCH($H560,Tables!$B$166:$B$168,0))),
Error!$B$15,
IF(AND($E560="Tier 3",$F560="Retain",$H560&lt;&gt;"",ISNA(MATCH($H560,Tables!$B$158:$B$160,0))),
Error!$B$15,
IF(AND($E560="Tier 3",$F560="Remove",$H560&lt;&gt;"",ISNA(MATCH($H560,Tables!$B$163,0))),
Error!$B$15,
IF(AND(OR($E560="Tier 2",$E560="Tier 2 Grove"),$F560="Remove",$H560&lt;&gt;"",ISNA(MATCH($H560,Tables!$B$153:$B$155,0))),
Error!$B$15,
IF(AND(OR($E560="Tier 2",$E560="Tier 2 Grove"),$F560="Retain",$H560&lt;&gt;"",ISNA(MATCH($H560,Tables!$B$147:$B$150,0))),
Error!$B$15,
IF(AND($E560="Tier 1",$F560="Remove",$H560&lt;&gt;"",ISNA(MATCH($H560,Tables!$B$143:$B$144,0))),
Error!$B$15,
IF(AND($E560="Tier 1",$F560="Retain",$H560&lt;&gt;"",ISNA(MATCH($H560,Tables!$B$137:$B$140,0))),
Error!$B$15,
IF(AND($E560&lt;&gt;"Tier 2",$E560&lt;&gt;"Tier 2 Grove",$E560&lt;&gt;"Tier 3",$E560&lt;&gt;"Tier 4",$H560="Zoning: Green Factor",OR($D560="",$D560&lt;6)),
Error!$B$11,
IF(AND(_xlpm.baseRow,$D560&lt;6,$E560="&lt;6in DSH for Tree Points",_xlpm.TreePoints_H=0),
Error!$B$21,
IF(AND(_xlpm.baseRow,$E560&lt;&gt;"",$D560&lt;&gt;"",$F560=""),
Error!$B$4,
IF(AND(_xlpm.baseRow,$F560="Remove",OR($E560="Tier 1",$E560="Tier 2",$E560="Tier 2 Grove"),COUNTBLANK(_xlpm.HRange)&lt;3,_xlpm.uniqueH&gt;=2),
Error!$B$48,
IF(AND(_xlpm.baseRow,$F560="Retain",OR($E560="Tier 1",$E560="Tier 2",$E560="Tier 2 Grove"),COUNTIF(_xlpm.HRange,"Tree Code: Required to Retain Tier 1-2 Tree")=0),
Error!$B$47,
IF(AND(_xlpm.baseRow,$E560&lt;&gt;"",$D560&lt;&gt;"",$F560&lt;&gt;"",COUNTBLANK(_xlpm.HRange)=4),
Error!$B$5,
IF(AND($F560="Remove",$H560&lt;&gt;"",$I560=""),
Error!$B$18,
IF(AND($E560="Tier 4",$F560="Remove",$H560="Tree Protection Code: Tier 3 or Tier 4 Allowance",$H560&lt;&gt;"",ISNA(MATCH($I560,Tables!$B$200,0))),
Error!$B$17,
IF(AND($E560="Tier 3",$F560="Remove",$H560&lt;&gt;"",$H560="Tree Protection Code: Tier 3 or Tier 4 Allowance",OR($I560="",ISNA(MATCH($I560,Tables!$B$193:$B$197,0)))),
Error!$B$17,
IF(AND(OR($E560="Tier 2",$E560="Tier 2 Grove"),$F560="Remove",$H560="Tree Protection Code: Other removal allowance or exemption",$I560&lt;&gt;"",ISNA(MATCH($I560,Tables!$B$215:$B$218,0))),
Error!$B$17,
IF(AND(OR($E560="Tier 2",$E560="Tier 2 Grove"),$F560="Remove",$H560="Tree Protection Code: Development Capacity",$I560&lt;&gt;"",ISNA(MATCH($I560,Tables!$B$193:$B$197,0))),
Error!$B$17,
IF(AND(OR($E560="Tier 2",$E560="Tier 2 Grove"),$F560="Remove",$H560="Tree Protection Code: Necessary for Construction",$I560&lt;&gt;"",ISNA(MATCH($I560,Tables!$B$193:$B$197,0))),
Error!$B$17,
IF(AND($E560="Tier 1",$F560="Remove",$H560="Tree Protection Code: Special Exception",$I560&lt;&gt;"",ISNA(MATCH($I560,Tables!$B$215:$B$218,0))),
Error!$B$17,
IF(AND($E560="Tier 1",$F560="Remove",$H560="Tree Protection Code: Other removal allowance or exemption",$I560&lt;&gt;"",ISNA(MATCH($I560,Tables!$B$215:$B$218,0))),
Error!$B$17,
IF(AND($E560="ECA / Shoreline Tree",$F560="Remove",$H560&lt;&gt;"",OR($H560="Shoreline",$H560="Environmental Critical Area (ECA)"),ISNA(MATCH($I560,Tables!$B$209:$B$212,0))),
Error!$B$17,
IF(AND(_xlpm.baseRow,$F560="Retain",$E560="ECA / Shoreline Tree",_xlpm.ECA_Short=0),
Error!$B$61,
IF(AND($F560="Remove",ISNUMBER(MATCH($E560,{"Tier 1","Tier 2","Tier 3","Tier 4","Tier 2 Grove"},0)),ISNUMBER(MATCH($I560,{"On-site replacement","Off-site replacement"},0)),$J560="",$H560&lt;&gt;""),
Error!$B$19,
IF(AND(_xlpm.baseRow,$E560&lt;&gt;"",$D560&lt;&gt;"",$F560&lt;&gt;"",COUNTBLANK($B560:$C560)&gt;0,COUNTBLANK(_xlpm.HRange)&lt;&gt;4),
Error!$B$22,
IF(AND($H560="Zoning: Tree Points",$K560&lt;&gt;"",ISNA(MATCH($K560,Tables!$B$242:$B$253,0))),
Error!$B$58,
IF(AND($H560="Zoning: Tree Points",$K560="Small",$L560&lt;&gt;"",ISNA(MATCH($L560,Tables!$C$243:$C$244,0))),
Error!$B$59,
IF(AND($H560="Zoning: Tree Points",$K560="Small/Medium",$L560&lt;&gt;"",ISNA(MATCH($L560,Tables!$C$246:$C$247,0))),
Error!$B$59,
IF(AND($H560="Zoning: Tree Points",$K560="Medium/Large",$L560&lt;&gt;"",ISNA(MATCH($L560,Tables!$C$249:$C$250,0))),
Error!$B$59,
IF(AND($H560="Zoning: Tree Points",$K560="Large",$L560&lt;&gt;"",ISNA(MATCH($L560,Tables!$C$252:$C$253,0))),
Error!$B$59,
IF(AND($F560="Retain",$H560="Zoning: Tree Points",$C560&lt;&gt;"",$D560&lt;&gt;"",OR($K560="",$L560="",$M560="")),
Error!$B$20,
""
)))))))))))))))))))))))))))))))))))))))))))))))))))))))),
Error!$B$23))</f>
        <v/>
      </c>
      <c r="O560" s="343" t="str" cm="1">
        <f t="array" aca="1" ref="O560" ca="1">IFERROR(_xlfn.LET(
    _xlpm.txt, $C560,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61" spans="1:15" x14ac:dyDescent="0.3">
      <c r="A561" s="320"/>
      <c r="B561" s="616" t="str">
        <f t="shared" si="649"/>
        <v/>
      </c>
      <c r="C561" s="617" t="str">
        <f t="shared" si="650"/>
        <v/>
      </c>
      <c r="D561" s="618" t="str">
        <f t="shared" si="651"/>
        <v/>
      </c>
      <c r="E561" s="616" t="str">
        <f t="shared" si="652"/>
        <v/>
      </c>
      <c r="F561" s="616" t="str">
        <f t="shared" si="653"/>
        <v/>
      </c>
      <c r="G561" s="619" t="str">
        <f>IF(Tree_Table1[[#This Row],[Tree Status  &amp;]]="Retain", Tables!$B$237, IF(Tree_Table1[[#This Row],[Tree Status  &amp;]]="Remove", Tables!$B$238, ""))</f>
        <v/>
      </c>
      <c r="H561" s="321"/>
      <c r="I561" s="322"/>
      <c r="J561" s="453"/>
      <c r="K561" s="323" t="str">
        <f>IFERROR(
    IF(
        AND($H561="Zoning: Tree Points", NOT(ISNUMBER(SEARCH("sp.", $C561)))),
        VLOOKUP($C561, 'Tree List'!$C$3:$F$601, 4, FALSE),
        ""
    ),
"")</f>
        <v/>
      </c>
      <c r="L561" s="324" t="str" cm="1">
        <f t="array" ref="L561">IFERROR(
IF(
    AND($H561="Zoning: Tree Points", NOT(ISNUMBER(SEARCH("sp.", $C561)))),
    _xlfn.IFS(
        (COUNTIFS('Tree List'!$C$3:$C$601,$C561,'Tree List'!$D$3:$D$601,"Coniferous")
        + COUNTIFS('Tree List'!$C$3:$C$601,$C561,'Tree List'!$D$3:$D$601,"Deciduous Conifer")) &gt; 0,
            _xlfn.IFS($K561="Small",0.5,$K561="Small/Medium",1,$K561="Medium/Large",1.4,$K561="Large",1.8),
        (COUNTIFS('Tree List'!$C$3:$C$601,$C561,'Tree List'!$D$3:$D$601,"Deciduous")
        + COUNTIFS('Tree List'!$C$3:$C$601,$C561,'Tree List'!$D$3:$D$601,"Broadleaf Evergreen")) &gt; 0,
            _xlfn.IFS($K561="Small",0.4,$K561="Small/Medium",0.8,$K561="Medium/Large",1.2,$K561="Large",1.6)
    ),
    ""
),
"")</f>
        <v/>
      </c>
      <c r="M561" s="475" t="str">
        <f t="shared" si="573"/>
        <v/>
      </c>
      <c r="N561" s="346" t="str" cm="1">
        <f t="array" aca="1" ref="N56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IF(AND(_xlpm.baseRow,ISNA(MATCH($C561,'Tree List'!$C$3:$C$601,0)),SUMPRODUCT(--ISNUMBER(SEARCH(Tables2!$C$677:$C$772,$O561)))&gt;0),
Error!$B$57,
IF(AND(_xlpm.hasDM,$F561="Remove",$H561&lt;&gt;"",OR($I561="On-site replacement",$I561="Off-site replacement",$I561="Payment In Lieu")),
Error!$B$56,
IF(AND(_xlpm.hasDM,$F561="Remove",$H561&lt;&gt;"",$I561="Relocation"),
Error!$B$66,
IF(AND(OR(_xlpm.hasCN,_xlpm.hasPH,_xlpm.hasGR),$H561&lt;&gt;"",COUNTIF(Tables!$B$132:$B$134,$H561)&gt;0,$I561="N/A (No replacement required)"),
Error!$B$62,
IF(AND(_xlpm.baseRow,$E561&lt;&gt;"",ISNA(MATCH($E561,Tables!$B$225:$B$232,0))),
Error!$B$2,
IF(AND(_xlpm.baseRow,$F561&lt;&gt;"",ISNA(MATCH($F561,Tables!$B$234:$B$235,0))),
Error!$B$24,
IF(AND(_xlpm.baseRow,_xlpm.ECA_H&gt;0,_xlpm.Shore_H&gt;0),
Error!$B$16,
IF(AND(_xlpm.baseRow,$E561&lt;&gt;"",$D561=""),
Error!$B$3,
IF(AND(_xlpm.baseRow,OR($E561="Tier 3",$E561="Tier 4"),$C561&lt;&gt;"",$D561&gt;=24,COUNTIF(Tables2!$B$166:$B$674,$C561)&gt;0),
Error!$B$44,
IF(AND(_xlpm.baseRow,OR($E561="Tier 3",$E561="Tier 4"),$C561&lt;&gt;"",$D561&lt;&gt;"",COUNTIF(Tables2!$B$73:$B$152,$C561)&gt;0,
$D561&gt;=IFERROR(INDEX(Tables2!$C$73:$C$152,MATCH($C561,Tables2!$B$73:$B$152,0)),-1)),
Error!$B$44,
IF(AND(_xlpm.baseRow,OR($E561="Tier 2",$E561="Tier 2 Grove"),$C561&lt;&gt;"",$D561&gt;=12,COUNTIF(Tables2!$B$153:$B$162,$C561)&gt;0),
Error!$B$45,
IF(AND(_xlpm.baseRow,$E561="Tier 2 Grove",$D561&lt;12),
Error!$B$41,
IF(AND(_xlpm.baseRow,$E561="Tier 2",$D561&lt;5.88),
Error!$B$40,
IF(AND(_xlpm.baseRow,OR($E561="Tier 2",$E561="Tier 2 Grove"),$C561&lt;&gt;"",$D561&lt;12,$D561&gt;=6,COUNTIF(Tables2!$B$153:$B$162,$C561)&gt;0),
Error!$B$54,
IF(AND(_xlpm.baseRow,$E561="Tier 2",COUNTIF(Tables2!$B$166:$B$674,$C561)&gt;0,$D561&lt;24),
Error!$B$54,
IF(AND(_xlpm.baseRow,$E561="Tier 3",ISNA(MATCH($C561,Tables2!$B$153:$B$162,0)),OR($D561&lt;12,$D561&gt;=24)),
Error!$B$9,
IF(AND(_xlpm.baseRow,$E561="Tier 3",COUNTIF(Tables2!$B$153:$B$162,$C561)&gt;0,$D561&lt;12),
Error!$B$46,
IF(AND(_xlpm.baseRow,$E561="Tier 4",OR($D561&lt;6,$D561&gt;=12)),
Error!$B$10,
IF(AND(_xlpm.baseRow,$E561="&lt;6in DSH for Tree Points",OR($D561&gt;=6,$D561="")),
Error!$B$8,
IF(AND(_xlpm.baseRow,$E561="Street Tree for Green Factor",$F561&lt;&gt;"",$F561&lt;&gt;"Retain"),
Error!$B$14,
IF(AND($E561="&lt;6in DSH for Tree Points",$F561="Retain",$H561&lt;&gt;"",ISNA(MATCH($H561,Tables!$B$174:$B$174,0))),
Error!$B$15,
IF(AND($E561="Street Tree for Green Factor",$F561="Retain",$H561&lt;&gt;"",$H561&lt;&gt;"Zoning: Green Factor"),
Error!$B$15,
IF(AND($E561="ECA / Shoreline Tree",$F561="Remove",$H561&lt;&gt;"",ISNA(MATCH($H561,Tables!$B$189:$B$190,0))),
Error!$B$15,
IF(AND($E561="ECA / Shoreline Tree",$F561="Retain",$H561&lt;&gt;"",ISNA(MATCH($H561,Tables!$B$184:$B$186,0))),
Error!$B$15,
IF(AND($E561="Tier 4",$F561="Remove",$H561&lt;&gt;"",ISNA(MATCH($H561,Tables!$B$171,0))),
Error!$B$15,
IF(AND($E561="Tier 4",$F561="Retain",$H561&lt;&gt;"",ISNA(MATCH($H561,Tables!$B$166:$B$168,0))),
Error!$B$15,
IF(AND($E561="Tier 3",$F561="Retain",$H561&lt;&gt;"",ISNA(MATCH($H561,Tables!$B$158:$B$160,0))),
Error!$B$15,
IF(AND($E561="Tier 3",$F561="Remove",$H561&lt;&gt;"",ISNA(MATCH($H561,Tables!$B$163,0))),
Error!$B$15,
IF(AND(OR($E561="Tier 2",$E561="Tier 2 Grove"),$F561="Remove",$H561&lt;&gt;"",ISNA(MATCH($H561,Tables!$B$153:$B$155,0))),
Error!$B$15,
IF(AND(OR($E561="Tier 2",$E561="Tier 2 Grove"),$F561="Retain",$H561&lt;&gt;"",ISNA(MATCH($H561,Tables!$B$147:$B$150,0))),
Error!$B$15,
IF(AND($E561="Tier 1",$F561="Remove",$H561&lt;&gt;"",ISNA(MATCH($H561,Tables!$B$143:$B$144,0))),
Error!$B$15,
IF(AND($E561="Tier 1",$F561="Retain",$H561&lt;&gt;"",ISNA(MATCH($H561,Tables!$B$137:$B$140,0))),
Error!$B$15,
IF(AND($E561&lt;&gt;"Tier 2",$E561&lt;&gt;"Tier 2 Grove",$E561&lt;&gt;"Tier 3",$E561&lt;&gt;"Tier 4",$H561="Zoning: Green Factor",OR($D561="",$D561&lt;6)),
Error!$B$11,
IF(AND(_xlpm.baseRow,$D561&lt;6,$E561="&lt;6in DSH for Tree Points",_xlpm.TreePoints_H=0),
Error!$B$21,
IF(AND(_xlpm.baseRow,$E561&lt;&gt;"",$D561&lt;&gt;"",$F561=""),
Error!$B$4,
IF(AND(_xlpm.baseRow,$F561="Remove",OR($E561="Tier 1",$E561="Tier 2",$E561="Tier 2 Grove"),COUNTBLANK(_xlpm.HRange)&lt;3,_xlpm.uniqueH&gt;=2),
Error!$B$48,
IF(AND(_xlpm.baseRow,$F561="Retain",OR($E561="Tier 1",$E561="Tier 2",$E561="Tier 2 Grove"),COUNTIF(_xlpm.HRange,"Tree Code: Required to Retain Tier 1-2 Tree")=0),
Error!$B$47,
IF(AND(_xlpm.baseRow,$E561&lt;&gt;"",$D561&lt;&gt;"",$F561&lt;&gt;"",COUNTBLANK(_xlpm.HRange)=4),
Error!$B$5,
IF(AND($F561="Remove",$H561&lt;&gt;"",$I561=""),
Error!$B$18,
IF(AND($E561="Tier 4",$F561="Remove",$H561="Tree Protection Code: Tier 3 or Tier 4 Allowance",$H561&lt;&gt;"",ISNA(MATCH($I561,Tables!$B$200,0))),
Error!$B$17,
IF(AND($E561="Tier 3",$F561="Remove",$H561&lt;&gt;"",$H561="Tree Protection Code: Tier 3 or Tier 4 Allowance",OR($I561="",ISNA(MATCH($I561,Tables!$B$193:$B$197,0)))),
Error!$B$17,
IF(AND(OR($E561="Tier 2",$E561="Tier 2 Grove"),$F561="Remove",$H561="Tree Protection Code: Other removal allowance or exemption",$I561&lt;&gt;"",ISNA(MATCH($I561,Tables!$B$215:$B$218,0))),
Error!$B$17,
IF(AND(OR($E561="Tier 2",$E561="Tier 2 Grove"),$F561="Remove",$H561="Tree Protection Code: Development Capacity",$I561&lt;&gt;"",ISNA(MATCH($I561,Tables!$B$193:$B$197,0))),
Error!$B$17,
IF(AND(OR($E561="Tier 2",$E561="Tier 2 Grove"),$F561="Remove",$H561="Tree Protection Code: Necessary for Construction",$I561&lt;&gt;"",ISNA(MATCH($I561,Tables!$B$193:$B$197,0))),
Error!$B$17,
IF(AND($E561="Tier 1",$F561="Remove",$H561="Tree Protection Code: Special Exception",$I561&lt;&gt;"",ISNA(MATCH($I561,Tables!$B$215:$B$218,0))),
Error!$B$17,
IF(AND($E561="Tier 1",$F561="Remove",$H561="Tree Protection Code: Other removal allowance or exemption",$I561&lt;&gt;"",ISNA(MATCH($I561,Tables!$B$215:$B$218,0))),
Error!$B$17,
IF(AND($E561="ECA / Shoreline Tree",$F561="Remove",$H561&lt;&gt;"",OR($H561="Shoreline",$H561="Environmental Critical Area (ECA)"),ISNA(MATCH($I561,Tables!$B$209:$B$212,0))),
Error!$B$17,
IF(AND(_xlpm.baseRow,$F561="Retain",$E561="ECA / Shoreline Tree",_xlpm.ECA_Short=0),
Error!$B$61,
IF(AND($F561="Remove",ISNUMBER(MATCH($E561,{"Tier 1","Tier 2","Tier 3","Tier 4","Tier 2 Grove"},0)),ISNUMBER(MATCH($I561,{"On-site replacement","Off-site replacement"},0)),$J561="",$H561&lt;&gt;""),
Error!$B$19,
IF(AND(_xlpm.baseRow,$E561&lt;&gt;"",$D561&lt;&gt;"",$F561&lt;&gt;"",COUNTBLANK($B561:$C561)&gt;0,COUNTBLANK(_xlpm.HRange)&lt;&gt;4),
Error!$B$22,
IF(AND($H561="Zoning: Tree Points",$K561&lt;&gt;"",ISNA(MATCH($K561,Tables!$B$242:$B$253,0))),
Error!$B$58,
IF(AND($H561="Zoning: Tree Points",$K561="Small",$L561&lt;&gt;"",ISNA(MATCH($L561,Tables!$C$243:$C$244,0))),
Error!$B$59,
IF(AND($H561="Zoning: Tree Points",$K561="Small/Medium",$L561&lt;&gt;"",ISNA(MATCH($L561,Tables!$C$246:$C$247,0))),
Error!$B$59,
IF(AND($H561="Zoning: Tree Points",$K561="Medium/Large",$L561&lt;&gt;"",ISNA(MATCH($L561,Tables!$C$249:$C$250,0))),
Error!$B$59,
IF(AND($H561="Zoning: Tree Points",$K561="Large",$L561&lt;&gt;"",ISNA(MATCH($L561,Tables!$C$252:$C$253,0))),
Error!$B$59,
IF(AND($F561="Retain",$H561="Zoning: Tree Points",$C561&lt;&gt;"",$D561&lt;&gt;"",OR($K561="",$L561="",$M561="")),
Error!$B$20,
""
)))))))))))))))))))))))))))))))))))))))))))))))))))))))),
Error!$B$23))</f>
        <v/>
      </c>
      <c r="O561" s="343" t="str" cm="1">
        <f t="array" aca="1" ref="O561" ca="1">IFERROR(_xlfn.LET(
    _xlpm.txt, $C561,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62" spans="1:15" ht="15" thickBot="1" x14ac:dyDescent="0.35">
      <c r="A562" s="331"/>
      <c r="B562" s="616" t="str">
        <f t="shared" si="649"/>
        <v/>
      </c>
      <c r="C562" s="617" t="str">
        <f t="shared" si="650"/>
        <v/>
      </c>
      <c r="D562" s="618" t="str">
        <f t="shared" si="651"/>
        <v/>
      </c>
      <c r="E562" s="616" t="str">
        <f t="shared" si="652"/>
        <v/>
      </c>
      <c r="F562" s="616" t="str">
        <f t="shared" si="653"/>
        <v/>
      </c>
      <c r="G562" s="619" t="str">
        <f>IF(Tree_Table1[[#This Row],[Tree Status  &amp;]]="Retain", Tables!$B$237, IF(Tree_Table1[[#This Row],[Tree Status  &amp;]]="Remove", Tables!$B$238, ""))</f>
        <v/>
      </c>
      <c r="H562" s="329"/>
      <c r="I562" s="330"/>
      <c r="J562" s="455"/>
      <c r="K562" s="327" t="str">
        <f>IFERROR(
    IF(
        AND($H562="Zoning: Tree Points", NOT(ISNUMBER(SEARCH("sp.", $C562)))),
        VLOOKUP($C562, 'Tree List'!$C$3:$F$601, 4, FALSE),
        ""
    ),
"")</f>
        <v/>
      </c>
      <c r="L562" s="328" t="str" cm="1">
        <f t="array" ref="L562">IFERROR(
IF(
    AND($H562="Zoning: Tree Points", NOT(ISNUMBER(SEARCH("sp.", $C562)))),
    _xlfn.IFS(
        (COUNTIFS('Tree List'!$C$3:$C$601,$C562,'Tree List'!$D$3:$D$601,"Coniferous")
        + COUNTIFS('Tree List'!$C$3:$C$601,$C562,'Tree List'!$D$3:$D$601,"Deciduous Conifer")) &gt; 0,
            _xlfn.IFS($K562="Small",0.5,$K562="Small/Medium",1,$K562="Medium/Large",1.4,$K562="Large",1.8),
        (COUNTIFS('Tree List'!$C$3:$C$601,$C562,'Tree List'!$D$3:$D$601,"Deciduous")
        + COUNTIFS('Tree List'!$C$3:$C$601,$C562,'Tree List'!$D$3:$D$601,"Broadleaf Evergreen")) &gt; 0,
            _xlfn.IFS($K562="Small",0.4,$K562="Small/Medium",0.8,$K562="Medium/Large",1.2,$K562="Large",1.6)
    ),
    ""
),
"")</f>
        <v/>
      </c>
      <c r="M562" s="476" t="str">
        <f t="shared" si="573"/>
        <v/>
      </c>
      <c r="N562" s="347" t="str" cm="1">
        <f t="array" aca="1" ref="N56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IF(AND(_xlpm.baseRow,ISNA(MATCH($C562,'Tree List'!$C$3:$C$601,0)),SUMPRODUCT(--ISNUMBER(SEARCH(Tables2!$C$677:$C$772,$O562)))&gt;0),
Error!$B$57,
IF(AND(_xlpm.hasDM,$F562="Remove",$H562&lt;&gt;"",OR($I562="On-site replacement",$I562="Off-site replacement",$I562="Payment In Lieu")),
Error!$B$56,
IF(AND(_xlpm.hasDM,$F562="Remove",$H562&lt;&gt;"",$I562="Relocation"),
Error!$B$66,
IF(AND(OR(_xlpm.hasCN,_xlpm.hasPH,_xlpm.hasGR),$H562&lt;&gt;"",COUNTIF(Tables!$B$132:$B$134,$H562)&gt;0,$I562="N/A (No replacement required)"),
Error!$B$62,
IF(AND(_xlpm.baseRow,$E562&lt;&gt;"",ISNA(MATCH($E562,Tables!$B$225:$B$232,0))),
Error!$B$2,
IF(AND(_xlpm.baseRow,$F562&lt;&gt;"",ISNA(MATCH($F562,Tables!$B$234:$B$235,0))),
Error!$B$24,
IF(AND(_xlpm.baseRow,_xlpm.ECA_H&gt;0,_xlpm.Shore_H&gt;0),
Error!$B$16,
IF(AND(_xlpm.baseRow,$E562&lt;&gt;"",$D562=""),
Error!$B$3,
IF(AND(_xlpm.baseRow,OR($E562="Tier 3",$E562="Tier 4"),$C562&lt;&gt;"",$D562&gt;=24,COUNTIF(Tables2!$B$166:$B$674,$C562)&gt;0),
Error!$B$44,
IF(AND(_xlpm.baseRow,OR($E562="Tier 3",$E562="Tier 4"),$C562&lt;&gt;"",$D562&lt;&gt;"",COUNTIF(Tables2!$B$73:$B$152,$C562)&gt;0,
$D562&gt;=IFERROR(INDEX(Tables2!$C$73:$C$152,MATCH($C562,Tables2!$B$73:$B$152,0)),-1)),
Error!$B$44,
IF(AND(_xlpm.baseRow,OR($E562="Tier 2",$E562="Tier 2 Grove"),$C562&lt;&gt;"",$D562&gt;=12,COUNTIF(Tables2!$B$153:$B$162,$C562)&gt;0),
Error!$B$45,
IF(AND(_xlpm.baseRow,$E562="Tier 2 Grove",$D562&lt;12),
Error!$B$41,
IF(AND(_xlpm.baseRow,$E562="Tier 2",$D562&lt;5.88),
Error!$B$40,
IF(AND(_xlpm.baseRow,OR($E562="Tier 2",$E562="Tier 2 Grove"),$C562&lt;&gt;"",$D562&lt;12,$D562&gt;=6,COUNTIF(Tables2!$B$153:$B$162,$C562)&gt;0),
Error!$B$54,
IF(AND(_xlpm.baseRow,$E562="Tier 2",COUNTIF(Tables2!$B$166:$B$674,$C562)&gt;0,$D562&lt;24),
Error!$B$54,
IF(AND(_xlpm.baseRow,$E562="Tier 3",ISNA(MATCH($C562,Tables2!$B$153:$B$162,0)),OR($D562&lt;12,$D562&gt;=24)),
Error!$B$9,
IF(AND(_xlpm.baseRow,$E562="Tier 3",COUNTIF(Tables2!$B$153:$B$162,$C562)&gt;0,$D562&lt;12),
Error!$B$46,
IF(AND(_xlpm.baseRow,$E562="Tier 4",OR($D562&lt;6,$D562&gt;=12)),
Error!$B$10,
IF(AND(_xlpm.baseRow,$E562="&lt;6in DSH for Tree Points",OR($D562&gt;=6,$D562="")),
Error!$B$8,
IF(AND(_xlpm.baseRow,$E562="Street Tree for Green Factor",$F562&lt;&gt;"",$F562&lt;&gt;"Retain"),
Error!$B$14,
IF(AND($E562="&lt;6in DSH for Tree Points",$F562="Retain",$H562&lt;&gt;"",ISNA(MATCH($H562,Tables!$B$174:$B$174,0))),
Error!$B$15,
IF(AND($E562="Street Tree for Green Factor",$F562="Retain",$H562&lt;&gt;"",$H562&lt;&gt;"Zoning: Green Factor"),
Error!$B$15,
IF(AND($E562="ECA / Shoreline Tree",$F562="Remove",$H562&lt;&gt;"",ISNA(MATCH($H562,Tables!$B$189:$B$190,0))),
Error!$B$15,
IF(AND($E562="ECA / Shoreline Tree",$F562="Retain",$H562&lt;&gt;"",ISNA(MATCH($H562,Tables!$B$184:$B$186,0))),
Error!$B$15,
IF(AND($E562="Tier 4",$F562="Remove",$H562&lt;&gt;"",ISNA(MATCH($H562,Tables!$B$171,0))),
Error!$B$15,
IF(AND($E562="Tier 4",$F562="Retain",$H562&lt;&gt;"",ISNA(MATCH($H562,Tables!$B$166:$B$168,0))),
Error!$B$15,
IF(AND($E562="Tier 3",$F562="Retain",$H562&lt;&gt;"",ISNA(MATCH($H562,Tables!$B$158:$B$160,0))),
Error!$B$15,
IF(AND($E562="Tier 3",$F562="Remove",$H562&lt;&gt;"",ISNA(MATCH($H562,Tables!$B$163,0))),
Error!$B$15,
IF(AND(OR($E562="Tier 2",$E562="Tier 2 Grove"),$F562="Remove",$H562&lt;&gt;"",ISNA(MATCH($H562,Tables!$B$153:$B$155,0))),
Error!$B$15,
IF(AND(OR($E562="Tier 2",$E562="Tier 2 Grove"),$F562="Retain",$H562&lt;&gt;"",ISNA(MATCH($H562,Tables!$B$147:$B$150,0))),
Error!$B$15,
IF(AND($E562="Tier 1",$F562="Remove",$H562&lt;&gt;"",ISNA(MATCH($H562,Tables!$B$143:$B$144,0))),
Error!$B$15,
IF(AND($E562="Tier 1",$F562="Retain",$H562&lt;&gt;"",ISNA(MATCH($H562,Tables!$B$137:$B$140,0))),
Error!$B$15,
IF(AND($E562&lt;&gt;"Tier 2",$E562&lt;&gt;"Tier 2 Grove",$E562&lt;&gt;"Tier 3",$E562&lt;&gt;"Tier 4",$H562="Zoning: Green Factor",OR($D562="",$D562&lt;6)),
Error!$B$11,
IF(AND(_xlpm.baseRow,$D562&lt;6,$E562="&lt;6in DSH for Tree Points",_xlpm.TreePoints_H=0),
Error!$B$21,
IF(AND(_xlpm.baseRow,$E562&lt;&gt;"",$D562&lt;&gt;"",$F562=""),
Error!$B$4,
IF(AND(_xlpm.baseRow,$F562="Remove",OR($E562="Tier 1",$E562="Tier 2",$E562="Tier 2 Grove"),COUNTBLANK(_xlpm.HRange)&lt;3,_xlpm.uniqueH&gt;=2),
Error!$B$48,
IF(AND(_xlpm.baseRow,$F562="Retain",OR($E562="Tier 1",$E562="Tier 2",$E562="Tier 2 Grove"),COUNTIF(_xlpm.HRange,"Tree Code: Required to Retain Tier 1-2 Tree")=0),
Error!$B$47,
IF(AND(_xlpm.baseRow,$E562&lt;&gt;"",$D562&lt;&gt;"",$F562&lt;&gt;"",COUNTBLANK(_xlpm.HRange)=4),
Error!$B$5,
IF(AND($F562="Remove",$H562&lt;&gt;"",$I562=""),
Error!$B$18,
IF(AND($E562="Tier 4",$F562="Remove",$H562="Tree Protection Code: Tier 3 or Tier 4 Allowance",$H562&lt;&gt;"",ISNA(MATCH($I562,Tables!$B$200,0))),
Error!$B$17,
IF(AND($E562="Tier 3",$F562="Remove",$H562&lt;&gt;"",$H562="Tree Protection Code: Tier 3 or Tier 4 Allowance",OR($I562="",ISNA(MATCH($I562,Tables!$B$193:$B$197,0)))),
Error!$B$17,
IF(AND(OR($E562="Tier 2",$E562="Tier 2 Grove"),$F562="Remove",$H562="Tree Protection Code: Other removal allowance or exemption",$I562&lt;&gt;"",ISNA(MATCH($I562,Tables!$B$215:$B$218,0))),
Error!$B$17,
IF(AND(OR($E562="Tier 2",$E562="Tier 2 Grove"),$F562="Remove",$H562="Tree Protection Code: Development Capacity",$I562&lt;&gt;"",ISNA(MATCH($I562,Tables!$B$193:$B$197,0))),
Error!$B$17,
IF(AND(OR($E562="Tier 2",$E562="Tier 2 Grove"),$F562="Remove",$H562="Tree Protection Code: Necessary for Construction",$I562&lt;&gt;"",ISNA(MATCH($I562,Tables!$B$193:$B$197,0))),
Error!$B$17,
IF(AND($E562="Tier 1",$F562="Remove",$H562="Tree Protection Code: Special Exception",$I562&lt;&gt;"",ISNA(MATCH($I562,Tables!$B$215:$B$218,0))),
Error!$B$17,
IF(AND($E562="Tier 1",$F562="Remove",$H562="Tree Protection Code: Other removal allowance or exemption",$I562&lt;&gt;"",ISNA(MATCH($I562,Tables!$B$215:$B$218,0))),
Error!$B$17,
IF(AND($E562="ECA / Shoreline Tree",$F562="Remove",$H562&lt;&gt;"",OR($H562="Shoreline",$H562="Environmental Critical Area (ECA)"),ISNA(MATCH($I562,Tables!$B$209:$B$212,0))),
Error!$B$17,
IF(AND(_xlpm.baseRow,$F562="Retain",$E562="ECA / Shoreline Tree",_xlpm.ECA_Short=0),
Error!$B$61,
IF(AND($F562="Remove",ISNUMBER(MATCH($E562,{"Tier 1","Tier 2","Tier 3","Tier 4","Tier 2 Grove"},0)),ISNUMBER(MATCH($I562,{"On-site replacement","Off-site replacement"},0)),$J562="",$H562&lt;&gt;""),
Error!$B$19,
IF(AND(_xlpm.baseRow,$E562&lt;&gt;"",$D562&lt;&gt;"",$F562&lt;&gt;"",COUNTBLANK($B562:$C562)&gt;0,COUNTBLANK(_xlpm.HRange)&lt;&gt;4),
Error!$B$22,
IF(AND($H562="Zoning: Tree Points",$K562&lt;&gt;"",ISNA(MATCH($K562,Tables!$B$242:$B$253,0))),
Error!$B$58,
IF(AND($H562="Zoning: Tree Points",$K562="Small",$L562&lt;&gt;"",ISNA(MATCH($L562,Tables!$C$243:$C$244,0))),
Error!$B$59,
IF(AND($H562="Zoning: Tree Points",$K562="Small/Medium",$L562&lt;&gt;"",ISNA(MATCH($L562,Tables!$C$246:$C$247,0))),
Error!$B$59,
IF(AND($H562="Zoning: Tree Points",$K562="Medium/Large",$L562&lt;&gt;"",ISNA(MATCH($L562,Tables!$C$249:$C$250,0))),
Error!$B$59,
IF(AND($H562="Zoning: Tree Points",$K562="Large",$L562&lt;&gt;"",ISNA(MATCH($L562,Tables!$C$252:$C$253,0))),
Error!$B$59,
IF(AND($F562="Retain",$H562="Zoning: Tree Points",$C562&lt;&gt;"",$D562&lt;&gt;"",OR($K562="",$L562="",$M562="")),
Error!$B$20,
""
)))))))))))))))))))))))))))))))))))))))))))))))))))))))),
Error!$B$23))</f>
        <v/>
      </c>
      <c r="O562" s="343" t="str" cm="1">
        <f t="array" aca="1" ref="O562" ca="1">IFERROR(_xlfn.LET(
    _xlpm.txt, $C562,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63" spans="1:15" ht="15" thickBot="1" x14ac:dyDescent="0.35">
      <c r="A563" s="311">
        <v>139</v>
      </c>
      <c r="B563" s="312"/>
      <c r="C563" s="313"/>
      <c r="D563" s="478"/>
      <c r="E563" s="314"/>
      <c r="F563" s="314"/>
      <c r="G563" s="315" t="str">
        <f>IF(Tree_Table1[[#This Row],[Tree Status  &amp;]]="Retain", Tables!$B$237, IF(Tree_Table1[[#This Row],[Tree Status  &amp;]]="Remove", Tables!$B$238, ""))</f>
        <v/>
      </c>
      <c r="H563" s="316"/>
      <c r="I563" s="317"/>
      <c r="J563" s="452"/>
      <c r="K563" s="318" t="str">
        <f>IFERROR(
    IF(
        AND($H563="Zoning: Tree Points", NOT(ISNUMBER(SEARCH("sp.", $C563)))),
        VLOOKUP($C563, 'Tree List'!$C$3:$F$601, 4, FALSE),
        ""
    ),
"")</f>
        <v/>
      </c>
      <c r="L563" s="319" t="str" cm="1">
        <f t="array" ref="L563">IFERROR(
IF(
    AND($H563="Zoning: Tree Points", NOT(ISNUMBER(SEARCH("sp.", $C563)))),
    _xlfn.IFS(
        (COUNTIFS('Tree List'!$C$3:$C$601,$C563,'Tree List'!$D$3:$D$601,"Coniferous")
        + COUNTIFS('Tree List'!$C$3:$C$601,$C563,'Tree List'!$D$3:$D$601,"Deciduous Conifer")) &gt; 0,
            _xlfn.IFS($K563="Small",0.5,$K563="Small/Medium",1,$K563="Medium/Large",1.4,$K563="Large",1.8),
        (COUNTIFS('Tree List'!$C$3:$C$601,$C563,'Tree List'!$D$3:$D$601,"Deciduous")
        + COUNTIFS('Tree List'!$C$3:$C$601,$C563,'Tree List'!$D$3:$D$601,"Broadleaf Evergreen")) &gt; 0,
            _xlfn.IFS($K563="Small",0.4,$K563="Small/Medium",0.8,$K563="Medium/Large",1.2,$K563="Large",1.6)
    ),
    ""
),
"")</f>
        <v/>
      </c>
      <c r="M563" s="474" t="str">
        <f t="shared" ref="M563:M626" si="654">IFERROR($D563*$L563,"")</f>
        <v/>
      </c>
      <c r="N563" s="620" t="str" cm="1">
        <f t="array" aca="1" ref="N56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IF(AND(_xlpm.baseRow,ISNA(MATCH($C563,'Tree List'!$C$3:$C$601,0)),SUMPRODUCT(--ISNUMBER(SEARCH(Tables2!$C$677:$C$772,$O563)))&gt;0),
Error!$B$57,
IF(AND(_xlpm.hasDM,$F563="Remove",$H563&lt;&gt;"",OR($I563="On-site replacement",$I563="Off-site replacement",$I563="Payment In Lieu")),
Error!$B$56,
IF(AND(_xlpm.hasDM,$F563="Remove",$H563&lt;&gt;"",$I563="Relocation"),
Error!$B$66,
IF(AND(OR(_xlpm.hasCN,_xlpm.hasPH,_xlpm.hasGR),$H563&lt;&gt;"",COUNTIF(Tables!$B$132:$B$134,$H563)&gt;0,$I563="N/A (No replacement required)"),
Error!$B$62,
IF(AND(_xlpm.baseRow,$E563&lt;&gt;"",ISNA(MATCH($E563,Tables!$B$225:$B$232,0))),
Error!$B$2,
IF(AND(_xlpm.baseRow,$F563&lt;&gt;"",ISNA(MATCH($F563,Tables!$B$234:$B$235,0))),
Error!$B$24,
IF(AND(_xlpm.baseRow,_xlpm.ECA_H&gt;0,_xlpm.Shore_H&gt;0),
Error!$B$16,
IF(AND(_xlpm.baseRow,$E563&lt;&gt;"",$D563=""),
Error!$B$3,
IF(AND(_xlpm.baseRow,OR($E563="Tier 3",$E563="Tier 4"),$C563&lt;&gt;"",$D563&gt;=24,COUNTIF(Tables2!$B$166:$B$674,$C563)&gt;0),
Error!$B$44,
IF(AND(_xlpm.baseRow,OR($E563="Tier 3",$E563="Tier 4"),$C563&lt;&gt;"",$D563&lt;&gt;"",COUNTIF(Tables2!$B$73:$B$152,$C563)&gt;0,
$D563&gt;=IFERROR(INDEX(Tables2!$C$73:$C$152,MATCH($C563,Tables2!$B$73:$B$152,0)),-1)),
Error!$B$44,
IF(AND(_xlpm.baseRow,OR($E563="Tier 2",$E563="Tier 2 Grove"),$C563&lt;&gt;"",$D563&gt;=12,COUNTIF(Tables2!$B$153:$B$162,$C563)&gt;0),
Error!$B$45,
IF(AND(_xlpm.baseRow,$E563="Tier 2 Grove",$D563&lt;12),
Error!$B$41,
IF(AND(_xlpm.baseRow,$E563="Tier 2",$D563&lt;5.88),
Error!$B$40,
IF(AND(_xlpm.baseRow,OR($E563="Tier 2",$E563="Tier 2 Grove"),$C563&lt;&gt;"",$D563&lt;12,$D563&gt;=6,COUNTIF(Tables2!$B$153:$B$162,$C563)&gt;0),
Error!$B$54,
IF(AND(_xlpm.baseRow,$E563="Tier 2",COUNTIF(Tables2!$B$166:$B$674,$C563)&gt;0,$D563&lt;24),
Error!$B$54,
IF(AND(_xlpm.baseRow,$E563="Tier 3",ISNA(MATCH($C563,Tables2!$B$153:$B$162,0)),OR($D563&lt;12,$D563&gt;=24)),
Error!$B$9,
IF(AND(_xlpm.baseRow,$E563="Tier 3",COUNTIF(Tables2!$B$153:$B$162,$C563)&gt;0,$D563&lt;12),
Error!$B$46,
IF(AND(_xlpm.baseRow,$E563="Tier 4",OR($D563&lt;6,$D563&gt;=12)),
Error!$B$10,
IF(AND(_xlpm.baseRow,$E563="&lt;6in DSH for Tree Points",OR($D563&gt;=6,$D563="")),
Error!$B$8,
IF(AND(_xlpm.baseRow,$E563="Street Tree for Green Factor",$F563&lt;&gt;"",$F563&lt;&gt;"Retain"),
Error!$B$14,
IF(AND($E563="&lt;6in DSH for Tree Points",$F563="Retain",$H563&lt;&gt;"",ISNA(MATCH($H563,Tables!$B$174:$B$174,0))),
Error!$B$15,
IF(AND($E563="Street Tree for Green Factor",$F563="Retain",$H563&lt;&gt;"",$H563&lt;&gt;"Zoning: Green Factor"),
Error!$B$15,
IF(AND($E563="ECA / Shoreline Tree",$F563="Remove",$H563&lt;&gt;"",ISNA(MATCH($H563,Tables!$B$189:$B$190,0))),
Error!$B$15,
IF(AND($E563="ECA / Shoreline Tree",$F563="Retain",$H563&lt;&gt;"",ISNA(MATCH($H563,Tables!$B$184:$B$186,0))),
Error!$B$15,
IF(AND($E563="Tier 4",$F563="Remove",$H563&lt;&gt;"",ISNA(MATCH($H563,Tables!$B$171,0))),
Error!$B$15,
IF(AND($E563="Tier 4",$F563="Retain",$H563&lt;&gt;"",ISNA(MATCH($H563,Tables!$B$166:$B$168,0))),
Error!$B$15,
IF(AND($E563="Tier 3",$F563="Retain",$H563&lt;&gt;"",ISNA(MATCH($H563,Tables!$B$158:$B$160,0))),
Error!$B$15,
IF(AND($E563="Tier 3",$F563="Remove",$H563&lt;&gt;"",ISNA(MATCH($H563,Tables!$B$163,0))),
Error!$B$15,
IF(AND(OR($E563="Tier 2",$E563="Tier 2 Grove"),$F563="Remove",$H563&lt;&gt;"",ISNA(MATCH($H563,Tables!$B$153:$B$155,0))),
Error!$B$15,
IF(AND(OR($E563="Tier 2",$E563="Tier 2 Grove"),$F563="Retain",$H563&lt;&gt;"",ISNA(MATCH($H563,Tables!$B$147:$B$150,0))),
Error!$B$15,
IF(AND($E563="Tier 1",$F563="Remove",$H563&lt;&gt;"",ISNA(MATCH($H563,Tables!$B$143:$B$144,0))),
Error!$B$15,
IF(AND($E563="Tier 1",$F563="Retain",$H563&lt;&gt;"",ISNA(MATCH($H563,Tables!$B$137:$B$140,0))),
Error!$B$15,
IF(AND($E563&lt;&gt;"Tier 2",$E563&lt;&gt;"Tier 2 Grove",$E563&lt;&gt;"Tier 3",$E563&lt;&gt;"Tier 4",$H563="Zoning: Green Factor",OR($D563="",$D563&lt;6)),
Error!$B$11,
IF(AND(_xlpm.baseRow,$D563&lt;6,$E563="&lt;6in DSH for Tree Points",_xlpm.TreePoints_H=0),
Error!$B$21,
IF(AND(_xlpm.baseRow,$E563&lt;&gt;"",$D563&lt;&gt;"",$F563=""),
Error!$B$4,
IF(AND(_xlpm.baseRow,$F563="Remove",OR($E563="Tier 1",$E563="Tier 2",$E563="Tier 2 Grove"),COUNTBLANK(_xlpm.HRange)&lt;3,_xlpm.uniqueH&gt;=2),
Error!$B$48,
IF(AND(_xlpm.baseRow,$F563="Retain",OR($E563="Tier 1",$E563="Tier 2",$E563="Tier 2 Grove"),COUNTIF(_xlpm.HRange,"Tree Code: Required to Retain Tier 1-2 Tree")=0),
Error!$B$47,
IF(AND(_xlpm.baseRow,$E563&lt;&gt;"",$D563&lt;&gt;"",$F563&lt;&gt;"",COUNTBLANK(_xlpm.HRange)=4),
Error!$B$5,
IF(AND($F563="Remove",$H563&lt;&gt;"",$I563=""),
Error!$B$18,
IF(AND($E563="Tier 4",$F563="Remove",$H563="Tree Protection Code: Tier 3 or Tier 4 Allowance",$H563&lt;&gt;"",ISNA(MATCH($I563,Tables!$B$200,0))),
Error!$B$17,
IF(AND($E563="Tier 3",$F563="Remove",$H563&lt;&gt;"",$H563="Tree Protection Code: Tier 3 or Tier 4 Allowance",OR($I563="",ISNA(MATCH($I563,Tables!$B$193:$B$197,0)))),
Error!$B$17,
IF(AND(OR($E563="Tier 2",$E563="Tier 2 Grove"),$F563="Remove",$H563="Tree Protection Code: Other removal allowance or exemption",$I563&lt;&gt;"",ISNA(MATCH($I563,Tables!$B$215:$B$218,0))),
Error!$B$17,
IF(AND(OR($E563="Tier 2",$E563="Tier 2 Grove"),$F563="Remove",$H563="Tree Protection Code: Development Capacity",$I563&lt;&gt;"",ISNA(MATCH($I563,Tables!$B$193:$B$197,0))),
Error!$B$17,
IF(AND(OR($E563="Tier 2",$E563="Tier 2 Grove"),$F563="Remove",$H563="Tree Protection Code: Necessary for Construction",$I563&lt;&gt;"",ISNA(MATCH($I563,Tables!$B$193:$B$197,0))),
Error!$B$17,
IF(AND($E563="Tier 1",$F563="Remove",$H563="Tree Protection Code: Special Exception",$I563&lt;&gt;"",ISNA(MATCH($I563,Tables!$B$215:$B$218,0))),
Error!$B$17,
IF(AND($E563="Tier 1",$F563="Remove",$H563="Tree Protection Code: Other removal allowance or exemption",$I563&lt;&gt;"",ISNA(MATCH($I563,Tables!$B$215:$B$218,0))),
Error!$B$17,
IF(AND($E563="ECA / Shoreline Tree",$F563="Remove",$H563&lt;&gt;"",OR($H563="Shoreline",$H563="Environmental Critical Area (ECA)"),ISNA(MATCH($I563,Tables!$B$209:$B$212,0))),
Error!$B$17,
IF(AND(_xlpm.baseRow,$F563="Retain",$E563="ECA / Shoreline Tree",_xlpm.ECA_Short=0),
Error!$B$61,
IF(AND($F563="Remove",ISNUMBER(MATCH($E563,{"Tier 1","Tier 2","Tier 3","Tier 4","Tier 2 Grove"},0)),ISNUMBER(MATCH($I563,{"On-site replacement","Off-site replacement"},0)),$J563="",$H563&lt;&gt;""),
Error!$B$19,
IF(AND(_xlpm.baseRow,$E563&lt;&gt;"",$D563&lt;&gt;"",$F563&lt;&gt;"",COUNTBLANK($B563:$C563)&gt;0,COUNTBLANK(_xlpm.HRange)&lt;&gt;4),
Error!$B$22,
IF(AND($H563="Zoning: Tree Points",$K563&lt;&gt;"",ISNA(MATCH($K563,Tables!$B$242:$B$253,0))),
Error!$B$58,
IF(AND($H563="Zoning: Tree Points",$K563="Small",$L563&lt;&gt;"",ISNA(MATCH($L563,Tables!$C$243:$C$244,0))),
Error!$B$59,
IF(AND($H563="Zoning: Tree Points",$K563="Small/Medium",$L563&lt;&gt;"",ISNA(MATCH($L563,Tables!$C$246:$C$247,0))),
Error!$B$59,
IF(AND($H563="Zoning: Tree Points",$K563="Medium/Large",$L563&lt;&gt;"",ISNA(MATCH($L563,Tables!$C$249:$C$250,0))),
Error!$B$59,
IF(AND($H563="Zoning: Tree Points",$K563="Large",$L563&lt;&gt;"",ISNA(MATCH($L563,Tables!$C$252:$C$253,0))),
Error!$B$59,
IF(AND($F563="Retain",$H563="Zoning: Tree Points",$C563&lt;&gt;"",$D563&lt;&gt;"",OR($K563="",$L563="",$M563="")),
Error!$B$20,
""
)))))))))))))))))))))))))))))))))))))))))))))))))))))))),
Error!$B$23))</f>
        <v/>
      </c>
      <c r="O563" s="343" t="str" cm="1">
        <f t="array" aca="1" ref="O563" ca="1">IFERROR(_xlfn.LET(
    _xlpm.txt, $C563,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64" spans="1:15" x14ac:dyDescent="0.3">
      <c r="A564" s="320"/>
      <c r="B564" s="616" t="str">
        <f t="shared" ref="B564:B566" si="655">IF($B563="", "", $B563)</f>
        <v/>
      </c>
      <c r="C564" s="617" t="str">
        <f t="shared" ref="C564:C566" si="656">IF($C563="", "", $C563)</f>
        <v/>
      </c>
      <c r="D564" s="618" t="str">
        <f t="shared" ref="D564:D566" si="657">IF($D563="", "", $D563)</f>
        <v/>
      </c>
      <c r="E564" s="616" t="str">
        <f t="shared" ref="E564:E566" si="658">IF($E563="", "", $E563)</f>
        <v/>
      </c>
      <c r="F564" s="616" t="str">
        <f t="shared" ref="F564:F566" si="659">IF($F563="", "", $F563)</f>
        <v/>
      </c>
      <c r="G564" s="619" t="str">
        <f>IF(Tree_Table1[[#This Row],[Tree Status  &amp;]]="Retain", Tables!$B$237, IF(Tree_Table1[[#This Row],[Tree Status  &amp;]]="Remove", Tables!$B$238, ""))</f>
        <v/>
      </c>
      <c r="H564" s="321"/>
      <c r="I564" s="322"/>
      <c r="J564" s="453"/>
      <c r="K564" s="323" t="str">
        <f>IFERROR(
    IF(
        AND($H564="Zoning: Tree Points", NOT(ISNUMBER(SEARCH("sp.", $C564)))),
        VLOOKUP($C564, 'Tree List'!$C$3:$F$601, 4, FALSE),
        ""
    ),
"")</f>
        <v/>
      </c>
      <c r="L564" s="324" t="str" cm="1">
        <f t="array" ref="L564">IFERROR(
IF(
    AND($H564="Zoning: Tree Points", NOT(ISNUMBER(SEARCH("sp.", $C564)))),
    _xlfn.IFS(
        (COUNTIFS('Tree List'!$C$3:$C$601,$C564,'Tree List'!$D$3:$D$601,"Coniferous")
        + COUNTIFS('Tree List'!$C$3:$C$601,$C564,'Tree List'!$D$3:$D$601,"Deciduous Conifer")) &gt; 0,
            _xlfn.IFS($K564="Small",0.5,$K564="Small/Medium",1,$K564="Medium/Large",1.4,$K564="Large",1.8),
        (COUNTIFS('Tree List'!$C$3:$C$601,$C564,'Tree List'!$D$3:$D$601,"Deciduous")
        + COUNTIFS('Tree List'!$C$3:$C$601,$C564,'Tree List'!$D$3:$D$601,"Broadleaf Evergreen")) &gt; 0,
            _xlfn.IFS($K564="Small",0.4,$K564="Small/Medium",0.8,$K564="Medium/Large",1.2,$K564="Large",1.6)
    ),
    ""
),
"")</f>
        <v/>
      </c>
      <c r="M564" s="475" t="str">
        <f t="shared" si="654"/>
        <v/>
      </c>
      <c r="N564" s="346" t="str" cm="1">
        <f t="array" aca="1" ref="N56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IF(AND(_xlpm.baseRow,ISNA(MATCH($C564,'Tree List'!$C$3:$C$601,0)),SUMPRODUCT(--ISNUMBER(SEARCH(Tables2!$C$677:$C$772,$O564)))&gt;0),
Error!$B$57,
IF(AND(_xlpm.hasDM,$F564="Remove",$H564&lt;&gt;"",OR($I564="On-site replacement",$I564="Off-site replacement",$I564="Payment In Lieu")),
Error!$B$56,
IF(AND(_xlpm.hasDM,$F564="Remove",$H564&lt;&gt;"",$I564="Relocation"),
Error!$B$66,
IF(AND(OR(_xlpm.hasCN,_xlpm.hasPH,_xlpm.hasGR),$H564&lt;&gt;"",COUNTIF(Tables!$B$132:$B$134,$H564)&gt;0,$I564="N/A (No replacement required)"),
Error!$B$62,
IF(AND(_xlpm.baseRow,$E564&lt;&gt;"",ISNA(MATCH($E564,Tables!$B$225:$B$232,0))),
Error!$B$2,
IF(AND(_xlpm.baseRow,$F564&lt;&gt;"",ISNA(MATCH($F564,Tables!$B$234:$B$235,0))),
Error!$B$24,
IF(AND(_xlpm.baseRow,_xlpm.ECA_H&gt;0,_xlpm.Shore_H&gt;0),
Error!$B$16,
IF(AND(_xlpm.baseRow,$E564&lt;&gt;"",$D564=""),
Error!$B$3,
IF(AND(_xlpm.baseRow,OR($E564="Tier 3",$E564="Tier 4"),$C564&lt;&gt;"",$D564&gt;=24,COUNTIF(Tables2!$B$166:$B$674,$C564)&gt;0),
Error!$B$44,
IF(AND(_xlpm.baseRow,OR($E564="Tier 3",$E564="Tier 4"),$C564&lt;&gt;"",$D564&lt;&gt;"",COUNTIF(Tables2!$B$73:$B$152,$C564)&gt;0,
$D564&gt;=IFERROR(INDEX(Tables2!$C$73:$C$152,MATCH($C564,Tables2!$B$73:$B$152,0)),-1)),
Error!$B$44,
IF(AND(_xlpm.baseRow,OR($E564="Tier 2",$E564="Tier 2 Grove"),$C564&lt;&gt;"",$D564&gt;=12,COUNTIF(Tables2!$B$153:$B$162,$C564)&gt;0),
Error!$B$45,
IF(AND(_xlpm.baseRow,$E564="Tier 2 Grove",$D564&lt;12),
Error!$B$41,
IF(AND(_xlpm.baseRow,$E564="Tier 2",$D564&lt;5.88),
Error!$B$40,
IF(AND(_xlpm.baseRow,OR($E564="Tier 2",$E564="Tier 2 Grove"),$C564&lt;&gt;"",$D564&lt;12,$D564&gt;=6,COUNTIF(Tables2!$B$153:$B$162,$C564)&gt;0),
Error!$B$54,
IF(AND(_xlpm.baseRow,$E564="Tier 2",COUNTIF(Tables2!$B$166:$B$674,$C564)&gt;0,$D564&lt;24),
Error!$B$54,
IF(AND(_xlpm.baseRow,$E564="Tier 3",ISNA(MATCH($C564,Tables2!$B$153:$B$162,0)),OR($D564&lt;12,$D564&gt;=24)),
Error!$B$9,
IF(AND(_xlpm.baseRow,$E564="Tier 3",COUNTIF(Tables2!$B$153:$B$162,$C564)&gt;0,$D564&lt;12),
Error!$B$46,
IF(AND(_xlpm.baseRow,$E564="Tier 4",OR($D564&lt;6,$D564&gt;=12)),
Error!$B$10,
IF(AND(_xlpm.baseRow,$E564="&lt;6in DSH for Tree Points",OR($D564&gt;=6,$D564="")),
Error!$B$8,
IF(AND(_xlpm.baseRow,$E564="Street Tree for Green Factor",$F564&lt;&gt;"",$F564&lt;&gt;"Retain"),
Error!$B$14,
IF(AND($E564="&lt;6in DSH for Tree Points",$F564="Retain",$H564&lt;&gt;"",ISNA(MATCH($H564,Tables!$B$174:$B$174,0))),
Error!$B$15,
IF(AND($E564="Street Tree for Green Factor",$F564="Retain",$H564&lt;&gt;"",$H564&lt;&gt;"Zoning: Green Factor"),
Error!$B$15,
IF(AND($E564="ECA / Shoreline Tree",$F564="Remove",$H564&lt;&gt;"",ISNA(MATCH($H564,Tables!$B$189:$B$190,0))),
Error!$B$15,
IF(AND($E564="ECA / Shoreline Tree",$F564="Retain",$H564&lt;&gt;"",ISNA(MATCH($H564,Tables!$B$184:$B$186,0))),
Error!$B$15,
IF(AND($E564="Tier 4",$F564="Remove",$H564&lt;&gt;"",ISNA(MATCH($H564,Tables!$B$171,0))),
Error!$B$15,
IF(AND($E564="Tier 4",$F564="Retain",$H564&lt;&gt;"",ISNA(MATCH($H564,Tables!$B$166:$B$168,0))),
Error!$B$15,
IF(AND($E564="Tier 3",$F564="Retain",$H564&lt;&gt;"",ISNA(MATCH($H564,Tables!$B$158:$B$160,0))),
Error!$B$15,
IF(AND($E564="Tier 3",$F564="Remove",$H564&lt;&gt;"",ISNA(MATCH($H564,Tables!$B$163,0))),
Error!$B$15,
IF(AND(OR($E564="Tier 2",$E564="Tier 2 Grove"),$F564="Remove",$H564&lt;&gt;"",ISNA(MATCH($H564,Tables!$B$153:$B$155,0))),
Error!$B$15,
IF(AND(OR($E564="Tier 2",$E564="Tier 2 Grove"),$F564="Retain",$H564&lt;&gt;"",ISNA(MATCH($H564,Tables!$B$147:$B$150,0))),
Error!$B$15,
IF(AND($E564="Tier 1",$F564="Remove",$H564&lt;&gt;"",ISNA(MATCH($H564,Tables!$B$143:$B$144,0))),
Error!$B$15,
IF(AND($E564="Tier 1",$F564="Retain",$H564&lt;&gt;"",ISNA(MATCH($H564,Tables!$B$137:$B$140,0))),
Error!$B$15,
IF(AND($E564&lt;&gt;"Tier 2",$E564&lt;&gt;"Tier 2 Grove",$E564&lt;&gt;"Tier 3",$E564&lt;&gt;"Tier 4",$H564="Zoning: Green Factor",OR($D564="",$D564&lt;6)),
Error!$B$11,
IF(AND(_xlpm.baseRow,$D564&lt;6,$E564="&lt;6in DSH for Tree Points",_xlpm.TreePoints_H=0),
Error!$B$21,
IF(AND(_xlpm.baseRow,$E564&lt;&gt;"",$D564&lt;&gt;"",$F564=""),
Error!$B$4,
IF(AND(_xlpm.baseRow,$F564="Remove",OR($E564="Tier 1",$E564="Tier 2",$E564="Tier 2 Grove"),COUNTBLANK(_xlpm.HRange)&lt;3,_xlpm.uniqueH&gt;=2),
Error!$B$48,
IF(AND(_xlpm.baseRow,$F564="Retain",OR($E564="Tier 1",$E564="Tier 2",$E564="Tier 2 Grove"),COUNTIF(_xlpm.HRange,"Tree Code: Required to Retain Tier 1-2 Tree")=0),
Error!$B$47,
IF(AND(_xlpm.baseRow,$E564&lt;&gt;"",$D564&lt;&gt;"",$F564&lt;&gt;"",COUNTBLANK(_xlpm.HRange)=4),
Error!$B$5,
IF(AND($F564="Remove",$H564&lt;&gt;"",$I564=""),
Error!$B$18,
IF(AND($E564="Tier 4",$F564="Remove",$H564="Tree Protection Code: Tier 3 or Tier 4 Allowance",$H564&lt;&gt;"",ISNA(MATCH($I564,Tables!$B$200,0))),
Error!$B$17,
IF(AND($E564="Tier 3",$F564="Remove",$H564&lt;&gt;"",$H564="Tree Protection Code: Tier 3 or Tier 4 Allowance",OR($I564="",ISNA(MATCH($I564,Tables!$B$193:$B$197,0)))),
Error!$B$17,
IF(AND(OR($E564="Tier 2",$E564="Tier 2 Grove"),$F564="Remove",$H564="Tree Protection Code: Other removal allowance or exemption",$I564&lt;&gt;"",ISNA(MATCH($I564,Tables!$B$215:$B$218,0))),
Error!$B$17,
IF(AND(OR($E564="Tier 2",$E564="Tier 2 Grove"),$F564="Remove",$H564="Tree Protection Code: Development Capacity",$I564&lt;&gt;"",ISNA(MATCH($I564,Tables!$B$193:$B$197,0))),
Error!$B$17,
IF(AND(OR($E564="Tier 2",$E564="Tier 2 Grove"),$F564="Remove",$H564="Tree Protection Code: Necessary for Construction",$I564&lt;&gt;"",ISNA(MATCH($I564,Tables!$B$193:$B$197,0))),
Error!$B$17,
IF(AND($E564="Tier 1",$F564="Remove",$H564="Tree Protection Code: Special Exception",$I564&lt;&gt;"",ISNA(MATCH($I564,Tables!$B$215:$B$218,0))),
Error!$B$17,
IF(AND($E564="Tier 1",$F564="Remove",$H564="Tree Protection Code: Other removal allowance or exemption",$I564&lt;&gt;"",ISNA(MATCH($I564,Tables!$B$215:$B$218,0))),
Error!$B$17,
IF(AND($E564="ECA / Shoreline Tree",$F564="Remove",$H564&lt;&gt;"",OR($H564="Shoreline",$H564="Environmental Critical Area (ECA)"),ISNA(MATCH($I564,Tables!$B$209:$B$212,0))),
Error!$B$17,
IF(AND(_xlpm.baseRow,$F564="Retain",$E564="ECA / Shoreline Tree",_xlpm.ECA_Short=0),
Error!$B$61,
IF(AND($F564="Remove",ISNUMBER(MATCH($E564,{"Tier 1","Tier 2","Tier 3","Tier 4","Tier 2 Grove"},0)),ISNUMBER(MATCH($I564,{"On-site replacement","Off-site replacement"},0)),$J564="",$H564&lt;&gt;""),
Error!$B$19,
IF(AND(_xlpm.baseRow,$E564&lt;&gt;"",$D564&lt;&gt;"",$F564&lt;&gt;"",COUNTBLANK($B564:$C564)&gt;0,COUNTBLANK(_xlpm.HRange)&lt;&gt;4),
Error!$B$22,
IF(AND($H564="Zoning: Tree Points",$K564&lt;&gt;"",ISNA(MATCH($K564,Tables!$B$242:$B$253,0))),
Error!$B$58,
IF(AND($H564="Zoning: Tree Points",$K564="Small",$L564&lt;&gt;"",ISNA(MATCH($L564,Tables!$C$243:$C$244,0))),
Error!$B$59,
IF(AND($H564="Zoning: Tree Points",$K564="Small/Medium",$L564&lt;&gt;"",ISNA(MATCH($L564,Tables!$C$246:$C$247,0))),
Error!$B$59,
IF(AND($H564="Zoning: Tree Points",$K564="Medium/Large",$L564&lt;&gt;"",ISNA(MATCH($L564,Tables!$C$249:$C$250,0))),
Error!$B$59,
IF(AND($H564="Zoning: Tree Points",$K564="Large",$L564&lt;&gt;"",ISNA(MATCH($L564,Tables!$C$252:$C$253,0))),
Error!$B$59,
IF(AND($F564="Retain",$H564="Zoning: Tree Points",$C564&lt;&gt;"",$D564&lt;&gt;"",OR($K564="",$L564="",$M564="")),
Error!$B$20,
""
)))))))))))))))))))))))))))))))))))))))))))))))))))))))),
Error!$B$23))</f>
        <v/>
      </c>
      <c r="O564" s="343" t="str" cm="1">
        <f t="array" aca="1" ref="O564" ca="1">IFERROR(_xlfn.LET(
    _xlpm.txt, $C564,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65" spans="1:15" x14ac:dyDescent="0.3">
      <c r="A565" s="320"/>
      <c r="B565" s="616" t="str">
        <f t="shared" si="655"/>
        <v/>
      </c>
      <c r="C565" s="617" t="str">
        <f t="shared" si="656"/>
        <v/>
      </c>
      <c r="D565" s="618" t="str">
        <f t="shared" si="657"/>
        <v/>
      </c>
      <c r="E565" s="616" t="str">
        <f t="shared" si="658"/>
        <v/>
      </c>
      <c r="F565" s="616" t="str">
        <f t="shared" si="659"/>
        <v/>
      </c>
      <c r="G565" s="619" t="str">
        <f>IF(Tree_Table1[[#This Row],[Tree Status  &amp;]]="Retain", Tables!$B$237, IF(Tree_Table1[[#This Row],[Tree Status  &amp;]]="Remove", Tables!$B$238, ""))</f>
        <v/>
      </c>
      <c r="H565" s="321"/>
      <c r="I565" s="322"/>
      <c r="J565" s="453"/>
      <c r="K565" s="323" t="str">
        <f>IFERROR(
    IF(
        AND($H565="Zoning: Tree Points", NOT(ISNUMBER(SEARCH("sp.", $C565)))),
        VLOOKUP($C565, 'Tree List'!$C$3:$F$601, 4, FALSE),
        ""
    ),
"")</f>
        <v/>
      </c>
      <c r="L565" s="324" t="str" cm="1">
        <f t="array" ref="L565">IFERROR(
IF(
    AND($H565="Zoning: Tree Points", NOT(ISNUMBER(SEARCH("sp.", $C565)))),
    _xlfn.IFS(
        (COUNTIFS('Tree List'!$C$3:$C$601,$C565,'Tree List'!$D$3:$D$601,"Coniferous")
        + COUNTIFS('Tree List'!$C$3:$C$601,$C565,'Tree List'!$D$3:$D$601,"Deciduous Conifer")) &gt; 0,
            _xlfn.IFS($K565="Small",0.5,$K565="Small/Medium",1,$K565="Medium/Large",1.4,$K565="Large",1.8),
        (COUNTIFS('Tree List'!$C$3:$C$601,$C565,'Tree List'!$D$3:$D$601,"Deciduous")
        + COUNTIFS('Tree List'!$C$3:$C$601,$C565,'Tree List'!$D$3:$D$601,"Broadleaf Evergreen")) &gt; 0,
            _xlfn.IFS($K565="Small",0.4,$K565="Small/Medium",0.8,$K565="Medium/Large",1.2,$K565="Large",1.6)
    ),
    ""
),
"")</f>
        <v/>
      </c>
      <c r="M565" s="475" t="str">
        <f t="shared" si="654"/>
        <v/>
      </c>
      <c r="N565" s="346" t="str" cm="1">
        <f t="array" aca="1" ref="N56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IF(AND(_xlpm.baseRow,ISNA(MATCH($C565,'Tree List'!$C$3:$C$601,0)),SUMPRODUCT(--ISNUMBER(SEARCH(Tables2!$C$677:$C$772,$O565)))&gt;0),
Error!$B$57,
IF(AND(_xlpm.hasDM,$F565="Remove",$H565&lt;&gt;"",OR($I565="On-site replacement",$I565="Off-site replacement",$I565="Payment In Lieu")),
Error!$B$56,
IF(AND(_xlpm.hasDM,$F565="Remove",$H565&lt;&gt;"",$I565="Relocation"),
Error!$B$66,
IF(AND(OR(_xlpm.hasCN,_xlpm.hasPH,_xlpm.hasGR),$H565&lt;&gt;"",COUNTIF(Tables!$B$132:$B$134,$H565)&gt;0,$I565="N/A (No replacement required)"),
Error!$B$62,
IF(AND(_xlpm.baseRow,$E565&lt;&gt;"",ISNA(MATCH($E565,Tables!$B$225:$B$232,0))),
Error!$B$2,
IF(AND(_xlpm.baseRow,$F565&lt;&gt;"",ISNA(MATCH($F565,Tables!$B$234:$B$235,0))),
Error!$B$24,
IF(AND(_xlpm.baseRow,_xlpm.ECA_H&gt;0,_xlpm.Shore_H&gt;0),
Error!$B$16,
IF(AND(_xlpm.baseRow,$E565&lt;&gt;"",$D565=""),
Error!$B$3,
IF(AND(_xlpm.baseRow,OR($E565="Tier 3",$E565="Tier 4"),$C565&lt;&gt;"",$D565&gt;=24,COUNTIF(Tables2!$B$166:$B$674,$C565)&gt;0),
Error!$B$44,
IF(AND(_xlpm.baseRow,OR($E565="Tier 3",$E565="Tier 4"),$C565&lt;&gt;"",$D565&lt;&gt;"",COUNTIF(Tables2!$B$73:$B$152,$C565)&gt;0,
$D565&gt;=IFERROR(INDEX(Tables2!$C$73:$C$152,MATCH($C565,Tables2!$B$73:$B$152,0)),-1)),
Error!$B$44,
IF(AND(_xlpm.baseRow,OR($E565="Tier 2",$E565="Tier 2 Grove"),$C565&lt;&gt;"",$D565&gt;=12,COUNTIF(Tables2!$B$153:$B$162,$C565)&gt;0),
Error!$B$45,
IF(AND(_xlpm.baseRow,$E565="Tier 2 Grove",$D565&lt;12),
Error!$B$41,
IF(AND(_xlpm.baseRow,$E565="Tier 2",$D565&lt;5.88),
Error!$B$40,
IF(AND(_xlpm.baseRow,OR($E565="Tier 2",$E565="Tier 2 Grove"),$C565&lt;&gt;"",$D565&lt;12,$D565&gt;=6,COUNTIF(Tables2!$B$153:$B$162,$C565)&gt;0),
Error!$B$54,
IF(AND(_xlpm.baseRow,$E565="Tier 2",COUNTIF(Tables2!$B$166:$B$674,$C565)&gt;0,$D565&lt;24),
Error!$B$54,
IF(AND(_xlpm.baseRow,$E565="Tier 3",ISNA(MATCH($C565,Tables2!$B$153:$B$162,0)),OR($D565&lt;12,$D565&gt;=24)),
Error!$B$9,
IF(AND(_xlpm.baseRow,$E565="Tier 3",COUNTIF(Tables2!$B$153:$B$162,$C565)&gt;0,$D565&lt;12),
Error!$B$46,
IF(AND(_xlpm.baseRow,$E565="Tier 4",OR($D565&lt;6,$D565&gt;=12)),
Error!$B$10,
IF(AND(_xlpm.baseRow,$E565="&lt;6in DSH for Tree Points",OR($D565&gt;=6,$D565="")),
Error!$B$8,
IF(AND(_xlpm.baseRow,$E565="Street Tree for Green Factor",$F565&lt;&gt;"",$F565&lt;&gt;"Retain"),
Error!$B$14,
IF(AND($E565="&lt;6in DSH for Tree Points",$F565="Retain",$H565&lt;&gt;"",ISNA(MATCH($H565,Tables!$B$174:$B$174,0))),
Error!$B$15,
IF(AND($E565="Street Tree for Green Factor",$F565="Retain",$H565&lt;&gt;"",$H565&lt;&gt;"Zoning: Green Factor"),
Error!$B$15,
IF(AND($E565="ECA / Shoreline Tree",$F565="Remove",$H565&lt;&gt;"",ISNA(MATCH($H565,Tables!$B$189:$B$190,0))),
Error!$B$15,
IF(AND($E565="ECA / Shoreline Tree",$F565="Retain",$H565&lt;&gt;"",ISNA(MATCH($H565,Tables!$B$184:$B$186,0))),
Error!$B$15,
IF(AND($E565="Tier 4",$F565="Remove",$H565&lt;&gt;"",ISNA(MATCH($H565,Tables!$B$171,0))),
Error!$B$15,
IF(AND($E565="Tier 4",$F565="Retain",$H565&lt;&gt;"",ISNA(MATCH($H565,Tables!$B$166:$B$168,0))),
Error!$B$15,
IF(AND($E565="Tier 3",$F565="Retain",$H565&lt;&gt;"",ISNA(MATCH($H565,Tables!$B$158:$B$160,0))),
Error!$B$15,
IF(AND($E565="Tier 3",$F565="Remove",$H565&lt;&gt;"",ISNA(MATCH($H565,Tables!$B$163,0))),
Error!$B$15,
IF(AND(OR($E565="Tier 2",$E565="Tier 2 Grove"),$F565="Remove",$H565&lt;&gt;"",ISNA(MATCH($H565,Tables!$B$153:$B$155,0))),
Error!$B$15,
IF(AND(OR($E565="Tier 2",$E565="Tier 2 Grove"),$F565="Retain",$H565&lt;&gt;"",ISNA(MATCH($H565,Tables!$B$147:$B$150,0))),
Error!$B$15,
IF(AND($E565="Tier 1",$F565="Remove",$H565&lt;&gt;"",ISNA(MATCH($H565,Tables!$B$143:$B$144,0))),
Error!$B$15,
IF(AND($E565="Tier 1",$F565="Retain",$H565&lt;&gt;"",ISNA(MATCH($H565,Tables!$B$137:$B$140,0))),
Error!$B$15,
IF(AND($E565&lt;&gt;"Tier 2",$E565&lt;&gt;"Tier 2 Grove",$E565&lt;&gt;"Tier 3",$E565&lt;&gt;"Tier 4",$H565="Zoning: Green Factor",OR($D565="",$D565&lt;6)),
Error!$B$11,
IF(AND(_xlpm.baseRow,$D565&lt;6,$E565="&lt;6in DSH for Tree Points",_xlpm.TreePoints_H=0),
Error!$B$21,
IF(AND(_xlpm.baseRow,$E565&lt;&gt;"",$D565&lt;&gt;"",$F565=""),
Error!$B$4,
IF(AND(_xlpm.baseRow,$F565="Remove",OR($E565="Tier 1",$E565="Tier 2",$E565="Tier 2 Grove"),COUNTBLANK(_xlpm.HRange)&lt;3,_xlpm.uniqueH&gt;=2),
Error!$B$48,
IF(AND(_xlpm.baseRow,$F565="Retain",OR($E565="Tier 1",$E565="Tier 2",$E565="Tier 2 Grove"),COUNTIF(_xlpm.HRange,"Tree Code: Required to Retain Tier 1-2 Tree")=0),
Error!$B$47,
IF(AND(_xlpm.baseRow,$E565&lt;&gt;"",$D565&lt;&gt;"",$F565&lt;&gt;"",COUNTBLANK(_xlpm.HRange)=4),
Error!$B$5,
IF(AND($F565="Remove",$H565&lt;&gt;"",$I565=""),
Error!$B$18,
IF(AND($E565="Tier 4",$F565="Remove",$H565="Tree Protection Code: Tier 3 or Tier 4 Allowance",$H565&lt;&gt;"",ISNA(MATCH($I565,Tables!$B$200,0))),
Error!$B$17,
IF(AND($E565="Tier 3",$F565="Remove",$H565&lt;&gt;"",$H565="Tree Protection Code: Tier 3 or Tier 4 Allowance",OR($I565="",ISNA(MATCH($I565,Tables!$B$193:$B$197,0)))),
Error!$B$17,
IF(AND(OR($E565="Tier 2",$E565="Tier 2 Grove"),$F565="Remove",$H565="Tree Protection Code: Other removal allowance or exemption",$I565&lt;&gt;"",ISNA(MATCH($I565,Tables!$B$215:$B$218,0))),
Error!$B$17,
IF(AND(OR($E565="Tier 2",$E565="Tier 2 Grove"),$F565="Remove",$H565="Tree Protection Code: Development Capacity",$I565&lt;&gt;"",ISNA(MATCH($I565,Tables!$B$193:$B$197,0))),
Error!$B$17,
IF(AND(OR($E565="Tier 2",$E565="Tier 2 Grove"),$F565="Remove",$H565="Tree Protection Code: Necessary for Construction",$I565&lt;&gt;"",ISNA(MATCH($I565,Tables!$B$193:$B$197,0))),
Error!$B$17,
IF(AND($E565="Tier 1",$F565="Remove",$H565="Tree Protection Code: Special Exception",$I565&lt;&gt;"",ISNA(MATCH($I565,Tables!$B$215:$B$218,0))),
Error!$B$17,
IF(AND($E565="Tier 1",$F565="Remove",$H565="Tree Protection Code: Other removal allowance or exemption",$I565&lt;&gt;"",ISNA(MATCH($I565,Tables!$B$215:$B$218,0))),
Error!$B$17,
IF(AND($E565="ECA / Shoreline Tree",$F565="Remove",$H565&lt;&gt;"",OR($H565="Shoreline",$H565="Environmental Critical Area (ECA)"),ISNA(MATCH($I565,Tables!$B$209:$B$212,0))),
Error!$B$17,
IF(AND(_xlpm.baseRow,$F565="Retain",$E565="ECA / Shoreline Tree",_xlpm.ECA_Short=0),
Error!$B$61,
IF(AND($F565="Remove",ISNUMBER(MATCH($E565,{"Tier 1","Tier 2","Tier 3","Tier 4","Tier 2 Grove"},0)),ISNUMBER(MATCH($I565,{"On-site replacement","Off-site replacement"},0)),$J565="",$H565&lt;&gt;""),
Error!$B$19,
IF(AND(_xlpm.baseRow,$E565&lt;&gt;"",$D565&lt;&gt;"",$F565&lt;&gt;"",COUNTBLANK($B565:$C565)&gt;0,COUNTBLANK(_xlpm.HRange)&lt;&gt;4),
Error!$B$22,
IF(AND($H565="Zoning: Tree Points",$K565&lt;&gt;"",ISNA(MATCH($K565,Tables!$B$242:$B$253,0))),
Error!$B$58,
IF(AND($H565="Zoning: Tree Points",$K565="Small",$L565&lt;&gt;"",ISNA(MATCH($L565,Tables!$C$243:$C$244,0))),
Error!$B$59,
IF(AND($H565="Zoning: Tree Points",$K565="Small/Medium",$L565&lt;&gt;"",ISNA(MATCH($L565,Tables!$C$246:$C$247,0))),
Error!$B$59,
IF(AND($H565="Zoning: Tree Points",$K565="Medium/Large",$L565&lt;&gt;"",ISNA(MATCH($L565,Tables!$C$249:$C$250,0))),
Error!$B$59,
IF(AND($H565="Zoning: Tree Points",$K565="Large",$L565&lt;&gt;"",ISNA(MATCH($L565,Tables!$C$252:$C$253,0))),
Error!$B$59,
IF(AND($F565="Retain",$H565="Zoning: Tree Points",$C565&lt;&gt;"",$D565&lt;&gt;"",OR($K565="",$L565="",$M565="")),
Error!$B$20,
""
)))))))))))))))))))))))))))))))))))))))))))))))))))))))),
Error!$B$23))</f>
        <v/>
      </c>
      <c r="O565" s="343" t="str" cm="1">
        <f t="array" aca="1" ref="O565" ca="1">IFERROR(_xlfn.LET(
    _xlpm.txt, $C565,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66" spans="1:15" ht="15" thickBot="1" x14ac:dyDescent="0.35">
      <c r="A566" s="331"/>
      <c r="B566" s="616" t="str">
        <f t="shared" si="655"/>
        <v/>
      </c>
      <c r="C566" s="617" t="str">
        <f t="shared" si="656"/>
        <v/>
      </c>
      <c r="D566" s="618" t="str">
        <f t="shared" si="657"/>
        <v/>
      </c>
      <c r="E566" s="616" t="str">
        <f t="shared" si="658"/>
        <v/>
      </c>
      <c r="F566" s="616" t="str">
        <f t="shared" si="659"/>
        <v/>
      </c>
      <c r="G566" s="619" t="str">
        <f>IF(Tree_Table1[[#This Row],[Tree Status  &amp;]]="Retain", Tables!$B$237, IF(Tree_Table1[[#This Row],[Tree Status  &amp;]]="Remove", Tables!$B$238, ""))</f>
        <v/>
      </c>
      <c r="H566" s="329"/>
      <c r="I566" s="330"/>
      <c r="J566" s="455"/>
      <c r="K566" s="327" t="str">
        <f>IFERROR(
    IF(
        AND($H566="Zoning: Tree Points", NOT(ISNUMBER(SEARCH("sp.", $C566)))),
        VLOOKUP($C566, 'Tree List'!$C$3:$F$601, 4, FALSE),
        ""
    ),
"")</f>
        <v/>
      </c>
      <c r="L566" s="328" t="str" cm="1">
        <f t="array" ref="L566">IFERROR(
IF(
    AND($H566="Zoning: Tree Points", NOT(ISNUMBER(SEARCH("sp.", $C566)))),
    _xlfn.IFS(
        (COUNTIFS('Tree List'!$C$3:$C$601,$C566,'Tree List'!$D$3:$D$601,"Coniferous")
        + COUNTIFS('Tree List'!$C$3:$C$601,$C566,'Tree List'!$D$3:$D$601,"Deciduous Conifer")) &gt; 0,
            _xlfn.IFS($K566="Small",0.5,$K566="Small/Medium",1,$K566="Medium/Large",1.4,$K566="Large",1.8),
        (COUNTIFS('Tree List'!$C$3:$C$601,$C566,'Tree List'!$D$3:$D$601,"Deciduous")
        + COUNTIFS('Tree List'!$C$3:$C$601,$C566,'Tree List'!$D$3:$D$601,"Broadleaf Evergreen")) &gt; 0,
            _xlfn.IFS($K566="Small",0.4,$K566="Small/Medium",0.8,$K566="Medium/Large",1.2,$K566="Large",1.6)
    ),
    ""
),
"")</f>
        <v/>
      </c>
      <c r="M566" s="476" t="str">
        <f t="shared" si="654"/>
        <v/>
      </c>
      <c r="N566" s="347" t="str" cm="1">
        <f t="array" aca="1" ref="N56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IF(AND(_xlpm.baseRow,ISNA(MATCH($C566,'Tree List'!$C$3:$C$601,0)),SUMPRODUCT(--ISNUMBER(SEARCH(Tables2!$C$677:$C$772,$O566)))&gt;0),
Error!$B$57,
IF(AND(_xlpm.hasDM,$F566="Remove",$H566&lt;&gt;"",OR($I566="On-site replacement",$I566="Off-site replacement",$I566="Payment In Lieu")),
Error!$B$56,
IF(AND(_xlpm.hasDM,$F566="Remove",$H566&lt;&gt;"",$I566="Relocation"),
Error!$B$66,
IF(AND(OR(_xlpm.hasCN,_xlpm.hasPH,_xlpm.hasGR),$H566&lt;&gt;"",COUNTIF(Tables!$B$132:$B$134,$H566)&gt;0,$I566="N/A (No replacement required)"),
Error!$B$62,
IF(AND(_xlpm.baseRow,$E566&lt;&gt;"",ISNA(MATCH($E566,Tables!$B$225:$B$232,0))),
Error!$B$2,
IF(AND(_xlpm.baseRow,$F566&lt;&gt;"",ISNA(MATCH($F566,Tables!$B$234:$B$235,0))),
Error!$B$24,
IF(AND(_xlpm.baseRow,_xlpm.ECA_H&gt;0,_xlpm.Shore_H&gt;0),
Error!$B$16,
IF(AND(_xlpm.baseRow,$E566&lt;&gt;"",$D566=""),
Error!$B$3,
IF(AND(_xlpm.baseRow,OR($E566="Tier 3",$E566="Tier 4"),$C566&lt;&gt;"",$D566&gt;=24,COUNTIF(Tables2!$B$166:$B$674,$C566)&gt;0),
Error!$B$44,
IF(AND(_xlpm.baseRow,OR($E566="Tier 3",$E566="Tier 4"),$C566&lt;&gt;"",$D566&lt;&gt;"",COUNTIF(Tables2!$B$73:$B$152,$C566)&gt;0,
$D566&gt;=IFERROR(INDEX(Tables2!$C$73:$C$152,MATCH($C566,Tables2!$B$73:$B$152,0)),-1)),
Error!$B$44,
IF(AND(_xlpm.baseRow,OR($E566="Tier 2",$E566="Tier 2 Grove"),$C566&lt;&gt;"",$D566&gt;=12,COUNTIF(Tables2!$B$153:$B$162,$C566)&gt;0),
Error!$B$45,
IF(AND(_xlpm.baseRow,$E566="Tier 2 Grove",$D566&lt;12),
Error!$B$41,
IF(AND(_xlpm.baseRow,$E566="Tier 2",$D566&lt;5.88),
Error!$B$40,
IF(AND(_xlpm.baseRow,OR($E566="Tier 2",$E566="Tier 2 Grove"),$C566&lt;&gt;"",$D566&lt;12,$D566&gt;=6,COUNTIF(Tables2!$B$153:$B$162,$C566)&gt;0),
Error!$B$54,
IF(AND(_xlpm.baseRow,$E566="Tier 2",COUNTIF(Tables2!$B$166:$B$674,$C566)&gt;0,$D566&lt;24),
Error!$B$54,
IF(AND(_xlpm.baseRow,$E566="Tier 3",ISNA(MATCH($C566,Tables2!$B$153:$B$162,0)),OR($D566&lt;12,$D566&gt;=24)),
Error!$B$9,
IF(AND(_xlpm.baseRow,$E566="Tier 3",COUNTIF(Tables2!$B$153:$B$162,$C566)&gt;0,$D566&lt;12),
Error!$B$46,
IF(AND(_xlpm.baseRow,$E566="Tier 4",OR($D566&lt;6,$D566&gt;=12)),
Error!$B$10,
IF(AND(_xlpm.baseRow,$E566="&lt;6in DSH for Tree Points",OR($D566&gt;=6,$D566="")),
Error!$B$8,
IF(AND(_xlpm.baseRow,$E566="Street Tree for Green Factor",$F566&lt;&gt;"",$F566&lt;&gt;"Retain"),
Error!$B$14,
IF(AND($E566="&lt;6in DSH for Tree Points",$F566="Retain",$H566&lt;&gt;"",ISNA(MATCH($H566,Tables!$B$174:$B$174,0))),
Error!$B$15,
IF(AND($E566="Street Tree for Green Factor",$F566="Retain",$H566&lt;&gt;"",$H566&lt;&gt;"Zoning: Green Factor"),
Error!$B$15,
IF(AND($E566="ECA / Shoreline Tree",$F566="Remove",$H566&lt;&gt;"",ISNA(MATCH($H566,Tables!$B$189:$B$190,0))),
Error!$B$15,
IF(AND($E566="ECA / Shoreline Tree",$F566="Retain",$H566&lt;&gt;"",ISNA(MATCH($H566,Tables!$B$184:$B$186,0))),
Error!$B$15,
IF(AND($E566="Tier 4",$F566="Remove",$H566&lt;&gt;"",ISNA(MATCH($H566,Tables!$B$171,0))),
Error!$B$15,
IF(AND($E566="Tier 4",$F566="Retain",$H566&lt;&gt;"",ISNA(MATCH($H566,Tables!$B$166:$B$168,0))),
Error!$B$15,
IF(AND($E566="Tier 3",$F566="Retain",$H566&lt;&gt;"",ISNA(MATCH($H566,Tables!$B$158:$B$160,0))),
Error!$B$15,
IF(AND($E566="Tier 3",$F566="Remove",$H566&lt;&gt;"",ISNA(MATCH($H566,Tables!$B$163,0))),
Error!$B$15,
IF(AND(OR($E566="Tier 2",$E566="Tier 2 Grove"),$F566="Remove",$H566&lt;&gt;"",ISNA(MATCH($H566,Tables!$B$153:$B$155,0))),
Error!$B$15,
IF(AND(OR($E566="Tier 2",$E566="Tier 2 Grove"),$F566="Retain",$H566&lt;&gt;"",ISNA(MATCH($H566,Tables!$B$147:$B$150,0))),
Error!$B$15,
IF(AND($E566="Tier 1",$F566="Remove",$H566&lt;&gt;"",ISNA(MATCH($H566,Tables!$B$143:$B$144,0))),
Error!$B$15,
IF(AND($E566="Tier 1",$F566="Retain",$H566&lt;&gt;"",ISNA(MATCH($H566,Tables!$B$137:$B$140,0))),
Error!$B$15,
IF(AND($E566&lt;&gt;"Tier 2",$E566&lt;&gt;"Tier 2 Grove",$E566&lt;&gt;"Tier 3",$E566&lt;&gt;"Tier 4",$H566="Zoning: Green Factor",OR($D566="",$D566&lt;6)),
Error!$B$11,
IF(AND(_xlpm.baseRow,$D566&lt;6,$E566="&lt;6in DSH for Tree Points",_xlpm.TreePoints_H=0),
Error!$B$21,
IF(AND(_xlpm.baseRow,$E566&lt;&gt;"",$D566&lt;&gt;"",$F566=""),
Error!$B$4,
IF(AND(_xlpm.baseRow,$F566="Remove",OR($E566="Tier 1",$E566="Tier 2",$E566="Tier 2 Grove"),COUNTBLANK(_xlpm.HRange)&lt;3,_xlpm.uniqueH&gt;=2),
Error!$B$48,
IF(AND(_xlpm.baseRow,$F566="Retain",OR($E566="Tier 1",$E566="Tier 2",$E566="Tier 2 Grove"),COUNTIF(_xlpm.HRange,"Tree Code: Required to Retain Tier 1-2 Tree")=0),
Error!$B$47,
IF(AND(_xlpm.baseRow,$E566&lt;&gt;"",$D566&lt;&gt;"",$F566&lt;&gt;"",COUNTBLANK(_xlpm.HRange)=4),
Error!$B$5,
IF(AND($F566="Remove",$H566&lt;&gt;"",$I566=""),
Error!$B$18,
IF(AND($E566="Tier 4",$F566="Remove",$H566="Tree Protection Code: Tier 3 or Tier 4 Allowance",$H566&lt;&gt;"",ISNA(MATCH($I566,Tables!$B$200,0))),
Error!$B$17,
IF(AND($E566="Tier 3",$F566="Remove",$H566&lt;&gt;"",$H566="Tree Protection Code: Tier 3 or Tier 4 Allowance",OR($I566="",ISNA(MATCH($I566,Tables!$B$193:$B$197,0)))),
Error!$B$17,
IF(AND(OR($E566="Tier 2",$E566="Tier 2 Grove"),$F566="Remove",$H566="Tree Protection Code: Other removal allowance or exemption",$I566&lt;&gt;"",ISNA(MATCH($I566,Tables!$B$215:$B$218,0))),
Error!$B$17,
IF(AND(OR($E566="Tier 2",$E566="Tier 2 Grove"),$F566="Remove",$H566="Tree Protection Code: Development Capacity",$I566&lt;&gt;"",ISNA(MATCH($I566,Tables!$B$193:$B$197,0))),
Error!$B$17,
IF(AND(OR($E566="Tier 2",$E566="Tier 2 Grove"),$F566="Remove",$H566="Tree Protection Code: Necessary for Construction",$I566&lt;&gt;"",ISNA(MATCH($I566,Tables!$B$193:$B$197,0))),
Error!$B$17,
IF(AND($E566="Tier 1",$F566="Remove",$H566="Tree Protection Code: Special Exception",$I566&lt;&gt;"",ISNA(MATCH($I566,Tables!$B$215:$B$218,0))),
Error!$B$17,
IF(AND($E566="Tier 1",$F566="Remove",$H566="Tree Protection Code: Other removal allowance or exemption",$I566&lt;&gt;"",ISNA(MATCH($I566,Tables!$B$215:$B$218,0))),
Error!$B$17,
IF(AND($E566="ECA / Shoreline Tree",$F566="Remove",$H566&lt;&gt;"",OR($H566="Shoreline",$H566="Environmental Critical Area (ECA)"),ISNA(MATCH($I566,Tables!$B$209:$B$212,0))),
Error!$B$17,
IF(AND(_xlpm.baseRow,$F566="Retain",$E566="ECA / Shoreline Tree",_xlpm.ECA_Short=0),
Error!$B$61,
IF(AND($F566="Remove",ISNUMBER(MATCH($E566,{"Tier 1","Tier 2","Tier 3","Tier 4","Tier 2 Grove"},0)),ISNUMBER(MATCH($I566,{"On-site replacement","Off-site replacement"},0)),$J566="",$H566&lt;&gt;""),
Error!$B$19,
IF(AND(_xlpm.baseRow,$E566&lt;&gt;"",$D566&lt;&gt;"",$F566&lt;&gt;"",COUNTBLANK($B566:$C566)&gt;0,COUNTBLANK(_xlpm.HRange)&lt;&gt;4),
Error!$B$22,
IF(AND($H566="Zoning: Tree Points",$K566&lt;&gt;"",ISNA(MATCH($K566,Tables!$B$242:$B$253,0))),
Error!$B$58,
IF(AND($H566="Zoning: Tree Points",$K566="Small",$L566&lt;&gt;"",ISNA(MATCH($L566,Tables!$C$243:$C$244,0))),
Error!$B$59,
IF(AND($H566="Zoning: Tree Points",$K566="Small/Medium",$L566&lt;&gt;"",ISNA(MATCH($L566,Tables!$C$246:$C$247,0))),
Error!$B$59,
IF(AND($H566="Zoning: Tree Points",$K566="Medium/Large",$L566&lt;&gt;"",ISNA(MATCH($L566,Tables!$C$249:$C$250,0))),
Error!$B$59,
IF(AND($H566="Zoning: Tree Points",$K566="Large",$L566&lt;&gt;"",ISNA(MATCH($L566,Tables!$C$252:$C$253,0))),
Error!$B$59,
IF(AND($F566="Retain",$H566="Zoning: Tree Points",$C566&lt;&gt;"",$D566&lt;&gt;"",OR($K566="",$L566="",$M566="")),
Error!$B$20,
""
)))))))))))))))))))))))))))))))))))))))))))))))))))))))),
Error!$B$23))</f>
        <v/>
      </c>
      <c r="O566" s="343" t="str" cm="1">
        <f t="array" aca="1" ref="O566" ca="1">IFERROR(_xlfn.LET(
    _xlpm.txt, $C566,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67" spans="1:15" ht="15" thickBot="1" x14ac:dyDescent="0.35">
      <c r="A567" s="311">
        <v>140</v>
      </c>
      <c r="B567" s="312"/>
      <c r="C567" s="313"/>
      <c r="D567" s="478"/>
      <c r="E567" s="314"/>
      <c r="F567" s="314"/>
      <c r="G567" s="315" t="str">
        <f>IF(Tree_Table1[[#This Row],[Tree Status  &amp;]]="Retain", Tables!$B$237, IF(Tree_Table1[[#This Row],[Tree Status  &amp;]]="Remove", Tables!$B$238, ""))</f>
        <v/>
      </c>
      <c r="H567" s="316"/>
      <c r="I567" s="317"/>
      <c r="J567" s="452"/>
      <c r="K567" s="318" t="str">
        <f>IFERROR(
    IF(
        AND($H567="Zoning: Tree Points", NOT(ISNUMBER(SEARCH("sp.", $C567)))),
        VLOOKUP($C567, 'Tree List'!$C$3:$F$601, 4, FALSE),
        ""
    ),
"")</f>
        <v/>
      </c>
      <c r="L567" s="319" t="str" cm="1">
        <f t="array" ref="L567">IFERROR(
IF(
    AND($H567="Zoning: Tree Points", NOT(ISNUMBER(SEARCH("sp.", $C567)))),
    _xlfn.IFS(
        (COUNTIFS('Tree List'!$C$3:$C$601,$C567,'Tree List'!$D$3:$D$601,"Coniferous")
        + COUNTIFS('Tree List'!$C$3:$C$601,$C567,'Tree List'!$D$3:$D$601,"Deciduous Conifer")) &gt; 0,
            _xlfn.IFS($K567="Small",0.5,$K567="Small/Medium",1,$K567="Medium/Large",1.4,$K567="Large",1.8),
        (COUNTIFS('Tree List'!$C$3:$C$601,$C567,'Tree List'!$D$3:$D$601,"Deciduous")
        + COUNTIFS('Tree List'!$C$3:$C$601,$C567,'Tree List'!$D$3:$D$601,"Broadleaf Evergreen")) &gt; 0,
            _xlfn.IFS($K567="Small",0.4,$K567="Small/Medium",0.8,$K567="Medium/Large",1.2,$K567="Large",1.6)
    ),
    ""
),
"")</f>
        <v/>
      </c>
      <c r="M567" s="474" t="str">
        <f t="shared" si="654"/>
        <v/>
      </c>
      <c r="N567" s="620" t="str" cm="1">
        <f t="array" aca="1" ref="N56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IF(AND(_xlpm.baseRow,ISNA(MATCH($C567,'Tree List'!$C$3:$C$601,0)),SUMPRODUCT(--ISNUMBER(SEARCH(Tables2!$C$677:$C$772,$O567)))&gt;0),
Error!$B$57,
IF(AND(_xlpm.hasDM,$F567="Remove",$H567&lt;&gt;"",OR($I567="On-site replacement",$I567="Off-site replacement",$I567="Payment In Lieu")),
Error!$B$56,
IF(AND(_xlpm.hasDM,$F567="Remove",$H567&lt;&gt;"",$I567="Relocation"),
Error!$B$66,
IF(AND(OR(_xlpm.hasCN,_xlpm.hasPH,_xlpm.hasGR),$H567&lt;&gt;"",COUNTIF(Tables!$B$132:$B$134,$H567)&gt;0,$I567="N/A (No replacement required)"),
Error!$B$62,
IF(AND(_xlpm.baseRow,$E567&lt;&gt;"",ISNA(MATCH($E567,Tables!$B$225:$B$232,0))),
Error!$B$2,
IF(AND(_xlpm.baseRow,$F567&lt;&gt;"",ISNA(MATCH($F567,Tables!$B$234:$B$235,0))),
Error!$B$24,
IF(AND(_xlpm.baseRow,_xlpm.ECA_H&gt;0,_xlpm.Shore_H&gt;0),
Error!$B$16,
IF(AND(_xlpm.baseRow,$E567&lt;&gt;"",$D567=""),
Error!$B$3,
IF(AND(_xlpm.baseRow,OR($E567="Tier 3",$E567="Tier 4"),$C567&lt;&gt;"",$D567&gt;=24,COUNTIF(Tables2!$B$166:$B$674,$C567)&gt;0),
Error!$B$44,
IF(AND(_xlpm.baseRow,OR($E567="Tier 3",$E567="Tier 4"),$C567&lt;&gt;"",$D567&lt;&gt;"",COUNTIF(Tables2!$B$73:$B$152,$C567)&gt;0,
$D567&gt;=IFERROR(INDEX(Tables2!$C$73:$C$152,MATCH($C567,Tables2!$B$73:$B$152,0)),-1)),
Error!$B$44,
IF(AND(_xlpm.baseRow,OR($E567="Tier 2",$E567="Tier 2 Grove"),$C567&lt;&gt;"",$D567&gt;=12,COUNTIF(Tables2!$B$153:$B$162,$C567)&gt;0),
Error!$B$45,
IF(AND(_xlpm.baseRow,$E567="Tier 2 Grove",$D567&lt;12),
Error!$B$41,
IF(AND(_xlpm.baseRow,$E567="Tier 2",$D567&lt;5.88),
Error!$B$40,
IF(AND(_xlpm.baseRow,OR($E567="Tier 2",$E567="Tier 2 Grove"),$C567&lt;&gt;"",$D567&lt;12,$D567&gt;=6,COUNTIF(Tables2!$B$153:$B$162,$C567)&gt;0),
Error!$B$54,
IF(AND(_xlpm.baseRow,$E567="Tier 2",COUNTIF(Tables2!$B$166:$B$674,$C567)&gt;0,$D567&lt;24),
Error!$B$54,
IF(AND(_xlpm.baseRow,$E567="Tier 3",ISNA(MATCH($C567,Tables2!$B$153:$B$162,0)),OR($D567&lt;12,$D567&gt;=24)),
Error!$B$9,
IF(AND(_xlpm.baseRow,$E567="Tier 3",COUNTIF(Tables2!$B$153:$B$162,$C567)&gt;0,$D567&lt;12),
Error!$B$46,
IF(AND(_xlpm.baseRow,$E567="Tier 4",OR($D567&lt;6,$D567&gt;=12)),
Error!$B$10,
IF(AND(_xlpm.baseRow,$E567="&lt;6in DSH for Tree Points",OR($D567&gt;=6,$D567="")),
Error!$B$8,
IF(AND(_xlpm.baseRow,$E567="Street Tree for Green Factor",$F567&lt;&gt;"",$F567&lt;&gt;"Retain"),
Error!$B$14,
IF(AND($E567="&lt;6in DSH for Tree Points",$F567="Retain",$H567&lt;&gt;"",ISNA(MATCH($H567,Tables!$B$174:$B$174,0))),
Error!$B$15,
IF(AND($E567="Street Tree for Green Factor",$F567="Retain",$H567&lt;&gt;"",$H567&lt;&gt;"Zoning: Green Factor"),
Error!$B$15,
IF(AND($E567="ECA / Shoreline Tree",$F567="Remove",$H567&lt;&gt;"",ISNA(MATCH($H567,Tables!$B$189:$B$190,0))),
Error!$B$15,
IF(AND($E567="ECA / Shoreline Tree",$F567="Retain",$H567&lt;&gt;"",ISNA(MATCH($H567,Tables!$B$184:$B$186,0))),
Error!$B$15,
IF(AND($E567="Tier 4",$F567="Remove",$H567&lt;&gt;"",ISNA(MATCH($H567,Tables!$B$171,0))),
Error!$B$15,
IF(AND($E567="Tier 4",$F567="Retain",$H567&lt;&gt;"",ISNA(MATCH($H567,Tables!$B$166:$B$168,0))),
Error!$B$15,
IF(AND($E567="Tier 3",$F567="Retain",$H567&lt;&gt;"",ISNA(MATCH($H567,Tables!$B$158:$B$160,0))),
Error!$B$15,
IF(AND($E567="Tier 3",$F567="Remove",$H567&lt;&gt;"",ISNA(MATCH($H567,Tables!$B$163,0))),
Error!$B$15,
IF(AND(OR($E567="Tier 2",$E567="Tier 2 Grove"),$F567="Remove",$H567&lt;&gt;"",ISNA(MATCH($H567,Tables!$B$153:$B$155,0))),
Error!$B$15,
IF(AND(OR($E567="Tier 2",$E567="Tier 2 Grove"),$F567="Retain",$H567&lt;&gt;"",ISNA(MATCH($H567,Tables!$B$147:$B$150,0))),
Error!$B$15,
IF(AND($E567="Tier 1",$F567="Remove",$H567&lt;&gt;"",ISNA(MATCH($H567,Tables!$B$143:$B$144,0))),
Error!$B$15,
IF(AND($E567="Tier 1",$F567="Retain",$H567&lt;&gt;"",ISNA(MATCH($H567,Tables!$B$137:$B$140,0))),
Error!$B$15,
IF(AND($E567&lt;&gt;"Tier 2",$E567&lt;&gt;"Tier 2 Grove",$E567&lt;&gt;"Tier 3",$E567&lt;&gt;"Tier 4",$H567="Zoning: Green Factor",OR($D567="",$D567&lt;6)),
Error!$B$11,
IF(AND(_xlpm.baseRow,$D567&lt;6,$E567="&lt;6in DSH for Tree Points",_xlpm.TreePoints_H=0),
Error!$B$21,
IF(AND(_xlpm.baseRow,$E567&lt;&gt;"",$D567&lt;&gt;"",$F567=""),
Error!$B$4,
IF(AND(_xlpm.baseRow,$F567="Remove",OR($E567="Tier 1",$E567="Tier 2",$E567="Tier 2 Grove"),COUNTBLANK(_xlpm.HRange)&lt;3,_xlpm.uniqueH&gt;=2),
Error!$B$48,
IF(AND(_xlpm.baseRow,$F567="Retain",OR($E567="Tier 1",$E567="Tier 2",$E567="Tier 2 Grove"),COUNTIF(_xlpm.HRange,"Tree Code: Required to Retain Tier 1-2 Tree")=0),
Error!$B$47,
IF(AND(_xlpm.baseRow,$E567&lt;&gt;"",$D567&lt;&gt;"",$F567&lt;&gt;"",COUNTBLANK(_xlpm.HRange)=4),
Error!$B$5,
IF(AND($F567="Remove",$H567&lt;&gt;"",$I567=""),
Error!$B$18,
IF(AND($E567="Tier 4",$F567="Remove",$H567="Tree Protection Code: Tier 3 or Tier 4 Allowance",$H567&lt;&gt;"",ISNA(MATCH($I567,Tables!$B$200,0))),
Error!$B$17,
IF(AND($E567="Tier 3",$F567="Remove",$H567&lt;&gt;"",$H567="Tree Protection Code: Tier 3 or Tier 4 Allowance",OR($I567="",ISNA(MATCH($I567,Tables!$B$193:$B$197,0)))),
Error!$B$17,
IF(AND(OR($E567="Tier 2",$E567="Tier 2 Grove"),$F567="Remove",$H567="Tree Protection Code: Other removal allowance or exemption",$I567&lt;&gt;"",ISNA(MATCH($I567,Tables!$B$215:$B$218,0))),
Error!$B$17,
IF(AND(OR($E567="Tier 2",$E567="Tier 2 Grove"),$F567="Remove",$H567="Tree Protection Code: Development Capacity",$I567&lt;&gt;"",ISNA(MATCH($I567,Tables!$B$193:$B$197,0))),
Error!$B$17,
IF(AND(OR($E567="Tier 2",$E567="Tier 2 Grove"),$F567="Remove",$H567="Tree Protection Code: Necessary for Construction",$I567&lt;&gt;"",ISNA(MATCH($I567,Tables!$B$193:$B$197,0))),
Error!$B$17,
IF(AND($E567="Tier 1",$F567="Remove",$H567="Tree Protection Code: Special Exception",$I567&lt;&gt;"",ISNA(MATCH($I567,Tables!$B$215:$B$218,0))),
Error!$B$17,
IF(AND($E567="Tier 1",$F567="Remove",$H567="Tree Protection Code: Other removal allowance or exemption",$I567&lt;&gt;"",ISNA(MATCH($I567,Tables!$B$215:$B$218,0))),
Error!$B$17,
IF(AND($E567="ECA / Shoreline Tree",$F567="Remove",$H567&lt;&gt;"",OR($H567="Shoreline",$H567="Environmental Critical Area (ECA)"),ISNA(MATCH($I567,Tables!$B$209:$B$212,0))),
Error!$B$17,
IF(AND(_xlpm.baseRow,$F567="Retain",$E567="ECA / Shoreline Tree",_xlpm.ECA_Short=0),
Error!$B$61,
IF(AND($F567="Remove",ISNUMBER(MATCH($E567,{"Tier 1","Tier 2","Tier 3","Tier 4","Tier 2 Grove"},0)),ISNUMBER(MATCH($I567,{"On-site replacement","Off-site replacement"},0)),$J567="",$H567&lt;&gt;""),
Error!$B$19,
IF(AND(_xlpm.baseRow,$E567&lt;&gt;"",$D567&lt;&gt;"",$F567&lt;&gt;"",COUNTBLANK($B567:$C567)&gt;0,COUNTBLANK(_xlpm.HRange)&lt;&gt;4),
Error!$B$22,
IF(AND($H567="Zoning: Tree Points",$K567&lt;&gt;"",ISNA(MATCH($K567,Tables!$B$242:$B$253,0))),
Error!$B$58,
IF(AND($H567="Zoning: Tree Points",$K567="Small",$L567&lt;&gt;"",ISNA(MATCH($L567,Tables!$C$243:$C$244,0))),
Error!$B$59,
IF(AND($H567="Zoning: Tree Points",$K567="Small/Medium",$L567&lt;&gt;"",ISNA(MATCH($L567,Tables!$C$246:$C$247,0))),
Error!$B$59,
IF(AND($H567="Zoning: Tree Points",$K567="Medium/Large",$L567&lt;&gt;"",ISNA(MATCH($L567,Tables!$C$249:$C$250,0))),
Error!$B$59,
IF(AND($H567="Zoning: Tree Points",$K567="Large",$L567&lt;&gt;"",ISNA(MATCH($L567,Tables!$C$252:$C$253,0))),
Error!$B$59,
IF(AND($F567="Retain",$H567="Zoning: Tree Points",$C567&lt;&gt;"",$D567&lt;&gt;"",OR($K567="",$L567="",$M567="")),
Error!$B$20,
""
)))))))))))))))))))))))))))))))))))))))))))))))))))))))),
Error!$B$23))</f>
        <v/>
      </c>
      <c r="O567" s="343" t="str" cm="1">
        <f t="array" aca="1" ref="O567" ca="1">IFERROR(_xlfn.LET(
    _xlpm.txt, $C567,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68" spans="1:15" x14ac:dyDescent="0.3">
      <c r="A568" s="320"/>
      <c r="B568" s="616" t="str">
        <f t="shared" ref="B568:B570" si="660">IF($B567="", "", $B567)</f>
        <v/>
      </c>
      <c r="C568" s="617" t="str">
        <f t="shared" ref="C568:C570" si="661">IF($C567="", "", $C567)</f>
        <v/>
      </c>
      <c r="D568" s="618" t="str">
        <f t="shared" ref="D568:D570" si="662">IF($D567="", "", $D567)</f>
        <v/>
      </c>
      <c r="E568" s="616" t="str">
        <f t="shared" ref="E568:E570" si="663">IF($E567="", "", $E567)</f>
        <v/>
      </c>
      <c r="F568" s="616" t="str">
        <f t="shared" ref="F568:F570" si="664">IF($F567="", "", $F567)</f>
        <v/>
      </c>
      <c r="G568" s="619" t="str">
        <f>IF(Tree_Table1[[#This Row],[Tree Status  &amp;]]="Retain", Tables!$B$237, IF(Tree_Table1[[#This Row],[Tree Status  &amp;]]="Remove", Tables!$B$238, ""))</f>
        <v/>
      </c>
      <c r="H568" s="321"/>
      <c r="I568" s="322"/>
      <c r="J568" s="453"/>
      <c r="K568" s="323" t="str">
        <f>IFERROR(
    IF(
        AND($H568="Zoning: Tree Points", NOT(ISNUMBER(SEARCH("sp.", $C568)))),
        VLOOKUP($C568, 'Tree List'!$C$3:$F$601, 4, FALSE),
        ""
    ),
"")</f>
        <v/>
      </c>
      <c r="L568" s="324" t="str" cm="1">
        <f t="array" ref="L568">IFERROR(
IF(
    AND($H568="Zoning: Tree Points", NOT(ISNUMBER(SEARCH("sp.", $C568)))),
    _xlfn.IFS(
        (COUNTIFS('Tree List'!$C$3:$C$601,$C568,'Tree List'!$D$3:$D$601,"Coniferous")
        + COUNTIFS('Tree List'!$C$3:$C$601,$C568,'Tree List'!$D$3:$D$601,"Deciduous Conifer")) &gt; 0,
            _xlfn.IFS($K568="Small",0.5,$K568="Small/Medium",1,$K568="Medium/Large",1.4,$K568="Large",1.8),
        (COUNTIFS('Tree List'!$C$3:$C$601,$C568,'Tree List'!$D$3:$D$601,"Deciduous")
        + COUNTIFS('Tree List'!$C$3:$C$601,$C568,'Tree List'!$D$3:$D$601,"Broadleaf Evergreen")) &gt; 0,
            _xlfn.IFS($K568="Small",0.4,$K568="Small/Medium",0.8,$K568="Medium/Large",1.2,$K568="Large",1.6)
    ),
    ""
),
"")</f>
        <v/>
      </c>
      <c r="M568" s="475" t="str">
        <f t="shared" si="654"/>
        <v/>
      </c>
      <c r="N568" s="346" t="str" cm="1">
        <f t="array" aca="1" ref="N56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IF(AND(_xlpm.baseRow,ISNA(MATCH($C568,'Tree List'!$C$3:$C$601,0)),SUMPRODUCT(--ISNUMBER(SEARCH(Tables2!$C$677:$C$772,$O568)))&gt;0),
Error!$B$57,
IF(AND(_xlpm.hasDM,$F568="Remove",$H568&lt;&gt;"",OR($I568="On-site replacement",$I568="Off-site replacement",$I568="Payment In Lieu")),
Error!$B$56,
IF(AND(_xlpm.hasDM,$F568="Remove",$H568&lt;&gt;"",$I568="Relocation"),
Error!$B$66,
IF(AND(OR(_xlpm.hasCN,_xlpm.hasPH,_xlpm.hasGR),$H568&lt;&gt;"",COUNTIF(Tables!$B$132:$B$134,$H568)&gt;0,$I568="N/A (No replacement required)"),
Error!$B$62,
IF(AND(_xlpm.baseRow,$E568&lt;&gt;"",ISNA(MATCH($E568,Tables!$B$225:$B$232,0))),
Error!$B$2,
IF(AND(_xlpm.baseRow,$F568&lt;&gt;"",ISNA(MATCH($F568,Tables!$B$234:$B$235,0))),
Error!$B$24,
IF(AND(_xlpm.baseRow,_xlpm.ECA_H&gt;0,_xlpm.Shore_H&gt;0),
Error!$B$16,
IF(AND(_xlpm.baseRow,$E568&lt;&gt;"",$D568=""),
Error!$B$3,
IF(AND(_xlpm.baseRow,OR($E568="Tier 3",$E568="Tier 4"),$C568&lt;&gt;"",$D568&gt;=24,COUNTIF(Tables2!$B$166:$B$674,$C568)&gt;0),
Error!$B$44,
IF(AND(_xlpm.baseRow,OR($E568="Tier 3",$E568="Tier 4"),$C568&lt;&gt;"",$D568&lt;&gt;"",COUNTIF(Tables2!$B$73:$B$152,$C568)&gt;0,
$D568&gt;=IFERROR(INDEX(Tables2!$C$73:$C$152,MATCH($C568,Tables2!$B$73:$B$152,0)),-1)),
Error!$B$44,
IF(AND(_xlpm.baseRow,OR($E568="Tier 2",$E568="Tier 2 Grove"),$C568&lt;&gt;"",$D568&gt;=12,COUNTIF(Tables2!$B$153:$B$162,$C568)&gt;0),
Error!$B$45,
IF(AND(_xlpm.baseRow,$E568="Tier 2 Grove",$D568&lt;12),
Error!$B$41,
IF(AND(_xlpm.baseRow,$E568="Tier 2",$D568&lt;5.88),
Error!$B$40,
IF(AND(_xlpm.baseRow,OR($E568="Tier 2",$E568="Tier 2 Grove"),$C568&lt;&gt;"",$D568&lt;12,$D568&gt;=6,COUNTIF(Tables2!$B$153:$B$162,$C568)&gt;0),
Error!$B$54,
IF(AND(_xlpm.baseRow,$E568="Tier 2",COUNTIF(Tables2!$B$166:$B$674,$C568)&gt;0,$D568&lt;24),
Error!$B$54,
IF(AND(_xlpm.baseRow,$E568="Tier 3",ISNA(MATCH($C568,Tables2!$B$153:$B$162,0)),OR($D568&lt;12,$D568&gt;=24)),
Error!$B$9,
IF(AND(_xlpm.baseRow,$E568="Tier 3",COUNTIF(Tables2!$B$153:$B$162,$C568)&gt;0,$D568&lt;12),
Error!$B$46,
IF(AND(_xlpm.baseRow,$E568="Tier 4",OR($D568&lt;6,$D568&gt;=12)),
Error!$B$10,
IF(AND(_xlpm.baseRow,$E568="&lt;6in DSH for Tree Points",OR($D568&gt;=6,$D568="")),
Error!$B$8,
IF(AND(_xlpm.baseRow,$E568="Street Tree for Green Factor",$F568&lt;&gt;"",$F568&lt;&gt;"Retain"),
Error!$B$14,
IF(AND($E568="&lt;6in DSH for Tree Points",$F568="Retain",$H568&lt;&gt;"",ISNA(MATCH($H568,Tables!$B$174:$B$174,0))),
Error!$B$15,
IF(AND($E568="Street Tree for Green Factor",$F568="Retain",$H568&lt;&gt;"",$H568&lt;&gt;"Zoning: Green Factor"),
Error!$B$15,
IF(AND($E568="ECA / Shoreline Tree",$F568="Remove",$H568&lt;&gt;"",ISNA(MATCH($H568,Tables!$B$189:$B$190,0))),
Error!$B$15,
IF(AND($E568="ECA / Shoreline Tree",$F568="Retain",$H568&lt;&gt;"",ISNA(MATCH($H568,Tables!$B$184:$B$186,0))),
Error!$B$15,
IF(AND($E568="Tier 4",$F568="Remove",$H568&lt;&gt;"",ISNA(MATCH($H568,Tables!$B$171,0))),
Error!$B$15,
IF(AND($E568="Tier 4",$F568="Retain",$H568&lt;&gt;"",ISNA(MATCH($H568,Tables!$B$166:$B$168,0))),
Error!$B$15,
IF(AND($E568="Tier 3",$F568="Retain",$H568&lt;&gt;"",ISNA(MATCH($H568,Tables!$B$158:$B$160,0))),
Error!$B$15,
IF(AND($E568="Tier 3",$F568="Remove",$H568&lt;&gt;"",ISNA(MATCH($H568,Tables!$B$163,0))),
Error!$B$15,
IF(AND(OR($E568="Tier 2",$E568="Tier 2 Grove"),$F568="Remove",$H568&lt;&gt;"",ISNA(MATCH($H568,Tables!$B$153:$B$155,0))),
Error!$B$15,
IF(AND(OR($E568="Tier 2",$E568="Tier 2 Grove"),$F568="Retain",$H568&lt;&gt;"",ISNA(MATCH($H568,Tables!$B$147:$B$150,0))),
Error!$B$15,
IF(AND($E568="Tier 1",$F568="Remove",$H568&lt;&gt;"",ISNA(MATCH($H568,Tables!$B$143:$B$144,0))),
Error!$B$15,
IF(AND($E568="Tier 1",$F568="Retain",$H568&lt;&gt;"",ISNA(MATCH($H568,Tables!$B$137:$B$140,0))),
Error!$B$15,
IF(AND($E568&lt;&gt;"Tier 2",$E568&lt;&gt;"Tier 2 Grove",$E568&lt;&gt;"Tier 3",$E568&lt;&gt;"Tier 4",$H568="Zoning: Green Factor",OR($D568="",$D568&lt;6)),
Error!$B$11,
IF(AND(_xlpm.baseRow,$D568&lt;6,$E568="&lt;6in DSH for Tree Points",_xlpm.TreePoints_H=0),
Error!$B$21,
IF(AND(_xlpm.baseRow,$E568&lt;&gt;"",$D568&lt;&gt;"",$F568=""),
Error!$B$4,
IF(AND(_xlpm.baseRow,$F568="Remove",OR($E568="Tier 1",$E568="Tier 2",$E568="Tier 2 Grove"),COUNTBLANK(_xlpm.HRange)&lt;3,_xlpm.uniqueH&gt;=2),
Error!$B$48,
IF(AND(_xlpm.baseRow,$F568="Retain",OR($E568="Tier 1",$E568="Tier 2",$E568="Tier 2 Grove"),COUNTIF(_xlpm.HRange,"Tree Code: Required to Retain Tier 1-2 Tree")=0),
Error!$B$47,
IF(AND(_xlpm.baseRow,$E568&lt;&gt;"",$D568&lt;&gt;"",$F568&lt;&gt;"",COUNTBLANK(_xlpm.HRange)=4),
Error!$B$5,
IF(AND($F568="Remove",$H568&lt;&gt;"",$I568=""),
Error!$B$18,
IF(AND($E568="Tier 4",$F568="Remove",$H568="Tree Protection Code: Tier 3 or Tier 4 Allowance",$H568&lt;&gt;"",ISNA(MATCH($I568,Tables!$B$200,0))),
Error!$B$17,
IF(AND($E568="Tier 3",$F568="Remove",$H568&lt;&gt;"",$H568="Tree Protection Code: Tier 3 or Tier 4 Allowance",OR($I568="",ISNA(MATCH($I568,Tables!$B$193:$B$197,0)))),
Error!$B$17,
IF(AND(OR($E568="Tier 2",$E568="Tier 2 Grove"),$F568="Remove",$H568="Tree Protection Code: Other removal allowance or exemption",$I568&lt;&gt;"",ISNA(MATCH($I568,Tables!$B$215:$B$218,0))),
Error!$B$17,
IF(AND(OR($E568="Tier 2",$E568="Tier 2 Grove"),$F568="Remove",$H568="Tree Protection Code: Development Capacity",$I568&lt;&gt;"",ISNA(MATCH($I568,Tables!$B$193:$B$197,0))),
Error!$B$17,
IF(AND(OR($E568="Tier 2",$E568="Tier 2 Grove"),$F568="Remove",$H568="Tree Protection Code: Necessary for Construction",$I568&lt;&gt;"",ISNA(MATCH($I568,Tables!$B$193:$B$197,0))),
Error!$B$17,
IF(AND($E568="Tier 1",$F568="Remove",$H568="Tree Protection Code: Special Exception",$I568&lt;&gt;"",ISNA(MATCH($I568,Tables!$B$215:$B$218,0))),
Error!$B$17,
IF(AND($E568="Tier 1",$F568="Remove",$H568="Tree Protection Code: Other removal allowance or exemption",$I568&lt;&gt;"",ISNA(MATCH($I568,Tables!$B$215:$B$218,0))),
Error!$B$17,
IF(AND($E568="ECA / Shoreline Tree",$F568="Remove",$H568&lt;&gt;"",OR($H568="Shoreline",$H568="Environmental Critical Area (ECA)"),ISNA(MATCH($I568,Tables!$B$209:$B$212,0))),
Error!$B$17,
IF(AND(_xlpm.baseRow,$F568="Retain",$E568="ECA / Shoreline Tree",_xlpm.ECA_Short=0),
Error!$B$61,
IF(AND($F568="Remove",ISNUMBER(MATCH($E568,{"Tier 1","Tier 2","Tier 3","Tier 4","Tier 2 Grove"},0)),ISNUMBER(MATCH($I568,{"On-site replacement","Off-site replacement"},0)),$J568="",$H568&lt;&gt;""),
Error!$B$19,
IF(AND(_xlpm.baseRow,$E568&lt;&gt;"",$D568&lt;&gt;"",$F568&lt;&gt;"",COUNTBLANK($B568:$C568)&gt;0,COUNTBLANK(_xlpm.HRange)&lt;&gt;4),
Error!$B$22,
IF(AND($H568="Zoning: Tree Points",$K568&lt;&gt;"",ISNA(MATCH($K568,Tables!$B$242:$B$253,0))),
Error!$B$58,
IF(AND($H568="Zoning: Tree Points",$K568="Small",$L568&lt;&gt;"",ISNA(MATCH($L568,Tables!$C$243:$C$244,0))),
Error!$B$59,
IF(AND($H568="Zoning: Tree Points",$K568="Small/Medium",$L568&lt;&gt;"",ISNA(MATCH($L568,Tables!$C$246:$C$247,0))),
Error!$B$59,
IF(AND($H568="Zoning: Tree Points",$K568="Medium/Large",$L568&lt;&gt;"",ISNA(MATCH($L568,Tables!$C$249:$C$250,0))),
Error!$B$59,
IF(AND($H568="Zoning: Tree Points",$K568="Large",$L568&lt;&gt;"",ISNA(MATCH($L568,Tables!$C$252:$C$253,0))),
Error!$B$59,
IF(AND($F568="Retain",$H568="Zoning: Tree Points",$C568&lt;&gt;"",$D568&lt;&gt;"",OR($K568="",$L568="",$M568="")),
Error!$B$20,
""
)))))))))))))))))))))))))))))))))))))))))))))))))))))))),
Error!$B$23))</f>
        <v/>
      </c>
      <c r="O568" s="343" t="str" cm="1">
        <f t="array" aca="1" ref="O568" ca="1">IFERROR(_xlfn.LET(
    _xlpm.txt, $C568,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69" spans="1:15" x14ac:dyDescent="0.3">
      <c r="A569" s="320"/>
      <c r="B569" s="616" t="str">
        <f t="shared" si="660"/>
        <v/>
      </c>
      <c r="C569" s="617" t="str">
        <f t="shared" si="661"/>
        <v/>
      </c>
      <c r="D569" s="618" t="str">
        <f t="shared" si="662"/>
        <v/>
      </c>
      <c r="E569" s="616" t="str">
        <f t="shared" si="663"/>
        <v/>
      </c>
      <c r="F569" s="616" t="str">
        <f t="shared" si="664"/>
        <v/>
      </c>
      <c r="G569" s="619" t="str">
        <f>IF(Tree_Table1[[#This Row],[Tree Status  &amp;]]="Retain", Tables!$B$237, IF(Tree_Table1[[#This Row],[Tree Status  &amp;]]="Remove", Tables!$B$238, ""))</f>
        <v/>
      </c>
      <c r="H569" s="321"/>
      <c r="I569" s="322"/>
      <c r="J569" s="453"/>
      <c r="K569" s="323" t="str">
        <f>IFERROR(
    IF(
        AND($H569="Zoning: Tree Points", NOT(ISNUMBER(SEARCH("sp.", $C569)))),
        VLOOKUP($C569, 'Tree List'!$C$3:$F$601, 4, FALSE),
        ""
    ),
"")</f>
        <v/>
      </c>
      <c r="L569" s="324" t="str" cm="1">
        <f t="array" ref="L569">IFERROR(
IF(
    AND($H569="Zoning: Tree Points", NOT(ISNUMBER(SEARCH("sp.", $C569)))),
    _xlfn.IFS(
        (COUNTIFS('Tree List'!$C$3:$C$601,$C569,'Tree List'!$D$3:$D$601,"Coniferous")
        + COUNTIFS('Tree List'!$C$3:$C$601,$C569,'Tree List'!$D$3:$D$601,"Deciduous Conifer")) &gt; 0,
            _xlfn.IFS($K569="Small",0.5,$K569="Small/Medium",1,$K569="Medium/Large",1.4,$K569="Large",1.8),
        (COUNTIFS('Tree List'!$C$3:$C$601,$C569,'Tree List'!$D$3:$D$601,"Deciduous")
        + COUNTIFS('Tree List'!$C$3:$C$601,$C569,'Tree List'!$D$3:$D$601,"Broadleaf Evergreen")) &gt; 0,
            _xlfn.IFS($K569="Small",0.4,$K569="Small/Medium",0.8,$K569="Medium/Large",1.2,$K569="Large",1.6)
    ),
    ""
),
"")</f>
        <v/>
      </c>
      <c r="M569" s="475" t="str">
        <f t="shared" si="654"/>
        <v/>
      </c>
      <c r="N569" s="346" t="str" cm="1">
        <f t="array" aca="1" ref="N56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IF(AND(_xlpm.baseRow,ISNA(MATCH($C569,'Tree List'!$C$3:$C$601,0)),SUMPRODUCT(--ISNUMBER(SEARCH(Tables2!$C$677:$C$772,$O569)))&gt;0),
Error!$B$57,
IF(AND(_xlpm.hasDM,$F569="Remove",$H569&lt;&gt;"",OR($I569="On-site replacement",$I569="Off-site replacement",$I569="Payment In Lieu")),
Error!$B$56,
IF(AND(_xlpm.hasDM,$F569="Remove",$H569&lt;&gt;"",$I569="Relocation"),
Error!$B$66,
IF(AND(OR(_xlpm.hasCN,_xlpm.hasPH,_xlpm.hasGR),$H569&lt;&gt;"",COUNTIF(Tables!$B$132:$B$134,$H569)&gt;0,$I569="N/A (No replacement required)"),
Error!$B$62,
IF(AND(_xlpm.baseRow,$E569&lt;&gt;"",ISNA(MATCH($E569,Tables!$B$225:$B$232,0))),
Error!$B$2,
IF(AND(_xlpm.baseRow,$F569&lt;&gt;"",ISNA(MATCH($F569,Tables!$B$234:$B$235,0))),
Error!$B$24,
IF(AND(_xlpm.baseRow,_xlpm.ECA_H&gt;0,_xlpm.Shore_H&gt;0),
Error!$B$16,
IF(AND(_xlpm.baseRow,$E569&lt;&gt;"",$D569=""),
Error!$B$3,
IF(AND(_xlpm.baseRow,OR($E569="Tier 3",$E569="Tier 4"),$C569&lt;&gt;"",$D569&gt;=24,COUNTIF(Tables2!$B$166:$B$674,$C569)&gt;0),
Error!$B$44,
IF(AND(_xlpm.baseRow,OR($E569="Tier 3",$E569="Tier 4"),$C569&lt;&gt;"",$D569&lt;&gt;"",COUNTIF(Tables2!$B$73:$B$152,$C569)&gt;0,
$D569&gt;=IFERROR(INDEX(Tables2!$C$73:$C$152,MATCH($C569,Tables2!$B$73:$B$152,0)),-1)),
Error!$B$44,
IF(AND(_xlpm.baseRow,OR($E569="Tier 2",$E569="Tier 2 Grove"),$C569&lt;&gt;"",$D569&gt;=12,COUNTIF(Tables2!$B$153:$B$162,$C569)&gt;0),
Error!$B$45,
IF(AND(_xlpm.baseRow,$E569="Tier 2 Grove",$D569&lt;12),
Error!$B$41,
IF(AND(_xlpm.baseRow,$E569="Tier 2",$D569&lt;5.88),
Error!$B$40,
IF(AND(_xlpm.baseRow,OR($E569="Tier 2",$E569="Tier 2 Grove"),$C569&lt;&gt;"",$D569&lt;12,$D569&gt;=6,COUNTIF(Tables2!$B$153:$B$162,$C569)&gt;0),
Error!$B$54,
IF(AND(_xlpm.baseRow,$E569="Tier 2",COUNTIF(Tables2!$B$166:$B$674,$C569)&gt;0,$D569&lt;24),
Error!$B$54,
IF(AND(_xlpm.baseRow,$E569="Tier 3",ISNA(MATCH($C569,Tables2!$B$153:$B$162,0)),OR($D569&lt;12,$D569&gt;=24)),
Error!$B$9,
IF(AND(_xlpm.baseRow,$E569="Tier 3",COUNTIF(Tables2!$B$153:$B$162,$C569)&gt;0,$D569&lt;12),
Error!$B$46,
IF(AND(_xlpm.baseRow,$E569="Tier 4",OR($D569&lt;6,$D569&gt;=12)),
Error!$B$10,
IF(AND(_xlpm.baseRow,$E569="&lt;6in DSH for Tree Points",OR($D569&gt;=6,$D569="")),
Error!$B$8,
IF(AND(_xlpm.baseRow,$E569="Street Tree for Green Factor",$F569&lt;&gt;"",$F569&lt;&gt;"Retain"),
Error!$B$14,
IF(AND($E569="&lt;6in DSH for Tree Points",$F569="Retain",$H569&lt;&gt;"",ISNA(MATCH($H569,Tables!$B$174:$B$174,0))),
Error!$B$15,
IF(AND($E569="Street Tree for Green Factor",$F569="Retain",$H569&lt;&gt;"",$H569&lt;&gt;"Zoning: Green Factor"),
Error!$B$15,
IF(AND($E569="ECA / Shoreline Tree",$F569="Remove",$H569&lt;&gt;"",ISNA(MATCH($H569,Tables!$B$189:$B$190,0))),
Error!$B$15,
IF(AND($E569="ECA / Shoreline Tree",$F569="Retain",$H569&lt;&gt;"",ISNA(MATCH($H569,Tables!$B$184:$B$186,0))),
Error!$B$15,
IF(AND($E569="Tier 4",$F569="Remove",$H569&lt;&gt;"",ISNA(MATCH($H569,Tables!$B$171,0))),
Error!$B$15,
IF(AND($E569="Tier 4",$F569="Retain",$H569&lt;&gt;"",ISNA(MATCH($H569,Tables!$B$166:$B$168,0))),
Error!$B$15,
IF(AND($E569="Tier 3",$F569="Retain",$H569&lt;&gt;"",ISNA(MATCH($H569,Tables!$B$158:$B$160,0))),
Error!$B$15,
IF(AND($E569="Tier 3",$F569="Remove",$H569&lt;&gt;"",ISNA(MATCH($H569,Tables!$B$163,0))),
Error!$B$15,
IF(AND(OR($E569="Tier 2",$E569="Tier 2 Grove"),$F569="Remove",$H569&lt;&gt;"",ISNA(MATCH($H569,Tables!$B$153:$B$155,0))),
Error!$B$15,
IF(AND(OR($E569="Tier 2",$E569="Tier 2 Grove"),$F569="Retain",$H569&lt;&gt;"",ISNA(MATCH($H569,Tables!$B$147:$B$150,0))),
Error!$B$15,
IF(AND($E569="Tier 1",$F569="Remove",$H569&lt;&gt;"",ISNA(MATCH($H569,Tables!$B$143:$B$144,0))),
Error!$B$15,
IF(AND($E569="Tier 1",$F569="Retain",$H569&lt;&gt;"",ISNA(MATCH($H569,Tables!$B$137:$B$140,0))),
Error!$B$15,
IF(AND($E569&lt;&gt;"Tier 2",$E569&lt;&gt;"Tier 2 Grove",$E569&lt;&gt;"Tier 3",$E569&lt;&gt;"Tier 4",$H569="Zoning: Green Factor",OR($D569="",$D569&lt;6)),
Error!$B$11,
IF(AND(_xlpm.baseRow,$D569&lt;6,$E569="&lt;6in DSH for Tree Points",_xlpm.TreePoints_H=0),
Error!$B$21,
IF(AND(_xlpm.baseRow,$E569&lt;&gt;"",$D569&lt;&gt;"",$F569=""),
Error!$B$4,
IF(AND(_xlpm.baseRow,$F569="Remove",OR($E569="Tier 1",$E569="Tier 2",$E569="Tier 2 Grove"),COUNTBLANK(_xlpm.HRange)&lt;3,_xlpm.uniqueH&gt;=2),
Error!$B$48,
IF(AND(_xlpm.baseRow,$F569="Retain",OR($E569="Tier 1",$E569="Tier 2",$E569="Tier 2 Grove"),COUNTIF(_xlpm.HRange,"Tree Code: Required to Retain Tier 1-2 Tree")=0),
Error!$B$47,
IF(AND(_xlpm.baseRow,$E569&lt;&gt;"",$D569&lt;&gt;"",$F569&lt;&gt;"",COUNTBLANK(_xlpm.HRange)=4),
Error!$B$5,
IF(AND($F569="Remove",$H569&lt;&gt;"",$I569=""),
Error!$B$18,
IF(AND($E569="Tier 4",$F569="Remove",$H569="Tree Protection Code: Tier 3 or Tier 4 Allowance",$H569&lt;&gt;"",ISNA(MATCH($I569,Tables!$B$200,0))),
Error!$B$17,
IF(AND($E569="Tier 3",$F569="Remove",$H569&lt;&gt;"",$H569="Tree Protection Code: Tier 3 or Tier 4 Allowance",OR($I569="",ISNA(MATCH($I569,Tables!$B$193:$B$197,0)))),
Error!$B$17,
IF(AND(OR($E569="Tier 2",$E569="Tier 2 Grove"),$F569="Remove",$H569="Tree Protection Code: Other removal allowance or exemption",$I569&lt;&gt;"",ISNA(MATCH($I569,Tables!$B$215:$B$218,0))),
Error!$B$17,
IF(AND(OR($E569="Tier 2",$E569="Tier 2 Grove"),$F569="Remove",$H569="Tree Protection Code: Development Capacity",$I569&lt;&gt;"",ISNA(MATCH($I569,Tables!$B$193:$B$197,0))),
Error!$B$17,
IF(AND(OR($E569="Tier 2",$E569="Tier 2 Grove"),$F569="Remove",$H569="Tree Protection Code: Necessary for Construction",$I569&lt;&gt;"",ISNA(MATCH($I569,Tables!$B$193:$B$197,0))),
Error!$B$17,
IF(AND($E569="Tier 1",$F569="Remove",$H569="Tree Protection Code: Special Exception",$I569&lt;&gt;"",ISNA(MATCH($I569,Tables!$B$215:$B$218,0))),
Error!$B$17,
IF(AND($E569="Tier 1",$F569="Remove",$H569="Tree Protection Code: Other removal allowance or exemption",$I569&lt;&gt;"",ISNA(MATCH($I569,Tables!$B$215:$B$218,0))),
Error!$B$17,
IF(AND($E569="ECA / Shoreline Tree",$F569="Remove",$H569&lt;&gt;"",OR($H569="Shoreline",$H569="Environmental Critical Area (ECA)"),ISNA(MATCH($I569,Tables!$B$209:$B$212,0))),
Error!$B$17,
IF(AND(_xlpm.baseRow,$F569="Retain",$E569="ECA / Shoreline Tree",_xlpm.ECA_Short=0),
Error!$B$61,
IF(AND($F569="Remove",ISNUMBER(MATCH($E569,{"Tier 1","Tier 2","Tier 3","Tier 4","Tier 2 Grove"},0)),ISNUMBER(MATCH($I569,{"On-site replacement","Off-site replacement"},0)),$J569="",$H569&lt;&gt;""),
Error!$B$19,
IF(AND(_xlpm.baseRow,$E569&lt;&gt;"",$D569&lt;&gt;"",$F569&lt;&gt;"",COUNTBLANK($B569:$C569)&gt;0,COUNTBLANK(_xlpm.HRange)&lt;&gt;4),
Error!$B$22,
IF(AND($H569="Zoning: Tree Points",$K569&lt;&gt;"",ISNA(MATCH($K569,Tables!$B$242:$B$253,0))),
Error!$B$58,
IF(AND($H569="Zoning: Tree Points",$K569="Small",$L569&lt;&gt;"",ISNA(MATCH($L569,Tables!$C$243:$C$244,0))),
Error!$B$59,
IF(AND($H569="Zoning: Tree Points",$K569="Small/Medium",$L569&lt;&gt;"",ISNA(MATCH($L569,Tables!$C$246:$C$247,0))),
Error!$B$59,
IF(AND($H569="Zoning: Tree Points",$K569="Medium/Large",$L569&lt;&gt;"",ISNA(MATCH($L569,Tables!$C$249:$C$250,0))),
Error!$B$59,
IF(AND($H569="Zoning: Tree Points",$K569="Large",$L569&lt;&gt;"",ISNA(MATCH($L569,Tables!$C$252:$C$253,0))),
Error!$B$59,
IF(AND($F569="Retain",$H569="Zoning: Tree Points",$C569&lt;&gt;"",$D569&lt;&gt;"",OR($K569="",$L569="",$M569="")),
Error!$B$20,
""
)))))))))))))))))))))))))))))))))))))))))))))))))))))))),
Error!$B$23))</f>
        <v/>
      </c>
      <c r="O569" s="343" t="str" cm="1">
        <f t="array" aca="1" ref="O569" ca="1">IFERROR(_xlfn.LET(
    _xlpm.txt, $C569,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70" spans="1:15" ht="15" thickBot="1" x14ac:dyDescent="0.35">
      <c r="A570" s="331"/>
      <c r="B570" s="616" t="str">
        <f t="shared" si="660"/>
        <v/>
      </c>
      <c r="C570" s="617" t="str">
        <f t="shared" si="661"/>
        <v/>
      </c>
      <c r="D570" s="618" t="str">
        <f t="shared" si="662"/>
        <v/>
      </c>
      <c r="E570" s="616" t="str">
        <f t="shared" si="663"/>
        <v/>
      </c>
      <c r="F570" s="616" t="str">
        <f t="shared" si="664"/>
        <v/>
      </c>
      <c r="G570" s="619" t="str">
        <f>IF(Tree_Table1[[#This Row],[Tree Status  &amp;]]="Retain", Tables!$B$237, IF(Tree_Table1[[#This Row],[Tree Status  &amp;]]="Remove", Tables!$B$238, ""))</f>
        <v/>
      </c>
      <c r="H570" s="329"/>
      <c r="I570" s="330"/>
      <c r="J570" s="455"/>
      <c r="K570" s="327" t="str">
        <f>IFERROR(
    IF(
        AND($H570="Zoning: Tree Points", NOT(ISNUMBER(SEARCH("sp.", $C570)))),
        VLOOKUP($C570, 'Tree List'!$C$3:$F$601, 4, FALSE),
        ""
    ),
"")</f>
        <v/>
      </c>
      <c r="L570" s="328" t="str" cm="1">
        <f t="array" ref="L570">IFERROR(
IF(
    AND($H570="Zoning: Tree Points", NOT(ISNUMBER(SEARCH("sp.", $C570)))),
    _xlfn.IFS(
        (COUNTIFS('Tree List'!$C$3:$C$601,$C570,'Tree List'!$D$3:$D$601,"Coniferous")
        + COUNTIFS('Tree List'!$C$3:$C$601,$C570,'Tree List'!$D$3:$D$601,"Deciduous Conifer")) &gt; 0,
            _xlfn.IFS($K570="Small",0.5,$K570="Small/Medium",1,$K570="Medium/Large",1.4,$K570="Large",1.8),
        (COUNTIFS('Tree List'!$C$3:$C$601,$C570,'Tree List'!$D$3:$D$601,"Deciduous")
        + COUNTIFS('Tree List'!$C$3:$C$601,$C570,'Tree List'!$D$3:$D$601,"Broadleaf Evergreen")) &gt; 0,
            _xlfn.IFS($K570="Small",0.4,$K570="Small/Medium",0.8,$K570="Medium/Large",1.2,$K570="Large",1.6)
    ),
    ""
),
"")</f>
        <v/>
      </c>
      <c r="M570" s="476" t="str">
        <f t="shared" si="654"/>
        <v/>
      </c>
      <c r="N570" s="347" t="str" cm="1">
        <f t="array" aca="1" ref="N57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IF(AND(_xlpm.baseRow,ISNA(MATCH($C570,'Tree List'!$C$3:$C$601,0)),SUMPRODUCT(--ISNUMBER(SEARCH(Tables2!$C$677:$C$772,$O570)))&gt;0),
Error!$B$57,
IF(AND(_xlpm.hasDM,$F570="Remove",$H570&lt;&gt;"",OR($I570="On-site replacement",$I570="Off-site replacement",$I570="Payment In Lieu")),
Error!$B$56,
IF(AND(_xlpm.hasDM,$F570="Remove",$H570&lt;&gt;"",$I570="Relocation"),
Error!$B$66,
IF(AND(OR(_xlpm.hasCN,_xlpm.hasPH,_xlpm.hasGR),$H570&lt;&gt;"",COUNTIF(Tables!$B$132:$B$134,$H570)&gt;0,$I570="N/A (No replacement required)"),
Error!$B$62,
IF(AND(_xlpm.baseRow,$E570&lt;&gt;"",ISNA(MATCH($E570,Tables!$B$225:$B$232,0))),
Error!$B$2,
IF(AND(_xlpm.baseRow,$F570&lt;&gt;"",ISNA(MATCH($F570,Tables!$B$234:$B$235,0))),
Error!$B$24,
IF(AND(_xlpm.baseRow,_xlpm.ECA_H&gt;0,_xlpm.Shore_H&gt;0),
Error!$B$16,
IF(AND(_xlpm.baseRow,$E570&lt;&gt;"",$D570=""),
Error!$B$3,
IF(AND(_xlpm.baseRow,OR($E570="Tier 3",$E570="Tier 4"),$C570&lt;&gt;"",$D570&gt;=24,COUNTIF(Tables2!$B$166:$B$674,$C570)&gt;0),
Error!$B$44,
IF(AND(_xlpm.baseRow,OR($E570="Tier 3",$E570="Tier 4"),$C570&lt;&gt;"",$D570&lt;&gt;"",COUNTIF(Tables2!$B$73:$B$152,$C570)&gt;0,
$D570&gt;=IFERROR(INDEX(Tables2!$C$73:$C$152,MATCH($C570,Tables2!$B$73:$B$152,0)),-1)),
Error!$B$44,
IF(AND(_xlpm.baseRow,OR($E570="Tier 2",$E570="Tier 2 Grove"),$C570&lt;&gt;"",$D570&gt;=12,COUNTIF(Tables2!$B$153:$B$162,$C570)&gt;0),
Error!$B$45,
IF(AND(_xlpm.baseRow,$E570="Tier 2 Grove",$D570&lt;12),
Error!$B$41,
IF(AND(_xlpm.baseRow,$E570="Tier 2",$D570&lt;5.88),
Error!$B$40,
IF(AND(_xlpm.baseRow,OR($E570="Tier 2",$E570="Tier 2 Grove"),$C570&lt;&gt;"",$D570&lt;12,$D570&gt;=6,COUNTIF(Tables2!$B$153:$B$162,$C570)&gt;0),
Error!$B$54,
IF(AND(_xlpm.baseRow,$E570="Tier 2",COUNTIF(Tables2!$B$166:$B$674,$C570)&gt;0,$D570&lt;24),
Error!$B$54,
IF(AND(_xlpm.baseRow,$E570="Tier 3",ISNA(MATCH($C570,Tables2!$B$153:$B$162,0)),OR($D570&lt;12,$D570&gt;=24)),
Error!$B$9,
IF(AND(_xlpm.baseRow,$E570="Tier 3",COUNTIF(Tables2!$B$153:$B$162,$C570)&gt;0,$D570&lt;12),
Error!$B$46,
IF(AND(_xlpm.baseRow,$E570="Tier 4",OR($D570&lt;6,$D570&gt;=12)),
Error!$B$10,
IF(AND(_xlpm.baseRow,$E570="&lt;6in DSH for Tree Points",OR($D570&gt;=6,$D570="")),
Error!$B$8,
IF(AND(_xlpm.baseRow,$E570="Street Tree for Green Factor",$F570&lt;&gt;"",$F570&lt;&gt;"Retain"),
Error!$B$14,
IF(AND($E570="&lt;6in DSH for Tree Points",$F570="Retain",$H570&lt;&gt;"",ISNA(MATCH($H570,Tables!$B$174:$B$174,0))),
Error!$B$15,
IF(AND($E570="Street Tree for Green Factor",$F570="Retain",$H570&lt;&gt;"",$H570&lt;&gt;"Zoning: Green Factor"),
Error!$B$15,
IF(AND($E570="ECA / Shoreline Tree",$F570="Remove",$H570&lt;&gt;"",ISNA(MATCH($H570,Tables!$B$189:$B$190,0))),
Error!$B$15,
IF(AND($E570="ECA / Shoreline Tree",$F570="Retain",$H570&lt;&gt;"",ISNA(MATCH($H570,Tables!$B$184:$B$186,0))),
Error!$B$15,
IF(AND($E570="Tier 4",$F570="Remove",$H570&lt;&gt;"",ISNA(MATCH($H570,Tables!$B$171,0))),
Error!$B$15,
IF(AND($E570="Tier 4",$F570="Retain",$H570&lt;&gt;"",ISNA(MATCH($H570,Tables!$B$166:$B$168,0))),
Error!$B$15,
IF(AND($E570="Tier 3",$F570="Retain",$H570&lt;&gt;"",ISNA(MATCH($H570,Tables!$B$158:$B$160,0))),
Error!$B$15,
IF(AND($E570="Tier 3",$F570="Remove",$H570&lt;&gt;"",ISNA(MATCH($H570,Tables!$B$163,0))),
Error!$B$15,
IF(AND(OR($E570="Tier 2",$E570="Tier 2 Grove"),$F570="Remove",$H570&lt;&gt;"",ISNA(MATCH($H570,Tables!$B$153:$B$155,0))),
Error!$B$15,
IF(AND(OR($E570="Tier 2",$E570="Tier 2 Grove"),$F570="Retain",$H570&lt;&gt;"",ISNA(MATCH($H570,Tables!$B$147:$B$150,0))),
Error!$B$15,
IF(AND($E570="Tier 1",$F570="Remove",$H570&lt;&gt;"",ISNA(MATCH($H570,Tables!$B$143:$B$144,0))),
Error!$B$15,
IF(AND($E570="Tier 1",$F570="Retain",$H570&lt;&gt;"",ISNA(MATCH($H570,Tables!$B$137:$B$140,0))),
Error!$B$15,
IF(AND($E570&lt;&gt;"Tier 2",$E570&lt;&gt;"Tier 2 Grove",$E570&lt;&gt;"Tier 3",$E570&lt;&gt;"Tier 4",$H570="Zoning: Green Factor",OR($D570="",$D570&lt;6)),
Error!$B$11,
IF(AND(_xlpm.baseRow,$D570&lt;6,$E570="&lt;6in DSH for Tree Points",_xlpm.TreePoints_H=0),
Error!$B$21,
IF(AND(_xlpm.baseRow,$E570&lt;&gt;"",$D570&lt;&gt;"",$F570=""),
Error!$B$4,
IF(AND(_xlpm.baseRow,$F570="Remove",OR($E570="Tier 1",$E570="Tier 2",$E570="Tier 2 Grove"),COUNTBLANK(_xlpm.HRange)&lt;3,_xlpm.uniqueH&gt;=2),
Error!$B$48,
IF(AND(_xlpm.baseRow,$F570="Retain",OR($E570="Tier 1",$E570="Tier 2",$E570="Tier 2 Grove"),COUNTIF(_xlpm.HRange,"Tree Code: Required to Retain Tier 1-2 Tree")=0),
Error!$B$47,
IF(AND(_xlpm.baseRow,$E570&lt;&gt;"",$D570&lt;&gt;"",$F570&lt;&gt;"",COUNTBLANK(_xlpm.HRange)=4),
Error!$B$5,
IF(AND($F570="Remove",$H570&lt;&gt;"",$I570=""),
Error!$B$18,
IF(AND($E570="Tier 4",$F570="Remove",$H570="Tree Protection Code: Tier 3 or Tier 4 Allowance",$H570&lt;&gt;"",ISNA(MATCH($I570,Tables!$B$200,0))),
Error!$B$17,
IF(AND($E570="Tier 3",$F570="Remove",$H570&lt;&gt;"",$H570="Tree Protection Code: Tier 3 or Tier 4 Allowance",OR($I570="",ISNA(MATCH($I570,Tables!$B$193:$B$197,0)))),
Error!$B$17,
IF(AND(OR($E570="Tier 2",$E570="Tier 2 Grove"),$F570="Remove",$H570="Tree Protection Code: Other removal allowance or exemption",$I570&lt;&gt;"",ISNA(MATCH($I570,Tables!$B$215:$B$218,0))),
Error!$B$17,
IF(AND(OR($E570="Tier 2",$E570="Tier 2 Grove"),$F570="Remove",$H570="Tree Protection Code: Development Capacity",$I570&lt;&gt;"",ISNA(MATCH($I570,Tables!$B$193:$B$197,0))),
Error!$B$17,
IF(AND(OR($E570="Tier 2",$E570="Tier 2 Grove"),$F570="Remove",$H570="Tree Protection Code: Necessary for Construction",$I570&lt;&gt;"",ISNA(MATCH($I570,Tables!$B$193:$B$197,0))),
Error!$B$17,
IF(AND($E570="Tier 1",$F570="Remove",$H570="Tree Protection Code: Special Exception",$I570&lt;&gt;"",ISNA(MATCH($I570,Tables!$B$215:$B$218,0))),
Error!$B$17,
IF(AND($E570="Tier 1",$F570="Remove",$H570="Tree Protection Code: Other removal allowance or exemption",$I570&lt;&gt;"",ISNA(MATCH($I570,Tables!$B$215:$B$218,0))),
Error!$B$17,
IF(AND($E570="ECA / Shoreline Tree",$F570="Remove",$H570&lt;&gt;"",OR($H570="Shoreline",$H570="Environmental Critical Area (ECA)"),ISNA(MATCH($I570,Tables!$B$209:$B$212,0))),
Error!$B$17,
IF(AND(_xlpm.baseRow,$F570="Retain",$E570="ECA / Shoreline Tree",_xlpm.ECA_Short=0),
Error!$B$61,
IF(AND($F570="Remove",ISNUMBER(MATCH($E570,{"Tier 1","Tier 2","Tier 3","Tier 4","Tier 2 Grove"},0)),ISNUMBER(MATCH($I570,{"On-site replacement","Off-site replacement"},0)),$J570="",$H570&lt;&gt;""),
Error!$B$19,
IF(AND(_xlpm.baseRow,$E570&lt;&gt;"",$D570&lt;&gt;"",$F570&lt;&gt;"",COUNTBLANK($B570:$C570)&gt;0,COUNTBLANK(_xlpm.HRange)&lt;&gt;4),
Error!$B$22,
IF(AND($H570="Zoning: Tree Points",$K570&lt;&gt;"",ISNA(MATCH($K570,Tables!$B$242:$B$253,0))),
Error!$B$58,
IF(AND($H570="Zoning: Tree Points",$K570="Small",$L570&lt;&gt;"",ISNA(MATCH($L570,Tables!$C$243:$C$244,0))),
Error!$B$59,
IF(AND($H570="Zoning: Tree Points",$K570="Small/Medium",$L570&lt;&gt;"",ISNA(MATCH($L570,Tables!$C$246:$C$247,0))),
Error!$B$59,
IF(AND($H570="Zoning: Tree Points",$K570="Medium/Large",$L570&lt;&gt;"",ISNA(MATCH($L570,Tables!$C$249:$C$250,0))),
Error!$B$59,
IF(AND($H570="Zoning: Tree Points",$K570="Large",$L570&lt;&gt;"",ISNA(MATCH($L570,Tables!$C$252:$C$253,0))),
Error!$B$59,
IF(AND($F570="Retain",$H570="Zoning: Tree Points",$C570&lt;&gt;"",$D570&lt;&gt;"",OR($K570="",$L570="",$M570="")),
Error!$B$20,
""
)))))))))))))))))))))))))))))))))))))))))))))))))))))))),
Error!$B$23))</f>
        <v/>
      </c>
      <c r="O570" s="343" t="str" cm="1">
        <f t="array" aca="1" ref="O570" ca="1">IFERROR(_xlfn.LET(
    _xlpm.txt, $C570,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71" spans="1:15" ht="15" thickBot="1" x14ac:dyDescent="0.35">
      <c r="A571" s="311">
        <v>141</v>
      </c>
      <c r="B571" s="312"/>
      <c r="C571" s="313"/>
      <c r="D571" s="478"/>
      <c r="E571" s="314"/>
      <c r="F571" s="314"/>
      <c r="G571" s="315" t="str">
        <f>IF(Tree_Table1[[#This Row],[Tree Status  &amp;]]="Retain", Tables!$B$237, IF(Tree_Table1[[#This Row],[Tree Status  &amp;]]="Remove", Tables!$B$238, ""))</f>
        <v/>
      </c>
      <c r="H571" s="316"/>
      <c r="I571" s="317"/>
      <c r="J571" s="452"/>
      <c r="K571" s="318" t="str">
        <f>IFERROR(
    IF(
        AND($H571="Zoning: Tree Points", NOT(ISNUMBER(SEARCH("sp.", $C571)))),
        VLOOKUP($C571, 'Tree List'!$C$3:$F$601, 4, FALSE),
        ""
    ),
"")</f>
        <v/>
      </c>
      <c r="L571" s="319" t="str" cm="1">
        <f t="array" ref="L571">IFERROR(
IF(
    AND($H571="Zoning: Tree Points", NOT(ISNUMBER(SEARCH("sp.", $C571)))),
    _xlfn.IFS(
        (COUNTIFS('Tree List'!$C$3:$C$601,$C571,'Tree List'!$D$3:$D$601,"Coniferous")
        + COUNTIFS('Tree List'!$C$3:$C$601,$C571,'Tree List'!$D$3:$D$601,"Deciduous Conifer")) &gt; 0,
            _xlfn.IFS($K571="Small",0.5,$K571="Small/Medium",1,$K571="Medium/Large",1.4,$K571="Large",1.8),
        (COUNTIFS('Tree List'!$C$3:$C$601,$C571,'Tree List'!$D$3:$D$601,"Deciduous")
        + COUNTIFS('Tree List'!$C$3:$C$601,$C571,'Tree List'!$D$3:$D$601,"Broadleaf Evergreen")) &gt; 0,
            _xlfn.IFS($K571="Small",0.4,$K571="Small/Medium",0.8,$K571="Medium/Large",1.2,$K571="Large",1.6)
    ),
    ""
),
"")</f>
        <v/>
      </c>
      <c r="M571" s="474" t="str">
        <f t="shared" si="654"/>
        <v/>
      </c>
      <c r="N571" s="620" t="str" cm="1">
        <f t="array" aca="1" ref="N57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IF(AND(_xlpm.baseRow,ISNA(MATCH($C571,'Tree List'!$C$3:$C$601,0)),SUMPRODUCT(--ISNUMBER(SEARCH(Tables2!$C$677:$C$772,$O571)))&gt;0),
Error!$B$57,
IF(AND(_xlpm.hasDM,$F571="Remove",$H571&lt;&gt;"",OR($I571="On-site replacement",$I571="Off-site replacement",$I571="Payment In Lieu")),
Error!$B$56,
IF(AND(_xlpm.hasDM,$F571="Remove",$H571&lt;&gt;"",$I571="Relocation"),
Error!$B$66,
IF(AND(OR(_xlpm.hasCN,_xlpm.hasPH,_xlpm.hasGR),$H571&lt;&gt;"",COUNTIF(Tables!$B$132:$B$134,$H571)&gt;0,$I571="N/A (No replacement required)"),
Error!$B$62,
IF(AND(_xlpm.baseRow,$E571&lt;&gt;"",ISNA(MATCH($E571,Tables!$B$225:$B$232,0))),
Error!$B$2,
IF(AND(_xlpm.baseRow,$F571&lt;&gt;"",ISNA(MATCH($F571,Tables!$B$234:$B$235,0))),
Error!$B$24,
IF(AND(_xlpm.baseRow,_xlpm.ECA_H&gt;0,_xlpm.Shore_H&gt;0),
Error!$B$16,
IF(AND(_xlpm.baseRow,$E571&lt;&gt;"",$D571=""),
Error!$B$3,
IF(AND(_xlpm.baseRow,OR($E571="Tier 3",$E571="Tier 4"),$C571&lt;&gt;"",$D571&gt;=24,COUNTIF(Tables2!$B$166:$B$674,$C571)&gt;0),
Error!$B$44,
IF(AND(_xlpm.baseRow,OR($E571="Tier 3",$E571="Tier 4"),$C571&lt;&gt;"",$D571&lt;&gt;"",COUNTIF(Tables2!$B$73:$B$152,$C571)&gt;0,
$D571&gt;=IFERROR(INDEX(Tables2!$C$73:$C$152,MATCH($C571,Tables2!$B$73:$B$152,0)),-1)),
Error!$B$44,
IF(AND(_xlpm.baseRow,OR($E571="Tier 2",$E571="Tier 2 Grove"),$C571&lt;&gt;"",$D571&gt;=12,COUNTIF(Tables2!$B$153:$B$162,$C571)&gt;0),
Error!$B$45,
IF(AND(_xlpm.baseRow,$E571="Tier 2 Grove",$D571&lt;12),
Error!$B$41,
IF(AND(_xlpm.baseRow,$E571="Tier 2",$D571&lt;5.88),
Error!$B$40,
IF(AND(_xlpm.baseRow,OR($E571="Tier 2",$E571="Tier 2 Grove"),$C571&lt;&gt;"",$D571&lt;12,$D571&gt;=6,COUNTIF(Tables2!$B$153:$B$162,$C571)&gt;0),
Error!$B$54,
IF(AND(_xlpm.baseRow,$E571="Tier 2",COUNTIF(Tables2!$B$166:$B$674,$C571)&gt;0,$D571&lt;24),
Error!$B$54,
IF(AND(_xlpm.baseRow,$E571="Tier 3",ISNA(MATCH($C571,Tables2!$B$153:$B$162,0)),OR($D571&lt;12,$D571&gt;=24)),
Error!$B$9,
IF(AND(_xlpm.baseRow,$E571="Tier 3",COUNTIF(Tables2!$B$153:$B$162,$C571)&gt;0,$D571&lt;12),
Error!$B$46,
IF(AND(_xlpm.baseRow,$E571="Tier 4",OR($D571&lt;6,$D571&gt;=12)),
Error!$B$10,
IF(AND(_xlpm.baseRow,$E571="&lt;6in DSH for Tree Points",OR($D571&gt;=6,$D571="")),
Error!$B$8,
IF(AND(_xlpm.baseRow,$E571="Street Tree for Green Factor",$F571&lt;&gt;"",$F571&lt;&gt;"Retain"),
Error!$B$14,
IF(AND($E571="&lt;6in DSH for Tree Points",$F571="Retain",$H571&lt;&gt;"",ISNA(MATCH($H571,Tables!$B$174:$B$174,0))),
Error!$B$15,
IF(AND($E571="Street Tree for Green Factor",$F571="Retain",$H571&lt;&gt;"",$H571&lt;&gt;"Zoning: Green Factor"),
Error!$B$15,
IF(AND($E571="ECA / Shoreline Tree",$F571="Remove",$H571&lt;&gt;"",ISNA(MATCH($H571,Tables!$B$189:$B$190,0))),
Error!$B$15,
IF(AND($E571="ECA / Shoreline Tree",$F571="Retain",$H571&lt;&gt;"",ISNA(MATCH($H571,Tables!$B$184:$B$186,0))),
Error!$B$15,
IF(AND($E571="Tier 4",$F571="Remove",$H571&lt;&gt;"",ISNA(MATCH($H571,Tables!$B$171,0))),
Error!$B$15,
IF(AND($E571="Tier 4",$F571="Retain",$H571&lt;&gt;"",ISNA(MATCH($H571,Tables!$B$166:$B$168,0))),
Error!$B$15,
IF(AND($E571="Tier 3",$F571="Retain",$H571&lt;&gt;"",ISNA(MATCH($H571,Tables!$B$158:$B$160,0))),
Error!$B$15,
IF(AND($E571="Tier 3",$F571="Remove",$H571&lt;&gt;"",ISNA(MATCH($H571,Tables!$B$163,0))),
Error!$B$15,
IF(AND(OR($E571="Tier 2",$E571="Tier 2 Grove"),$F571="Remove",$H571&lt;&gt;"",ISNA(MATCH($H571,Tables!$B$153:$B$155,0))),
Error!$B$15,
IF(AND(OR($E571="Tier 2",$E571="Tier 2 Grove"),$F571="Retain",$H571&lt;&gt;"",ISNA(MATCH($H571,Tables!$B$147:$B$150,0))),
Error!$B$15,
IF(AND($E571="Tier 1",$F571="Remove",$H571&lt;&gt;"",ISNA(MATCH($H571,Tables!$B$143:$B$144,0))),
Error!$B$15,
IF(AND($E571="Tier 1",$F571="Retain",$H571&lt;&gt;"",ISNA(MATCH($H571,Tables!$B$137:$B$140,0))),
Error!$B$15,
IF(AND($E571&lt;&gt;"Tier 2",$E571&lt;&gt;"Tier 2 Grove",$E571&lt;&gt;"Tier 3",$E571&lt;&gt;"Tier 4",$H571="Zoning: Green Factor",OR($D571="",$D571&lt;6)),
Error!$B$11,
IF(AND(_xlpm.baseRow,$D571&lt;6,$E571="&lt;6in DSH for Tree Points",_xlpm.TreePoints_H=0),
Error!$B$21,
IF(AND(_xlpm.baseRow,$E571&lt;&gt;"",$D571&lt;&gt;"",$F571=""),
Error!$B$4,
IF(AND(_xlpm.baseRow,$F571="Remove",OR($E571="Tier 1",$E571="Tier 2",$E571="Tier 2 Grove"),COUNTBLANK(_xlpm.HRange)&lt;3,_xlpm.uniqueH&gt;=2),
Error!$B$48,
IF(AND(_xlpm.baseRow,$F571="Retain",OR($E571="Tier 1",$E571="Tier 2",$E571="Tier 2 Grove"),COUNTIF(_xlpm.HRange,"Tree Code: Required to Retain Tier 1-2 Tree")=0),
Error!$B$47,
IF(AND(_xlpm.baseRow,$E571&lt;&gt;"",$D571&lt;&gt;"",$F571&lt;&gt;"",COUNTBLANK(_xlpm.HRange)=4),
Error!$B$5,
IF(AND($F571="Remove",$H571&lt;&gt;"",$I571=""),
Error!$B$18,
IF(AND($E571="Tier 4",$F571="Remove",$H571="Tree Protection Code: Tier 3 or Tier 4 Allowance",$H571&lt;&gt;"",ISNA(MATCH($I571,Tables!$B$200,0))),
Error!$B$17,
IF(AND($E571="Tier 3",$F571="Remove",$H571&lt;&gt;"",$H571="Tree Protection Code: Tier 3 or Tier 4 Allowance",OR($I571="",ISNA(MATCH($I571,Tables!$B$193:$B$197,0)))),
Error!$B$17,
IF(AND(OR($E571="Tier 2",$E571="Tier 2 Grove"),$F571="Remove",$H571="Tree Protection Code: Other removal allowance or exemption",$I571&lt;&gt;"",ISNA(MATCH($I571,Tables!$B$215:$B$218,0))),
Error!$B$17,
IF(AND(OR($E571="Tier 2",$E571="Tier 2 Grove"),$F571="Remove",$H571="Tree Protection Code: Development Capacity",$I571&lt;&gt;"",ISNA(MATCH($I571,Tables!$B$193:$B$197,0))),
Error!$B$17,
IF(AND(OR($E571="Tier 2",$E571="Tier 2 Grove"),$F571="Remove",$H571="Tree Protection Code: Necessary for Construction",$I571&lt;&gt;"",ISNA(MATCH($I571,Tables!$B$193:$B$197,0))),
Error!$B$17,
IF(AND($E571="Tier 1",$F571="Remove",$H571="Tree Protection Code: Special Exception",$I571&lt;&gt;"",ISNA(MATCH($I571,Tables!$B$215:$B$218,0))),
Error!$B$17,
IF(AND($E571="Tier 1",$F571="Remove",$H571="Tree Protection Code: Other removal allowance or exemption",$I571&lt;&gt;"",ISNA(MATCH($I571,Tables!$B$215:$B$218,0))),
Error!$B$17,
IF(AND($E571="ECA / Shoreline Tree",$F571="Remove",$H571&lt;&gt;"",OR($H571="Shoreline",$H571="Environmental Critical Area (ECA)"),ISNA(MATCH($I571,Tables!$B$209:$B$212,0))),
Error!$B$17,
IF(AND(_xlpm.baseRow,$F571="Retain",$E571="ECA / Shoreline Tree",_xlpm.ECA_Short=0),
Error!$B$61,
IF(AND($F571="Remove",ISNUMBER(MATCH($E571,{"Tier 1","Tier 2","Tier 3","Tier 4","Tier 2 Grove"},0)),ISNUMBER(MATCH($I571,{"On-site replacement","Off-site replacement"},0)),$J571="",$H571&lt;&gt;""),
Error!$B$19,
IF(AND(_xlpm.baseRow,$E571&lt;&gt;"",$D571&lt;&gt;"",$F571&lt;&gt;"",COUNTBLANK($B571:$C571)&gt;0,COUNTBLANK(_xlpm.HRange)&lt;&gt;4),
Error!$B$22,
IF(AND($H571="Zoning: Tree Points",$K571&lt;&gt;"",ISNA(MATCH($K571,Tables!$B$242:$B$253,0))),
Error!$B$58,
IF(AND($H571="Zoning: Tree Points",$K571="Small",$L571&lt;&gt;"",ISNA(MATCH($L571,Tables!$C$243:$C$244,0))),
Error!$B$59,
IF(AND($H571="Zoning: Tree Points",$K571="Small/Medium",$L571&lt;&gt;"",ISNA(MATCH($L571,Tables!$C$246:$C$247,0))),
Error!$B$59,
IF(AND($H571="Zoning: Tree Points",$K571="Medium/Large",$L571&lt;&gt;"",ISNA(MATCH($L571,Tables!$C$249:$C$250,0))),
Error!$B$59,
IF(AND($H571="Zoning: Tree Points",$K571="Large",$L571&lt;&gt;"",ISNA(MATCH($L571,Tables!$C$252:$C$253,0))),
Error!$B$59,
IF(AND($F571="Retain",$H571="Zoning: Tree Points",$C571&lt;&gt;"",$D571&lt;&gt;"",OR($K571="",$L571="",$M571="")),
Error!$B$20,
""
)))))))))))))))))))))))))))))))))))))))))))))))))))))))),
Error!$B$23))</f>
        <v/>
      </c>
      <c r="O571" s="343" t="str" cm="1">
        <f t="array" aca="1" ref="O571" ca="1">IFERROR(_xlfn.LET(
    _xlpm.txt, $C571,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72" spans="1:15" x14ac:dyDescent="0.3">
      <c r="A572" s="320"/>
      <c r="B572" s="616" t="str">
        <f t="shared" ref="B572:B574" si="665">IF($B571="", "", $B571)</f>
        <v/>
      </c>
      <c r="C572" s="617" t="str">
        <f t="shared" ref="C572:C574" si="666">IF($C571="", "", $C571)</f>
        <v/>
      </c>
      <c r="D572" s="618" t="str">
        <f t="shared" ref="D572:D574" si="667">IF($D571="", "", $D571)</f>
        <v/>
      </c>
      <c r="E572" s="616" t="str">
        <f t="shared" ref="E572:E574" si="668">IF($E571="", "", $E571)</f>
        <v/>
      </c>
      <c r="F572" s="616" t="str">
        <f t="shared" ref="F572:F574" si="669">IF($F571="", "", $F571)</f>
        <v/>
      </c>
      <c r="G572" s="619" t="str">
        <f>IF(Tree_Table1[[#This Row],[Tree Status  &amp;]]="Retain", Tables!$B$237, IF(Tree_Table1[[#This Row],[Tree Status  &amp;]]="Remove", Tables!$B$238, ""))</f>
        <v/>
      </c>
      <c r="H572" s="321"/>
      <c r="I572" s="322"/>
      <c r="J572" s="453"/>
      <c r="K572" s="323" t="str">
        <f>IFERROR(
    IF(
        AND($H572="Zoning: Tree Points", NOT(ISNUMBER(SEARCH("sp.", $C572)))),
        VLOOKUP($C572, 'Tree List'!$C$3:$F$601, 4, FALSE),
        ""
    ),
"")</f>
        <v/>
      </c>
      <c r="L572" s="324" t="str" cm="1">
        <f t="array" ref="L572">IFERROR(
IF(
    AND($H572="Zoning: Tree Points", NOT(ISNUMBER(SEARCH("sp.", $C572)))),
    _xlfn.IFS(
        (COUNTIFS('Tree List'!$C$3:$C$601,$C572,'Tree List'!$D$3:$D$601,"Coniferous")
        + COUNTIFS('Tree List'!$C$3:$C$601,$C572,'Tree List'!$D$3:$D$601,"Deciduous Conifer")) &gt; 0,
            _xlfn.IFS($K572="Small",0.5,$K572="Small/Medium",1,$K572="Medium/Large",1.4,$K572="Large",1.8),
        (COUNTIFS('Tree List'!$C$3:$C$601,$C572,'Tree List'!$D$3:$D$601,"Deciduous")
        + COUNTIFS('Tree List'!$C$3:$C$601,$C572,'Tree List'!$D$3:$D$601,"Broadleaf Evergreen")) &gt; 0,
            _xlfn.IFS($K572="Small",0.4,$K572="Small/Medium",0.8,$K572="Medium/Large",1.2,$K572="Large",1.6)
    ),
    ""
),
"")</f>
        <v/>
      </c>
      <c r="M572" s="475" t="str">
        <f t="shared" si="654"/>
        <v/>
      </c>
      <c r="N572" s="346" t="str" cm="1">
        <f t="array" aca="1" ref="N57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IF(AND(_xlpm.baseRow,ISNA(MATCH($C572,'Tree List'!$C$3:$C$601,0)),SUMPRODUCT(--ISNUMBER(SEARCH(Tables2!$C$677:$C$772,$O572)))&gt;0),
Error!$B$57,
IF(AND(_xlpm.hasDM,$F572="Remove",$H572&lt;&gt;"",OR($I572="On-site replacement",$I572="Off-site replacement",$I572="Payment In Lieu")),
Error!$B$56,
IF(AND(_xlpm.hasDM,$F572="Remove",$H572&lt;&gt;"",$I572="Relocation"),
Error!$B$66,
IF(AND(OR(_xlpm.hasCN,_xlpm.hasPH,_xlpm.hasGR),$H572&lt;&gt;"",COUNTIF(Tables!$B$132:$B$134,$H572)&gt;0,$I572="N/A (No replacement required)"),
Error!$B$62,
IF(AND(_xlpm.baseRow,$E572&lt;&gt;"",ISNA(MATCH($E572,Tables!$B$225:$B$232,0))),
Error!$B$2,
IF(AND(_xlpm.baseRow,$F572&lt;&gt;"",ISNA(MATCH($F572,Tables!$B$234:$B$235,0))),
Error!$B$24,
IF(AND(_xlpm.baseRow,_xlpm.ECA_H&gt;0,_xlpm.Shore_H&gt;0),
Error!$B$16,
IF(AND(_xlpm.baseRow,$E572&lt;&gt;"",$D572=""),
Error!$B$3,
IF(AND(_xlpm.baseRow,OR($E572="Tier 3",$E572="Tier 4"),$C572&lt;&gt;"",$D572&gt;=24,COUNTIF(Tables2!$B$166:$B$674,$C572)&gt;0),
Error!$B$44,
IF(AND(_xlpm.baseRow,OR($E572="Tier 3",$E572="Tier 4"),$C572&lt;&gt;"",$D572&lt;&gt;"",COUNTIF(Tables2!$B$73:$B$152,$C572)&gt;0,
$D572&gt;=IFERROR(INDEX(Tables2!$C$73:$C$152,MATCH($C572,Tables2!$B$73:$B$152,0)),-1)),
Error!$B$44,
IF(AND(_xlpm.baseRow,OR($E572="Tier 2",$E572="Tier 2 Grove"),$C572&lt;&gt;"",$D572&gt;=12,COUNTIF(Tables2!$B$153:$B$162,$C572)&gt;0),
Error!$B$45,
IF(AND(_xlpm.baseRow,$E572="Tier 2 Grove",$D572&lt;12),
Error!$B$41,
IF(AND(_xlpm.baseRow,$E572="Tier 2",$D572&lt;5.88),
Error!$B$40,
IF(AND(_xlpm.baseRow,OR($E572="Tier 2",$E572="Tier 2 Grove"),$C572&lt;&gt;"",$D572&lt;12,$D572&gt;=6,COUNTIF(Tables2!$B$153:$B$162,$C572)&gt;0),
Error!$B$54,
IF(AND(_xlpm.baseRow,$E572="Tier 2",COUNTIF(Tables2!$B$166:$B$674,$C572)&gt;0,$D572&lt;24),
Error!$B$54,
IF(AND(_xlpm.baseRow,$E572="Tier 3",ISNA(MATCH($C572,Tables2!$B$153:$B$162,0)),OR($D572&lt;12,$D572&gt;=24)),
Error!$B$9,
IF(AND(_xlpm.baseRow,$E572="Tier 3",COUNTIF(Tables2!$B$153:$B$162,$C572)&gt;0,$D572&lt;12),
Error!$B$46,
IF(AND(_xlpm.baseRow,$E572="Tier 4",OR($D572&lt;6,$D572&gt;=12)),
Error!$B$10,
IF(AND(_xlpm.baseRow,$E572="&lt;6in DSH for Tree Points",OR($D572&gt;=6,$D572="")),
Error!$B$8,
IF(AND(_xlpm.baseRow,$E572="Street Tree for Green Factor",$F572&lt;&gt;"",$F572&lt;&gt;"Retain"),
Error!$B$14,
IF(AND($E572="&lt;6in DSH for Tree Points",$F572="Retain",$H572&lt;&gt;"",ISNA(MATCH($H572,Tables!$B$174:$B$174,0))),
Error!$B$15,
IF(AND($E572="Street Tree for Green Factor",$F572="Retain",$H572&lt;&gt;"",$H572&lt;&gt;"Zoning: Green Factor"),
Error!$B$15,
IF(AND($E572="ECA / Shoreline Tree",$F572="Remove",$H572&lt;&gt;"",ISNA(MATCH($H572,Tables!$B$189:$B$190,0))),
Error!$B$15,
IF(AND($E572="ECA / Shoreline Tree",$F572="Retain",$H572&lt;&gt;"",ISNA(MATCH($H572,Tables!$B$184:$B$186,0))),
Error!$B$15,
IF(AND($E572="Tier 4",$F572="Remove",$H572&lt;&gt;"",ISNA(MATCH($H572,Tables!$B$171,0))),
Error!$B$15,
IF(AND($E572="Tier 4",$F572="Retain",$H572&lt;&gt;"",ISNA(MATCH($H572,Tables!$B$166:$B$168,0))),
Error!$B$15,
IF(AND($E572="Tier 3",$F572="Retain",$H572&lt;&gt;"",ISNA(MATCH($H572,Tables!$B$158:$B$160,0))),
Error!$B$15,
IF(AND($E572="Tier 3",$F572="Remove",$H572&lt;&gt;"",ISNA(MATCH($H572,Tables!$B$163,0))),
Error!$B$15,
IF(AND(OR($E572="Tier 2",$E572="Tier 2 Grove"),$F572="Remove",$H572&lt;&gt;"",ISNA(MATCH($H572,Tables!$B$153:$B$155,0))),
Error!$B$15,
IF(AND(OR($E572="Tier 2",$E572="Tier 2 Grove"),$F572="Retain",$H572&lt;&gt;"",ISNA(MATCH($H572,Tables!$B$147:$B$150,0))),
Error!$B$15,
IF(AND($E572="Tier 1",$F572="Remove",$H572&lt;&gt;"",ISNA(MATCH($H572,Tables!$B$143:$B$144,0))),
Error!$B$15,
IF(AND($E572="Tier 1",$F572="Retain",$H572&lt;&gt;"",ISNA(MATCH($H572,Tables!$B$137:$B$140,0))),
Error!$B$15,
IF(AND($E572&lt;&gt;"Tier 2",$E572&lt;&gt;"Tier 2 Grove",$E572&lt;&gt;"Tier 3",$E572&lt;&gt;"Tier 4",$H572="Zoning: Green Factor",OR($D572="",$D572&lt;6)),
Error!$B$11,
IF(AND(_xlpm.baseRow,$D572&lt;6,$E572="&lt;6in DSH for Tree Points",_xlpm.TreePoints_H=0),
Error!$B$21,
IF(AND(_xlpm.baseRow,$E572&lt;&gt;"",$D572&lt;&gt;"",$F572=""),
Error!$B$4,
IF(AND(_xlpm.baseRow,$F572="Remove",OR($E572="Tier 1",$E572="Tier 2",$E572="Tier 2 Grove"),COUNTBLANK(_xlpm.HRange)&lt;3,_xlpm.uniqueH&gt;=2),
Error!$B$48,
IF(AND(_xlpm.baseRow,$F572="Retain",OR($E572="Tier 1",$E572="Tier 2",$E572="Tier 2 Grove"),COUNTIF(_xlpm.HRange,"Tree Code: Required to Retain Tier 1-2 Tree")=0),
Error!$B$47,
IF(AND(_xlpm.baseRow,$E572&lt;&gt;"",$D572&lt;&gt;"",$F572&lt;&gt;"",COUNTBLANK(_xlpm.HRange)=4),
Error!$B$5,
IF(AND($F572="Remove",$H572&lt;&gt;"",$I572=""),
Error!$B$18,
IF(AND($E572="Tier 4",$F572="Remove",$H572="Tree Protection Code: Tier 3 or Tier 4 Allowance",$H572&lt;&gt;"",ISNA(MATCH($I572,Tables!$B$200,0))),
Error!$B$17,
IF(AND($E572="Tier 3",$F572="Remove",$H572&lt;&gt;"",$H572="Tree Protection Code: Tier 3 or Tier 4 Allowance",OR($I572="",ISNA(MATCH($I572,Tables!$B$193:$B$197,0)))),
Error!$B$17,
IF(AND(OR($E572="Tier 2",$E572="Tier 2 Grove"),$F572="Remove",$H572="Tree Protection Code: Other removal allowance or exemption",$I572&lt;&gt;"",ISNA(MATCH($I572,Tables!$B$215:$B$218,0))),
Error!$B$17,
IF(AND(OR($E572="Tier 2",$E572="Tier 2 Grove"),$F572="Remove",$H572="Tree Protection Code: Development Capacity",$I572&lt;&gt;"",ISNA(MATCH($I572,Tables!$B$193:$B$197,0))),
Error!$B$17,
IF(AND(OR($E572="Tier 2",$E572="Tier 2 Grove"),$F572="Remove",$H572="Tree Protection Code: Necessary for Construction",$I572&lt;&gt;"",ISNA(MATCH($I572,Tables!$B$193:$B$197,0))),
Error!$B$17,
IF(AND($E572="Tier 1",$F572="Remove",$H572="Tree Protection Code: Special Exception",$I572&lt;&gt;"",ISNA(MATCH($I572,Tables!$B$215:$B$218,0))),
Error!$B$17,
IF(AND($E572="Tier 1",$F572="Remove",$H572="Tree Protection Code: Other removal allowance or exemption",$I572&lt;&gt;"",ISNA(MATCH($I572,Tables!$B$215:$B$218,0))),
Error!$B$17,
IF(AND($E572="ECA / Shoreline Tree",$F572="Remove",$H572&lt;&gt;"",OR($H572="Shoreline",$H572="Environmental Critical Area (ECA)"),ISNA(MATCH($I572,Tables!$B$209:$B$212,0))),
Error!$B$17,
IF(AND(_xlpm.baseRow,$F572="Retain",$E572="ECA / Shoreline Tree",_xlpm.ECA_Short=0),
Error!$B$61,
IF(AND($F572="Remove",ISNUMBER(MATCH($E572,{"Tier 1","Tier 2","Tier 3","Tier 4","Tier 2 Grove"},0)),ISNUMBER(MATCH($I572,{"On-site replacement","Off-site replacement"},0)),$J572="",$H572&lt;&gt;""),
Error!$B$19,
IF(AND(_xlpm.baseRow,$E572&lt;&gt;"",$D572&lt;&gt;"",$F572&lt;&gt;"",COUNTBLANK($B572:$C572)&gt;0,COUNTBLANK(_xlpm.HRange)&lt;&gt;4),
Error!$B$22,
IF(AND($H572="Zoning: Tree Points",$K572&lt;&gt;"",ISNA(MATCH($K572,Tables!$B$242:$B$253,0))),
Error!$B$58,
IF(AND($H572="Zoning: Tree Points",$K572="Small",$L572&lt;&gt;"",ISNA(MATCH($L572,Tables!$C$243:$C$244,0))),
Error!$B$59,
IF(AND($H572="Zoning: Tree Points",$K572="Small/Medium",$L572&lt;&gt;"",ISNA(MATCH($L572,Tables!$C$246:$C$247,0))),
Error!$B$59,
IF(AND($H572="Zoning: Tree Points",$K572="Medium/Large",$L572&lt;&gt;"",ISNA(MATCH($L572,Tables!$C$249:$C$250,0))),
Error!$B$59,
IF(AND($H572="Zoning: Tree Points",$K572="Large",$L572&lt;&gt;"",ISNA(MATCH($L572,Tables!$C$252:$C$253,0))),
Error!$B$59,
IF(AND($F572="Retain",$H572="Zoning: Tree Points",$C572&lt;&gt;"",$D572&lt;&gt;"",OR($K572="",$L572="",$M572="")),
Error!$B$20,
""
)))))))))))))))))))))))))))))))))))))))))))))))))))))))),
Error!$B$23))</f>
        <v/>
      </c>
      <c r="O572" s="343" t="str" cm="1">
        <f t="array" aca="1" ref="O572" ca="1">IFERROR(_xlfn.LET(
    _xlpm.txt, $C572,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73" spans="1:15" x14ac:dyDescent="0.3">
      <c r="A573" s="320"/>
      <c r="B573" s="616" t="str">
        <f t="shared" si="665"/>
        <v/>
      </c>
      <c r="C573" s="617" t="str">
        <f t="shared" si="666"/>
        <v/>
      </c>
      <c r="D573" s="618" t="str">
        <f t="shared" si="667"/>
        <v/>
      </c>
      <c r="E573" s="616" t="str">
        <f t="shared" si="668"/>
        <v/>
      </c>
      <c r="F573" s="616" t="str">
        <f t="shared" si="669"/>
        <v/>
      </c>
      <c r="G573" s="619" t="str">
        <f>IF(Tree_Table1[[#This Row],[Tree Status  &amp;]]="Retain", Tables!$B$237, IF(Tree_Table1[[#This Row],[Tree Status  &amp;]]="Remove", Tables!$B$238, ""))</f>
        <v/>
      </c>
      <c r="H573" s="321"/>
      <c r="I573" s="322"/>
      <c r="J573" s="453"/>
      <c r="K573" s="323" t="str">
        <f>IFERROR(
    IF(
        AND($H573="Zoning: Tree Points", NOT(ISNUMBER(SEARCH("sp.", $C573)))),
        VLOOKUP($C573, 'Tree List'!$C$3:$F$601, 4, FALSE),
        ""
    ),
"")</f>
        <v/>
      </c>
      <c r="L573" s="324" t="str" cm="1">
        <f t="array" ref="L573">IFERROR(
IF(
    AND($H573="Zoning: Tree Points", NOT(ISNUMBER(SEARCH("sp.", $C573)))),
    _xlfn.IFS(
        (COUNTIFS('Tree List'!$C$3:$C$601,$C573,'Tree List'!$D$3:$D$601,"Coniferous")
        + COUNTIFS('Tree List'!$C$3:$C$601,$C573,'Tree List'!$D$3:$D$601,"Deciduous Conifer")) &gt; 0,
            _xlfn.IFS($K573="Small",0.5,$K573="Small/Medium",1,$K573="Medium/Large",1.4,$K573="Large",1.8),
        (COUNTIFS('Tree List'!$C$3:$C$601,$C573,'Tree List'!$D$3:$D$601,"Deciduous")
        + COUNTIFS('Tree List'!$C$3:$C$601,$C573,'Tree List'!$D$3:$D$601,"Broadleaf Evergreen")) &gt; 0,
            _xlfn.IFS($K573="Small",0.4,$K573="Small/Medium",0.8,$K573="Medium/Large",1.2,$K573="Large",1.6)
    ),
    ""
),
"")</f>
        <v/>
      </c>
      <c r="M573" s="475" t="str">
        <f t="shared" si="654"/>
        <v/>
      </c>
      <c r="N573" s="346" t="str" cm="1">
        <f t="array" aca="1" ref="N57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IF(AND(_xlpm.baseRow,ISNA(MATCH($C573,'Tree List'!$C$3:$C$601,0)),SUMPRODUCT(--ISNUMBER(SEARCH(Tables2!$C$677:$C$772,$O573)))&gt;0),
Error!$B$57,
IF(AND(_xlpm.hasDM,$F573="Remove",$H573&lt;&gt;"",OR($I573="On-site replacement",$I573="Off-site replacement",$I573="Payment In Lieu")),
Error!$B$56,
IF(AND(_xlpm.hasDM,$F573="Remove",$H573&lt;&gt;"",$I573="Relocation"),
Error!$B$66,
IF(AND(OR(_xlpm.hasCN,_xlpm.hasPH,_xlpm.hasGR),$H573&lt;&gt;"",COUNTIF(Tables!$B$132:$B$134,$H573)&gt;0,$I573="N/A (No replacement required)"),
Error!$B$62,
IF(AND(_xlpm.baseRow,$E573&lt;&gt;"",ISNA(MATCH($E573,Tables!$B$225:$B$232,0))),
Error!$B$2,
IF(AND(_xlpm.baseRow,$F573&lt;&gt;"",ISNA(MATCH($F573,Tables!$B$234:$B$235,0))),
Error!$B$24,
IF(AND(_xlpm.baseRow,_xlpm.ECA_H&gt;0,_xlpm.Shore_H&gt;0),
Error!$B$16,
IF(AND(_xlpm.baseRow,$E573&lt;&gt;"",$D573=""),
Error!$B$3,
IF(AND(_xlpm.baseRow,OR($E573="Tier 3",$E573="Tier 4"),$C573&lt;&gt;"",$D573&gt;=24,COUNTIF(Tables2!$B$166:$B$674,$C573)&gt;0),
Error!$B$44,
IF(AND(_xlpm.baseRow,OR($E573="Tier 3",$E573="Tier 4"),$C573&lt;&gt;"",$D573&lt;&gt;"",COUNTIF(Tables2!$B$73:$B$152,$C573)&gt;0,
$D573&gt;=IFERROR(INDEX(Tables2!$C$73:$C$152,MATCH($C573,Tables2!$B$73:$B$152,0)),-1)),
Error!$B$44,
IF(AND(_xlpm.baseRow,OR($E573="Tier 2",$E573="Tier 2 Grove"),$C573&lt;&gt;"",$D573&gt;=12,COUNTIF(Tables2!$B$153:$B$162,$C573)&gt;0),
Error!$B$45,
IF(AND(_xlpm.baseRow,$E573="Tier 2 Grove",$D573&lt;12),
Error!$B$41,
IF(AND(_xlpm.baseRow,$E573="Tier 2",$D573&lt;5.88),
Error!$B$40,
IF(AND(_xlpm.baseRow,OR($E573="Tier 2",$E573="Tier 2 Grove"),$C573&lt;&gt;"",$D573&lt;12,$D573&gt;=6,COUNTIF(Tables2!$B$153:$B$162,$C573)&gt;0),
Error!$B$54,
IF(AND(_xlpm.baseRow,$E573="Tier 2",COUNTIF(Tables2!$B$166:$B$674,$C573)&gt;0,$D573&lt;24),
Error!$B$54,
IF(AND(_xlpm.baseRow,$E573="Tier 3",ISNA(MATCH($C573,Tables2!$B$153:$B$162,0)),OR($D573&lt;12,$D573&gt;=24)),
Error!$B$9,
IF(AND(_xlpm.baseRow,$E573="Tier 3",COUNTIF(Tables2!$B$153:$B$162,$C573)&gt;0,$D573&lt;12),
Error!$B$46,
IF(AND(_xlpm.baseRow,$E573="Tier 4",OR($D573&lt;6,$D573&gt;=12)),
Error!$B$10,
IF(AND(_xlpm.baseRow,$E573="&lt;6in DSH for Tree Points",OR($D573&gt;=6,$D573="")),
Error!$B$8,
IF(AND(_xlpm.baseRow,$E573="Street Tree for Green Factor",$F573&lt;&gt;"",$F573&lt;&gt;"Retain"),
Error!$B$14,
IF(AND($E573="&lt;6in DSH for Tree Points",$F573="Retain",$H573&lt;&gt;"",ISNA(MATCH($H573,Tables!$B$174:$B$174,0))),
Error!$B$15,
IF(AND($E573="Street Tree for Green Factor",$F573="Retain",$H573&lt;&gt;"",$H573&lt;&gt;"Zoning: Green Factor"),
Error!$B$15,
IF(AND($E573="ECA / Shoreline Tree",$F573="Remove",$H573&lt;&gt;"",ISNA(MATCH($H573,Tables!$B$189:$B$190,0))),
Error!$B$15,
IF(AND($E573="ECA / Shoreline Tree",$F573="Retain",$H573&lt;&gt;"",ISNA(MATCH($H573,Tables!$B$184:$B$186,0))),
Error!$B$15,
IF(AND($E573="Tier 4",$F573="Remove",$H573&lt;&gt;"",ISNA(MATCH($H573,Tables!$B$171,0))),
Error!$B$15,
IF(AND($E573="Tier 4",$F573="Retain",$H573&lt;&gt;"",ISNA(MATCH($H573,Tables!$B$166:$B$168,0))),
Error!$B$15,
IF(AND($E573="Tier 3",$F573="Retain",$H573&lt;&gt;"",ISNA(MATCH($H573,Tables!$B$158:$B$160,0))),
Error!$B$15,
IF(AND($E573="Tier 3",$F573="Remove",$H573&lt;&gt;"",ISNA(MATCH($H573,Tables!$B$163,0))),
Error!$B$15,
IF(AND(OR($E573="Tier 2",$E573="Tier 2 Grove"),$F573="Remove",$H573&lt;&gt;"",ISNA(MATCH($H573,Tables!$B$153:$B$155,0))),
Error!$B$15,
IF(AND(OR($E573="Tier 2",$E573="Tier 2 Grove"),$F573="Retain",$H573&lt;&gt;"",ISNA(MATCH($H573,Tables!$B$147:$B$150,0))),
Error!$B$15,
IF(AND($E573="Tier 1",$F573="Remove",$H573&lt;&gt;"",ISNA(MATCH($H573,Tables!$B$143:$B$144,0))),
Error!$B$15,
IF(AND($E573="Tier 1",$F573="Retain",$H573&lt;&gt;"",ISNA(MATCH($H573,Tables!$B$137:$B$140,0))),
Error!$B$15,
IF(AND($E573&lt;&gt;"Tier 2",$E573&lt;&gt;"Tier 2 Grove",$E573&lt;&gt;"Tier 3",$E573&lt;&gt;"Tier 4",$H573="Zoning: Green Factor",OR($D573="",$D573&lt;6)),
Error!$B$11,
IF(AND(_xlpm.baseRow,$D573&lt;6,$E573="&lt;6in DSH for Tree Points",_xlpm.TreePoints_H=0),
Error!$B$21,
IF(AND(_xlpm.baseRow,$E573&lt;&gt;"",$D573&lt;&gt;"",$F573=""),
Error!$B$4,
IF(AND(_xlpm.baseRow,$F573="Remove",OR($E573="Tier 1",$E573="Tier 2",$E573="Tier 2 Grove"),COUNTBLANK(_xlpm.HRange)&lt;3,_xlpm.uniqueH&gt;=2),
Error!$B$48,
IF(AND(_xlpm.baseRow,$F573="Retain",OR($E573="Tier 1",$E573="Tier 2",$E573="Tier 2 Grove"),COUNTIF(_xlpm.HRange,"Tree Code: Required to Retain Tier 1-2 Tree")=0),
Error!$B$47,
IF(AND(_xlpm.baseRow,$E573&lt;&gt;"",$D573&lt;&gt;"",$F573&lt;&gt;"",COUNTBLANK(_xlpm.HRange)=4),
Error!$B$5,
IF(AND($F573="Remove",$H573&lt;&gt;"",$I573=""),
Error!$B$18,
IF(AND($E573="Tier 4",$F573="Remove",$H573="Tree Protection Code: Tier 3 or Tier 4 Allowance",$H573&lt;&gt;"",ISNA(MATCH($I573,Tables!$B$200,0))),
Error!$B$17,
IF(AND($E573="Tier 3",$F573="Remove",$H573&lt;&gt;"",$H573="Tree Protection Code: Tier 3 or Tier 4 Allowance",OR($I573="",ISNA(MATCH($I573,Tables!$B$193:$B$197,0)))),
Error!$B$17,
IF(AND(OR($E573="Tier 2",$E573="Tier 2 Grove"),$F573="Remove",$H573="Tree Protection Code: Other removal allowance or exemption",$I573&lt;&gt;"",ISNA(MATCH($I573,Tables!$B$215:$B$218,0))),
Error!$B$17,
IF(AND(OR($E573="Tier 2",$E573="Tier 2 Grove"),$F573="Remove",$H573="Tree Protection Code: Development Capacity",$I573&lt;&gt;"",ISNA(MATCH($I573,Tables!$B$193:$B$197,0))),
Error!$B$17,
IF(AND(OR($E573="Tier 2",$E573="Tier 2 Grove"),$F573="Remove",$H573="Tree Protection Code: Necessary for Construction",$I573&lt;&gt;"",ISNA(MATCH($I573,Tables!$B$193:$B$197,0))),
Error!$B$17,
IF(AND($E573="Tier 1",$F573="Remove",$H573="Tree Protection Code: Special Exception",$I573&lt;&gt;"",ISNA(MATCH($I573,Tables!$B$215:$B$218,0))),
Error!$B$17,
IF(AND($E573="Tier 1",$F573="Remove",$H573="Tree Protection Code: Other removal allowance or exemption",$I573&lt;&gt;"",ISNA(MATCH($I573,Tables!$B$215:$B$218,0))),
Error!$B$17,
IF(AND($E573="ECA / Shoreline Tree",$F573="Remove",$H573&lt;&gt;"",OR($H573="Shoreline",$H573="Environmental Critical Area (ECA)"),ISNA(MATCH($I573,Tables!$B$209:$B$212,0))),
Error!$B$17,
IF(AND(_xlpm.baseRow,$F573="Retain",$E573="ECA / Shoreline Tree",_xlpm.ECA_Short=0),
Error!$B$61,
IF(AND($F573="Remove",ISNUMBER(MATCH($E573,{"Tier 1","Tier 2","Tier 3","Tier 4","Tier 2 Grove"},0)),ISNUMBER(MATCH($I573,{"On-site replacement","Off-site replacement"},0)),$J573="",$H573&lt;&gt;""),
Error!$B$19,
IF(AND(_xlpm.baseRow,$E573&lt;&gt;"",$D573&lt;&gt;"",$F573&lt;&gt;"",COUNTBLANK($B573:$C573)&gt;0,COUNTBLANK(_xlpm.HRange)&lt;&gt;4),
Error!$B$22,
IF(AND($H573="Zoning: Tree Points",$K573&lt;&gt;"",ISNA(MATCH($K573,Tables!$B$242:$B$253,0))),
Error!$B$58,
IF(AND($H573="Zoning: Tree Points",$K573="Small",$L573&lt;&gt;"",ISNA(MATCH($L573,Tables!$C$243:$C$244,0))),
Error!$B$59,
IF(AND($H573="Zoning: Tree Points",$K573="Small/Medium",$L573&lt;&gt;"",ISNA(MATCH($L573,Tables!$C$246:$C$247,0))),
Error!$B$59,
IF(AND($H573="Zoning: Tree Points",$K573="Medium/Large",$L573&lt;&gt;"",ISNA(MATCH($L573,Tables!$C$249:$C$250,0))),
Error!$B$59,
IF(AND($H573="Zoning: Tree Points",$K573="Large",$L573&lt;&gt;"",ISNA(MATCH($L573,Tables!$C$252:$C$253,0))),
Error!$B$59,
IF(AND($F573="Retain",$H573="Zoning: Tree Points",$C573&lt;&gt;"",$D573&lt;&gt;"",OR($K573="",$L573="",$M573="")),
Error!$B$20,
""
)))))))))))))))))))))))))))))))))))))))))))))))))))))))),
Error!$B$23))</f>
        <v/>
      </c>
      <c r="O573" s="343" t="str" cm="1">
        <f t="array" aca="1" ref="O573" ca="1">IFERROR(_xlfn.LET(
    _xlpm.txt, $C573,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74" spans="1:15" ht="15" thickBot="1" x14ac:dyDescent="0.35">
      <c r="A574" s="331"/>
      <c r="B574" s="616" t="str">
        <f t="shared" si="665"/>
        <v/>
      </c>
      <c r="C574" s="617" t="str">
        <f t="shared" si="666"/>
        <v/>
      </c>
      <c r="D574" s="618" t="str">
        <f t="shared" si="667"/>
        <v/>
      </c>
      <c r="E574" s="616" t="str">
        <f t="shared" si="668"/>
        <v/>
      </c>
      <c r="F574" s="616" t="str">
        <f t="shared" si="669"/>
        <v/>
      </c>
      <c r="G574" s="619" t="str">
        <f>IF(Tree_Table1[[#This Row],[Tree Status  &amp;]]="Retain", Tables!$B$237, IF(Tree_Table1[[#This Row],[Tree Status  &amp;]]="Remove", Tables!$B$238, ""))</f>
        <v/>
      </c>
      <c r="H574" s="329"/>
      <c r="I574" s="330"/>
      <c r="J574" s="455"/>
      <c r="K574" s="327" t="str">
        <f>IFERROR(
    IF(
        AND($H574="Zoning: Tree Points", NOT(ISNUMBER(SEARCH("sp.", $C574)))),
        VLOOKUP($C574, 'Tree List'!$C$3:$F$601, 4, FALSE),
        ""
    ),
"")</f>
        <v/>
      </c>
      <c r="L574" s="328" t="str" cm="1">
        <f t="array" ref="L574">IFERROR(
IF(
    AND($H574="Zoning: Tree Points", NOT(ISNUMBER(SEARCH("sp.", $C574)))),
    _xlfn.IFS(
        (COUNTIFS('Tree List'!$C$3:$C$601,$C574,'Tree List'!$D$3:$D$601,"Coniferous")
        + COUNTIFS('Tree List'!$C$3:$C$601,$C574,'Tree List'!$D$3:$D$601,"Deciduous Conifer")) &gt; 0,
            _xlfn.IFS($K574="Small",0.5,$K574="Small/Medium",1,$K574="Medium/Large",1.4,$K574="Large",1.8),
        (COUNTIFS('Tree List'!$C$3:$C$601,$C574,'Tree List'!$D$3:$D$601,"Deciduous")
        + COUNTIFS('Tree List'!$C$3:$C$601,$C574,'Tree List'!$D$3:$D$601,"Broadleaf Evergreen")) &gt; 0,
            _xlfn.IFS($K574="Small",0.4,$K574="Small/Medium",0.8,$K574="Medium/Large",1.2,$K574="Large",1.6)
    ),
    ""
),
"")</f>
        <v/>
      </c>
      <c r="M574" s="476" t="str">
        <f t="shared" si="654"/>
        <v/>
      </c>
      <c r="N574" s="347" t="str" cm="1">
        <f t="array" aca="1" ref="N57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IF(AND(_xlpm.baseRow,ISNA(MATCH($C574,'Tree List'!$C$3:$C$601,0)),SUMPRODUCT(--ISNUMBER(SEARCH(Tables2!$C$677:$C$772,$O574)))&gt;0),
Error!$B$57,
IF(AND(_xlpm.hasDM,$F574="Remove",$H574&lt;&gt;"",OR($I574="On-site replacement",$I574="Off-site replacement",$I574="Payment In Lieu")),
Error!$B$56,
IF(AND(_xlpm.hasDM,$F574="Remove",$H574&lt;&gt;"",$I574="Relocation"),
Error!$B$66,
IF(AND(OR(_xlpm.hasCN,_xlpm.hasPH,_xlpm.hasGR),$H574&lt;&gt;"",COUNTIF(Tables!$B$132:$B$134,$H574)&gt;0,$I574="N/A (No replacement required)"),
Error!$B$62,
IF(AND(_xlpm.baseRow,$E574&lt;&gt;"",ISNA(MATCH($E574,Tables!$B$225:$B$232,0))),
Error!$B$2,
IF(AND(_xlpm.baseRow,$F574&lt;&gt;"",ISNA(MATCH($F574,Tables!$B$234:$B$235,0))),
Error!$B$24,
IF(AND(_xlpm.baseRow,_xlpm.ECA_H&gt;0,_xlpm.Shore_H&gt;0),
Error!$B$16,
IF(AND(_xlpm.baseRow,$E574&lt;&gt;"",$D574=""),
Error!$B$3,
IF(AND(_xlpm.baseRow,OR($E574="Tier 3",$E574="Tier 4"),$C574&lt;&gt;"",$D574&gt;=24,COUNTIF(Tables2!$B$166:$B$674,$C574)&gt;0),
Error!$B$44,
IF(AND(_xlpm.baseRow,OR($E574="Tier 3",$E574="Tier 4"),$C574&lt;&gt;"",$D574&lt;&gt;"",COUNTIF(Tables2!$B$73:$B$152,$C574)&gt;0,
$D574&gt;=IFERROR(INDEX(Tables2!$C$73:$C$152,MATCH($C574,Tables2!$B$73:$B$152,0)),-1)),
Error!$B$44,
IF(AND(_xlpm.baseRow,OR($E574="Tier 2",$E574="Tier 2 Grove"),$C574&lt;&gt;"",$D574&gt;=12,COUNTIF(Tables2!$B$153:$B$162,$C574)&gt;0),
Error!$B$45,
IF(AND(_xlpm.baseRow,$E574="Tier 2 Grove",$D574&lt;12),
Error!$B$41,
IF(AND(_xlpm.baseRow,$E574="Tier 2",$D574&lt;5.88),
Error!$B$40,
IF(AND(_xlpm.baseRow,OR($E574="Tier 2",$E574="Tier 2 Grove"),$C574&lt;&gt;"",$D574&lt;12,$D574&gt;=6,COUNTIF(Tables2!$B$153:$B$162,$C574)&gt;0),
Error!$B$54,
IF(AND(_xlpm.baseRow,$E574="Tier 2",COUNTIF(Tables2!$B$166:$B$674,$C574)&gt;0,$D574&lt;24),
Error!$B$54,
IF(AND(_xlpm.baseRow,$E574="Tier 3",ISNA(MATCH($C574,Tables2!$B$153:$B$162,0)),OR($D574&lt;12,$D574&gt;=24)),
Error!$B$9,
IF(AND(_xlpm.baseRow,$E574="Tier 3",COUNTIF(Tables2!$B$153:$B$162,$C574)&gt;0,$D574&lt;12),
Error!$B$46,
IF(AND(_xlpm.baseRow,$E574="Tier 4",OR($D574&lt;6,$D574&gt;=12)),
Error!$B$10,
IF(AND(_xlpm.baseRow,$E574="&lt;6in DSH for Tree Points",OR($D574&gt;=6,$D574="")),
Error!$B$8,
IF(AND(_xlpm.baseRow,$E574="Street Tree for Green Factor",$F574&lt;&gt;"",$F574&lt;&gt;"Retain"),
Error!$B$14,
IF(AND($E574="&lt;6in DSH for Tree Points",$F574="Retain",$H574&lt;&gt;"",ISNA(MATCH($H574,Tables!$B$174:$B$174,0))),
Error!$B$15,
IF(AND($E574="Street Tree for Green Factor",$F574="Retain",$H574&lt;&gt;"",$H574&lt;&gt;"Zoning: Green Factor"),
Error!$B$15,
IF(AND($E574="ECA / Shoreline Tree",$F574="Remove",$H574&lt;&gt;"",ISNA(MATCH($H574,Tables!$B$189:$B$190,0))),
Error!$B$15,
IF(AND($E574="ECA / Shoreline Tree",$F574="Retain",$H574&lt;&gt;"",ISNA(MATCH($H574,Tables!$B$184:$B$186,0))),
Error!$B$15,
IF(AND($E574="Tier 4",$F574="Remove",$H574&lt;&gt;"",ISNA(MATCH($H574,Tables!$B$171,0))),
Error!$B$15,
IF(AND($E574="Tier 4",$F574="Retain",$H574&lt;&gt;"",ISNA(MATCH($H574,Tables!$B$166:$B$168,0))),
Error!$B$15,
IF(AND($E574="Tier 3",$F574="Retain",$H574&lt;&gt;"",ISNA(MATCH($H574,Tables!$B$158:$B$160,0))),
Error!$B$15,
IF(AND($E574="Tier 3",$F574="Remove",$H574&lt;&gt;"",ISNA(MATCH($H574,Tables!$B$163,0))),
Error!$B$15,
IF(AND(OR($E574="Tier 2",$E574="Tier 2 Grove"),$F574="Remove",$H574&lt;&gt;"",ISNA(MATCH($H574,Tables!$B$153:$B$155,0))),
Error!$B$15,
IF(AND(OR($E574="Tier 2",$E574="Tier 2 Grove"),$F574="Retain",$H574&lt;&gt;"",ISNA(MATCH($H574,Tables!$B$147:$B$150,0))),
Error!$B$15,
IF(AND($E574="Tier 1",$F574="Remove",$H574&lt;&gt;"",ISNA(MATCH($H574,Tables!$B$143:$B$144,0))),
Error!$B$15,
IF(AND($E574="Tier 1",$F574="Retain",$H574&lt;&gt;"",ISNA(MATCH($H574,Tables!$B$137:$B$140,0))),
Error!$B$15,
IF(AND($E574&lt;&gt;"Tier 2",$E574&lt;&gt;"Tier 2 Grove",$E574&lt;&gt;"Tier 3",$E574&lt;&gt;"Tier 4",$H574="Zoning: Green Factor",OR($D574="",$D574&lt;6)),
Error!$B$11,
IF(AND(_xlpm.baseRow,$D574&lt;6,$E574="&lt;6in DSH for Tree Points",_xlpm.TreePoints_H=0),
Error!$B$21,
IF(AND(_xlpm.baseRow,$E574&lt;&gt;"",$D574&lt;&gt;"",$F574=""),
Error!$B$4,
IF(AND(_xlpm.baseRow,$F574="Remove",OR($E574="Tier 1",$E574="Tier 2",$E574="Tier 2 Grove"),COUNTBLANK(_xlpm.HRange)&lt;3,_xlpm.uniqueH&gt;=2),
Error!$B$48,
IF(AND(_xlpm.baseRow,$F574="Retain",OR($E574="Tier 1",$E574="Tier 2",$E574="Tier 2 Grove"),COUNTIF(_xlpm.HRange,"Tree Code: Required to Retain Tier 1-2 Tree")=0),
Error!$B$47,
IF(AND(_xlpm.baseRow,$E574&lt;&gt;"",$D574&lt;&gt;"",$F574&lt;&gt;"",COUNTBLANK(_xlpm.HRange)=4),
Error!$B$5,
IF(AND($F574="Remove",$H574&lt;&gt;"",$I574=""),
Error!$B$18,
IF(AND($E574="Tier 4",$F574="Remove",$H574="Tree Protection Code: Tier 3 or Tier 4 Allowance",$H574&lt;&gt;"",ISNA(MATCH($I574,Tables!$B$200,0))),
Error!$B$17,
IF(AND($E574="Tier 3",$F574="Remove",$H574&lt;&gt;"",$H574="Tree Protection Code: Tier 3 or Tier 4 Allowance",OR($I574="",ISNA(MATCH($I574,Tables!$B$193:$B$197,0)))),
Error!$B$17,
IF(AND(OR($E574="Tier 2",$E574="Tier 2 Grove"),$F574="Remove",$H574="Tree Protection Code: Other removal allowance or exemption",$I574&lt;&gt;"",ISNA(MATCH($I574,Tables!$B$215:$B$218,0))),
Error!$B$17,
IF(AND(OR($E574="Tier 2",$E574="Tier 2 Grove"),$F574="Remove",$H574="Tree Protection Code: Development Capacity",$I574&lt;&gt;"",ISNA(MATCH($I574,Tables!$B$193:$B$197,0))),
Error!$B$17,
IF(AND(OR($E574="Tier 2",$E574="Tier 2 Grove"),$F574="Remove",$H574="Tree Protection Code: Necessary for Construction",$I574&lt;&gt;"",ISNA(MATCH($I574,Tables!$B$193:$B$197,0))),
Error!$B$17,
IF(AND($E574="Tier 1",$F574="Remove",$H574="Tree Protection Code: Special Exception",$I574&lt;&gt;"",ISNA(MATCH($I574,Tables!$B$215:$B$218,0))),
Error!$B$17,
IF(AND($E574="Tier 1",$F574="Remove",$H574="Tree Protection Code: Other removal allowance or exemption",$I574&lt;&gt;"",ISNA(MATCH($I574,Tables!$B$215:$B$218,0))),
Error!$B$17,
IF(AND($E574="ECA / Shoreline Tree",$F574="Remove",$H574&lt;&gt;"",OR($H574="Shoreline",$H574="Environmental Critical Area (ECA)"),ISNA(MATCH($I574,Tables!$B$209:$B$212,0))),
Error!$B$17,
IF(AND(_xlpm.baseRow,$F574="Retain",$E574="ECA / Shoreline Tree",_xlpm.ECA_Short=0),
Error!$B$61,
IF(AND($F574="Remove",ISNUMBER(MATCH($E574,{"Tier 1","Tier 2","Tier 3","Tier 4","Tier 2 Grove"},0)),ISNUMBER(MATCH($I574,{"On-site replacement","Off-site replacement"},0)),$J574="",$H574&lt;&gt;""),
Error!$B$19,
IF(AND(_xlpm.baseRow,$E574&lt;&gt;"",$D574&lt;&gt;"",$F574&lt;&gt;"",COUNTBLANK($B574:$C574)&gt;0,COUNTBLANK(_xlpm.HRange)&lt;&gt;4),
Error!$B$22,
IF(AND($H574="Zoning: Tree Points",$K574&lt;&gt;"",ISNA(MATCH($K574,Tables!$B$242:$B$253,0))),
Error!$B$58,
IF(AND($H574="Zoning: Tree Points",$K574="Small",$L574&lt;&gt;"",ISNA(MATCH($L574,Tables!$C$243:$C$244,0))),
Error!$B$59,
IF(AND($H574="Zoning: Tree Points",$K574="Small/Medium",$L574&lt;&gt;"",ISNA(MATCH($L574,Tables!$C$246:$C$247,0))),
Error!$B$59,
IF(AND($H574="Zoning: Tree Points",$K574="Medium/Large",$L574&lt;&gt;"",ISNA(MATCH($L574,Tables!$C$249:$C$250,0))),
Error!$B$59,
IF(AND($H574="Zoning: Tree Points",$K574="Large",$L574&lt;&gt;"",ISNA(MATCH($L574,Tables!$C$252:$C$253,0))),
Error!$B$59,
IF(AND($F574="Retain",$H574="Zoning: Tree Points",$C574&lt;&gt;"",$D574&lt;&gt;"",OR($K574="",$L574="",$M574="")),
Error!$B$20,
""
)))))))))))))))))))))))))))))))))))))))))))))))))))))))),
Error!$B$23))</f>
        <v/>
      </c>
      <c r="O574" s="343" t="str" cm="1">
        <f t="array" aca="1" ref="O574" ca="1">IFERROR(_xlfn.LET(
    _xlpm.txt, $C574,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75" spans="1:15" ht="15" thickBot="1" x14ac:dyDescent="0.35">
      <c r="A575" s="311">
        <v>142</v>
      </c>
      <c r="B575" s="312"/>
      <c r="C575" s="313"/>
      <c r="D575" s="478"/>
      <c r="E575" s="314"/>
      <c r="F575" s="314"/>
      <c r="G575" s="315" t="str">
        <f>IF(Tree_Table1[[#This Row],[Tree Status  &amp;]]="Retain", Tables!$B$237, IF(Tree_Table1[[#This Row],[Tree Status  &amp;]]="Remove", Tables!$B$238, ""))</f>
        <v/>
      </c>
      <c r="H575" s="316"/>
      <c r="I575" s="317"/>
      <c r="J575" s="452"/>
      <c r="K575" s="318" t="str">
        <f>IFERROR(
    IF(
        AND($H575="Zoning: Tree Points", NOT(ISNUMBER(SEARCH("sp.", $C575)))),
        VLOOKUP($C575, 'Tree List'!$C$3:$F$601, 4, FALSE),
        ""
    ),
"")</f>
        <v/>
      </c>
      <c r="L575" s="319" t="str" cm="1">
        <f t="array" ref="L575">IFERROR(
IF(
    AND($H575="Zoning: Tree Points", NOT(ISNUMBER(SEARCH("sp.", $C575)))),
    _xlfn.IFS(
        (COUNTIFS('Tree List'!$C$3:$C$601,$C575,'Tree List'!$D$3:$D$601,"Coniferous")
        + COUNTIFS('Tree List'!$C$3:$C$601,$C575,'Tree List'!$D$3:$D$601,"Deciduous Conifer")) &gt; 0,
            _xlfn.IFS($K575="Small",0.5,$K575="Small/Medium",1,$K575="Medium/Large",1.4,$K575="Large",1.8),
        (COUNTIFS('Tree List'!$C$3:$C$601,$C575,'Tree List'!$D$3:$D$601,"Deciduous")
        + COUNTIFS('Tree List'!$C$3:$C$601,$C575,'Tree List'!$D$3:$D$601,"Broadleaf Evergreen")) &gt; 0,
            _xlfn.IFS($K575="Small",0.4,$K575="Small/Medium",0.8,$K575="Medium/Large",1.2,$K575="Large",1.6)
    ),
    ""
),
"")</f>
        <v/>
      </c>
      <c r="M575" s="474" t="str">
        <f t="shared" si="654"/>
        <v/>
      </c>
      <c r="N575" s="620" t="str" cm="1">
        <f t="array" aca="1" ref="N57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IF(AND(_xlpm.baseRow,ISNA(MATCH($C575,'Tree List'!$C$3:$C$601,0)),SUMPRODUCT(--ISNUMBER(SEARCH(Tables2!$C$677:$C$772,$O575)))&gt;0),
Error!$B$57,
IF(AND(_xlpm.hasDM,$F575="Remove",$H575&lt;&gt;"",OR($I575="On-site replacement",$I575="Off-site replacement",$I575="Payment In Lieu")),
Error!$B$56,
IF(AND(_xlpm.hasDM,$F575="Remove",$H575&lt;&gt;"",$I575="Relocation"),
Error!$B$66,
IF(AND(OR(_xlpm.hasCN,_xlpm.hasPH,_xlpm.hasGR),$H575&lt;&gt;"",COUNTIF(Tables!$B$132:$B$134,$H575)&gt;0,$I575="N/A (No replacement required)"),
Error!$B$62,
IF(AND(_xlpm.baseRow,$E575&lt;&gt;"",ISNA(MATCH($E575,Tables!$B$225:$B$232,0))),
Error!$B$2,
IF(AND(_xlpm.baseRow,$F575&lt;&gt;"",ISNA(MATCH($F575,Tables!$B$234:$B$235,0))),
Error!$B$24,
IF(AND(_xlpm.baseRow,_xlpm.ECA_H&gt;0,_xlpm.Shore_H&gt;0),
Error!$B$16,
IF(AND(_xlpm.baseRow,$E575&lt;&gt;"",$D575=""),
Error!$B$3,
IF(AND(_xlpm.baseRow,OR($E575="Tier 3",$E575="Tier 4"),$C575&lt;&gt;"",$D575&gt;=24,COUNTIF(Tables2!$B$166:$B$674,$C575)&gt;0),
Error!$B$44,
IF(AND(_xlpm.baseRow,OR($E575="Tier 3",$E575="Tier 4"),$C575&lt;&gt;"",$D575&lt;&gt;"",COUNTIF(Tables2!$B$73:$B$152,$C575)&gt;0,
$D575&gt;=IFERROR(INDEX(Tables2!$C$73:$C$152,MATCH($C575,Tables2!$B$73:$B$152,0)),-1)),
Error!$B$44,
IF(AND(_xlpm.baseRow,OR($E575="Tier 2",$E575="Tier 2 Grove"),$C575&lt;&gt;"",$D575&gt;=12,COUNTIF(Tables2!$B$153:$B$162,$C575)&gt;0),
Error!$B$45,
IF(AND(_xlpm.baseRow,$E575="Tier 2 Grove",$D575&lt;12),
Error!$B$41,
IF(AND(_xlpm.baseRow,$E575="Tier 2",$D575&lt;5.88),
Error!$B$40,
IF(AND(_xlpm.baseRow,OR($E575="Tier 2",$E575="Tier 2 Grove"),$C575&lt;&gt;"",$D575&lt;12,$D575&gt;=6,COUNTIF(Tables2!$B$153:$B$162,$C575)&gt;0),
Error!$B$54,
IF(AND(_xlpm.baseRow,$E575="Tier 2",COUNTIF(Tables2!$B$166:$B$674,$C575)&gt;0,$D575&lt;24),
Error!$B$54,
IF(AND(_xlpm.baseRow,$E575="Tier 3",ISNA(MATCH($C575,Tables2!$B$153:$B$162,0)),OR($D575&lt;12,$D575&gt;=24)),
Error!$B$9,
IF(AND(_xlpm.baseRow,$E575="Tier 3",COUNTIF(Tables2!$B$153:$B$162,$C575)&gt;0,$D575&lt;12),
Error!$B$46,
IF(AND(_xlpm.baseRow,$E575="Tier 4",OR($D575&lt;6,$D575&gt;=12)),
Error!$B$10,
IF(AND(_xlpm.baseRow,$E575="&lt;6in DSH for Tree Points",OR($D575&gt;=6,$D575="")),
Error!$B$8,
IF(AND(_xlpm.baseRow,$E575="Street Tree for Green Factor",$F575&lt;&gt;"",$F575&lt;&gt;"Retain"),
Error!$B$14,
IF(AND($E575="&lt;6in DSH for Tree Points",$F575="Retain",$H575&lt;&gt;"",ISNA(MATCH($H575,Tables!$B$174:$B$174,0))),
Error!$B$15,
IF(AND($E575="Street Tree for Green Factor",$F575="Retain",$H575&lt;&gt;"",$H575&lt;&gt;"Zoning: Green Factor"),
Error!$B$15,
IF(AND($E575="ECA / Shoreline Tree",$F575="Remove",$H575&lt;&gt;"",ISNA(MATCH($H575,Tables!$B$189:$B$190,0))),
Error!$B$15,
IF(AND($E575="ECA / Shoreline Tree",$F575="Retain",$H575&lt;&gt;"",ISNA(MATCH($H575,Tables!$B$184:$B$186,0))),
Error!$B$15,
IF(AND($E575="Tier 4",$F575="Remove",$H575&lt;&gt;"",ISNA(MATCH($H575,Tables!$B$171,0))),
Error!$B$15,
IF(AND($E575="Tier 4",$F575="Retain",$H575&lt;&gt;"",ISNA(MATCH($H575,Tables!$B$166:$B$168,0))),
Error!$B$15,
IF(AND($E575="Tier 3",$F575="Retain",$H575&lt;&gt;"",ISNA(MATCH($H575,Tables!$B$158:$B$160,0))),
Error!$B$15,
IF(AND($E575="Tier 3",$F575="Remove",$H575&lt;&gt;"",ISNA(MATCH($H575,Tables!$B$163,0))),
Error!$B$15,
IF(AND(OR($E575="Tier 2",$E575="Tier 2 Grove"),$F575="Remove",$H575&lt;&gt;"",ISNA(MATCH($H575,Tables!$B$153:$B$155,0))),
Error!$B$15,
IF(AND(OR($E575="Tier 2",$E575="Tier 2 Grove"),$F575="Retain",$H575&lt;&gt;"",ISNA(MATCH($H575,Tables!$B$147:$B$150,0))),
Error!$B$15,
IF(AND($E575="Tier 1",$F575="Remove",$H575&lt;&gt;"",ISNA(MATCH($H575,Tables!$B$143:$B$144,0))),
Error!$B$15,
IF(AND($E575="Tier 1",$F575="Retain",$H575&lt;&gt;"",ISNA(MATCH($H575,Tables!$B$137:$B$140,0))),
Error!$B$15,
IF(AND($E575&lt;&gt;"Tier 2",$E575&lt;&gt;"Tier 2 Grove",$E575&lt;&gt;"Tier 3",$E575&lt;&gt;"Tier 4",$H575="Zoning: Green Factor",OR($D575="",$D575&lt;6)),
Error!$B$11,
IF(AND(_xlpm.baseRow,$D575&lt;6,$E575="&lt;6in DSH for Tree Points",_xlpm.TreePoints_H=0),
Error!$B$21,
IF(AND(_xlpm.baseRow,$E575&lt;&gt;"",$D575&lt;&gt;"",$F575=""),
Error!$B$4,
IF(AND(_xlpm.baseRow,$F575="Remove",OR($E575="Tier 1",$E575="Tier 2",$E575="Tier 2 Grove"),COUNTBLANK(_xlpm.HRange)&lt;3,_xlpm.uniqueH&gt;=2),
Error!$B$48,
IF(AND(_xlpm.baseRow,$F575="Retain",OR($E575="Tier 1",$E575="Tier 2",$E575="Tier 2 Grove"),COUNTIF(_xlpm.HRange,"Tree Code: Required to Retain Tier 1-2 Tree")=0),
Error!$B$47,
IF(AND(_xlpm.baseRow,$E575&lt;&gt;"",$D575&lt;&gt;"",$F575&lt;&gt;"",COUNTBLANK(_xlpm.HRange)=4),
Error!$B$5,
IF(AND($F575="Remove",$H575&lt;&gt;"",$I575=""),
Error!$B$18,
IF(AND($E575="Tier 4",$F575="Remove",$H575="Tree Protection Code: Tier 3 or Tier 4 Allowance",$H575&lt;&gt;"",ISNA(MATCH($I575,Tables!$B$200,0))),
Error!$B$17,
IF(AND($E575="Tier 3",$F575="Remove",$H575&lt;&gt;"",$H575="Tree Protection Code: Tier 3 or Tier 4 Allowance",OR($I575="",ISNA(MATCH($I575,Tables!$B$193:$B$197,0)))),
Error!$B$17,
IF(AND(OR($E575="Tier 2",$E575="Tier 2 Grove"),$F575="Remove",$H575="Tree Protection Code: Other removal allowance or exemption",$I575&lt;&gt;"",ISNA(MATCH($I575,Tables!$B$215:$B$218,0))),
Error!$B$17,
IF(AND(OR($E575="Tier 2",$E575="Tier 2 Grove"),$F575="Remove",$H575="Tree Protection Code: Development Capacity",$I575&lt;&gt;"",ISNA(MATCH($I575,Tables!$B$193:$B$197,0))),
Error!$B$17,
IF(AND(OR($E575="Tier 2",$E575="Tier 2 Grove"),$F575="Remove",$H575="Tree Protection Code: Necessary for Construction",$I575&lt;&gt;"",ISNA(MATCH($I575,Tables!$B$193:$B$197,0))),
Error!$B$17,
IF(AND($E575="Tier 1",$F575="Remove",$H575="Tree Protection Code: Special Exception",$I575&lt;&gt;"",ISNA(MATCH($I575,Tables!$B$215:$B$218,0))),
Error!$B$17,
IF(AND($E575="Tier 1",$F575="Remove",$H575="Tree Protection Code: Other removal allowance or exemption",$I575&lt;&gt;"",ISNA(MATCH($I575,Tables!$B$215:$B$218,0))),
Error!$B$17,
IF(AND($E575="ECA / Shoreline Tree",$F575="Remove",$H575&lt;&gt;"",OR($H575="Shoreline",$H575="Environmental Critical Area (ECA)"),ISNA(MATCH($I575,Tables!$B$209:$B$212,0))),
Error!$B$17,
IF(AND(_xlpm.baseRow,$F575="Retain",$E575="ECA / Shoreline Tree",_xlpm.ECA_Short=0),
Error!$B$61,
IF(AND($F575="Remove",ISNUMBER(MATCH($E575,{"Tier 1","Tier 2","Tier 3","Tier 4","Tier 2 Grove"},0)),ISNUMBER(MATCH($I575,{"On-site replacement","Off-site replacement"},0)),$J575="",$H575&lt;&gt;""),
Error!$B$19,
IF(AND(_xlpm.baseRow,$E575&lt;&gt;"",$D575&lt;&gt;"",$F575&lt;&gt;"",COUNTBLANK($B575:$C575)&gt;0,COUNTBLANK(_xlpm.HRange)&lt;&gt;4),
Error!$B$22,
IF(AND($H575="Zoning: Tree Points",$K575&lt;&gt;"",ISNA(MATCH($K575,Tables!$B$242:$B$253,0))),
Error!$B$58,
IF(AND($H575="Zoning: Tree Points",$K575="Small",$L575&lt;&gt;"",ISNA(MATCH($L575,Tables!$C$243:$C$244,0))),
Error!$B$59,
IF(AND($H575="Zoning: Tree Points",$K575="Small/Medium",$L575&lt;&gt;"",ISNA(MATCH($L575,Tables!$C$246:$C$247,0))),
Error!$B$59,
IF(AND($H575="Zoning: Tree Points",$K575="Medium/Large",$L575&lt;&gt;"",ISNA(MATCH($L575,Tables!$C$249:$C$250,0))),
Error!$B$59,
IF(AND($H575="Zoning: Tree Points",$K575="Large",$L575&lt;&gt;"",ISNA(MATCH($L575,Tables!$C$252:$C$253,0))),
Error!$B$59,
IF(AND($F575="Retain",$H575="Zoning: Tree Points",$C575&lt;&gt;"",$D575&lt;&gt;"",OR($K575="",$L575="",$M575="")),
Error!$B$20,
""
)))))))))))))))))))))))))))))))))))))))))))))))))))))))),
Error!$B$23))</f>
        <v/>
      </c>
      <c r="O575" s="343" t="str" cm="1">
        <f t="array" aca="1" ref="O575" ca="1">IFERROR(_xlfn.LET(
    _xlpm.txt, $C575,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76" spans="1:15" x14ac:dyDescent="0.3">
      <c r="A576" s="320"/>
      <c r="B576" s="616" t="str">
        <f t="shared" ref="B576:B578" si="670">IF($B575="", "", $B575)</f>
        <v/>
      </c>
      <c r="C576" s="617" t="str">
        <f t="shared" ref="C576:C578" si="671">IF($C575="", "", $C575)</f>
        <v/>
      </c>
      <c r="D576" s="618" t="str">
        <f t="shared" ref="D576:D578" si="672">IF($D575="", "", $D575)</f>
        <v/>
      </c>
      <c r="E576" s="616" t="str">
        <f t="shared" ref="E576:E578" si="673">IF($E575="", "", $E575)</f>
        <v/>
      </c>
      <c r="F576" s="616" t="str">
        <f t="shared" ref="F576:F578" si="674">IF($F575="", "", $F575)</f>
        <v/>
      </c>
      <c r="G576" s="619" t="str">
        <f>IF(Tree_Table1[[#This Row],[Tree Status  &amp;]]="Retain", Tables!$B$237, IF(Tree_Table1[[#This Row],[Tree Status  &amp;]]="Remove", Tables!$B$238, ""))</f>
        <v/>
      </c>
      <c r="H576" s="321"/>
      <c r="I576" s="322"/>
      <c r="J576" s="453"/>
      <c r="K576" s="323" t="str">
        <f>IFERROR(
    IF(
        AND($H576="Zoning: Tree Points", NOT(ISNUMBER(SEARCH("sp.", $C576)))),
        VLOOKUP($C576, 'Tree List'!$C$3:$F$601, 4, FALSE),
        ""
    ),
"")</f>
        <v/>
      </c>
      <c r="L576" s="324" t="str" cm="1">
        <f t="array" ref="L576">IFERROR(
IF(
    AND($H576="Zoning: Tree Points", NOT(ISNUMBER(SEARCH("sp.", $C576)))),
    _xlfn.IFS(
        (COUNTIFS('Tree List'!$C$3:$C$601,$C576,'Tree List'!$D$3:$D$601,"Coniferous")
        + COUNTIFS('Tree List'!$C$3:$C$601,$C576,'Tree List'!$D$3:$D$601,"Deciduous Conifer")) &gt; 0,
            _xlfn.IFS($K576="Small",0.5,$K576="Small/Medium",1,$K576="Medium/Large",1.4,$K576="Large",1.8),
        (COUNTIFS('Tree List'!$C$3:$C$601,$C576,'Tree List'!$D$3:$D$601,"Deciduous")
        + COUNTIFS('Tree List'!$C$3:$C$601,$C576,'Tree List'!$D$3:$D$601,"Broadleaf Evergreen")) &gt; 0,
            _xlfn.IFS($K576="Small",0.4,$K576="Small/Medium",0.8,$K576="Medium/Large",1.2,$K576="Large",1.6)
    ),
    ""
),
"")</f>
        <v/>
      </c>
      <c r="M576" s="475" t="str">
        <f t="shared" si="654"/>
        <v/>
      </c>
      <c r="N576" s="346" t="str" cm="1">
        <f t="array" aca="1" ref="N57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IF(AND(_xlpm.baseRow,ISNA(MATCH($C576,'Tree List'!$C$3:$C$601,0)),SUMPRODUCT(--ISNUMBER(SEARCH(Tables2!$C$677:$C$772,$O576)))&gt;0),
Error!$B$57,
IF(AND(_xlpm.hasDM,$F576="Remove",$H576&lt;&gt;"",OR($I576="On-site replacement",$I576="Off-site replacement",$I576="Payment In Lieu")),
Error!$B$56,
IF(AND(_xlpm.hasDM,$F576="Remove",$H576&lt;&gt;"",$I576="Relocation"),
Error!$B$66,
IF(AND(OR(_xlpm.hasCN,_xlpm.hasPH,_xlpm.hasGR),$H576&lt;&gt;"",COUNTIF(Tables!$B$132:$B$134,$H576)&gt;0,$I576="N/A (No replacement required)"),
Error!$B$62,
IF(AND(_xlpm.baseRow,$E576&lt;&gt;"",ISNA(MATCH($E576,Tables!$B$225:$B$232,0))),
Error!$B$2,
IF(AND(_xlpm.baseRow,$F576&lt;&gt;"",ISNA(MATCH($F576,Tables!$B$234:$B$235,0))),
Error!$B$24,
IF(AND(_xlpm.baseRow,_xlpm.ECA_H&gt;0,_xlpm.Shore_H&gt;0),
Error!$B$16,
IF(AND(_xlpm.baseRow,$E576&lt;&gt;"",$D576=""),
Error!$B$3,
IF(AND(_xlpm.baseRow,OR($E576="Tier 3",$E576="Tier 4"),$C576&lt;&gt;"",$D576&gt;=24,COUNTIF(Tables2!$B$166:$B$674,$C576)&gt;0),
Error!$B$44,
IF(AND(_xlpm.baseRow,OR($E576="Tier 3",$E576="Tier 4"),$C576&lt;&gt;"",$D576&lt;&gt;"",COUNTIF(Tables2!$B$73:$B$152,$C576)&gt;0,
$D576&gt;=IFERROR(INDEX(Tables2!$C$73:$C$152,MATCH($C576,Tables2!$B$73:$B$152,0)),-1)),
Error!$B$44,
IF(AND(_xlpm.baseRow,OR($E576="Tier 2",$E576="Tier 2 Grove"),$C576&lt;&gt;"",$D576&gt;=12,COUNTIF(Tables2!$B$153:$B$162,$C576)&gt;0),
Error!$B$45,
IF(AND(_xlpm.baseRow,$E576="Tier 2 Grove",$D576&lt;12),
Error!$B$41,
IF(AND(_xlpm.baseRow,$E576="Tier 2",$D576&lt;5.88),
Error!$B$40,
IF(AND(_xlpm.baseRow,OR($E576="Tier 2",$E576="Tier 2 Grove"),$C576&lt;&gt;"",$D576&lt;12,$D576&gt;=6,COUNTIF(Tables2!$B$153:$B$162,$C576)&gt;0),
Error!$B$54,
IF(AND(_xlpm.baseRow,$E576="Tier 2",COUNTIF(Tables2!$B$166:$B$674,$C576)&gt;0,$D576&lt;24),
Error!$B$54,
IF(AND(_xlpm.baseRow,$E576="Tier 3",ISNA(MATCH($C576,Tables2!$B$153:$B$162,0)),OR($D576&lt;12,$D576&gt;=24)),
Error!$B$9,
IF(AND(_xlpm.baseRow,$E576="Tier 3",COUNTIF(Tables2!$B$153:$B$162,$C576)&gt;0,$D576&lt;12),
Error!$B$46,
IF(AND(_xlpm.baseRow,$E576="Tier 4",OR($D576&lt;6,$D576&gt;=12)),
Error!$B$10,
IF(AND(_xlpm.baseRow,$E576="&lt;6in DSH for Tree Points",OR($D576&gt;=6,$D576="")),
Error!$B$8,
IF(AND(_xlpm.baseRow,$E576="Street Tree for Green Factor",$F576&lt;&gt;"",$F576&lt;&gt;"Retain"),
Error!$B$14,
IF(AND($E576="&lt;6in DSH for Tree Points",$F576="Retain",$H576&lt;&gt;"",ISNA(MATCH($H576,Tables!$B$174:$B$174,0))),
Error!$B$15,
IF(AND($E576="Street Tree for Green Factor",$F576="Retain",$H576&lt;&gt;"",$H576&lt;&gt;"Zoning: Green Factor"),
Error!$B$15,
IF(AND($E576="ECA / Shoreline Tree",$F576="Remove",$H576&lt;&gt;"",ISNA(MATCH($H576,Tables!$B$189:$B$190,0))),
Error!$B$15,
IF(AND($E576="ECA / Shoreline Tree",$F576="Retain",$H576&lt;&gt;"",ISNA(MATCH($H576,Tables!$B$184:$B$186,0))),
Error!$B$15,
IF(AND($E576="Tier 4",$F576="Remove",$H576&lt;&gt;"",ISNA(MATCH($H576,Tables!$B$171,0))),
Error!$B$15,
IF(AND($E576="Tier 4",$F576="Retain",$H576&lt;&gt;"",ISNA(MATCH($H576,Tables!$B$166:$B$168,0))),
Error!$B$15,
IF(AND($E576="Tier 3",$F576="Retain",$H576&lt;&gt;"",ISNA(MATCH($H576,Tables!$B$158:$B$160,0))),
Error!$B$15,
IF(AND($E576="Tier 3",$F576="Remove",$H576&lt;&gt;"",ISNA(MATCH($H576,Tables!$B$163,0))),
Error!$B$15,
IF(AND(OR($E576="Tier 2",$E576="Tier 2 Grove"),$F576="Remove",$H576&lt;&gt;"",ISNA(MATCH($H576,Tables!$B$153:$B$155,0))),
Error!$B$15,
IF(AND(OR($E576="Tier 2",$E576="Tier 2 Grove"),$F576="Retain",$H576&lt;&gt;"",ISNA(MATCH($H576,Tables!$B$147:$B$150,0))),
Error!$B$15,
IF(AND($E576="Tier 1",$F576="Remove",$H576&lt;&gt;"",ISNA(MATCH($H576,Tables!$B$143:$B$144,0))),
Error!$B$15,
IF(AND($E576="Tier 1",$F576="Retain",$H576&lt;&gt;"",ISNA(MATCH($H576,Tables!$B$137:$B$140,0))),
Error!$B$15,
IF(AND($E576&lt;&gt;"Tier 2",$E576&lt;&gt;"Tier 2 Grove",$E576&lt;&gt;"Tier 3",$E576&lt;&gt;"Tier 4",$H576="Zoning: Green Factor",OR($D576="",$D576&lt;6)),
Error!$B$11,
IF(AND(_xlpm.baseRow,$D576&lt;6,$E576="&lt;6in DSH for Tree Points",_xlpm.TreePoints_H=0),
Error!$B$21,
IF(AND(_xlpm.baseRow,$E576&lt;&gt;"",$D576&lt;&gt;"",$F576=""),
Error!$B$4,
IF(AND(_xlpm.baseRow,$F576="Remove",OR($E576="Tier 1",$E576="Tier 2",$E576="Tier 2 Grove"),COUNTBLANK(_xlpm.HRange)&lt;3,_xlpm.uniqueH&gt;=2),
Error!$B$48,
IF(AND(_xlpm.baseRow,$F576="Retain",OR($E576="Tier 1",$E576="Tier 2",$E576="Tier 2 Grove"),COUNTIF(_xlpm.HRange,"Tree Code: Required to Retain Tier 1-2 Tree")=0),
Error!$B$47,
IF(AND(_xlpm.baseRow,$E576&lt;&gt;"",$D576&lt;&gt;"",$F576&lt;&gt;"",COUNTBLANK(_xlpm.HRange)=4),
Error!$B$5,
IF(AND($F576="Remove",$H576&lt;&gt;"",$I576=""),
Error!$B$18,
IF(AND($E576="Tier 4",$F576="Remove",$H576="Tree Protection Code: Tier 3 or Tier 4 Allowance",$H576&lt;&gt;"",ISNA(MATCH($I576,Tables!$B$200,0))),
Error!$B$17,
IF(AND($E576="Tier 3",$F576="Remove",$H576&lt;&gt;"",$H576="Tree Protection Code: Tier 3 or Tier 4 Allowance",OR($I576="",ISNA(MATCH($I576,Tables!$B$193:$B$197,0)))),
Error!$B$17,
IF(AND(OR($E576="Tier 2",$E576="Tier 2 Grove"),$F576="Remove",$H576="Tree Protection Code: Other removal allowance or exemption",$I576&lt;&gt;"",ISNA(MATCH($I576,Tables!$B$215:$B$218,0))),
Error!$B$17,
IF(AND(OR($E576="Tier 2",$E576="Tier 2 Grove"),$F576="Remove",$H576="Tree Protection Code: Development Capacity",$I576&lt;&gt;"",ISNA(MATCH($I576,Tables!$B$193:$B$197,0))),
Error!$B$17,
IF(AND(OR($E576="Tier 2",$E576="Tier 2 Grove"),$F576="Remove",$H576="Tree Protection Code: Necessary for Construction",$I576&lt;&gt;"",ISNA(MATCH($I576,Tables!$B$193:$B$197,0))),
Error!$B$17,
IF(AND($E576="Tier 1",$F576="Remove",$H576="Tree Protection Code: Special Exception",$I576&lt;&gt;"",ISNA(MATCH($I576,Tables!$B$215:$B$218,0))),
Error!$B$17,
IF(AND($E576="Tier 1",$F576="Remove",$H576="Tree Protection Code: Other removal allowance or exemption",$I576&lt;&gt;"",ISNA(MATCH($I576,Tables!$B$215:$B$218,0))),
Error!$B$17,
IF(AND($E576="ECA / Shoreline Tree",$F576="Remove",$H576&lt;&gt;"",OR($H576="Shoreline",$H576="Environmental Critical Area (ECA)"),ISNA(MATCH($I576,Tables!$B$209:$B$212,0))),
Error!$B$17,
IF(AND(_xlpm.baseRow,$F576="Retain",$E576="ECA / Shoreline Tree",_xlpm.ECA_Short=0),
Error!$B$61,
IF(AND($F576="Remove",ISNUMBER(MATCH($E576,{"Tier 1","Tier 2","Tier 3","Tier 4","Tier 2 Grove"},0)),ISNUMBER(MATCH($I576,{"On-site replacement","Off-site replacement"},0)),$J576="",$H576&lt;&gt;""),
Error!$B$19,
IF(AND(_xlpm.baseRow,$E576&lt;&gt;"",$D576&lt;&gt;"",$F576&lt;&gt;"",COUNTBLANK($B576:$C576)&gt;0,COUNTBLANK(_xlpm.HRange)&lt;&gt;4),
Error!$B$22,
IF(AND($H576="Zoning: Tree Points",$K576&lt;&gt;"",ISNA(MATCH($K576,Tables!$B$242:$B$253,0))),
Error!$B$58,
IF(AND($H576="Zoning: Tree Points",$K576="Small",$L576&lt;&gt;"",ISNA(MATCH($L576,Tables!$C$243:$C$244,0))),
Error!$B$59,
IF(AND($H576="Zoning: Tree Points",$K576="Small/Medium",$L576&lt;&gt;"",ISNA(MATCH($L576,Tables!$C$246:$C$247,0))),
Error!$B$59,
IF(AND($H576="Zoning: Tree Points",$K576="Medium/Large",$L576&lt;&gt;"",ISNA(MATCH($L576,Tables!$C$249:$C$250,0))),
Error!$B$59,
IF(AND($H576="Zoning: Tree Points",$K576="Large",$L576&lt;&gt;"",ISNA(MATCH($L576,Tables!$C$252:$C$253,0))),
Error!$B$59,
IF(AND($F576="Retain",$H576="Zoning: Tree Points",$C576&lt;&gt;"",$D576&lt;&gt;"",OR($K576="",$L576="",$M576="")),
Error!$B$20,
""
)))))))))))))))))))))))))))))))))))))))))))))))))))))))),
Error!$B$23))</f>
        <v/>
      </c>
      <c r="O576" s="343" t="str" cm="1">
        <f t="array" aca="1" ref="O576" ca="1">IFERROR(_xlfn.LET(
    _xlpm.txt, $C576,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77" spans="1:15" x14ac:dyDescent="0.3">
      <c r="A577" s="320"/>
      <c r="B577" s="616" t="str">
        <f t="shared" si="670"/>
        <v/>
      </c>
      <c r="C577" s="617" t="str">
        <f t="shared" si="671"/>
        <v/>
      </c>
      <c r="D577" s="618" t="str">
        <f t="shared" si="672"/>
        <v/>
      </c>
      <c r="E577" s="616" t="str">
        <f t="shared" si="673"/>
        <v/>
      </c>
      <c r="F577" s="616" t="str">
        <f t="shared" si="674"/>
        <v/>
      </c>
      <c r="G577" s="619" t="str">
        <f>IF(Tree_Table1[[#This Row],[Tree Status  &amp;]]="Retain", Tables!$B$237, IF(Tree_Table1[[#This Row],[Tree Status  &amp;]]="Remove", Tables!$B$238, ""))</f>
        <v/>
      </c>
      <c r="H577" s="321"/>
      <c r="I577" s="322"/>
      <c r="J577" s="453"/>
      <c r="K577" s="323" t="str">
        <f>IFERROR(
    IF(
        AND($H577="Zoning: Tree Points", NOT(ISNUMBER(SEARCH("sp.", $C577)))),
        VLOOKUP($C577, 'Tree List'!$C$3:$F$601, 4, FALSE),
        ""
    ),
"")</f>
        <v/>
      </c>
      <c r="L577" s="324" t="str" cm="1">
        <f t="array" ref="L577">IFERROR(
IF(
    AND($H577="Zoning: Tree Points", NOT(ISNUMBER(SEARCH("sp.", $C577)))),
    _xlfn.IFS(
        (COUNTIFS('Tree List'!$C$3:$C$601,$C577,'Tree List'!$D$3:$D$601,"Coniferous")
        + COUNTIFS('Tree List'!$C$3:$C$601,$C577,'Tree List'!$D$3:$D$601,"Deciduous Conifer")) &gt; 0,
            _xlfn.IFS($K577="Small",0.5,$K577="Small/Medium",1,$K577="Medium/Large",1.4,$K577="Large",1.8),
        (COUNTIFS('Tree List'!$C$3:$C$601,$C577,'Tree List'!$D$3:$D$601,"Deciduous")
        + COUNTIFS('Tree List'!$C$3:$C$601,$C577,'Tree List'!$D$3:$D$601,"Broadleaf Evergreen")) &gt; 0,
            _xlfn.IFS($K577="Small",0.4,$K577="Small/Medium",0.8,$K577="Medium/Large",1.2,$K577="Large",1.6)
    ),
    ""
),
"")</f>
        <v/>
      </c>
      <c r="M577" s="475" t="str">
        <f t="shared" si="654"/>
        <v/>
      </c>
      <c r="N577" s="346" t="str" cm="1">
        <f t="array" aca="1" ref="N57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IF(AND(_xlpm.baseRow,ISNA(MATCH($C577,'Tree List'!$C$3:$C$601,0)),SUMPRODUCT(--ISNUMBER(SEARCH(Tables2!$C$677:$C$772,$O577)))&gt;0),
Error!$B$57,
IF(AND(_xlpm.hasDM,$F577="Remove",$H577&lt;&gt;"",OR($I577="On-site replacement",$I577="Off-site replacement",$I577="Payment In Lieu")),
Error!$B$56,
IF(AND(_xlpm.hasDM,$F577="Remove",$H577&lt;&gt;"",$I577="Relocation"),
Error!$B$66,
IF(AND(OR(_xlpm.hasCN,_xlpm.hasPH,_xlpm.hasGR),$H577&lt;&gt;"",COUNTIF(Tables!$B$132:$B$134,$H577)&gt;0,$I577="N/A (No replacement required)"),
Error!$B$62,
IF(AND(_xlpm.baseRow,$E577&lt;&gt;"",ISNA(MATCH($E577,Tables!$B$225:$B$232,0))),
Error!$B$2,
IF(AND(_xlpm.baseRow,$F577&lt;&gt;"",ISNA(MATCH($F577,Tables!$B$234:$B$235,0))),
Error!$B$24,
IF(AND(_xlpm.baseRow,_xlpm.ECA_H&gt;0,_xlpm.Shore_H&gt;0),
Error!$B$16,
IF(AND(_xlpm.baseRow,$E577&lt;&gt;"",$D577=""),
Error!$B$3,
IF(AND(_xlpm.baseRow,OR($E577="Tier 3",$E577="Tier 4"),$C577&lt;&gt;"",$D577&gt;=24,COUNTIF(Tables2!$B$166:$B$674,$C577)&gt;0),
Error!$B$44,
IF(AND(_xlpm.baseRow,OR($E577="Tier 3",$E577="Tier 4"),$C577&lt;&gt;"",$D577&lt;&gt;"",COUNTIF(Tables2!$B$73:$B$152,$C577)&gt;0,
$D577&gt;=IFERROR(INDEX(Tables2!$C$73:$C$152,MATCH($C577,Tables2!$B$73:$B$152,0)),-1)),
Error!$B$44,
IF(AND(_xlpm.baseRow,OR($E577="Tier 2",$E577="Tier 2 Grove"),$C577&lt;&gt;"",$D577&gt;=12,COUNTIF(Tables2!$B$153:$B$162,$C577)&gt;0),
Error!$B$45,
IF(AND(_xlpm.baseRow,$E577="Tier 2 Grove",$D577&lt;12),
Error!$B$41,
IF(AND(_xlpm.baseRow,$E577="Tier 2",$D577&lt;5.88),
Error!$B$40,
IF(AND(_xlpm.baseRow,OR($E577="Tier 2",$E577="Tier 2 Grove"),$C577&lt;&gt;"",$D577&lt;12,$D577&gt;=6,COUNTIF(Tables2!$B$153:$B$162,$C577)&gt;0),
Error!$B$54,
IF(AND(_xlpm.baseRow,$E577="Tier 2",COUNTIF(Tables2!$B$166:$B$674,$C577)&gt;0,$D577&lt;24),
Error!$B$54,
IF(AND(_xlpm.baseRow,$E577="Tier 3",ISNA(MATCH($C577,Tables2!$B$153:$B$162,0)),OR($D577&lt;12,$D577&gt;=24)),
Error!$B$9,
IF(AND(_xlpm.baseRow,$E577="Tier 3",COUNTIF(Tables2!$B$153:$B$162,$C577)&gt;0,$D577&lt;12),
Error!$B$46,
IF(AND(_xlpm.baseRow,$E577="Tier 4",OR($D577&lt;6,$D577&gt;=12)),
Error!$B$10,
IF(AND(_xlpm.baseRow,$E577="&lt;6in DSH for Tree Points",OR($D577&gt;=6,$D577="")),
Error!$B$8,
IF(AND(_xlpm.baseRow,$E577="Street Tree for Green Factor",$F577&lt;&gt;"",$F577&lt;&gt;"Retain"),
Error!$B$14,
IF(AND($E577="&lt;6in DSH for Tree Points",$F577="Retain",$H577&lt;&gt;"",ISNA(MATCH($H577,Tables!$B$174:$B$174,0))),
Error!$B$15,
IF(AND($E577="Street Tree for Green Factor",$F577="Retain",$H577&lt;&gt;"",$H577&lt;&gt;"Zoning: Green Factor"),
Error!$B$15,
IF(AND($E577="ECA / Shoreline Tree",$F577="Remove",$H577&lt;&gt;"",ISNA(MATCH($H577,Tables!$B$189:$B$190,0))),
Error!$B$15,
IF(AND($E577="ECA / Shoreline Tree",$F577="Retain",$H577&lt;&gt;"",ISNA(MATCH($H577,Tables!$B$184:$B$186,0))),
Error!$B$15,
IF(AND($E577="Tier 4",$F577="Remove",$H577&lt;&gt;"",ISNA(MATCH($H577,Tables!$B$171,0))),
Error!$B$15,
IF(AND($E577="Tier 4",$F577="Retain",$H577&lt;&gt;"",ISNA(MATCH($H577,Tables!$B$166:$B$168,0))),
Error!$B$15,
IF(AND($E577="Tier 3",$F577="Retain",$H577&lt;&gt;"",ISNA(MATCH($H577,Tables!$B$158:$B$160,0))),
Error!$B$15,
IF(AND($E577="Tier 3",$F577="Remove",$H577&lt;&gt;"",ISNA(MATCH($H577,Tables!$B$163,0))),
Error!$B$15,
IF(AND(OR($E577="Tier 2",$E577="Tier 2 Grove"),$F577="Remove",$H577&lt;&gt;"",ISNA(MATCH($H577,Tables!$B$153:$B$155,0))),
Error!$B$15,
IF(AND(OR($E577="Tier 2",$E577="Tier 2 Grove"),$F577="Retain",$H577&lt;&gt;"",ISNA(MATCH($H577,Tables!$B$147:$B$150,0))),
Error!$B$15,
IF(AND($E577="Tier 1",$F577="Remove",$H577&lt;&gt;"",ISNA(MATCH($H577,Tables!$B$143:$B$144,0))),
Error!$B$15,
IF(AND($E577="Tier 1",$F577="Retain",$H577&lt;&gt;"",ISNA(MATCH($H577,Tables!$B$137:$B$140,0))),
Error!$B$15,
IF(AND($E577&lt;&gt;"Tier 2",$E577&lt;&gt;"Tier 2 Grove",$E577&lt;&gt;"Tier 3",$E577&lt;&gt;"Tier 4",$H577="Zoning: Green Factor",OR($D577="",$D577&lt;6)),
Error!$B$11,
IF(AND(_xlpm.baseRow,$D577&lt;6,$E577="&lt;6in DSH for Tree Points",_xlpm.TreePoints_H=0),
Error!$B$21,
IF(AND(_xlpm.baseRow,$E577&lt;&gt;"",$D577&lt;&gt;"",$F577=""),
Error!$B$4,
IF(AND(_xlpm.baseRow,$F577="Remove",OR($E577="Tier 1",$E577="Tier 2",$E577="Tier 2 Grove"),COUNTBLANK(_xlpm.HRange)&lt;3,_xlpm.uniqueH&gt;=2),
Error!$B$48,
IF(AND(_xlpm.baseRow,$F577="Retain",OR($E577="Tier 1",$E577="Tier 2",$E577="Tier 2 Grove"),COUNTIF(_xlpm.HRange,"Tree Code: Required to Retain Tier 1-2 Tree")=0),
Error!$B$47,
IF(AND(_xlpm.baseRow,$E577&lt;&gt;"",$D577&lt;&gt;"",$F577&lt;&gt;"",COUNTBLANK(_xlpm.HRange)=4),
Error!$B$5,
IF(AND($F577="Remove",$H577&lt;&gt;"",$I577=""),
Error!$B$18,
IF(AND($E577="Tier 4",$F577="Remove",$H577="Tree Protection Code: Tier 3 or Tier 4 Allowance",$H577&lt;&gt;"",ISNA(MATCH($I577,Tables!$B$200,0))),
Error!$B$17,
IF(AND($E577="Tier 3",$F577="Remove",$H577&lt;&gt;"",$H577="Tree Protection Code: Tier 3 or Tier 4 Allowance",OR($I577="",ISNA(MATCH($I577,Tables!$B$193:$B$197,0)))),
Error!$B$17,
IF(AND(OR($E577="Tier 2",$E577="Tier 2 Grove"),$F577="Remove",$H577="Tree Protection Code: Other removal allowance or exemption",$I577&lt;&gt;"",ISNA(MATCH($I577,Tables!$B$215:$B$218,0))),
Error!$B$17,
IF(AND(OR($E577="Tier 2",$E577="Tier 2 Grove"),$F577="Remove",$H577="Tree Protection Code: Development Capacity",$I577&lt;&gt;"",ISNA(MATCH($I577,Tables!$B$193:$B$197,0))),
Error!$B$17,
IF(AND(OR($E577="Tier 2",$E577="Tier 2 Grove"),$F577="Remove",$H577="Tree Protection Code: Necessary for Construction",$I577&lt;&gt;"",ISNA(MATCH($I577,Tables!$B$193:$B$197,0))),
Error!$B$17,
IF(AND($E577="Tier 1",$F577="Remove",$H577="Tree Protection Code: Special Exception",$I577&lt;&gt;"",ISNA(MATCH($I577,Tables!$B$215:$B$218,0))),
Error!$B$17,
IF(AND($E577="Tier 1",$F577="Remove",$H577="Tree Protection Code: Other removal allowance or exemption",$I577&lt;&gt;"",ISNA(MATCH($I577,Tables!$B$215:$B$218,0))),
Error!$B$17,
IF(AND($E577="ECA / Shoreline Tree",$F577="Remove",$H577&lt;&gt;"",OR($H577="Shoreline",$H577="Environmental Critical Area (ECA)"),ISNA(MATCH($I577,Tables!$B$209:$B$212,0))),
Error!$B$17,
IF(AND(_xlpm.baseRow,$F577="Retain",$E577="ECA / Shoreline Tree",_xlpm.ECA_Short=0),
Error!$B$61,
IF(AND($F577="Remove",ISNUMBER(MATCH($E577,{"Tier 1","Tier 2","Tier 3","Tier 4","Tier 2 Grove"},0)),ISNUMBER(MATCH($I577,{"On-site replacement","Off-site replacement"},0)),$J577="",$H577&lt;&gt;""),
Error!$B$19,
IF(AND(_xlpm.baseRow,$E577&lt;&gt;"",$D577&lt;&gt;"",$F577&lt;&gt;"",COUNTBLANK($B577:$C577)&gt;0,COUNTBLANK(_xlpm.HRange)&lt;&gt;4),
Error!$B$22,
IF(AND($H577="Zoning: Tree Points",$K577&lt;&gt;"",ISNA(MATCH($K577,Tables!$B$242:$B$253,0))),
Error!$B$58,
IF(AND($H577="Zoning: Tree Points",$K577="Small",$L577&lt;&gt;"",ISNA(MATCH($L577,Tables!$C$243:$C$244,0))),
Error!$B$59,
IF(AND($H577="Zoning: Tree Points",$K577="Small/Medium",$L577&lt;&gt;"",ISNA(MATCH($L577,Tables!$C$246:$C$247,0))),
Error!$B$59,
IF(AND($H577="Zoning: Tree Points",$K577="Medium/Large",$L577&lt;&gt;"",ISNA(MATCH($L577,Tables!$C$249:$C$250,0))),
Error!$B$59,
IF(AND($H577="Zoning: Tree Points",$K577="Large",$L577&lt;&gt;"",ISNA(MATCH($L577,Tables!$C$252:$C$253,0))),
Error!$B$59,
IF(AND($F577="Retain",$H577="Zoning: Tree Points",$C577&lt;&gt;"",$D577&lt;&gt;"",OR($K577="",$L577="",$M577="")),
Error!$B$20,
""
)))))))))))))))))))))))))))))))))))))))))))))))))))))))),
Error!$B$23))</f>
        <v/>
      </c>
      <c r="O577" s="343" t="str" cm="1">
        <f t="array" aca="1" ref="O577" ca="1">IFERROR(_xlfn.LET(
    _xlpm.txt, $C577,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78" spans="1:15" ht="15" thickBot="1" x14ac:dyDescent="0.35">
      <c r="A578" s="331"/>
      <c r="B578" s="616" t="str">
        <f t="shared" si="670"/>
        <v/>
      </c>
      <c r="C578" s="617" t="str">
        <f t="shared" si="671"/>
        <v/>
      </c>
      <c r="D578" s="618" t="str">
        <f t="shared" si="672"/>
        <v/>
      </c>
      <c r="E578" s="616" t="str">
        <f t="shared" si="673"/>
        <v/>
      </c>
      <c r="F578" s="616" t="str">
        <f t="shared" si="674"/>
        <v/>
      </c>
      <c r="G578" s="619" t="str">
        <f>IF(Tree_Table1[[#This Row],[Tree Status  &amp;]]="Retain", Tables!$B$237, IF(Tree_Table1[[#This Row],[Tree Status  &amp;]]="Remove", Tables!$B$238, ""))</f>
        <v/>
      </c>
      <c r="H578" s="329"/>
      <c r="I578" s="330"/>
      <c r="J578" s="455"/>
      <c r="K578" s="327" t="str">
        <f>IFERROR(
    IF(
        AND($H578="Zoning: Tree Points", NOT(ISNUMBER(SEARCH("sp.", $C578)))),
        VLOOKUP($C578, 'Tree List'!$C$3:$F$601, 4, FALSE),
        ""
    ),
"")</f>
        <v/>
      </c>
      <c r="L578" s="328" t="str" cm="1">
        <f t="array" ref="L578">IFERROR(
IF(
    AND($H578="Zoning: Tree Points", NOT(ISNUMBER(SEARCH("sp.", $C578)))),
    _xlfn.IFS(
        (COUNTIFS('Tree List'!$C$3:$C$601,$C578,'Tree List'!$D$3:$D$601,"Coniferous")
        + COUNTIFS('Tree List'!$C$3:$C$601,$C578,'Tree List'!$D$3:$D$601,"Deciduous Conifer")) &gt; 0,
            _xlfn.IFS($K578="Small",0.5,$K578="Small/Medium",1,$K578="Medium/Large",1.4,$K578="Large",1.8),
        (COUNTIFS('Tree List'!$C$3:$C$601,$C578,'Tree List'!$D$3:$D$601,"Deciduous")
        + COUNTIFS('Tree List'!$C$3:$C$601,$C578,'Tree List'!$D$3:$D$601,"Broadleaf Evergreen")) &gt; 0,
            _xlfn.IFS($K578="Small",0.4,$K578="Small/Medium",0.8,$K578="Medium/Large",1.2,$K578="Large",1.6)
    ),
    ""
),
"")</f>
        <v/>
      </c>
      <c r="M578" s="476" t="str">
        <f t="shared" si="654"/>
        <v/>
      </c>
      <c r="N578" s="347" t="str" cm="1">
        <f t="array" aca="1" ref="N57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IF(AND(_xlpm.baseRow,ISNA(MATCH($C578,'Tree List'!$C$3:$C$601,0)),SUMPRODUCT(--ISNUMBER(SEARCH(Tables2!$C$677:$C$772,$O578)))&gt;0),
Error!$B$57,
IF(AND(_xlpm.hasDM,$F578="Remove",$H578&lt;&gt;"",OR($I578="On-site replacement",$I578="Off-site replacement",$I578="Payment In Lieu")),
Error!$B$56,
IF(AND(_xlpm.hasDM,$F578="Remove",$H578&lt;&gt;"",$I578="Relocation"),
Error!$B$66,
IF(AND(OR(_xlpm.hasCN,_xlpm.hasPH,_xlpm.hasGR),$H578&lt;&gt;"",COUNTIF(Tables!$B$132:$B$134,$H578)&gt;0,$I578="N/A (No replacement required)"),
Error!$B$62,
IF(AND(_xlpm.baseRow,$E578&lt;&gt;"",ISNA(MATCH($E578,Tables!$B$225:$B$232,0))),
Error!$B$2,
IF(AND(_xlpm.baseRow,$F578&lt;&gt;"",ISNA(MATCH($F578,Tables!$B$234:$B$235,0))),
Error!$B$24,
IF(AND(_xlpm.baseRow,_xlpm.ECA_H&gt;0,_xlpm.Shore_H&gt;0),
Error!$B$16,
IF(AND(_xlpm.baseRow,$E578&lt;&gt;"",$D578=""),
Error!$B$3,
IF(AND(_xlpm.baseRow,OR($E578="Tier 3",$E578="Tier 4"),$C578&lt;&gt;"",$D578&gt;=24,COUNTIF(Tables2!$B$166:$B$674,$C578)&gt;0),
Error!$B$44,
IF(AND(_xlpm.baseRow,OR($E578="Tier 3",$E578="Tier 4"),$C578&lt;&gt;"",$D578&lt;&gt;"",COUNTIF(Tables2!$B$73:$B$152,$C578)&gt;0,
$D578&gt;=IFERROR(INDEX(Tables2!$C$73:$C$152,MATCH($C578,Tables2!$B$73:$B$152,0)),-1)),
Error!$B$44,
IF(AND(_xlpm.baseRow,OR($E578="Tier 2",$E578="Tier 2 Grove"),$C578&lt;&gt;"",$D578&gt;=12,COUNTIF(Tables2!$B$153:$B$162,$C578)&gt;0),
Error!$B$45,
IF(AND(_xlpm.baseRow,$E578="Tier 2 Grove",$D578&lt;12),
Error!$B$41,
IF(AND(_xlpm.baseRow,$E578="Tier 2",$D578&lt;5.88),
Error!$B$40,
IF(AND(_xlpm.baseRow,OR($E578="Tier 2",$E578="Tier 2 Grove"),$C578&lt;&gt;"",$D578&lt;12,$D578&gt;=6,COUNTIF(Tables2!$B$153:$B$162,$C578)&gt;0),
Error!$B$54,
IF(AND(_xlpm.baseRow,$E578="Tier 2",COUNTIF(Tables2!$B$166:$B$674,$C578)&gt;0,$D578&lt;24),
Error!$B$54,
IF(AND(_xlpm.baseRow,$E578="Tier 3",ISNA(MATCH($C578,Tables2!$B$153:$B$162,0)),OR($D578&lt;12,$D578&gt;=24)),
Error!$B$9,
IF(AND(_xlpm.baseRow,$E578="Tier 3",COUNTIF(Tables2!$B$153:$B$162,$C578)&gt;0,$D578&lt;12),
Error!$B$46,
IF(AND(_xlpm.baseRow,$E578="Tier 4",OR($D578&lt;6,$D578&gt;=12)),
Error!$B$10,
IF(AND(_xlpm.baseRow,$E578="&lt;6in DSH for Tree Points",OR($D578&gt;=6,$D578="")),
Error!$B$8,
IF(AND(_xlpm.baseRow,$E578="Street Tree for Green Factor",$F578&lt;&gt;"",$F578&lt;&gt;"Retain"),
Error!$B$14,
IF(AND($E578="&lt;6in DSH for Tree Points",$F578="Retain",$H578&lt;&gt;"",ISNA(MATCH($H578,Tables!$B$174:$B$174,0))),
Error!$B$15,
IF(AND($E578="Street Tree for Green Factor",$F578="Retain",$H578&lt;&gt;"",$H578&lt;&gt;"Zoning: Green Factor"),
Error!$B$15,
IF(AND($E578="ECA / Shoreline Tree",$F578="Remove",$H578&lt;&gt;"",ISNA(MATCH($H578,Tables!$B$189:$B$190,0))),
Error!$B$15,
IF(AND($E578="ECA / Shoreline Tree",$F578="Retain",$H578&lt;&gt;"",ISNA(MATCH($H578,Tables!$B$184:$B$186,0))),
Error!$B$15,
IF(AND($E578="Tier 4",$F578="Remove",$H578&lt;&gt;"",ISNA(MATCH($H578,Tables!$B$171,0))),
Error!$B$15,
IF(AND($E578="Tier 4",$F578="Retain",$H578&lt;&gt;"",ISNA(MATCH($H578,Tables!$B$166:$B$168,0))),
Error!$B$15,
IF(AND($E578="Tier 3",$F578="Retain",$H578&lt;&gt;"",ISNA(MATCH($H578,Tables!$B$158:$B$160,0))),
Error!$B$15,
IF(AND($E578="Tier 3",$F578="Remove",$H578&lt;&gt;"",ISNA(MATCH($H578,Tables!$B$163,0))),
Error!$B$15,
IF(AND(OR($E578="Tier 2",$E578="Tier 2 Grove"),$F578="Remove",$H578&lt;&gt;"",ISNA(MATCH($H578,Tables!$B$153:$B$155,0))),
Error!$B$15,
IF(AND(OR($E578="Tier 2",$E578="Tier 2 Grove"),$F578="Retain",$H578&lt;&gt;"",ISNA(MATCH($H578,Tables!$B$147:$B$150,0))),
Error!$B$15,
IF(AND($E578="Tier 1",$F578="Remove",$H578&lt;&gt;"",ISNA(MATCH($H578,Tables!$B$143:$B$144,0))),
Error!$B$15,
IF(AND($E578="Tier 1",$F578="Retain",$H578&lt;&gt;"",ISNA(MATCH($H578,Tables!$B$137:$B$140,0))),
Error!$B$15,
IF(AND($E578&lt;&gt;"Tier 2",$E578&lt;&gt;"Tier 2 Grove",$E578&lt;&gt;"Tier 3",$E578&lt;&gt;"Tier 4",$H578="Zoning: Green Factor",OR($D578="",$D578&lt;6)),
Error!$B$11,
IF(AND(_xlpm.baseRow,$D578&lt;6,$E578="&lt;6in DSH for Tree Points",_xlpm.TreePoints_H=0),
Error!$B$21,
IF(AND(_xlpm.baseRow,$E578&lt;&gt;"",$D578&lt;&gt;"",$F578=""),
Error!$B$4,
IF(AND(_xlpm.baseRow,$F578="Remove",OR($E578="Tier 1",$E578="Tier 2",$E578="Tier 2 Grove"),COUNTBLANK(_xlpm.HRange)&lt;3,_xlpm.uniqueH&gt;=2),
Error!$B$48,
IF(AND(_xlpm.baseRow,$F578="Retain",OR($E578="Tier 1",$E578="Tier 2",$E578="Tier 2 Grove"),COUNTIF(_xlpm.HRange,"Tree Code: Required to Retain Tier 1-2 Tree")=0),
Error!$B$47,
IF(AND(_xlpm.baseRow,$E578&lt;&gt;"",$D578&lt;&gt;"",$F578&lt;&gt;"",COUNTBLANK(_xlpm.HRange)=4),
Error!$B$5,
IF(AND($F578="Remove",$H578&lt;&gt;"",$I578=""),
Error!$B$18,
IF(AND($E578="Tier 4",$F578="Remove",$H578="Tree Protection Code: Tier 3 or Tier 4 Allowance",$H578&lt;&gt;"",ISNA(MATCH($I578,Tables!$B$200,0))),
Error!$B$17,
IF(AND($E578="Tier 3",$F578="Remove",$H578&lt;&gt;"",$H578="Tree Protection Code: Tier 3 or Tier 4 Allowance",OR($I578="",ISNA(MATCH($I578,Tables!$B$193:$B$197,0)))),
Error!$B$17,
IF(AND(OR($E578="Tier 2",$E578="Tier 2 Grove"),$F578="Remove",$H578="Tree Protection Code: Other removal allowance or exemption",$I578&lt;&gt;"",ISNA(MATCH($I578,Tables!$B$215:$B$218,0))),
Error!$B$17,
IF(AND(OR($E578="Tier 2",$E578="Tier 2 Grove"),$F578="Remove",$H578="Tree Protection Code: Development Capacity",$I578&lt;&gt;"",ISNA(MATCH($I578,Tables!$B$193:$B$197,0))),
Error!$B$17,
IF(AND(OR($E578="Tier 2",$E578="Tier 2 Grove"),$F578="Remove",$H578="Tree Protection Code: Necessary for Construction",$I578&lt;&gt;"",ISNA(MATCH($I578,Tables!$B$193:$B$197,0))),
Error!$B$17,
IF(AND($E578="Tier 1",$F578="Remove",$H578="Tree Protection Code: Special Exception",$I578&lt;&gt;"",ISNA(MATCH($I578,Tables!$B$215:$B$218,0))),
Error!$B$17,
IF(AND($E578="Tier 1",$F578="Remove",$H578="Tree Protection Code: Other removal allowance or exemption",$I578&lt;&gt;"",ISNA(MATCH($I578,Tables!$B$215:$B$218,0))),
Error!$B$17,
IF(AND($E578="ECA / Shoreline Tree",$F578="Remove",$H578&lt;&gt;"",OR($H578="Shoreline",$H578="Environmental Critical Area (ECA)"),ISNA(MATCH($I578,Tables!$B$209:$B$212,0))),
Error!$B$17,
IF(AND(_xlpm.baseRow,$F578="Retain",$E578="ECA / Shoreline Tree",_xlpm.ECA_Short=0),
Error!$B$61,
IF(AND($F578="Remove",ISNUMBER(MATCH($E578,{"Tier 1","Tier 2","Tier 3","Tier 4","Tier 2 Grove"},0)),ISNUMBER(MATCH($I578,{"On-site replacement","Off-site replacement"},0)),$J578="",$H578&lt;&gt;""),
Error!$B$19,
IF(AND(_xlpm.baseRow,$E578&lt;&gt;"",$D578&lt;&gt;"",$F578&lt;&gt;"",COUNTBLANK($B578:$C578)&gt;0,COUNTBLANK(_xlpm.HRange)&lt;&gt;4),
Error!$B$22,
IF(AND($H578="Zoning: Tree Points",$K578&lt;&gt;"",ISNA(MATCH($K578,Tables!$B$242:$B$253,0))),
Error!$B$58,
IF(AND($H578="Zoning: Tree Points",$K578="Small",$L578&lt;&gt;"",ISNA(MATCH($L578,Tables!$C$243:$C$244,0))),
Error!$B$59,
IF(AND($H578="Zoning: Tree Points",$K578="Small/Medium",$L578&lt;&gt;"",ISNA(MATCH($L578,Tables!$C$246:$C$247,0))),
Error!$B$59,
IF(AND($H578="Zoning: Tree Points",$K578="Medium/Large",$L578&lt;&gt;"",ISNA(MATCH($L578,Tables!$C$249:$C$250,0))),
Error!$B$59,
IF(AND($H578="Zoning: Tree Points",$K578="Large",$L578&lt;&gt;"",ISNA(MATCH($L578,Tables!$C$252:$C$253,0))),
Error!$B$59,
IF(AND($F578="Retain",$H578="Zoning: Tree Points",$C578&lt;&gt;"",$D578&lt;&gt;"",OR($K578="",$L578="",$M578="")),
Error!$B$20,
""
)))))))))))))))))))))))))))))))))))))))))))))))))))))))),
Error!$B$23))</f>
        <v/>
      </c>
      <c r="O578" s="343" t="str" cm="1">
        <f t="array" aca="1" ref="O578" ca="1">IFERROR(_xlfn.LET(
    _xlpm.txt, $C578,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79" spans="1:15" ht="15" thickBot="1" x14ac:dyDescent="0.35">
      <c r="A579" s="311">
        <v>143</v>
      </c>
      <c r="B579" s="312"/>
      <c r="C579" s="313"/>
      <c r="D579" s="478"/>
      <c r="E579" s="314"/>
      <c r="F579" s="314"/>
      <c r="G579" s="315" t="str">
        <f>IF(Tree_Table1[[#This Row],[Tree Status  &amp;]]="Retain", Tables!$B$237, IF(Tree_Table1[[#This Row],[Tree Status  &amp;]]="Remove", Tables!$B$238, ""))</f>
        <v/>
      </c>
      <c r="H579" s="316"/>
      <c r="I579" s="317"/>
      <c r="J579" s="452"/>
      <c r="K579" s="318" t="str">
        <f>IFERROR(
    IF(
        AND($H579="Zoning: Tree Points", NOT(ISNUMBER(SEARCH("sp.", $C579)))),
        VLOOKUP($C579, 'Tree List'!$C$3:$F$601, 4, FALSE),
        ""
    ),
"")</f>
        <v/>
      </c>
      <c r="L579" s="319" t="str" cm="1">
        <f t="array" ref="L579">IFERROR(
IF(
    AND($H579="Zoning: Tree Points", NOT(ISNUMBER(SEARCH("sp.", $C579)))),
    _xlfn.IFS(
        (COUNTIFS('Tree List'!$C$3:$C$601,$C579,'Tree List'!$D$3:$D$601,"Coniferous")
        + COUNTIFS('Tree List'!$C$3:$C$601,$C579,'Tree List'!$D$3:$D$601,"Deciduous Conifer")) &gt; 0,
            _xlfn.IFS($K579="Small",0.5,$K579="Small/Medium",1,$K579="Medium/Large",1.4,$K579="Large",1.8),
        (COUNTIFS('Tree List'!$C$3:$C$601,$C579,'Tree List'!$D$3:$D$601,"Deciduous")
        + COUNTIFS('Tree List'!$C$3:$C$601,$C579,'Tree List'!$D$3:$D$601,"Broadleaf Evergreen")) &gt; 0,
            _xlfn.IFS($K579="Small",0.4,$K579="Small/Medium",0.8,$K579="Medium/Large",1.2,$K579="Large",1.6)
    ),
    ""
),
"")</f>
        <v/>
      </c>
      <c r="M579" s="474" t="str">
        <f t="shared" si="654"/>
        <v/>
      </c>
      <c r="N579" s="620" t="str" cm="1">
        <f t="array" aca="1" ref="N57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IF(AND(_xlpm.baseRow,ISNA(MATCH($C579,'Tree List'!$C$3:$C$601,0)),SUMPRODUCT(--ISNUMBER(SEARCH(Tables2!$C$677:$C$772,$O579)))&gt;0),
Error!$B$57,
IF(AND(_xlpm.hasDM,$F579="Remove",$H579&lt;&gt;"",OR($I579="On-site replacement",$I579="Off-site replacement",$I579="Payment In Lieu")),
Error!$B$56,
IF(AND(_xlpm.hasDM,$F579="Remove",$H579&lt;&gt;"",$I579="Relocation"),
Error!$B$66,
IF(AND(OR(_xlpm.hasCN,_xlpm.hasPH,_xlpm.hasGR),$H579&lt;&gt;"",COUNTIF(Tables!$B$132:$B$134,$H579)&gt;0,$I579="N/A (No replacement required)"),
Error!$B$62,
IF(AND(_xlpm.baseRow,$E579&lt;&gt;"",ISNA(MATCH($E579,Tables!$B$225:$B$232,0))),
Error!$B$2,
IF(AND(_xlpm.baseRow,$F579&lt;&gt;"",ISNA(MATCH($F579,Tables!$B$234:$B$235,0))),
Error!$B$24,
IF(AND(_xlpm.baseRow,_xlpm.ECA_H&gt;0,_xlpm.Shore_H&gt;0),
Error!$B$16,
IF(AND(_xlpm.baseRow,$E579&lt;&gt;"",$D579=""),
Error!$B$3,
IF(AND(_xlpm.baseRow,OR($E579="Tier 3",$E579="Tier 4"),$C579&lt;&gt;"",$D579&gt;=24,COUNTIF(Tables2!$B$166:$B$674,$C579)&gt;0),
Error!$B$44,
IF(AND(_xlpm.baseRow,OR($E579="Tier 3",$E579="Tier 4"),$C579&lt;&gt;"",$D579&lt;&gt;"",COUNTIF(Tables2!$B$73:$B$152,$C579)&gt;0,
$D579&gt;=IFERROR(INDEX(Tables2!$C$73:$C$152,MATCH($C579,Tables2!$B$73:$B$152,0)),-1)),
Error!$B$44,
IF(AND(_xlpm.baseRow,OR($E579="Tier 2",$E579="Tier 2 Grove"),$C579&lt;&gt;"",$D579&gt;=12,COUNTIF(Tables2!$B$153:$B$162,$C579)&gt;0),
Error!$B$45,
IF(AND(_xlpm.baseRow,$E579="Tier 2 Grove",$D579&lt;12),
Error!$B$41,
IF(AND(_xlpm.baseRow,$E579="Tier 2",$D579&lt;5.88),
Error!$B$40,
IF(AND(_xlpm.baseRow,OR($E579="Tier 2",$E579="Tier 2 Grove"),$C579&lt;&gt;"",$D579&lt;12,$D579&gt;=6,COUNTIF(Tables2!$B$153:$B$162,$C579)&gt;0),
Error!$B$54,
IF(AND(_xlpm.baseRow,$E579="Tier 2",COUNTIF(Tables2!$B$166:$B$674,$C579)&gt;0,$D579&lt;24),
Error!$B$54,
IF(AND(_xlpm.baseRow,$E579="Tier 3",ISNA(MATCH($C579,Tables2!$B$153:$B$162,0)),OR($D579&lt;12,$D579&gt;=24)),
Error!$B$9,
IF(AND(_xlpm.baseRow,$E579="Tier 3",COUNTIF(Tables2!$B$153:$B$162,$C579)&gt;0,$D579&lt;12),
Error!$B$46,
IF(AND(_xlpm.baseRow,$E579="Tier 4",OR($D579&lt;6,$D579&gt;=12)),
Error!$B$10,
IF(AND(_xlpm.baseRow,$E579="&lt;6in DSH for Tree Points",OR($D579&gt;=6,$D579="")),
Error!$B$8,
IF(AND(_xlpm.baseRow,$E579="Street Tree for Green Factor",$F579&lt;&gt;"",$F579&lt;&gt;"Retain"),
Error!$B$14,
IF(AND($E579="&lt;6in DSH for Tree Points",$F579="Retain",$H579&lt;&gt;"",ISNA(MATCH($H579,Tables!$B$174:$B$174,0))),
Error!$B$15,
IF(AND($E579="Street Tree for Green Factor",$F579="Retain",$H579&lt;&gt;"",$H579&lt;&gt;"Zoning: Green Factor"),
Error!$B$15,
IF(AND($E579="ECA / Shoreline Tree",$F579="Remove",$H579&lt;&gt;"",ISNA(MATCH($H579,Tables!$B$189:$B$190,0))),
Error!$B$15,
IF(AND($E579="ECA / Shoreline Tree",$F579="Retain",$H579&lt;&gt;"",ISNA(MATCH($H579,Tables!$B$184:$B$186,0))),
Error!$B$15,
IF(AND($E579="Tier 4",$F579="Remove",$H579&lt;&gt;"",ISNA(MATCH($H579,Tables!$B$171,0))),
Error!$B$15,
IF(AND($E579="Tier 4",$F579="Retain",$H579&lt;&gt;"",ISNA(MATCH($H579,Tables!$B$166:$B$168,0))),
Error!$B$15,
IF(AND($E579="Tier 3",$F579="Retain",$H579&lt;&gt;"",ISNA(MATCH($H579,Tables!$B$158:$B$160,0))),
Error!$B$15,
IF(AND($E579="Tier 3",$F579="Remove",$H579&lt;&gt;"",ISNA(MATCH($H579,Tables!$B$163,0))),
Error!$B$15,
IF(AND(OR($E579="Tier 2",$E579="Tier 2 Grove"),$F579="Remove",$H579&lt;&gt;"",ISNA(MATCH($H579,Tables!$B$153:$B$155,0))),
Error!$B$15,
IF(AND(OR($E579="Tier 2",$E579="Tier 2 Grove"),$F579="Retain",$H579&lt;&gt;"",ISNA(MATCH($H579,Tables!$B$147:$B$150,0))),
Error!$B$15,
IF(AND($E579="Tier 1",$F579="Remove",$H579&lt;&gt;"",ISNA(MATCH($H579,Tables!$B$143:$B$144,0))),
Error!$B$15,
IF(AND($E579="Tier 1",$F579="Retain",$H579&lt;&gt;"",ISNA(MATCH($H579,Tables!$B$137:$B$140,0))),
Error!$B$15,
IF(AND($E579&lt;&gt;"Tier 2",$E579&lt;&gt;"Tier 2 Grove",$E579&lt;&gt;"Tier 3",$E579&lt;&gt;"Tier 4",$H579="Zoning: Green Factor",OR($D579="",$D579&lt;6)),
Error!$B$11,
IF(AND(_xlpm.baseRow,$D579&lt;6,$E579="&lt;6in DSH for Tree Points",_xlpm.TreePoints_H=0),
Error!$B$21,
IF(AND(_xlpm.baseRow,$E579&lt;&gt;"",$D579&lt;&gt;"",$F579=""),
Error!$B$4,
IF(AND(_xlpm.baseRow,$F579="Remove",OR($E579="Tier 1",$E579="Tier 2",$E579="Tier 2 Grove"),COUNTBLANK(_xlpm.HRange)&lt;3,_xlpm.uniqueH&gt;=2),
Error!$B$48,
IF(AND(_xlpm.baseRow,$F579="Retain",OR($E579="Tier 1",$E579="Tier 2",$E579="Tier 2 Grove"),COUNTIF(_xlpm.HRange,"Tree Code: Required to Retain Tier 1-2 Tree")=0),
Error!$B$47,
IF(AND(_xlpm.baseRow,$E579&lt;&gt;"",$D579&lt;&gt;"",$F579&lt;&gt;"",COUNTBLANK(_xlpm.HRange)=4),
Error!$B$5,
IF(AND($F579="Remove",$H579&lt;&gt;"",$I579=""),
Error!$B$18,
IF(AND($E579="Tier 4",$F579="Remove",$H579="Tree Protection Code: Tier 3 or Tier 4 Allowance",$H579&lt;&gt;"",ISNA(MATCH($I579,Tables!$B$200,0))),
Error!$B$17,
IF(AND($E579="Tier 3",$F579="Remove",$H579&lt;&gt;"",$H579="Tree Protection Code: Tier 3 or Tier 4 Allowance",OR($I579="",ISNA(MATCH($I579,Tables!$B$193:$B$197,0)))),
Error!$B$17,
IF(AND(OR($E579="Tier 2",$E579="Tier 2 Grove"),$F579="Remove",$H579="Tree Protection Code: Other removal allowance or exemption",$I579&lt;&gt;"",ISNA(MATCH($I579,Tables!$B$215:$B$218,0))),
Error!$B$17,
IF(AND(OR($E579="Tier 2",$E579="Tier 2 Grove"),$F579="Remove",$H579="Tree Protection Code: Development Capacity",$I579&lt;&gt;"",ISNA(MATCH($I579,Tables!$B$193:$B$197,0))),
Error!$B$17,
IF(AND(OR($E579="Tier 2",$E579="Tier 2 Grove"),$F579="Remove",$H579="Tree Protection Code: Necessary for Construction",$I579&lt;&gt;"",ISNA(MATCH($I579,Tables!$B$193:$B$197,0))),
Error!$B$17,
IF(AND($E579="Tier 1",$F579="Remove",$H579="Tree Protection Code: Special Exception",$I579&lt;&gt;"",ISNA(MATCH($I579,Tables!$B$215:$B$218,0))),
Error!$B$17,
IF(AND($E579="Tier 1",$F579="Remove",$H579="Tree Protection Code: Other removal allowance or exemption",$I579&lt;&gt;"",ISNA(MATCH($I579,Tables!$B$215:$B$218,0))),
Error!$B$17,
IF(AND($E579="ECA / Shoreline Tree",$F579="Remove",$H579&lt;&gt;"",OR($H579="Shoreline",$H579="Environmental Critical Area (ECA)"),ISNA(MATCH($I579,Tables!$B$209:$B$212,0))),
Error!$B$17,
IF(AND(_xlpm.baseRow,$F579="Retain",$E579="ECA / Shoreline Tree",_xlpm.ECA_Short=0),
Error!$B$61,
IF(AND($F579="Remove",ISNUMBER(MATCH($E579,{"Tier 1","Tier 2","Tier 3","Tier 4","Tier 2 Grove"},0)),ISNUMBER(MATCH($I579,{"On-site replacement","Off-site replacement"},0)),$J579="",$H579&lt;&gt;""),
Error!$B$19,
IF(AND(_xlpm.baseRow,$E579&lt;&gt;"",$D579&lt;&gt;"",$F579&lt;&gt;"",COUNTBLANK($B579:$C579)&gt;0,COUNTBLANK(_xlpm.HRange)&lt;&gt;4),
Error!$B$22,
IF(AND($H579="Zoning: Tree Points",$K579&lt;&gt;"",ISNA(MATCH($K579,Tables!$B$242:$B$253,0))),
Error!$B$58,
IF(AND($H579="Zoning: Tree Points",$K579="Small",$L579&lt;&gt;"",ISNA(MATCH($L579,Tables!$C$243:$C$244,0))),
Error!$B$59,
IF(AND($H579="Zoning: Tree Points",$K579="Small/Medium",$L579&lt;&gt;"",ISNA(MATCH($L579,Tables!$C$246:$C$247,0))),
Error!$B$59,
IF(AND($H579="Zoning: Tree Points",$K579="Medium/Large",$L579&lt;&gt;"",ISNA(MATCH($L579,Tables!$C$249:$C$250,0))),
Error!$B$59,
IF(AND($H579="Zoning: Tree Points",$K579="Large",$L579&lt;&gt;"",ISNA(MATCH($L579,Tables!$C$252:$C$253,0))),
Error!$B$59,
IF(AND($F579="Retain",$H579="Zoning: Tree Points",$C579&lt;&gt;"",$D579&lt;&gt;"",OR($K579="",$L579="",$M579="")),
Error!$B$20,
""
)))))))))))))))))))))))))))))))))))))))))))))))))))))))),
Error!$B$23))</f>
        <v/>
      </c>
      <c r="O579" s="343" t="str" cm="1">
        <f t="array" aca="1" ref="O579" ca="1">IFERROR(_xlfn.LET(
    _xlpm.txt, $C579,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80" spans="1:15" x14ac:dyDescent="0.3">
      <c r="A580" s="320"/>
      <c r="B580" s="616" t="str">
        <f t="shared" ref="B580:B582" si="675">IF($B579="", "", $B579)</f>
        <v/>
      </c>
      <c r="C580" s="617" t="str">
        <f t="shared" ref="C580:C582" si="676">IF($C579="", "", $C579)</f>
        <v/>
      </c>
      <c r="D580" s="618" t="str">
        <f t="shared" ref="D580:D582" si="677">IF($D579="", "", $D579)</f>
        <v/>
      </c>
      <c r="E580" s="616" t="str">
        <f t="shared" ref="E580:E582" si="678">IF($E579="", "", $E579)</f>
        <v/>
      </c>
      <c r="F580" s="616" t="str">
        <f t="shared" ref="F580:F582" si="679">IF($F579="", "", $F579)</f>
        <v/>
      </c>
      <c r="G580" s="619" t="str">
        <f>IF(Tree_Table1[[#This Row],[Tree Status  &amp;]]="Retain", Tables!$B$237, IF(Tree_Table1[[#This Row],[Tree Status  &amp;]]="Remove", Tables!$B$238, ""))</f>
        <v/>
      </c>
      <c r="H580" s="321"/>
      <c r="I580" s="322"/>
      <c r="J580" s="453"/>
      <c r="K580" s="323" t="str">
        <f>IFERROR(
    IF(
        AND($H580="Zoning: Tree Points", NOT(ISNUMBER(SEARCH("sp.", $C580)))),
        VLOOKUP($C580, 'Tree List'!$C$3:$F$601, 4, FALSE),
        ""
    ),
"")</f>
        <v/>
      </c>
      <c r="L580" s="324" t="str" cm="1">
        <f t="array" ref="L580">IFERROR(
IF(
    AND($H580="Zoning: Tree Points", NOT(ISNUMBER(SEARCH("sp.", $C580)))),
    _xlfn.IFS(
        (COUNTIFS('Tree List'!$C$3:$C$601,$C580,'Tree List'!$D$3:$D$601,"Coniferous")
        + COUNTIFS('Tree List'!$C$3:$C$601,$C580,'Tree List'!$D$3:$D$601,"Deciduous Conifer")) &gt; 0,
            _xlfn.IFS($K580="Small",0.5,$K580="Small/Medium",1,$K580="Medium/Large",1.4,$K580="Large",1.8),
        (COUNTIFS('Tree List'!$C$3:$C$601,$C580,'Tree List'!$D$3:$D$601,"Deciduous")
        + COUNTIFS('Tree List'!$C$3:$C$601,$C580,'Tree List'!$D$3:$D$601,"Broadleaf Evergreen")) &gt; 0,
            _xlfn.IFS($K580="Small",0.4,$K580="Small/Medium",0.8,$K580="Medium/Large",1.2,$K580="Large",1.6)
    ),
    ""
),
"")</f>
        <v/>
      </c>
      <c r="M580" s="475" t="str">
        <f t="shared" si="654"/>
        <v/>
      </c>
      <c r="N580" s="346" t="str" cm="1">
        <f t="array" aca="1" ref="N58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IF(AND(_xlpm.baseRow,ISNA(MATCH($C580,'Tree List'!$C$3:$C$601,0)),SUMPRODUCT(--ISNUMBER(SEARCH(Tables2!$C$677:$C$772,$O580)))&gt;0),
Error!$B$57,
IF(AND(_xlpm.hasDM,$F580="Remove",$H580&lt;&gt;"",OR($I580="On-site replacement",$I580="Off-site replacement",$I580="Payment In Lieu")),
Error!$B$56,
IF(AND(_xlpm.hasDM,$F580="Remove",$H580&lt;&gt;"",$I580="Relocation"),
Error!$B$66,
IF(AND(OR(_xlpm.hasCN,_xlpm.hasPH,_xlpm.hasGR),$H580&lt;&gt;"",COUNTIF(Tables!$B$132:$B$134,$H580)&gt;0,$I580="N/A (No replacement required)"),
Error!$B$62,
IF(AND(_xlpm.baseRow,$E580&lt;&gt;"",ISNA(MATCH($E580,Tables!$B$225:$B$232,0))),
Error!$B$2,
IF(AND(_xlpm.baseRow,$F580&lt;&gt;"",ISNA(MATCH($F580,Tables!$B$234:$B$235,0))),
Error!$B$24,
IF(AND(_xlpm.baseRow,_xlpm.ECA_H&gt;0,_xlpm.Shore_H&gt;0),
Error!$B$16,
IF(AND(_xlpm.baseRow,$E580&lt;&gt;"",$D580=""),
Error!$B$3,
IF(AND(_xlpm.baseRow,OR($E580="Tier 3",$E580="Tier 4"),$C580&lt;&gt;"",$D580&gt;=24,COUNTIF(Tables2!$B$166:$B$674,$C580)&gt;0),
Error!$B$44,
IF(AND(_xlpm.baseRow,OR($E580="Tier 3",$E580="Tier 4"),$C580&lt;&gt;"",$D580&lt;&gt;"",COUNTIF(Tables2!$B$73:$B$152,$C580)&gt;0,
$D580&gt;=IFERROR(INDEX(Tables2!$C$73:$C$152,MATCH($C580,Tables2!$B$73:$B$152,0)),-1)),
Error!$B$44,
IF(AND(_xlpm.baseRow,OR($E580="Tier 2",$E580="Tier 2 Grove"),$C580&lt;&gt;"",$D580&gt;=12,COUNTIF(Tables2!$B$153:$B$162,$C580)&gt;0),
Error!$B$45,
IF(AND(_xlpm.baseRow,$E580="Tier 2 Grove",$D580&lt;12),
Error!$B$41,
IF(AND(_xlpm.baseRow,$E580="Tier 2",$D580&lt;5.88),
Error!$B$40,
IF(AND(_xlpm.baseRow,OR($E580="Tier 2",$E580="Tier 2 Grove"),$C580&lt;&gt;"",$D580&lt;12,$D580&gt;=6,COUNTIF(Tables2!$B$153:$B$162,$C580)&gt;0),
Error!$B$54,
IF(AND(_xlpm.baseRow,$E580="Tier 2",COUNTIF(Tables2!$B$166:$B$674,$C580)&gt;0,$D580&lt;24),
Error!$B$54,
IF(AND(_xlpm.baseRow,$E580="Tier 3",ISNA(MATCH($C580,Tables2!$B$153:$B$162,0)),OR($D580&lt;12,$D580&gt;=24)),
Error!$B$9,
IF(AND(_xlpm.baseRow,$E580="Tier 3",COUNTIF(Tables2!$B$153:$B$162,$C580)&gt;0,$D580&lt;12),
Error!$B$46,
IF(AND(_xlpm.baseRow,$E580="Tier 4",OR($D580&lt;6,$D580&gt;=12)),
Error!$B$10,
IF(AND(_xlpm.baseRow,$E580="&lt;6in DSH for Tree Points",OR($D580&gt;=6,$D580="")),
Error!$B$8,
IF(AND(_xlpm.baseRow,$E580="Street Tree for Green Factor",$F580&lt;&gt;"",$F580&lt;&gt;"Retain"),
Error!$B$14,
IF(AND($E580="&lt;6in DSH for Tree Points",$F580="Retain",$H580&lt;&gt;"",ISNA(MATCH($H580,Tables!$B$174:$B$174,0))),
Error!$B$15,
IF(AND($E580="Street Tree for Green Factor",$F580="Retain",$H580&lt;&gt;"",$H580&lt;&gt;"Zoning: Green Factor"),
Error!$B$15,
IF(AND($E580="ECA / Shoreline Tree",$F580="Remove",$H580&lt;&gt;"",ISNA(MATCH($H580,Tables!$B$189:$B$190,0))),
Error!$B$15,
IF(AND($E580="ECA / Shoreline Tree",$F580="Retain",$H580&lt;&gt;"",ISNA(MATCH($H580,Tables!$B$184:$B$186,0))),
Error!$B$15,
IF(AND($E580="Tier 4",$F580="Remove",$H580&lt;&gt;"",ISNA(MATCH($H580,Tables!$B$171,0))),
Error!$B$15,
IF(AND($E580="Tier 4",$F580="Retain",$H580&lt;&gt;"",ISNA(MATCH($H580,Tables!$B$166:$B$168,0))),
Error!$B$15,
IF(AND($E580="Tier 3",$F580="Retain",$H580&lt;&gt;"",ISNA(MATCH($H580,Tables!$B$158:$B$160,0))),
Error!$B$15,
IF(AND($E580="Tier 3",$F580="Remove",$H580&lt;&gt;"",ISNA(MATCH($H580,Tables!$B$163,0))),
Error!$B$15,
IF(AND(OR($E580="Tier 2",$E580="Tier 2 Grove"),$F580="Remove",$H580&lt;&gt;"",ISNA(MATCH($H580,Tables!$B$153:$B$155,0))),
Error!$B$15,
IF(AND(OR($E580="Tier 2",$E580="Tier 2 Grove"),$F580="Retain",$H580&lt;&gt;"",ISNA(MATCH($H580,Tables!$B$147:$B$150,0))),
Error!$B$15,
IF(AND($E580="Tier 1",$F580="Remove",$H580&lt;&gt;"",ISNA(MATCH($H580,Tables!$B$143:$B$144,0))),
Error!$B$15,
IF(AND($E580="Tier 1",$F580="Retain",$H580&lt;&gt;"",ISNA(MATCH($H580,Tables!$B$137:$B$140,0))),
Error!$B$15,
IF(AND($E580&lt;&gt;"Tier 2",$E580&lt;&gt;"Tier 2 Grove",$E580&lt;&gt;"Tier 3",$E580&lt;&gt;"Tier 4",$H580="Zoning: Green Factor",OR($D580="",$D580&lt;6)),
Error!$B$11,
IF(AND(_xlpm.baseRow,$D580&lt;6,$E580="&lt;6in DSH for Tree Points",_xlpm.TreePoints_H=0),
Error!$B$21,
IF(AND(_xlpm.baseRow,$E580&lt;&gt;"",$D580&lt;&gt;"",$F580=""),
Error!$B$4,
IF(AND(_xlpm.baseRow,$F580="Remove",OR($E580="Tier 1",$E580="Tier 2",$E580="Tier 2 Grove"),COUNTBLANK(_xlpm.HRange)&lt;3,_xlpm.uniqueH&gt;=2),
Error!$B$48,
IF(AND(_xlpm.baseRow,$F580="Retain",OR($E580="Tier 1",$E580="Tier 2",$E580="Tier 2 Grove"),COUNTIF(_xlpm.HRange,"Tree Code: Required to Retain Tier 1-2 Tree")=0),
Error!$B$47,
IF(AND(_xlpm.baseRow,$E580&lt;&gt;"",$D580&lt;&gt;"",$F580&lt;&gt;"",COUNTBLANK(_xlpm.HRange)=4),
Error!$B$5,
IF(AND($F580="Remove",$H580&lt;&gt;"",$I580=""),
Error!$B$18,
IF(AND($E580="Tier 4",$F580="Remove",$H580="Tree Protection Code: Tier 3 or Tier 4 Allowance",$H580&lt;&gt;"",ISNA(MATCH($I580,Tables!$B$200,0))),
Error!$B$17,
IF(AND($E580="Tier 3",$F580="Remove",$H580&lt;&gt;"",$H580="Tree Protection Code: Tier 3 or Tier 4 Allowance",OR($I580="",ISNA(MATCH($I580,Tables!$B$193:$B$197,0)))),
Error!$B$17,
IF(AND(OR($E580="Tier 2",$E580="Tier 2 Grove"),$F580="Remove",$H580="Tree Protection Code: Other removal allowance or exemption",$I580&lt;&gt;"",ISNA(MATCH($I580,Tables!$B$215:$B$218,0))),
Error!$B$17,
IF(AND(OR($E580="Tier 2",$E580="Tier 2 Grove"),$F580="Remove",$H580="Tree Protection Code: Development Capacity",$I580&lt;&gt;"",ISNA(MATCH($I580,Tables!$B$193:$B$197,0))),
Error!$B$17,
IF(AND(OR($E580="Tier 2",$E580="Tier 2 Grove"),$F580="Remove",$H580="Tree Protection Code: Necessary for Construction",$I580&lt;&gt;"",ISNA(MATCH($I580,Tables!$B$193:$B$197,0))),
Error!$B$17,
IF(AND($E580="Tier 1",$F580="Remove",$H580="Tree Protection Code: Special Exception",$I580&lt;&gt;"",ISNA(MATCH($I580,Tables!$B$215:$B$218,0))),
Error!$B$17,
IF(AND($E580="Tier 1",$F580="Remove",$H580="Tree Protection Code: Other removal allowance or exemption",$I580&lt;&gt;"",ISNA(MATCH($I580,Tables!$B$215:$B$218,0))),
Error!$B$17,
IF(AND($E580="ECA / Shoreline Tree",$F580="Remove",$H580&lt;&gt;"",OR($H580="Shoreline",$H580="Environmental Critical Area (ECA)"),ISNA(MATCH($I580,Tables!$B$209:$B$212,0))),
Error!$B$17,
IF(AND(_xlpm.baseRow,$F580="Retain",$E580="ECA / Shoreline Tree",_xlpm.ECA_Short=0),
Error!$B$61,
IF(AND($F580="Remove",ISNUMBER(MATCH($E580,{"Tier 1","Tier 2","Tier 3","Tier 4","Tier 2 Grove"},0)),ISNUMBER(MATCH($I580,{"On-site replacement","Off-site replacement"},0)),$J580="",$H580&lt;&gt;""),
Error!$B$19,
IF(AND(_xlpm.baseRow,$E580&lt;&gt;"",$D580&lt;&gt;"",$F580&lt;&gt;"",COUNTBLANK($B580:$C580)&gt;0,COUNTBLANK(_xlpm.HRange)&lt;&gt;4),
Error!$B$22,
IF(AND($H580="Zoning: Tree Points",$K580&lt;&gt;"",ISNA(MATCH($K580,Tables!$B$242:$B$253,0))),
Error!$B$58,
IF(AND($H580="Zoning: Tree Points",$K580="Small",$L580&lt;&gt;"",ISNA(MATCH($L580,Tables!$C$243:$C$244,0))),
Error!$B$59,
IF(AND($H580="Zoning: Tree Points",$K580="Small/Medium",$L580&lt;&gt;"",ISNA(MATCH($L580,Tables!$C$246:$C$247,0))),
Error!$B$59,
IF(AND($H580="Zoning: Tree Points",$K580="Medium/Large",$L580&lt;&gt;"",ISNA(MATCH($L580,Tables!$C$249:$C$250,0))),
Error!$B$59,
IF(AND($H580="Zoning: Tree Points",$K580="Large",$L580&lt;&gt;"",ISNA(MATCH($L580,Tables!$C$252:$C$253,0))),
Error!$B$59,
IF(AND($F580="Retain",$H580="Zoning: Tree Points",$C580&lt;&gt;"",$D580&lt;&gt;"",OR($K580="",$L580="",$M580="")),
Error!$B$20,
""
)))))))))))))))))))))))))))))))))))))))))))))))))))))))),
Error!$B$23))</f>
        <v/>
      </c>
      <c r="O580" s="343" t="str" cm="1">
        <f t="array" aca="1" ref="O580" ca="1">IFERROR(_xlfn.LET(
    _xlpm.txt, $C580,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81" spans="1:15" x14ac:dyDescent="0.3">
      <c r="A581" s="320"/>
      <c r="B581" s="616" t="str">
        <f t="shared" si="675"/>
        <v/>
      </c>
      <c r="C581" s="617" t="str">
        <f t="shared" si="676"/>
        <v/>
      </c>
      <c r="D581" s="618" t="str">
        <f t="shared" si="677"/>
        <v/>
      </c>
      <c r="E581" s="616" t="str">
        <f t="shared" si="678"/>
        <v/>
      </c>
      <c r="F581" s="616" t="str">
        <f t="shared" si="679"/>
        <v/>
      </c>
      <c r="G581" s="619" t="str">
        <f>IF(Tree_Table1[[#This Row],[Tree Status  &amp;]]="Retain", Tables!$B$237, IF(Tree_Table1[[#This Row],[Tree Status  &amp;]]="Remove", Tables!$B$238, ""))</f>
        <v/>
      </c>
      <c r="H581" s="321"/>
      <c r="I581" s="322"/>
      <c r="J581" s="453"/>
      <c r="K581" s="323" t="str">
        <f>IFERROR(
    IF(
        AND($H581="Zoning: Tree Points", NOT(ISNUMBER(SEARCH("sp.", $C581)))),
        VLOOKUP($C581, 'Tree List'!$C$3:$F$601, 4, FALSE),
        ""
    ),
"")</f>
        <v/>
      </c>
      <c r="L581" s="324" t="str" cm="1">
        <f t="array" ref="L581">IFERROR(
IF(
    AND($H581="Zoning: Tree Points", NOT(ISNUMBER(SEARCH("sp.", $C581)))),
    _xlfn.IFS(
        (COUNTIFS('Tree List'!$C$3:$C$601,$C581,'Tree List'!$D$3:$D$601,"Coniferous")
        + COUNTIFS('Tree List'!$C$3:$C$601,$C581,'Tree List'!$D$3:$D$601,"Deciduous Conifer")) &gt; 0,
            _xlfn.IFS($K581="Small",0.5,$K581="Small/Medium",1,$K581="Medium/Large",1.4,$K581="Large",1.8),
        (COUNTIFS('Tree List'!$C$3:$C$601,$C581,'Tree List'!$D$3:$D$601,"Deciduous")
        + COUNTIFS('Tree List'!$C$3:$C$601,$C581,'Tree List'!$D$3:$D$601,"Broadleaf Evergreen")) &gt; 0,
            _xlfn.IFS($K581="Small",0.4,$K581="Small/Medium",0.8,$K581="Medium/Large",1.2,$K581="Large",1.6)
    ),
    ""
),
"")</f>
        <v/>
      </c>
      <c r="M581" s="475" t="str">
        <f t="shared" si="654"/>
        <v/>
      </c>
      <c r="N581" s="346" t="str" cm="1">
        <f t="array" aca="1" ref="N58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IF(AND(_xlpm.baseRow,ISNA(MATCH($C581,'Tree List'!$C$3:$C$601,0)),SUMPRODUCT(--ISNUMBER(SEARCH(Tables2!$C$677:$C$772,$O581)))&gt;0),
Error!$B$57,
IF(AND(_xlpm.hasDM,$F581="Remove",$H581&lt;&gt;"",OR($I581="On-site replacement",$I581="Off-site replacement",$I581="Payment In Lieu")),
Error!$B$56,
IF(AND(_xlpm.hasDM,$F581="Remove",$H581&lt;&gt;"",$I581="Relocation"),
Error!$B$66,
IF(AND(OR(_xlpm.hasCN,_xlpm.hasPH,_xlpm.hasGR),$H581&lt;&gt;"",COUNTIF(Tables!$B$132:$B$134,$H581)&gt;0,$I581="N/A (No replacement required)"),
Error!$B$62,
IF(AND(_xlpm.baseRow,$E581&lt;&gt;"",ISNA(MATCH($E581,Tables!$B$225:$B$232,0))),
Error!$B$2,
IF(AND(_xlpm.baseRow,$F581&lt;&gt;"",ISNA(MATCH($F581,Tables!$B$234:$B$235,0))),
Error!$B$24,
IF(AND(_xlpm.baseRow,_xlpm.ECA_H&gt;0,_xlpm.Shore_H&gt;0),
Error!$B$16,
IF(AND(_xlpm.baseRow,$E581&lt;&gt;"",$D581=""),
Error!$B$3,
IF(AND(_xlpm.baseRow,OR($E581="Tier 3",$E581="Tier 4"),$C581&lt;&gt;"",$D581&gt;=24,COUNTIF(Tables2!$B$166:$B$674,$C581)&gt;0),
Error!$B$44,
IF(AND(_xlpm.baseRow,OR($E581="Tier 3",$E581="Tier 4"),$C581&lt;&gt;"",$D581&lt;&gt;"",COUNTIF(Tables2!$B$73:$B$152,$C581)&gt;0,
$D581&gt;=IFERROR(INDEX(Tables2!$C$73:$C$152,MATCH($C581,Tables2!$B$73:$B$152,0)),-1)),
Error!$B$44,
IF(AND(_xlpm.baseRow,OR($E581="Tier 2",$E581="Tier 2 Grove"),$C581&lt;&gt;"",$D581&gt;=12,COUNTIF(Tables2!$B$153:$B$162,$C581)&gt;0),
Error!$B$45,
IF(AND(_xlpm.baseRow,$E581="Tier 2 Grove",$D581&lt;12),
Error!$B$41,
IF(AND(_xlpm.baseRow,$E581="Tier 2",$D581&lt;5.88),
Error!$B$40,
IF(AND(_xlpm.baseRow,OR($E581="Tier 2",$E581="Tier 2 Grove"),$C581&lt;&gt;"",$D581&lt;12,$D581&gt;=6,COUNTIF(Tables2!$B$153:$B$162,$C581)&gt;0),
Error!$B$54,
IF(AND(_xlpm.baseRow,$E581="Tier 2",COUNTIF(Tables2!$B$166:$B$674,$C581)&gt;0,$D581&lt;24),
Error!$B$54,
IF(AND(_xlpm.baseRow,$E581="Tier 3",ISNA(MATCH($C581,Tables2!$B$153:$B$162,0)),OR($D581&lt;12,$D581&gt;=24)),
Error!$B$9,
IF(AND(_xlpm.baseRow,$E581="Tier 3",COUNTIF(Tables2!$B$153:$B$162,$C581)&gt;0,$D581&lt;12),
Error!$B$46,
IF(AND(_xlpm.baseRow,$E581="Tier 4",OR($D581&lt;6,$D581&gt;=12)),
Error!$B$10,
IF(AND(_xlpm.baseRow,$E581="&lt;6in DSH for Tree Points",OR($D581&gt;=6,$D581="")),
Error!$B$8,
IF(AND(_xlpm.baseRow,$E581="Street Tree for Green Factor",$F581&lt;&gt;"",$F581&lt;&gt;"Retain"),
Error!$B$14,
IF(AND($E581="&lt;6in DSH for Tree Points",$F581="Retain",$H581&lt;&gt;"",ISNA(MATCH($H581,Tables!$B$174:$B$174,0))),
Error!$B$15,
IF(AND($E581="Street Tree for Green Factor",$F581="Retain",$H581&lt;&gt;"",$H581&lt;&gt;"Zoning: Green Factor"),
Error!$B$15,
IF(AND($E581="ECA / Shoreline Tree",$F581="Remove",$H581&lt;&gt;"",ISNA(MATCH($H581,Tables!$B$189:$B$190,0))),
Error!$B$15,
IF(AND($E581="ECA / Shoreline Tree",$F581="Retain",$H581&lt;&gt;"",ISNA(MATCH($H581,Tables!$B$184:$B$186,0))),
Error!$B$15,
IF(AND($E581="Tier 4",$F581="Remove",$H581&lt;&gt;"",ISNA(MATCH($H581,Tables!$B$171,0))),
Error!$B$15,
IF(AND($E581="Tier 4",$F581="Retain",$H581&lt;&gt;"",ISNA(MATCH($H581,Tables!$B$166:$B$168,0))),
Error!$B$15,
IF(AND($E581="Tier 3",$F581="Retain",$H581&lt;&gt;"",ISNA(MATCH($H581,Tables!$B$158:$B$160,0))),
Error!$B$15,
IF(AND($E581="Tier 3",$F581="Remove",$H581&lt;&gt;"",ISNA(MATCH($H581,Tables!$B$163,0))),
Error!$B$15,
IF(AND(OR($E581="Tier 2",$E581="Tier 2 Grove"),$F581="Remove",$H581&lt;&gt;"",ISNA(MATCH($H581,Tables!$B$153:$B$155,0))),
Error!$B$15,
IF(AND(OR($E581="Tier 2",$E581="Tier 2 Grove"),$F581="Retain",$H581&lt;&gt;"",ISNA(MATCH($H581,Tables!$B$147:$B$150,0))),
Error!$B$15,
IF(AND($E581="Tier 1",$F581="Remove",$H581&lt;&gt;"",ISNA(MATCH($H581,Tables!$B$143:$B$144,0))),
Error!$B$15,
IF(AND($E581="Tier 1",$F581="Retain",$H581&lt;&gt;"",ISNA(MATCH($H581,Tables!$B$137:$B$140,0))),
Error!$B$15,
IF(AND($E581&lt;&gt;"Tier 2",$E581&lt;&gt;"Tier 2 Grove",$E581&lt;&gt;"Tier 3",$E581&lt;&gt;"Tier 4",$H581="Zoning: Green Factor",OR($D581="",$D581&lt;6)),
Error!$B$11,
IF(AND(_xlpm.baseRow,$D581&lt;6,$E581="&lt;6in DSH for Tree Points",_xlpm.TreePoints_H=0),
Error!$B$21,
IF(AND(_xlpm.baseRow,$E581&lt;&gt;"",$D581&lt;&gt;"",$F581=""),
Error!$B$4,
IF(AND(_xlpm.baseRow,$F581="Remove",OR($E581="Tier 1",$E581="Tier 2",$E581="Tier 2 Grove"),COUNTBLANK(_xlpm.HRange)&lt;3,_xlpm.uniqueH&gt;=2),
Error!$B$48,
IF(AND(_xlpm.baseRow,$F581="Retain",OR($E581="Tier 1",$E581="Tier 2",$E581="Tier 2 Grove"),COUNTIF(_xlpm.HRange,"Tree Code: Required to Retain Tier 1-2 Tree")=0),
Error!$B$47,
IF(AND(_xlpm.baseRow,$E581&lt;&gt;"",$D581&lt;&gt;"",$F581&lt;&gt;"",COUNTBLANK(_xlpm.HRange)=4),
Error!$B$5,
IF(AND($F581="Remove",$H581&lt;&gt;"",$I581=""),
Error!$B$18,
IF(AND($E581="Tier 4",$F581="Remove",$H581="Tree Protection Code: Tier 3 or Tier 4 Allowance",$H581&lt;&gt;"",ISNA(MATCH($I581,Tables!$B$200,0))),
Error!$B$17,
IF(AND($E581="Tier 3",$F581="Remove",$H581&lt;&gt;"",$H581="Tree Protection Code: Tier 3 or Tier 4 Allowance",OR($I581="",ISNA(MATCH($I581,Tables!$B$193:$B$197,0)))),
Error!$B$17,
IF(AND(OR($E581="Tier 2",$E581="Tier 2 Grove"),$F581="Remove",$H581="Tree Protection Code: Other removal allowance or exemption",$I581&lt;&gt;"",ISNA(MATCH($I581,Tables!$B$215:$B$218,0))),
Error!$B$17,
IF(AND(OR($E581="Tier 2",$E581="Tier 2 Grove"),$F581="Remove",$H581="Tree Protection Code: Development Capacity",$I581&lt;&gt;"",ISNA(MATCH($I581,Tables!$B$193:$B$197,0))),
Error!$B$17,
IF(AND(OR($E581="Tier 2",$E581="Tier 2 Grove"),$F581="Remove",$H581="Tree Protection Code: Necessary for Construction",$I581&lt;&gt;"",ISNA(MATCH($I581,Tables!$B$193:$B$197,0))),
Error!$B$17,
IF(AND($E581="Tier 1",$F581="Remove",$H581="Tree Protection Code: Special Exception",$I581&lt;&gt;"",ISNA(MATCH($I581,Tables!$B$215:$B$218,0))),
Error!$B$17,
IF(AND($E581="Tier 1",$F581="Remove",$H581="Tree Protection Code: Other removal allowance or exemption",$I581&lt;&gt;"",ISNA(MATCH($I581,Tables!$B$215:$B$218,0))),
Error!$B$17,
IF(AND($E581="ECA / Shoreline Tree",$F581="Remove",$H581&lt;&gt;"",OR($H581="Shoreline",$H581="Environmental Critical Area (ECA)"),ISNA(MATCH($I581,Tables!$B$209:$B$212,0))),
Error!$B$17,
IF(AND(_xlpm.baseRow,$F581="Retain",$E581="ECA / Shoreline Tree",_xlpm.ECA_Short=0),
Error!$B$61,
IF(AND($F581="Remove",ISNUMBER(MATCH($E581,{"Tier 1","Tier 2","Tier 3","Tier 4","Tier 2 Grove"},0)),ISNUMBER(MATCH($I581,{"On-site replacement","Off-site replacement"},0)),$J581="",$H581&lt;&gt;""),
Error!$B$19,
IF(AND(_xlpm.baseRow,$E581&lt;&gt;"",$D581&lt;&gt;"",$F581&lt;&gt;"",COUNTBLANK($B581:$C581)&gt;0,COUNTBLANK(_xlpm.HRange)&lt;&gt;4),
Error!$B$22,
IF(AND($H581="Zoning: Tree Points",$K581&lt;&gt;"",ISNA(MATCH($K581,Tables!$B$242:$B$253,0))),
Error!$B$58,
IF(AND($H581="Zoning: Tree Points",$K581="Small",$L581&lt;&gt;"",ISNA(MATCH($L581,Tables!$C$243:$C$244,0))),
Error!$B$59,
IF(AND($H581="Zoning: Tree Points",$K581="Small/Medium",$L581&lt;&gt;"",ISNA(MATCH($L581,Tables!$C$246:$C$247,0))),
Error!$B$59,
IF(AND($H581="Zoning: Tree Points",$K581="Medium/Large",$L581&lt;&gt;"",ISNA(MATCH($L581,Tables!$C$249:$C$250,0))),
Error!$B$59,
IF(AND($H581="Zoning: Tree Points",$K581="Large",$L581&lt;&gt;"",ISNA(MATCH($L581,Tables!$C$252:$C$253,0))),
Error!$B$59,
IF(AND($F581="Retain",$H581="Zoning: Tree Points",$C581&lt;&gt;"",$D581&lt;&gt;"",OR($K581="",$L581="",$M581="")),
Error!$B$20,
""
)))))))))))))))))))))))))))))))))))))))))))))))))))))))),
Error!$B$23))</f>
        <v/>
      </c>
      <c r="O581" s="343" t="str" cm="1">
        <f t="array" aca="1" ref="O581" ca="1">IFERROR(_xlfn.LET(
    _xlpm.txt, $C581,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82" spans="1:15" ht="15" thickBot="1" x14ac:dyDescent="0.35">
      <c r="A582" s="331"/>
      <c r="B582" s="616" t="str">
        <f t="shared" si="675"/>
        <v/>
      </c>
      <c r="C582" s="617" t="str">
        <f t="shared" si="676"/>
        <v/>
      </c>
      <c r="D582" s="618" t="str">
        <f t="shared" si="677"/>
        <v/>
      </c>
      <c r="E582" s="616" t="str">
        <f t="shared" si="678"/>
        <v/>
      </c>
      <c r="F582" s="616" t="str">
        <f t="shared" si="679"/>
        <v/>
      </c>
      <c r="G582" s="619" t="str">
        <f>IF(Tree_Table1[[#This Row],[Tree Status  &amp;]]="Retain", Tables!$B$237, IF(Tree_Table1[[#This Row],[Tree Status  &amp;]]="Remove", Tables!$B$238, ""))</f>
        <v/>
      </c>
      <c r="H582" s="329"/>
      <c r="I582" s="330"/>
      <c r="J582" s="455"/>
      <c r="K582" s="327" t="str">
        <f>IFERROR(
    IF(
        AND($H582="Zoning: Tree Points", NOT(ISNUMBER(SEARCH("sp.", $C582)))),
        VLOOKUP($C582, 'Tree List'!$C$3:$F$601, 4, FALSE),
        ""
    ),
"")</f>
        <v/>
      </c>
      <c r="L582" s="328" t="str" cm="1">
        <f t="array" ref="L582">IFERROR(
IF(
    AND($H582="Zoning: Tree Points", NOT(ISNUMBER(SEARCH("sp.", $C582)))),
    _xlfn.IFS(
        (COUNTIFS('Tree List'!$C$3:$C$601,$C582,'Tree List'!$D$3:$D$601,"Coniferous")
        + COUNTIFS('Tree List'!$C$3:$C$601,$C582,'Tree List'!$D$3:$D$601,"Deciduous Conifer")) &gt; 0,
            _xlfn.IFS($K582="Small",0.5,$K582="Small/Medium",1,$K582="Medium/Large",1.4,$K582="Large",1.8),
        (COUNTIFS('Tree List'!$C$3:$C$601,$C582,'Tree List'!$D$3:$D$601,"Deciduous")
        + COUNTIFS('Tree List'!$C$3:$C$601,$C582,'Tree List'!$D$3:$D$601,"Broadleaf Evergreen")) &gt; 0,
            _xlfn.IFS($K582="Small",0.4,$K582="Small/Medium",0.8,$K582="Medium/Large",1.2,$K582="Large",1.6)
    ),
    ""
),
"")</f>
        <v/>
      </c>
      <c r="M582" s="476" t="str">
        <f t="shared" si="654"/>
        <v/>
      </c>
      <c r="N582" s="347" t="str" cm="1">
        <f t="array" aca="1" ref="N58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IF(AND(_xlpm.baseRow,ISNA(MATCH($C582,'Tree List'!$C$3:$C$601,0)),SUMPRODUCT(--ISNUMBER(SEARCH(Tables2!$C$677:$C$772,$O582)))&gt;0),
Error!$B$57,
IF(AND(_xlpm.hasDM,$F582="Remove",$H582&lt;&gt;"",OR($I582="On-site replacement",$I582="Off-site replacement",$I582="Payment In Lieu")),
Error!$B$56,
IF(AND(_xlpm.hasDM,$F582="Remove",$H582&lt;&gt;"",$I582="Relocation"),
Error!$B$66,
IF(AND(OR(_xlpm.hasCN,_xlpm.hasPH,_xlpm.hasGR),$H582&lt;&gt;"",COUNTIF(Tables!$B$132:$B$134,$H582)&gt;0,$I582="N/A (No replacement required)"),
Error!$B$62,
IF(AND(_xlpm.baseRow,$E582&lt;&gt;"",ISNA(MATCH($E582,Tables!$B$225:$B$232,0))),
Error!$B$2,
IF(AND(_xlpm.baseRow,$F582&lt;&gt;"",ISNA(MATCH($F582,Tables!$B$234:$B$235,0))),
Error!$B$24,
IF(AND(_xlpm.baseRow,_xlpm.ECA_H&gt;0,_xlpm.Shore_H&gt;0),
Error!$B$16,
IF(AND(_xlpm.baseRow,$E582&lt;&gt;"",$D582=""),
Error!$B$3,
IF(AND(_xlpm.baseRow,OR($E582="Tier 3",$E582="Tier 4"),$C582&lt;&gt;"",$D582&gt;=24,COUNTIF(Tables2!$B$166:$B$674,$C582)&gt;0),
Error!$B$44,
IF(AND(_xlpm.baseRow,OR($E582="Tier 3",$E582="Tier 4"),$C582&lt;&gt;"",$D582&lt;&gt;"",COUNTIF(Tables2!$B$73:$B$152,$C582)&gt;0,
$D582&gt;=IFERROR(INDEX(Tables2!$C$73:$C$152,MATCH($C582,Tables2!$B$73:$B$152,0)),-1)),
Error!$B$44,
IF(AND(_xlpm.baseRow,OR($E582="Tier 2",$E582="Tier 2 Grove"),$C582&lt;&gt;"",$D582&gt;=12,COUNTIF(Tables2!$B$153:$B$162,$C582)&gt;0),
Error!$B$45,
IF(AND(_xlpm.baseRow,$E582="Tier 2 Grove",$D582&lt;12),
Error!$B$41,
IF(AND(_xlpm.baseRow,$E582="Tier 2",$D582&lt;5.88),
Error!$B$40,
IF(AND(_xlpm.baseRow,OR($E582="Tier 2",$E582="Tier 2 Grove"),$C582&lt;&gt;"",$D582&lt;12,$D582&gt;=6,COUNTIF(Tables2!$B$153:$B$162,$C582)&gt;0),
Error!$B$54,
IF(AND(_xlpm.baseRow,$E582="Tier 2",COUNTIF(Tables2!$B$166:$B$674,$C582)&gt;0,$D582&lt;24),
Error!$B$54,
IF(AND(_xlpm.baseRow,$E582="Tier 3",ISNA(MATCH($C582,Tables2!$B$153:$B$162,0)),OR($D582&lt;12,$D582&gt;=24)),
Error!$B$9,
IF(AND(_xlpm.baseRow,$E582="Tier 3",COUNTIF(Tables2!$B$153:$B$162,$C582)&gt;0,$D582&lt;12),
Error!$B$46,
IF(AND(_xlpm.baseRow,$E582="Tier 4",OR($D582&lt;6,$D582&gt;=12)),
Error!$B$10,
IF(AND(_xlpm.baseRow,$E582="&lt;6in DSH for Tree Points",OR($D582&gt;=6,$D582="")),
Error!$B$8,
IF(AND(_xlpm.baseRow,$E582="Street Tree for Green Factor",$F582&lt;&gt;"",$F582&lt;&gt;"Retain"),
Error!$B$14,
IF(AND($E582="&lt;6in DSH for Tree Points",$F582="Retain",$H582&lt;&gt;"",ISNA(MATCH($H582,Tables!$B$174:$B$174,0))),
Error!$B$15,
IF(AND($E582="Street Tree for Green Factor",$F582="Retain",$H582&lt;&gt;"",$H582&lt;&gt;"Zoning: Green Factor"),
Error!$B$15,
IF(AND($E582="ECA / Shoreline Tree",$F582="Remove",$H582&lt;&gt;"",ISNA(MATCH($H582,Tables!$B$189:$B$190,0))),
Error!$B$15,
IF(AND($E582="ECA / Shoreline Tree",$F582="Retain",$H582&lt;&gt;"",ISNA(MATCH($H582,Tables!$B$184:$B$186,0))),
Error!$B$15,
IF(AND($E582="Tier 4",$F582="Remove",$H582&lt;&gt;"",ISNA(MATCH($H582,Tables!$B$171,0))),
Error!$B$15,
IF(AND($E582="Tier 4",$F582="Retain",$H582&lt;&gt;"",ISNA(MATCH($H582,Tables!$B$166:$B$168,0))),
Error!$B$15,
IF(AND($E582="Tier 3",$F582="Retain",$H582&lt;&gt;"",ISNA(MATCH($H582,Tables!$B$158:$B$160,0))),
Error!$B$15,
IF(AND($E582="Tier 3",$F582="Remove",$H582&lt;&gt;"",ISNA(MATCH($H582,Tables!$B$163,0))),
Error!$B$15,
IF(AND(OR($E582="Tier 2",$E582="Tier 2 Grove"),$F582="Remove",$H582&lt;&gt;"",ISNA(MATCH($H582,Tables!$B$153:$B$155,0))),
Error!$B$15,
IF(AND(OR($E582="Tier 2",$E582="Tier 2 Grove"),$F582="Retain",$H582&lt;&gt;"",ISNA(MATCH($H582,Tables!$B$147:$B$150,0))),
Error!$B$15,
IF(AND($E582="Tier 1",$F582="Remove",$H582&lt;&gt;"",ISNA(MATCH($H582,Tables!$B$143:$B$144,0))),
Error!$B$15,
IF(AND($E582="Tier 1",$F582="Retain",$H582&lt;&gt;"",ISNA(MATCH($H582,Tables!$B$137:$B$140,0))),
Error!$B$15,
IF(AND($E582&lt;&gt;"Tier 2",$E582&lt;&gt;"Tier 2 Grove",$E582&lt;&gt;"Tier 3",$E582&lt;&gt;"Tier 4",$H582="Zoning: Green Factor",OR($D582="",$D582&lt;6)),
Error!$B$11,
IF(AND(_xlpm.baseRow,$D582&lt;6,$E582="&lt;6in DSH for Tree Points",_xlpm.TreePoints_H=0),
Error!$B$21,
IF(AND(_xlpm.baseRow,$E582&lt;&gt;"",$D582&lt;&gt;"",$F582=""),
Error!$B$4,
IF(AND(_xlpm.baseRow,$F582="Remove",OR($E582="Tier 1",$E582="Tier 2",$E582="Tier 2 Grove"),COUNTBLANK(_xlpm.HRange)&lt;3,_xlpm.uniqueH&gt;=2),
Error!$B$48,
IF(AND(_xlpm.baseRow,$F582="Retain",OR($E582="Tier 1",$E582="Tier 2",$E582="Tier 2 Grove"),COUNTIF(_xlpm.HRange,"Tree Code: Required to Retain Tier 1-2 Tree")=0),
Error!$B$47,
IF(AND(_xlpm.baseRow,$E582&lt;&gt;"",$D582&lt;&gt;"",$F582&lt;&gt;"",COUNTBLANK(_xlpm.HRange)=4),
Error!$B$5,
IF(AND($F582="Remove",$H582&lt;&gt;"",$I582=""),
Error!$B$18,
IF(AND($E582="Tier 4",$F582="Remove",$H582="Tree Protection Code: Tier 3 or Tier 4 Allowance",$H582&lt;&gt;"",ISNA(MATCH($I582,Tables!$B$200,0))),
Error!$B$17,
IF(AND($E582="Tier 3",$F582="Remove",$H582&lt;&gt;"",$H582="Tree Protection Code: Tier 3 or Tier 4 Allowance",OR($I582="",ISNA(MATCH($I582,Tables!$B$193:$B$197,0)))),
Error!$B$17,
IF(AND(OR($E582="Tier 2",$E582="Tier 2 Grove"),$F582="Remove",$H582="Tree Protection Code: Other removal allowance or exemption",$I582&lt;&gt;"",ISNA(MATCH($I582,Tables!$B$215:$B$218,0))),
Error!$B$17,
IF(AND(OR($E582="Tier 2",$E582="Tier 2 Grove"),$F582="Remove",$H582="Tree Protection Code: Development Capacity",$I582&lt;&gt;"",ISNA(MATCH($I582,Tables!$B$193:$B$197,0))),
Error!$B$17,
IF(AND(OR($E582="Tier 2",$E582="Tier 2 Grove"),$F582="Remove",$H582="Tree Protection Code: Necessary for Construction",$I582&lt;&gt;"",ISNA(MATCH($I582,Tables!$B$193:$B$197,0))),
Error!$B$17,
IF(AND($E582="Tier 1",$F582="Remove",$H582="Tree Protection Code: Special Exception",$I582&lt;&gt;"",ISNA(MATCH($I582,Tables!$B$215:$B$218,0))),
Error!$B$17,
IF(AND($E582="Tier 1",$F582="Remove",$H582="Tree Protection Code: Other removal allowance or exemption",$I582&lt;&gt;"",ISNA(MATCH($I582,Tables!$B$215:$B$218,0))),
Error!$B$17,
IF(AND($E582="ECA / Shoreline Tree",$F582="Remove",$H582&lt;&gt;"",OR($H582="Shoreline",$H582="Environmental Critical Area (ECA)"),ISNA(MATCH($I582,Tables!$B$209:$B$212,0))),
Error!$B$17,
IF(AND(_xlpm.baseRow,$F582="Retain",$E582="ECA / Shoreline Tree",_xlpm.ECA_Short=0),
Error!$B$61,
IF(AND($F582="Remove",ISNUMBER(MATCH($E582,{"Tier 1","Tier 2","Tier 3","Tier 4","Tier 2 Grove"},0)),ISNUMBER(MATCH($I582,{"On-site replacement","Off-site replacement"},0)),$J582="",$H582&lt;&gt;""),
Error!$B$19,
IF(AND(_xlpm.baseRow,$E582&lt;&gt;"",$D582&lt;&gt;"",$F582&lt;&gt;"",COUNTBLANK($B582:$C582)&gt;0,COUNTBLANK(_xlpm.HRange)&lt;&gt;4),
Error!$B$22,
IF(AND($H582="Zoning: Tree Points",$K582&lt;&gt;"",ISNA(MATCH($K582,Tables!$B$242:$B$253,0))),
Error!$B$58,
IF(AND($H582="Zoning: Tree Points",$K582="Small",$L582&lt;&gt;"",ISNA(MATCH($L582,Tables!$C$243:$C$244,0))),
Error!$B$59,
IF(AND($H582="Zoning: Tree Points",$K582="Small/Medium",$L582&lt;&gt;"",ISNA(MATCH($L582,Tables!$C$246:$C$247,0))),
Error!$B$59,
IF(AND($H582="Zoning: Tree Points",$K582="Medium/Large",$L582&lt;&gt;"",ISNA(MATCH($L582,Tables!$C$249:$C$250,0))),
Error!$B$59,
IF(AND($H582="Zoning: Tree Points",$K582="Large",$L582&lt;&gt;"",ISNA(MATCH($L582,Tables!$C$252:$C$253,0))),
Error!$B$59,
IF(AND($F582="Retain",$H582="Zoning: Tree Points",$C582&lt;&gt;"",$D582&lt;&gt;"",OR($K582="",$L582="",$M582="")),
Error!$B$20,
""
)))))))))))))))))))))))))))))))))))))))))))))))))))))))),
Error!$B$23))</f>
        <v/>
      </c>
      <c r="O582" s="343" t="str" cm="1">
        <f t="array" aca="1" ref="O582" ca="1">IFERROR(_xlfn.LET(
    _xlpm.txt, $C582,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83" spans="1:15" ht="15" thickBot="1" x14ac:dyDescent="0.35">
      <c r="A583" s="311">
        <v>144</v>
      </c>
      <c r="B583" s="312"/>
      <c r="C583" s="313"/>
      <c r="D583" s="478"/>
      <c r="E583" s="314"/>
      <c r="F583" s="314"/>
      <c r="G583" s="315" t="str">
        <f>IF(Tree_Table1[[#This Row],[Tree Status  &amp;]]="Retain", Tables!$B$237, IF(Tree_Table1[[#This Row],[Tree Status  &amp;]]="Remove", Tables!$B$238, ""))</f>
        <v/>
      </c>
      <c r="H583" s="316"/>
      <c r="I583" s="317"/>
      <c r="J583" s="452"/>
      <c r="K583" s="318" t="str">
        <f>IFERROR(
    IF(
        AND($H583="Zoning: Tree Points", NOT(ISNUMBER(SEARCH("sp.", $C583)))),
        VLOOKUP($C583, 'Tree List'!$C$3:$F$601, 4, FALSE),
        ""
    ),
"")</f>
        <v/>
      </c>
      <c r="L583" s="319" t="str" cm="1">
        <f t="array" ref="L583">IFERROR(
IF(
    AND($H583="Zoning: Tree Points", NOT(ISNUMBER(SEARCH("sp.", $C583)))),
    _xlfn.IFS(
        (COUNTIFS('Tree List'!$C$3:$C$601,$C583,'Tree List'!$D$3:$D$601,"Coniferous")
        + COUNTIFS('Tree List'!$C$3:$C$601,$C583,'Tree List'!$D$3:$D$601,"Deciduous Conifer")) &gt; 0,
            _xlfn.IFS($K583="Small",0.5,$K583="Small/Medium",1,$K583="Medium/Large",1.4,$K583="Large",1.8),
        (COUNTIFS('Tree List'!$C$3:$C$601,$C583,'Tree List'!$D$3:$D$601,"Deciduous")
        + COUNTIFS('Tree List'!$C$3:$C$601,$C583,'Tree List'!$D$3:$D$601,"Broadleaf Evergreen")) &gt; 0,
            _xlfn.IFS($K583="Small",0.4,$K583="Small/Medium",0.8,$K583="Medium/Large",1.2,$K583="Large",1.6)
    ),
    ""
),
"")</f>
        <v/>
      </c>
      <c r="M583" s="474" t="str">
        <f t="shared" si="654"/>
        <v/>
      </c>
      <c r="N583" s="620" t="str" cm="1">
        <f t="array" aca="1" ref="N58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IF(AND(_xlpm.baseRow,ISNA(MATCH($C583,'Tree List'!$C$3:$C$601,0)),SUMPRODUCT(--ISNUMBER(SEARCH(Tables2!$C$677:$C$772,$O583)))&gt;0),
Error!$B$57,
IF(AND(_xlpm.hasDM,$F583="Remove",$H583&lt;&gt;"",OR($I583="On-site replacement",$I583="Off-site replacement",$I583="Payment In Lieu")),
Error!$B$56,
IF(AND(_xlpm.hasDM,$F583="Remove",$H583&lt;&gt;"",$I583="Relocation"),
Error!$B$66,
IF(AND(OR(_xlpm.hasCN,_xlpm.hasPH,_xlpm.hasGR),$H583&lt;&gt;"",COUNTIF(Tables!$B$132:$B$134,$H583)&gt;0,$I583="N/A (No replacement required)"),
Error!$B$62,
IF(AND(_xlpm.baseRow,$E583&lt;&gt;"",ISNA(MATCH($E583,Tables!$B$225:$B$232,0))),
Error!$B$2,
IF(AND(_xlpm.baseRow,$F583&lt;&gt;"",ISNA(MATCH($F583,Tables!$B$234:$B$235,0))),
Error!$B$24,
IF(AND(_xlpm.baseRow,_xlpm.ECA_H&gt;0,_xlpm.Shore_H&gt;0),
Error!$B$16,
IF(AND(_xlpm.baseRow,$E583&lt;&gt;"",$D583=""),
Error!$B$3,
IF(AND(_xlpm.baseRow,OR($E583="Tier 3",$E583="Tier 4"),$C583&lt;&gt;"",$D583&gt;=24,COUNTIF(Tables2!$B$166:$B$674,$C583)&gt;0),
Error!$B$44,
IF(AND(_xlpm.baseRow,OR($E583="Tier 3",$E583="Tier 4"),$C583&lt;&gt;"",$D583&lt;&gt;"",COUNTIF(Tables2!$B$73:$B$152,$C583)&gt;0,
$D583&gt;=IFERROR(INDEX(Tables2!$C$73:$C$152,MATCH($C583,Tables2!$B$73:$B$152,0)),-1)),
Error!$B$44,
IF(AND(_xlpm.baseRow,OR($E583="Tier 2",$E583="Tier 2 Grove"),$C583&lt;&gt;"",$D583&gt;=12,COUNTIF(Tables2!$B$153:$B$162,$C583)&gt;0),
Error!$B$45,
IF(AND(_xlpm.baseRow,$E583="Tier 2 Grove",$D583&lt;12),
Error!$B$41,
IF(AND(_xlpm.baseRow,$E583="Tier 2",$D583&lt;5.88),
Error!$B$40,
IF(AND(_xlpm.baseRow,OR($E583="Tier 2",$E583="Tier 2 Grove"),$C583&lt;&gt;"",$D583&lt;12,$D583&gt;=6,COUNTIF(Tables2!$B$153:$B$162,$C583)&gt;0),
Error!$B$54,
IF(AND(_xlpm.baseRow,$E583="Tier 2",COUNTIF(Tables2!$B$166:$B$674,$C583)&gt;0,$D583&lt;24),
Error!$B$54,
IF(AND(_xlpm.baseRow,$E583="Tier 3",ISNA(MATCH($C583,Tables2!$B$153:$B$162,0)),OR($D583&lt;12,$D583&gt;=24)),
Error!$B$9,
IF(AND(_xlpm.baseRow,$E583="Tier 3",COUNTIF(Tables2!$B$153:$B$162,$C583)&gt;0,$D583&lt;12),
Error!$B$46,
IF(AND(_xlpm.baseRow,$E583="Tier 4",OR($D583&lt;6,$D583&gt;=12)),
Error!$B$10,
IF(AND(_xlpm.baseRow,$E583="&lt;6in DSH for Tree Points",OR($D583&gt;=6,$D583="")),
Error!$B$8,
IF(AND(_xlpm.baseRow,$E583="Street Tree for Green Factor",$F583&lt;&gt;"",$F583&lt;&gt;"Retain"),
Error!$B$14,
IF(AND($E583="&lt;6in DSH for Tree Points",$F583="Retain",$H583&lt;&gt;"",ISNA(MATCH($H583,Tables!$B$174:$B$174,0))),
Error!$B$15,
IF(AND($E583="Street Tree for Green Factor",$F583="Retain",$H583&lt;&gt;"",$H583&lt;&gt;"Zoning: Green Factor"),
Error!$B$15,
IF(AND($E583="ECA / Shoreline Tree",$F583="Remove",$H583&lt;&gt;"",ISNA(MATCH($H583,Tables!$B$189:$B$190,0))),
Error!$B$15,
IF(AND($E583="ECA / Shoreline Tree",$F583="Retain",$H583&lt;&gt;"",ISNA(MATCH($H583,Tables!$B$184:$B$186,0))),
Error!$B$15,
IF(AND($E583="Tier 4",$F583="Remove",$H583&lt;&gt;"",ISNA(MATCH($H583,Tables!$B$171,0))),
Error!$B$15,
IF(AND($E583="Tier 4",$F583="Retain",$H583&lt;&gt;"",ISNA(MATCH($H583,Tables!$B$166:$B$168,0))),
Error!$B$15,
IF(AND($E583="Tier 3",$F583="Retain",$H583&lt;&gt;"",ISNA(MATCH($H583,Tables!$B$158:$B$160,0))),
Error!$B$15,
IF(AND($E583="Tier 3",$F583="Remove",$H583&lt;&gt;"",ISNA(MATCH($H583,Tables!$B$163,0))),
Error!$B$15,
IF(AND(OR($E583="Tier 2",$E583="Tier 2 Grove"),$F583="Remove",$H583&lt;&gt;"",ISNA(MATCH($H583,Tables!$B$153:$B$155,0))),
Error!$B$15,
IF(AND(OR($E583="Tier 2",$E583="Tier 2 Grove"),$F583="Retain",$H583&lt;&gt;"",ISNA(MATCH($H583,Tables!$B$147:$B$150,0))),
Error!$B$15,
IF(AND($E583="Tier 1",$F583="Remove",$H583&lt;&gt;"",ISNA(MATCH($H583,Tables!$B$143:$B$144,0))),
Error!$B$15,
IF(AND($E583="Tier 1",$F583="Retain",$H583&lt;&gt;"",ISNA(MATCH($H583,Tables!$B$137:$B$140,0))),
Error!$B$15,
IF(AND($E583&lt;&gt;"Tier 2",$E583&lt;&gt;"Tier 2 Grove",$E583&lt;&gt;"Tier 3",$E583&lt;&gt;"Tier 4",$H583="Zoning: Green Factor",OR($D583="",$D583&lt;6)),
Error!$B$11,
IF(AND(_xlpm.baseRow,$D583&lt;6,$E583="&lt;6in DSH for Tree Points",_xlpm.TreePoints_H=0),
Error!$B$21,
IF(AND(_xlpm.baseRow,$E583&lt;&gt;"",$D583&lt;&gt;"",$F583=""),
Error!$B$4,
IF(AND(_xlpm.baseRow,$F583="Remove",OR($E583="Tier 1",$E583="Tier 2",$E583="Tier 2 Grove"),COUNTBLANK(_xlpm.HRange)&lt;3,_xlpm.uniqueH&gt;=2),
Error!$B$48,
IF(AND(_xlpm.baseRow,$F583="Retain",OR($E583="Tier 1",$E583="Tier 2",$E583="Tier 2 Grove"),COUNTIF(_xlpm.HRange,"Tree Code: Required to Retain Tier 1-2 Tree")=0),
Error!$B$47,
IF(AND(_xlpm.baseRow,$E583&lt;&gt;"",$D583&lt;&gt;"",$F583&lt;&gt;"",COUNTBLANK(_xlpm.HRange)=4),
Error!$B$5,
IF(AND($F583="Remove",$H583&lt;&gt;"",$I583=""),
Error!$B$18,
IF(AND($E583="Tier 4",$F583="Remove",$H583="Tree Protection Code: Tier 3 or Tier 4 Allowance",$H583&lt;&gt;"",ISNA(MATCH($I583,Tables!$B$200,0))),
Error!$B$17,
IF(AND($E583="Tier 3",$F583="Remove",$H583&lt;&gt;"",$H583="Tree Protection Code: Tier 3 or Tier 4 Allowance",OR($I583="",ISNA(MATCH($I583,Tables!$B$193:$B$197,0)))),
Error!$B$17,
IF(AND(OR($E583="Tier 2",$E583="Tier 2 Grove"),$F583="Remove",$H583="Tree Protection Code: Other removal allowance or exemption",$I583&lt;&gt;"",ISNA(MATCH($I583,Tables!$B$215:$B$218,0))),
Error!$B$17,
IF(AND(OR($E583="Tier 2",$E583="Tier 2 Grove"),$F583="Remove",$H583="Tree Protection Code: Development Capacity",$I583&lt;&gt;"",ISNA(MATCH($I583,Tables!$B$193:$B$197,0))),
Error!$B$17,
IF(AND(OR($E583="Tier 2",$E583="Tier 2 Grove"),$F583="Remove",$H583="Tree Protection Code: Necessary for Construction",$I583&lt;&gt;"",ISNA(MATCH($I583,Tables!$B$193:$B$197,0))),
Error!$B$17,
IF(AND($E583="Tier 1",$F583="Remove",$H583="Tree Protection Code: Special Exception",$I583&lt;&gt;"",ISNA(MATCH($I583,Tables!$B$215:$B$218,0))),
Error!$B$17,
IF(AND($E583="Tier 1",$F583="Remove",$H583="Tree Protection Code: Other removal allowance or exemption",$I583&lt;&gt;"",ISNA(MATCH($I583,Tables!$B$215:$B$218,0))),
Error!$B$17,
IF(AND($E583="ECA / Shoreline Tree",$F583="Remove",$H583&lt;&gt;"",OR($H583="Shoreline",$H583="Environmental Critical Area (ECA)"),ISNA(MATCH($I583,Tables!$B$209:$B$212,0))),
Error!$B$17,
IF(AND(_xlpm.baseRow,$F583="Retain",$E583="ECA / Shoreline Tree",_xlpm.ECA_Short=0),
Error!$B$61,
IF(AND($F583="Remove",ISNUMBER(MATCH($E583,{"Tier 1","Tier 2","Tier 3","Tier 4","Tier 2 Grove"},0)),ISNUMBER(MATCH($I583,{"On-site replacement","Off-site replacement"},0)),$J583="",$H583&lt;&gt;""),
Error!$B$19,
IF(AND(_xlpm.baseRow,$E583&lt;&gt;"",$D583&lt;&gt;"",$F583&lt;&gt;"",COUNTBLANK($B583:$C583)&gt;0,COUNTBLANK(_xlpm.HRange)&lt;&gt;4),
Error!$B$22,
IF(AND($H583="Zoning: Tree Points",$K583&lt;&gt;"",ISNA(MATCH($K583,Tables!$B$242:$B$253,0))),
Error!$B$58,
IF(AND($H583="Zoning: Tree Points",$K583="Small",$L583&lt;&gt;"",ISNA(MATCH($L583,Tables!$C$243:$C$244,0))),
Error!$B$59,
IF(AND($H583="Zoning: Tree Points",$K583="Small/Medium",$L583&lt;&gt;"",ISNA(MATCH($L583,Tables!$C$246:$C$247,0))),
Error!$B$59,
IF(AND($H583="Zoning: Tree Points",$K583="Medium/Large",$L583&lt;&gt;"",ISNA(MATCH($L583,Tables!$C$249:$C$250,0))),
Error!$B$59,
IF(AND($H583="Zoning: Tree Points",$K583="Large",$L583&lt;&gt;"",ISNA(MATCH($L583,Tables!$C$252:$C$253,0))),
Error!$B$59,
IF(AND($F583="Retain",$H583="Zoning: Tree Points",$C583&lt;&gt;"",$D583&lt;&gt;"",OR($K583="",$L583="",$M583="")),
Error!$B$20,
""
)))))))))))))))))))))))))))))))))))))))))))))))))))))))),
Error!$B$23))</f>
        <v/>
      </c>
      <c r="O583" s="343" t="str" cm="1">
        <f t="array" aca="1" ref="O583" ca="1">IFERROR(_xlfn.LET(
    _xlpm.txt, $C583,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84" spans="1:15" x14ac:dyDescent="0.3">
      <c r="A584" s="320"/>
      <c r="B584" s="616" t="str">
        <f t="shared" ref="B584:B586" si="680">IF($B583="", "", $B583)</f>
        <v/>
      </c>
      <c r="C584" s="617" t="str">
        <f t="shared" ref="C584:C586" si="681">IF($C583="", "", $C583)</f>
        <v/>
      </c>
      <c r="D584" s="618" t="str">
        <f t="shared" ref="D584:D586" si="682">IF($D583="", "", $D583)</f>
        <v/>
      </c>
      <c r="E584" s="616" t="str">
        <f t="shared" ref="E584:E586" si="683">IF($E583="", "", $E583)</f>
        <v/>
      </c>
      <c r="F584" s="616" t="str">
        <f t="shared" ref="F584:F586" si="684">IF($F583="", "", $F583)</f>
        <v/>
      </c>
      <c r="G584" s="619" t="str">
        <f>IF(Tree_Table1[[#This Row],[Tree Status  &amp;]]="Retain", Tables!$B$237, IF(Tree_Table1[[#This Row],[Tree Status  &amp;]]="Remove", Tables!$B$238, ""))</f>
        <v/>
      </c>
      <c r="H584" s="321"/>
      <c r="I584" s="322"/>
      <c r="J584" s="453"/>
      <c r="K584" s="323" t="str">
        <f>IFERROR(
    IF(
        AND($H584="Zoning: Tree Points", NOT(ISNUMBER(SEARCH("sp.", $C584)))),
        VLOOKUP($C584, 'Tree List'!$C$3:$F$601, 4, FALSE),
        ""
    ),
"")</f>
        <v/>
      </c>
      <c r="L584" s="324" t="str" cm="1">
        <f t="array" ref="L584">IFERROR(
IF(
    AND($H584="Zoning: Tree Points", NOT(ISNUMBER(SEARCH("sp.", $C584)))),
    _xlfn.IFS(
        (COUNTIFS('Tree List'!$C$3:$C$601,$C584,'Tree List'!$D$3:$D$601,"Coniferous")
        + COUNTIFS('Tree List'!$C$3:$C$601,$C584,'Tree List'!$D$3:$D$601,"Deciduous Conifer")) &gt; 0,
            _xlfn.IFS($K584="Small",0.5,$K584="Small/Medium",1,$K584="Medium/Large",1.4,$K584="Large",1.8),
        (COUNTIFS('Tree List'!$C$3:$C$601,$C584,'Tree List'!$D$3:$D$601,"Deciduous")
        + COUNTIFS('Tree List'!$C$3:$C$601,$C584,'Tree List'!$D$3:$D$601,"Broadleaf Evergreen")) &gt; 0,
            _xlfn.IFS($K584="Small",0.4,$K584="Small/Medium",0.8,$K584="Medium/Large",1.2,$K584="Large",1.6)
    ),
    ""
),
"")</f>
        <v/>
      </c>
      <c r="M584" s="475" t="str">
        <f t="shared" si="654"/>
        <v/>
      </c>
      <c r="N584" s="346" t="str" cm="1">
        <f t="array" aca="1" ref="N58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IF(AND(_xlpm.baseRow,ISNA(MATCH($C584,'Tree List'!$C$3:$C$601,0)),SUMPRODUCT(--ISNUMBER(SEARCH(Tables2!$C$677:$C$772,$O584)))&gt;0),
Error!$B$57,
IF(AND(_xlpm.hasDM,$F584="Remove",$H584&lt;&gt;"",OR($I584="On-site replacement",$I584="Off-site replacement",$I584="Payment In Lieu")),
Error!$B$56,
IF(AND(_xlpm.hasDM,$F584="Remove",$H584&lt;&gt;"",$I584="Relocation"),
Error!$B$66,
IF(AND(OR(_xlpm.hasCN,_xlpm.hasPH,_xlpm.hasGR),$H584&lt;&gt;"",COUNTIF(Tables!$B$132:$B$134,$H584)&gt;0,$I584="N/A (No replacement required)"),
Error!$B$62,
IF(AND(_xlpm.baseRow,$E584&lt;&gt;"",ISNA(MATCH($E584,Tables!$B$225:$B$232,0))),
Error!$B$2,
IF(AND(_xlpm.baseRow,$F584&lt;&gt;"",ISNA(MATCH($F584,Tables!$B$234:$B$235,0))),
Error!$B$24,
IF(AND(_xlpm.baseRow,_xlpm.ECA_H&gt;0,_xlpm.Shore_H&gt;0),
Error!$B$16,
IF(AND(_xlpm.baseRow,$E584&lt;&gt;"",$D584=""),
Error!$B$3,
IF(AND(_xlpm.baseRow,OR($E584="Tier 3",$E584="Tier 4"),$C584&lt;&gt;"",$D584&gt;=24,COUNTIF(Tables2!$B$166:$B$674,$C584)&gt;0),
Error!$B$44,
IF(AND(_xlpm.baseRow,OR($E584="Tier 3",$E584="Tier 4"),$C584&lt;&gt;"",$D584&lt;&gt;"",COUNTIF(Tables2!$B$73:$B$152,$C584)&gt;0,
$D584&gt;=IFERROR(INDEX(Tables2!$C$73:$C$152,MATCH($C584,Tables2!$B$73:$B$152,0)),-1)),
Error!$B$44,
IF(AND(_xlpm.baseRow,OR($E584="Tier 2",$E584="Tier 2 Grove"),$C584&lt;&gt;"",$D584&gt;=12,COUNTIF(Tables2!$B$153:$B$162,$C584)&gt;0),
Error!$B$45,
IF(AND(_xlpm.baseRow,$E584="Tier 2 Grove",$D584&lt;12),
Error!$B$41,
IF(AND(_xlpm.baseRow,$E584="Tier 2",$D584&lt;5.88),
Error!$B$40,
IF(AND(_xlpm.baseRow,OR($E584="Tier 2",$E584="Tier 2 Grove"),$C584&lt;&gt;"",$D584&lt;12,$D584&gt;=6,COUNTIF(Tables2!$B$153:$B$162,$C584)&gt;0),
Error!$B$54,
IF(AND(_xlpm.baseRow,$E584="Tier 2",COUNTIF(Tables2!$B$166:$B$674,$C584)&gt;0,$D584&lt;24),
Error!$B$54,
IF(AND(_xlpm.baseRow,$E584="Tier 3",ISNA(MATCH($C584,Tables2!$B$153:$B$162,0)),OR($D584&lt;12,$D584&gt;=24)),
Error!$B$9,
IF(AND(_xlpm.baseRow,$E584="Tier 3",COUNTIF(Tables2!$B$153:$B$162,$C584)&gt;0,$D584&lt;12),
Error!$B$46,
IF(AND(_xlpm.baseRow,$E584="Tier 4",OR($D584&lt;6,$D584&gt;=12)),
Error!$B$10,
IF(AND(_xlpm.baseRow,$E584="&lt;6in DSH for Tree Points",OR($D584&gt;=6,$D584="")),
Error!$B$8,
IF(AND(_xlpm.baseRow,$E584="Street Tree for Green Factor",$F584&lt;&gt;"",$F584&lt;&gt;"Retain"),
Error!$B$14,
IF(AND($E584="&lt;6in DSH for Tree Points",$F584="Retain",$H584&lt;&gt;"",ISNA(MATCH($H584,Tables!$B$174:$B$174,0))),
Error!$B$15,
IF(AND($E584="Street Tree for Green Factor",$F584="Retain",$H584&lt;&gt;"",$H584&lt;&gt;"Zoning: Green Factor"),
Error!$B$15,
IF(AND($E584="ECA / Shoreline Tree",$F584="Remove",$H584&lt;&gt;"",ISNA(MATCH($H584,Tables!$B$189:$B$190,0))),
Error!$B$15,
IF(AND($E584="ECA / Shoreline Tree",$F584="Retain",$H584&lt;&gt;"",ISNA(MATCH($H584,Tables!$B$184:$B$186,0))),
Error!$B$15,
IF(AND($E584="Tier 4",$F584="Remove",$H584&lt;&gt;"",ISNA(MATCH($H584,Tables!$B$171,0))),
Error!$B$15,
IF(AND($E584="Tier 4",$F584="Retain",$H584&lt;&gt;"",ISNA(MATCH($H584,Tables!$B$166:$B$168,0))),
Error!$B$15,
IF(AND($E584="Tier 3",$F584="Retain",$H584&lt;&gt;"",ISNA(MATCH($H584,Tables!$B$158:$B$160,0))),
Error!$B$15,
IF(AND($E584="Tier 3",$F584="Remove",$H584&lt;&gt;"",ISNA(MATCH($H584,Tables!$B$163,0))),
Error!$B$15,
IF(AND(OR($E584="Tier 2",$E584="Tier 2 Grove"),$F584="Remove",$H584&lt;&gt;"",ISNA(MATCH($H584,Tables!$B$153:$B$155,0))),
Error!$B$15,
IF(AND(OR($E584="Tier 2",$E584="Tier 2 Grove"),$F584="Retain",$H584&lt;&gt;"",ISNA(MATCH($H584,Tables!$B$147:$B$150,0))),
Error!$B$15,
IF(AND($E584="Tier 1",$F584="Remove",$H584&lt;&gt;"",ISNA(MATCH($H584,Tables!$B$143:$B$144,0))),
Error!$B$15,
IF(AND($E584="Tier 1",$F584="Retain",$H584&lt;&gt;"",ISNA(MATCH($H584,Tables!$B$137:$B$140,0))),
Error!$B$15,
IF(AND($E584&lt;&gt;"Tier 2",$E584&lt;&gt;"Tier 2 Grove",$E584&lt;&gt;"Tier 3",$E584&lt;&gt;"Tier 4",$H584="Zoning: Green Factor",OR($D584="",$D584&lt;6)),
Error!$B$11,
IF(AND(_xlpm.baseRow,$D584&lt;6,$E584="&lt;6in DSH for Tree Points",_xlpm.TreePoints_H=0),
Error!$B$21,
IF(AND(_xlpm.baseRow,$E584&lt;&gt;"",$D584&lt;&gt;"",$F584=""),
Error!$B$4,
IF(AND(_xlpm.baseRow,$F584="Remove",OR($E584="Tier 1",$E584="Tier 2",$E584="Tier 2 Grove"),COUNTBLANK(_xlpm.HRange)&lt;3,_xlpm.uniqueH&gt;=2),
Error!$B$48,
IF(AND(_xlpm.baseRow,$F584="Retain",OR($E584="Tier 1",$E584="Tier 2",$E584="Tier 2 Grove"),COUNTIF(_xlpm.HRange,"Tree Code: Required to Retain Tier 1-2 Tree")=0),
Error!$B$47,
IF(AND(_xlpm.baseRow,$E584&lt;&gt;"",$D584&lt;&gt;"",$F584&lt;&gt;"",COUNTBLANK(_xlpm.HRange)=4),
Error!$B$5,
IF(AND($F584="Remove",$H584&lt;&gt;"",$I584=""),
Error!$B$18,
IF(AND($E584="Tier 4",$F584="Remove",$H584="Tree Protection Code: Tier 3 or Tier 4 Allowance",$H584&lt;&gt;"",ISNA(MATCH($I584,Tables!$B$200,0))),
Error!$B$17,
IF(AND($E584="Tier 3",$F584="Remove",$H584&lt;&gt;"",$H584="Tree Protection Code: Tier 3 or Tier 4 Allowance",OR($I584="",ISNA(MATCH($I584,Tables!$B$193:$B$197,0)))),
Error!$B$17,
IF(AND(OR($E584="Tier 2",$E584="Tier 2 Grove"),$F584="Remove",$H584="Tree Protection Code: Other removal allowance or exemption",$I584&lt;&gt;"",ISNA(MATCH($I584,Tables!$B$215:$B$218,0))),
Error!$B$17,
IF(AND(OR($E584="Tier 2",$E584="Tier 2 Grove"),$F584="Remove",$H584="Tree Protection Code: Development Capacity",$I584&lt;&gt;"",ISNA(MATCH($I584,Tables!$B$193:$B$197,0))),
Error!$B$17,
IF(AND(OR($E584="Tier 2",$E584="Tier 2 Grove"),$F584="Remove",$H584="Tree Protection Code: Necessary for Construction",$I584&lt;&gt;"",ISNA(MATCH($I584,Tables!$B$193:$B$197,0))),
Error!$B$17,
IF(AND($E584="Tier 1",$F584="Remove",$H584="Tree Protection Code: Special Exception",$I584&lt;&gt;"",ISNA(MATCH($I584,Tables!$B$215:$B$218,0))),
Error!$B$17,
IF(AND($E584="Tier 1",$F584="Remove",$H584="Tree Protection Code: Other removal allowance or exemption",$I584&lt;&gt;"",ISNA(MATCH($I584,Tables!$B$215:$B$218,0))),
Error!$B$17,
IF(AND($E584="ECA / Shoreline Tree",$F584="Remove",$H584&lt;&gt;"",OR($H584="Shoreline",$H584="Environmental Critical Area (ECA)"),ISNA(MATCH($I584,Tables!$B$209:$B$212,0))),
Error!$B$17,
IF(AND(_xlpm.baseRow,$F584="Retain",$E584="ECA / Shoreline Tree",_xlpm.ECA_Short=0),
Error!$B$61,
IF(AND($F584="Remove",ISNUMBER(MATCH($E584,{"Tier 1","Tier 2","Tier 3","Tier 4","Tier 2 Grove"},0)),ISNUMBER(MATCH($I584,{"On-site replacement","Off-site replacement"},0)),$J584="",$H584&lt;&gt;""),
Error!$B$19,
IF(AND(_xlpm.baseRow,$E584&lt;&gt;"",$D584&lt;&gt;"",$F584&lt;&gt;"",COUNTBLANK($B584:$C584)&gt;0,COUNTBLANK(_xlpm.HRange)&lt;&gt;4),
Error!$B$22,
IF(AND($H584="Zoning: Tree Points",$K584&lt;&gt;"",ISNA(MATCH($K584,Tables!$B$242:$B$253,0))),
Error!$B$58,
IF(AND($H584="Zoning: Tree Points",$K584="Small",$L584&lt;&gt;"",ISNA(MATCH($L584,Tables!$C$243:$C$244,0))),
Error!$B$59,
IF(AND($H584="Zoning: Tree Points",$K584="Small/Medium",$L584&lt;&gt;"",ISNA(MATCH($L584,Tables!$C$246:$C$247,0))),
Error!$B$59,
IF(AND($H584="Zoning: Tree Points",$K584="Medium/Large",$L584&lt;&gt;"",ISNA(MATCH($L584,Tables!$C$249:$C$250,0))),
Error!$B$59,
IF(AND($H584="Zoning: Tree Points",$K584="Large",$L584&lt;&gt;"",ISNA(MATCH($L584,Tables!$C$252:$C$253,0))),
Error!$B$59,
IF(AND($F584="Retain",$H584="Zoning: Tree Points",$C584&lt;&gt;"",$D584&lt;&gt;"",OR($K584="",$L584="",$M584="")),
Error!$B$20,
""
)))))))))))))))))))))))))))))))))))))))))))))))))))))))),
Error!$B$23))</f>
        <v/>
      </c>
      <c r="O584" s="343" t="str" cm="1">
        <f t="array" aca="1" ref="O584" ca="1">IFERROR(_xlfn.LET(
    _xlpm.txt, $C584,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85" spans="1:15" x14ac:dyDescent="0.3">
      <c r="A585" s="320"/>
      <c r="B585" s="616" t="str">
        <f t="shared" si="680"/>
        <v/>
      </c>
      <c r="C585" s="617" t="str">
        <f t="shared" si="681"/>
        <v/>
      </c>
      <c r="D585" s="618" t="str">
        <f t="shared" si="682"/>
        <v/>
      </c>
      <c r="E585" s="616" t="str">
        <f t="shared" si="683"/>
        <v/>
      </c>
      <c r="F585" s="616" t="str">
        <f t="shared" si="684"/>
        <v/>
      </c>
      <c r="G585" s="619" t="str">
        <f>IF(Tree_Table1[[#This Row],[Tree Status  &amp;]]="Retain", Tables!$B$237, IF(Tree_Table1[[#This Row],[Tree Status  &amp;]]="Remove", Tables!$B$238, ""))</f>
        <v/>
      </c>
      <c r="H585" s="321"/>
      <c r="I585" s="322"/>
      <c r="J585" s="453"/>
      <c r="K585" s="323" t="str">
        <f>IFERROR(
    IF(
        AND($H585="Zoning: Tree Points", NOT(ISNUMBER(SEARCH("sp.", $C585)))),
        VLOOKUP($C585, 'Tree List'!$C$3:$F$601, 4, FALSE),
        ""
    ),
"")</f>
        <v/>
      </c>
      <c r="L585" s="324" t="str" cm="1">
        <f t="array" ref="L585">IFERROR(
IF(
    AND($H585="Zoning: Tree Points", NOT(ISNUMBER(SEARCH("sp.", $C585)))),
    _xlfn.IFS(
        (COUNTIFS('Tree List'!$C$3:$C$601,$C585,'Tree List'!$D$3:$D$601,"Coniferous")
        + COUNTIFS('Tree List'!$C$3:$C$601,$C585,'Tree List'!$D$3:$D$601,"Deciduous Conifer")) &gt; 0,
            _xlfn.IFS($K585="Small",0.5,$K585="Small/Medium",1,$K585="Medium/Large",1.4,$K585="Large",1.8),
        (COUNTIFS('Tree List'!$C$3:$C$601,$C585,'Tree List'!$D$3:$D$601,"Deciduous")
        + COUNTIFS('Tree List'!$C$3:$C$601,$C585,'Tree List'!$D$3:$D$601,"Broadleaf Evergreen")) &gt; 0,
            _xlfn.IFS($K585="Small",0.4,$K585="Small/Medium",0.8,$K585="Medium/Large",1.2,$K585="Large",1.6)
    ),
    ""
),
"")</f>
        <v/>
      </c>
      <c r="M585" s="475" t="str">
        <f t="shared" si="654"/>
        <v/>
      </c>
      <c r="N585" s="346" t="str" cm="1">
        <f t="array" aca="1" ref="N58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IF(AND(_xlpm.baseRow,ISNA(MATCH($C585,'Tree List'!$C$3:$C$601,0)),SUMPRODUCT(--ISNUMBER(SEARCH(Tables2!$C$677:$C$772,$O585)))&gt;0),
Error!$B$57,
IF(AND(_xlpm.hasDM,$F585="Remove",$H585&lt;&gt;"",OR($I585="On-site replacement",$I585="Off-site replacement",$I585="Payment In Lieu")),
Error!$B$56,
IF(AND(_xlpm.hasDM,$F585="Remove",$H585&lt;&gt;"",$I585="Relocation"),
Error!$B$66,
IF(AND(OR(_xlpm.hasCN,_xlpm.hasPH,_xlpm.hasGR),$H585&lt;&gt;"",COUNTIF(Tables!$B$132:$B$134,$H585)&gt;0,$I585="N/A (No replacement required)"),
Error!$B$62,
IF(AND(_xlpm.baseRow,$E585&lt;&gt;"",ISNA(MATCH($E585,Tables!$B$225:$B$232,0))),
Error!$B$2,
IF(AND(_xlpm.baseRow,$F585&lt;&gt;"",ISNA(MATCH($F585,Tables!$B$234:$B$235,0))),
Error!$B$24,
IF(AND(_xlpm.baseRow,_xlpm.ECA_H&gt;0,_xlpm.Shore_H&gt;0),
Error!$B$16,
IF(AND(_xlpm.baseRow,$E585&lt;&gt;"",$D585=""),
Error!$B$3,
IF(AND(_xlpm.baseRow,OR($E585="Tier 3",$E585="Tier 4"),$C585&lt;&gt;"",$D585&gt;=24,COUNTIF(Tables2!$B$166:$B$674,$C585)&gt;0),
Error!$B$44,
IF(AND(_xlpm.baseRow,OR($E585="Tier 3",$E585="Tier 4"),$C585&lt;&gt;"",$D585&lt;&gt;"",COUNTIF(Tables2!$B$73:$B$152,$C585)&gt;0,
$D585&gt;=IFERROR(INDEX(Tables2!$C$73:$C$152,MATCH($C585,Tables2!$B$73:$B$152,0)),-1)),
Error!$B$44,
IF(AND(_xlpm.baseRow,OR($E585="Tier 2",$E585="Tier 2 Grove"),$C585&lt;&gt;"",$D585&gt;=12,COUNTIF(Tables2!$B$153:$B$162,$C585)&gt;0),
Error!$B$45,
IF(AND(_xlpm.baseRow,$E585="Tier 2 Grove",$D585&lt;12),
Error!$B$41,
IF(AND(_xlpm.baseRow,$E585="Tier 2",$D585&lt;5.88),
Error!$B$40,
IF(AND(_xlpm.baseRow,OR($E585="Tier 2",$E585="Tier 2 Grove"),$C585&lt;&gt;"",$D585&lt;12,$D585&gt;=6,COUNTIF(Tables2!$B$153:$B$162,$C585)&gt;0),
Error!$B$54,
IF(AND(_xlpm.baseRow,$E585="Tier 2",COUNTIF(Tables2!$B$166:$B$674,$C585)&gt;0,$D585&lt;24),
Error!$B$54,
IF(AND(_xlpm.baseRow,$E585="Tier 3",ISNA(MATCH($C585,Tables2!$B$153:$B$162,0)),OR($D585&lt;12,$D585&gt;=24)),
Error!$B$9,
IF(AND(_xlpm.baseRow,$E585="Tier 3",COUNTIF(Tables2!$B$153:$B$162,$C585)&gt;0,$D585&lt;12),
Error!$B$46,
IF(AND(_xlpm.baseRow,$E585="Tier 4",OR($D585&lt;6,$D585&gt;=12)),
Error!$B$10,
IF(AND(_xlpm.baseRow,$E585="&lt;6in DSH for Tree Points",OR($D585&gt;=6,$D585="")),
Error!$B$8,
IF(AND(_xlpm.baseRow,$E585="Street Tree for Green Factor",$F585&lt;&gt;"",$F585&lt;&gt;"Retain"),
Error!$B$14,
IF(AND($E585="&lt;6in DSH for Tree Points",$F585="Retain",$H585&lt;&gt;"",ISNA(MATCH($H585,Tables!$B$174:$B$174,0))),
Error!$B$15,
IF(AND($E585="Street Tree for Green Factor",$F585="Retain",$H585&lt;&gt;"",$H585&lt;&gt;"Zoning: Green Factor"),
Error!$B$15,
IF(AND($E585="ECA / Shoreline Tree",$F585="Remove",$H585&lt;&gt;"",ISNA(MATCH($H585,Tables!$B$189:$B$190,0))),
Error!$B$15,
IF(AND($E585="ECA / Shoreline Tree",$F585="Retain",$H585&lt;&gt;"",ISNA(MATCH($H585,Tables!$B$184:$B$186,0))),
Error!$B$15,
IF(AND($E585="Tier 4",$F585="Remove",$H585&lt;&gt;"",ISNA(MATCH($H585,Tables!$B$171,0))),
Error!$B$15,
IF(AND($E585="Tier 4",$F585="Retain",$H585&lt;&gt;"",ISNA(MATCH($H585,Tables!$B$166:$B$168,0))),
Error!$B$15,
IF(AND($E585="Tier 3",$F585="Retain",$H585&lt;&gt;"",ISNA(MATCH($H585,Tables!$B$158:$B$160,0))),
Error!$B$15,
IF(AND($E585="Tier 3",$F585="Remove",$H585&lt;&gt;"",ISNA(MATCH($H585,Tables!$B$163,0))),
Error!$B$15,
IF(AND(OR($E585="Tier 2",$E585="Tier 2 Grove"),$F585="Remove",$H585&lt;&gt;"",ISNA(MATCH($H585,Tables!$B$153:$B$155,0))),
Error!$B$15,
IF(AND(OR($E585="Tier 2",$E585="Tier 2 Grove"),$F585="Retain",$H585&lt;&gt;"",ISNA(MATCH($H585,Tables!$B$147:$B$150,0))),
Error!$B$15,
IF(AND($E585="Tier 1",$F585="Remove",$H585&lt;&gt;"",ISNA(MATCH($H585,Tables!$B$143:$B$144,0))),
Error!$B$15,
IF(AND($E585="Tier 1",$F585="Retain",$H585&lt;&gt;"",ISNA(MATCH($H585,Tables!$B$137:$B$140,0))),
Error!$B$15,
IF(AND($E585&lt;&gt;"Tier 2",$E585&lt;&gt;"Tier 2 Grove",$E585&lt;&gt;"Tier 3",$E585&lt;&gt;"Tier 4",$H585="Zoning: Green Factor",OR($D585="",$D585&lt;6)),
Error!$B$11,
IF(AND(_xlpm.baseRow,$D585&lt;6,$E585="&lt;6in DSH for Tree Points",_xlpm.TreePoints_H=0),
Error!$B$21,
IF(AND(_xlpm.baseRow,$E585&lt;&gt;"",$D585&lt;&gt;"",$F585=""),
Error!$B$4,
IF(AND(_xlpm.baseRow,$F585="Remove",OR($E585="Tier 1",$E585="Tier 2",$E585="Tier 2 Grove"),COUNTBLANK(_xlpm.HRange)&lt;3,_xlpm.uniqueH&gt;=2),
Error!$B$48,
IF(AND(_xlpm.baseRow,$F585="Retain",OR($E585="Tier 1",$E585="Tier 2",$E585="Tier 2 Grove"),COUNTIF(_xlpm.HRange,"Tree Code: Required to Retain Tier 1-2 Tree")=0),
Error!$B$47,
IF(AND(_xlpm.baseRow,$E585&lt;&gt;"",$D585&lt;&gt;"",$F585&lt;&gt;"",COUNTBLANK(_xlpm.HRange)=4),
Error!$B$5,
IF(AND($F585="Remove",$H585&lt;&gt;"",$I585=""),
Error!$B$18,
IF(AND($E585="Tier 4",$F585="Remove",$H585="Tree Protection Code: Tier 3 or Tier 4 Allowance",$H585&lt;&gt;"",ISNA(MATCH($I585,Tables!$B$200,0))),
Error!$B$17,
IF(AND($E585="Tier 3",$F585="Remove",$H585&lt;&gt;"",$H585="Tree Protection Code: Tier 3 or Tier 4 Allowance",OR($I585="",ISNA(MATCH($I585,Tables!$B$193:$B$197,0)))),
Error!$B$17,
IF(AND(OR($E585="Tier 2",$E585="Tier 2 Grove"),$F585="Remove",$H585="Tree Protection Code: Other removal allowance or exemption",$I585&lt;&gt;"",ISNA(MATCH($I585,Tables!$B$215:$B$218,0))),
Error!$B$17,
IF(AND(OR($E585="Tier 2",$E585="Tier 2 Grove"),$F585="Remove",$H585="Tree Protection Code: Development Capacity",$I585&lt;&gt;"",ISNA(MATCH($I585,Tables!$B$193:$B$197,0))),
Error!$B$17,
IF(AND(OR($E585="Tier 2",$E585="Tier 2 Grove"),$F585="Remove",$H585="Tree Protection Code: Necessary for Construction",$I585&lt;&gt;"",ISNA(MATCH($I585,Tables!$B$193:$B$197,0))),
Error!$B$17,
IF(AND($E585="Tier 1",$F585="Remove",$H585="Tree Protection Code: Special Exception",$I585&lt;&gt;"",ISNA(MATCH($I585,Tables!$B$215:$B$218,0))),
Error!$B$17,
IF(AND($E585="Tier 1",$F585="Remove",$H585="Tree Protection Code: Other removal allowance or exemption",$I585&lt;&gt;"",ISNA(MATCH($I585,Tables!$B$215:$B$218,0))),
Error!$B$17,
IF(AND($E585="ECA / Shoreline Tree",$F585="Remove",$H585&lt;&gt;"",OR($H585="Shoreline",$H585="Environmental Critical Area (ECA)"),ISNA(MATCH($I585,Tables!$B$209:$B$212,0))),
Error!$B$17,
IF(AND(_xlpm.baseRow,$F585="Retain",$E585="ECA / Shoreline Tree",_xlpm.ECA_Short=0),
Error!$B$61,
IF(AND($F585="Remove",ISNUMBER(MATCH($E585,{"Tier 1","Tier 2","Tier 3","Tier 4","Tier 2 Grove"},0)),ISNUMBER(MATCH($I585,{"On-site replacement","Off-site replacement"},0)),$J585="",$H585&lt;&gt;""),
Error!$B$19,
IF(AND(_xlpm.baseRow,$E585&lt;&gt;"",$D585&lt;&gt;"",$F585&lt;&gt;"",COUNTBLANK($B585:$C585)&gt;0,COUNTBLANK(_xlpm.HRange)&lt;&gt;4),
Error!$B$22,
IF(AND($H585="Zoning: Tree Points",$K585&lt;&gt;"",ISNA(MATCH($K585,Tables!$B$242:$B$253,0))),
Error!$B$58,
IF(AND($H585="Zoning: Tree Points",$K585="Small",$L585&lt;&gt;"",ISNA(MATCH($L585,Tables!$C$243:$C$244,0))),
Error!$B$59,
IF(AND($H585="Zoning: Tree Points",$K585="Small/Medium",$L585&lt;&gt;"",ISNA(MATCH($L585,Tables!$C$246:$C$247,0))),
Error!$B$59,
IF(AND($H585="Zoning: Tree Points",$K585="Medium/Large",$L585&lt;&gt;"",ISNA(MATCH($L585,Tables!$C$249:$C$250,0))),
Error!$B$59,
IF(AND($H585="Zoning: Tree Points",$K585="Large",$L585&lt;&gt;"",ISNA(MATCH($L585,Tables!$C$252:$C$253,0))),
Error!$B$59,
IF(AND($F585="Retain",$H585="Zoning: Tree Points",$C585&lt;&gt;"",$D585&lt;&gt;"",OR($K585="",$L585="",$M585="")),
Error!$B$20,
""
)))))))))))))))))))))))))))))))))))))))))))))))))))))))),
Error!$B$23))</f>
        <v/>
      </c>
      <c r="O585" s="343" t="str" cm="1">
        <f t="array" aca="1" ref="O585" ca="1">IFERROR(_xlfn.LET(
    _xlpm.txt, $C585,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86" spans="1:15" ht="15" thickBot="1" x14ac:dyDescent="0.35">
      <c r="A586" s="331"/>
      <c r="B586" s="616" t="str">
        <f t="shared" si="680"/>
        <v/>
      </c>
      <c r="C586" s="617" t="str">
        <f t="shared" si="681"/>
        <v/>
      </c>
      <c r="D586" s="618" t="str">
        <f t="shared" si="682"/>
        <v/>
      </c>
      <c r="E586" s="616" t="str">
        <f t="shared" si="683"/>
        <v/>
      </c>
      <c r="F586" s="616" t="str">
        <f t="shared" si="684"/>
        <v/>
      </c>
      <c r="G586" s="619" t="str">
        <f>IF(Tree_Table1[[#This Row],[Tree Status  &amp;]]="Retain", Tables!$B$237, IF(Tree_Table1[[#This Row],[Tree Status  &amp;]]="Remove", Tables!$B$238, ""))</f>
        <v/>
      </c>
      <c r="H586" s="329"/>
      <c r="I586" s="330"/>
      <c r="J586" s="455"/>
      <c r="K586" s="327" t="str">
        <f>IFERROR(
    IF(
        AND($H586="Zoning: Tree Points", NOT(ISNUMBER(SEARCH("sp.", $C586)))),
        VLOOKUP($C586, 'Tree List'!$C$3:$F$601, 4, FALSE),
        ""
    ),
"")</f>
        <v/>
      </c>
      <c r="L586" s="328" t="str" cm="1">
        <f t="array" ref="L586">IFERROR(
IF(
    AND($H586="Zoning: Tree Points", NOT(ISNUMBER(SEARCH("sp.", $C586)))),
    _xlfn.IFS(
        (COUNTIFS('Tree List'!$C$3:$C$601,$C586,'Tree List'!$D$3:$D$601,"Coniferous")
        + COUNTIFS('Tree List'!$C$3:$C$601,$C586,'Tree List'!$D$3:$D$601,"Deciduous Conifer")) &gt; 0,
            _xlfn.IFS($K586="Small",0.5,$K586="Small/Medium",1,$K586="Medium/Large",1.4,$K586="Large",1.8),
        (COUNTIFS('Tree List'!$C$3:$C$601,$C586,'Tree List'!$D$3:$D$601,"Deciduous")
        + COUNTIFS('Tree List'!$C$3:$C$601,$C586,'Tree List'!$D$3:$D$601,"Broadleaf Evergreen")) &gt; 0,
            _xlfn.IFS($K586="Small",0.4,$K586="Small/Medium",0.8,$K586="Medium/Large",1.2,$K586="Large",1.6)
    ),
    ""
),
"")</f>
        <v/>
      </c>
      <c r="M586" s="476" t="str">
        <f t="shared" si="654"/>
        <v/>
      </c>
      <c r="N586" s="347" t="str" cm="1">
        <f t="array" aca="1" ref="N58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IF(AND(_xlpm.baseRow,ISNA(MATCH($C586,'Tree List'!$C$3:$C$601,0)),SUMPRODUCT(--ISNUMBER(SEARCH(Tables2!$C$677:$C$772,$O586)))&gt;0),
Error!$B$57,
IF(AND(_xlpm.hasDM,$F586="Remove",$H586&lt;&gt;"",OR($I586="On-site replacement",$I586="Off-site replacement",$I586="Payment In Lieu")),
Error!$B$56,
IF(AND(_xlpm.hasDM,$F586="Remove",$H586&lt;&gt;"",$I586="Relocation"),
Error!$B$66,
IF(AND(OR(_xlpm.hasCN,_xlpm.hasPH,_xlpm.hasGR),$H586&lt;&gt;"",COUNTIF(Tables!$B$132:$B$134,$H586)&gt;0,$I586="N/A (No replacement required)"),
Error!$B$62,
IF(AND(_xlpm.baseRow,$E586&lt;&gt;"",ISNA(MATCH($E586,Tables!$B$225:$B$232,0))),
Error!$B$2,
IF(AND(_xlpm.baseRow,$F586&lt;&gt;"",ISNA(MATCH($F586,Tables!$B$234:$B$235,0))),
Error!$B$24,
IF(AND(_xlpm.baseRow,_xlpm.ECA_H&gt;0,_xlpm.Shore_H&gt;0),
Error!$B$16,
IF(AND(_xlpm.baseRow,$E586&lt;&gt;"",$D586=""),
Error!$B$3,
IF(AND(_xlpm.baseRow,OR($E586="Tier 3",$E586="Tier 4"),$C586&lt;&gt;"",$D586&gt;=24,COUNTIF(Tables2!$B$166:$B$674,$C586)&gt;0),
Error!$B$44,
IF(AND(_xlpm.baseRow,OR($E586="Tier 3",$E586="Tier 4"),$C586&lt;&gt;"",$D586&lt;&gt;"",COUNTIF(Tables2!$B$73:$B$152,$C586)&gt;0,
$D586&gt;=IFERROR(INDEX(Tables2!$C$73:$C$152,MATCH($C586,Tables2!$B$73:$B$152,0)),-1)),
Error!$B$44,
IF(AND(_xlpm.baseRow,OR($E586="Tier 2",$E586="Tier 2 Grove"),$C586&lt;&gt;"",$D586&gt;=12,COUNTIF(Tables2!$B$153:$B$162,$C586)&gt;0),
Error!$B$45,
IF(AND(_xlpm.baseRow,$E586="Tier 2 Grove",$D586&lt;12),
Error!$B$41,
IF(AND(_xlpm.baseRow,$E586="Tier 2",$D586&lt;5.88),
Error!$B$40,
IF(AND(_xlpm.baseRow,OR($E586="Tier 2",$E586="Tier 2 Grove"),$C586&lt;&gt;"",$D586&lt;12,$D586&gt;=6,COUNTIF(Tables2!$B$153:$B$162,$C586)&gt;0),
Error!$B$54,
IF(AND(_xlpm.baseRow,$E586="Tier 2",COUNTIF(Tables2!$B$166:$B$674,$C586)&gt;0,$D586&lt;24),
Error!$B$54,
IF(AND(_xlpm.baseRow,$E586="Tier 3",ISNA(MATCH($C586,Tables2!$B$153:$B$162,0)),OR($D586&lt;12,$D586&gt;=24)),
Error!$B$9,
IF(AND(_xlpm.baseRow,$E586="Tier 3",COUNTIF(Tables2!$B$153:$B$162,$C586)&gt;0,$D586&lt;12),
Error!$B$46,
IF(AND(_xlpm.baseRow,$E586="Tier 4",OR($D586&lt;6,$D586&gt;=12)),
Error!$B$10,
IF(AND(_xlpm.baseRow,$E586="&lt;6in DSH for Tree Points",OR($D586&gt;=6,$D586="")),
Error!$B$8,
IF(AND(_xlpm.baseRow,$E586="Street Tree for Green Factor",$F586&lt;&gt;"",$F586&lt;&gt;"Retain"),
Error!$B$14,
IF(AND($E586="&lt;6in DSH for Tree Points",$F586="Retain",$H586&lt;&gt;"",ISNA(MATCH($H586,Tables!$B$174:$B$174,0))),
Error!$B$15,
IF(AND($E586="Street Tree for Green Factor",$F586="Retain",$H586&lt;&gt;"",$H586&lt;&gt;"Zoning: Green Factor"),
Error!$B$15,
IF(AND($E586="ECA / Shoreline Tree",$F586="Remove",$H586&lt;&gt;"",ISNA(MATCH($H586,Tables!$B$189:$B$190,0))),
Error!$B$15,
IF(AND($E586="ECA / Shoreline Tree",$F586="Retain",$H586&lt;&gt;"",ISNA(MATCH($H586,Tables!$B$184:$B$186,0))),
Error!$B$15,
IF(AND($E586="Tier 4",$F586="Remove",$H586&lt;&gt;"",ISNA(MATCH($H586,Tables!$B$171,0))),
Error!$B$15,
IF(AND($E586="Tier 4",$F586="Retain",$H586&lt;&gt;"",ISNA(MATCH($H586,Tables!$B$166:$B$168,0))),
Error!$B$15,
IF(AND($E586="Tier 3",$F586="Retain",$H586&lt;&gt;"",ISNA(MATCH($H586,Tables!$B$158:$B$160,0))),
Error!$B$15,
IF(AND($E586="Tier 3",$F586="Remove",$H586&lt;&gt;"",ISNA(MATCH($H586,Tables!$B$163,0))),
Error!$B$15,
IF(AND(OR($E586="Tier 2",$E586="Tier 2 Grove"),$F586="Remove",$H586&lt;&gt;"",ISNA(MATCH($H586,Tables!$B$153:$B$155,0))),
Error!$B$15,
IF(AND(OR($E586="Tier 2",$E586="Tier 2 Grove"),$F586="Retain",$H586&lt;&gt;"",ISNA(MATCH($H586,Tables!$B$147:$B$150,0))),
Error!$B$15,
IF(AND($E586="Tier 1",$F586="Remove",$H586&lt;&gt;"",ISNA(MATCH($H586,Tables!$B$143:$B$144,0))),
Error!$B$15,
IF(AND($E586="Tier 1",$F586="Retain",$H586&lt;&gt;"",ISNA(MATCH($H586,Tables!$B$137:$B$140,0))),
Error!$B$15,
IF(AND($E586&lt;&gt;"Tier 2",$E586&lt;&gt;"Tier 2 Grove",$E586&lt;&gt;"Tier 3",$E586&lt;&gt;"Tier 4",$H586="Zoning: Green Factor",OR($D586="",$D586&lt;6)),
Error!$B$11,
IF(AND(_xlpm.baseRow,$D586&lt;6,$E586="&lt;6in DSH for Tree Points",_xlpm.TreePoints_H=0),
Error!$B$21,
IF(AND(_xlpm.baseRow,$E586&lt;&gt;"",$D586&lt;&gt;"",$F586=""),
Error!$B$4,
IF(AND(_xlpm.baseRow,$F586="Remove",OR($E586="Tier 1",$E586="Tier 2",$E586="Tier 2 Grove"),COUNTBLANK(_xlpm.HRange)&lt;3,_xlpm.uniqueH&gt;=2),
Error!$B$48,
IF(AND(_xlpm.baseRow,$F586="Retain",OR($E586="Tier 1",$E586="Tier 2",$E586="Tier 2 Grove"),COUNTIF(_xlpm.HRange,"Tree Code: Required to Retain Tier 1-2 Tree")=0),
Error!$B$47,
IF(AND(_xlpm.baseRow,$E586&lt;&gt;"",$D586&lt;&gt;"",$F586&lt;&gt;"",COUNTBLANK(_xlpm.HRange)=4),
Error!$B$5,
IF(AND($F586="Remove",$H586&lt;&gt;"",$I586=""),
Error!$B$18,
IF(AND($E586="Tier 4",$F586="Remove",$H586="Tree Protection Code: Tier 3 or Tier 4 Allowance",$H586&lt;&gt;"",ISNA(MATCH($I586,Tables!$B$200,0))),
Error!$B$17,
IF(AND($E586="Tier 3",$F586="Remove",$H586&lt;&gt;"",$H586="Tree Protection Code: Tier 3 or Tier 4 Allowance",OR($I586="",ISNA(MATCH($I586,Tables!$B$193:$B$197,0)))),
Error!$B$17,
IF(AND(OR($E586="Tier 2",$E586="Tier 2 Grove"),$F586="Remove",$H586="Tree Protection Code: Other removal allowance or exemption",$I586&lt;&gt;"",ISNA(MATCH($I586,Tables!$B$215:$B$218,0))),
Error!$B$17,
IF(AND(OR($E586="Tier 2",$E586="Tier 2 Grove"),$F586="Remove",$H586="Tree Protection Code: Development Capacity",$I586&lt;&gt;"",ISNA(MATCH($I586,Tables!$B$193:$B$197,0))),
Error!$B$17,
IF(AND(OR($E586="Tier 2",$E586="Tier 2 Grove"),$F586="Remove",$H586="Tree Protection Code: Necessary for Construction",$I586&lt;&gt;"",ISNA(MATCH($I586,Tables!$B$193:$B$197,0))),
Error!$B$17,
IF(AND($E586="Tier 1",$F586="Remove",$H586="Tree Protection Code: Special Exception",$I586&lt;&gt;"",ISNA(MATCH($I586,Tables!$B$215:$B$218,0))),
Error!$B$17,
IF(AND($E586="Tier 1",$F586="Remove",$H586="Tree Protection Code: Other removal allowance or exemption",$I586&lt;&gt;"",ISNA(MATCH($I586,Tables!$B$215:$B$218,0))),
Error!$B$17,
IF(AND($E586="ECA / Shoreline Tree",$F586="Remove",$H586&lt;&gt;"",OR($H586="Shoreline",$H586="Environmental Critical Area (ECA)"),ISNA(MATCH($I586,Tables!$B$209:$B$212,0))),
Error!$B$17,
IF(AND(_xlpm.baseRow,$F586="Retain",$E586="ECA / Shoreline Tree",_xlpm.ECA_Short=0),
Error!$B$61,
IF(AND($F586="Remove",ISNUMBER(MATCH($E586,{"Tier 1","Tier 2","Tier 3","Tier 4","Tier 2 Grove"},0)),ISNUMBER(MATCH($I586,{"On-site replacement","Off-site replacement"},0)),$J586="",$H586&lt;&gt;""),
Error!$B$19,
IF(AND(_xlpm.baseRow,$E586&lt;&gt;"",$D586&lt;&gt;"",$F586&lt;&gt;"",COUNTBLANK($B586:$C586)&gt;0,COUNTBLANK(_xlpm.HRange)&lt;&gt;4),
Error!$B$22,
IF(AND($H586="Zoning: Tree Points",$K586&lt;&gt;"",ISNA(MATCH($K586,Tables!$B$242:$B$253,0))),
Error!$B$58,
IF(AND($H586="Zoning: Tree Points",$K586="Small",$L586&lt;&gt;"",ISNA(MATCH($L586,Tables!$C$243:$C$244,0))),
Error!$B$59,
IF(AND($H586="Zoning: Tree Points",$K586="Small/Medium",$L586&lt;&gt;"",ISNA(MATCH($L586,Tables!$C$246:$C$247,0))),
Error!$B$59,
IF(AND($H586="Zoning: Tree Points",$K586="Medium/Large",$L586&lt;&gt;"",ISNA(MATCH($L586,Tables!$C$249:$C$250,0))),
Error!$B$59,
IF(AND($H586="Zoning: Tree Points",$K586="Large",$L586&lt;&gt;"",ISNA(MATCH($L586,Tables!$C$252:$C$253,0))),
Error!$B$59,
IF(AND($F586="Retain",$H586="Zoning: Tree Points",$C586&lt;&gt;"",$D586&lt;&gt;"",OR($K586="",$L586="",$M586="")),
Error!$B$20,
""
)))))))))))))))))))))))))))))))))))))))))))))))))))))))),
Error!$B$23))</f>
        <v/>
      </c>
      <c r="O586" s="343" t="str" cm="1">
        <f t="array" aca="1" ref="O586" ca="1">IFERROR(_xlfn.LET(
    _xlpm.txt, $C586,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87" spans="1:15" ht="15" thickBot="1" x14ac:dyDescent="0.35">
      <c r="A587" s="311">
        <v>145</v>
      </c>
      <c r="B587" s="312"/>
      <c r="C587" s="313"/>
      <c r="D587" s="478"/>
      <c r="E587" s="314"/>
      <c r="F587" s="314"/>
      <c r="G587" s="315" t="str">
        <f>IF(Tree_Table1[[#This Row],[Tree Status  &amp;]]="Retain", Tables!$B$237, IF(Tree_Table1[[#This Row],[Tree Status  &amp;]]="Remove", Tables!$B$238, ""))</f>
        <v/>
      </c>
      <c r="H587" s="316"/>
      <c r="I587" s="317"/>
      <c r="J587" s="452"/>
      <c r="K587" s="318" t="str">
        <f>IFERROR(
    IF(
        AND($H587="Zoning: Tree Points", NOT(ISNUMBER(SEARCH("sp.", $C587)))),
        VLOOKUP($C587, 'Tree List'!$C$3:$F$601, 4, FALSE),
        ""
    ),
"")</f>
        <v/>
      </c>
      <c r="L587" s="319" t="str" cm="1">
        <f t="array" ref="L587">IFERROR(
IF(
    AND($H587="Zoning: Tree Points", NOT(ISNUMBER(SEARCH("sp.", $C587)))),
    _xlfn.IFS(
        (COUNTIFS('Tree List'!$C$3:$C$601,$C587,'Tree List'!$D$3:$D$601,"Coniferous")
        + COUNTIFS('Tree List'!$C$3:$C$601,$C587,'Tree List'!$D$3:$D$601,"Deciduous Conifer")) &gt; 0,
            _xlfn.IFS($K587="Small",0.5,$K587="Small/Medium",1,$K587="Medium/Large",1.4,$K587="Large",1.8),
        (COUNTIFS('Tree List'!$C$3:$C$601,$C587,'Tree List'!$D$3:$D$601,"Deciduous")
        + COUNTIFS('Tree List'!$C$3:$C$601,$C587,'Tree List'!$D$3:$D$601,"Broadleaf Evergreen")) &gt; 0,
            _xlfn.IFS($K587="Small",0.4,$K587="Small/Medium",0.8,$K587="Medium/Large",1.2,$K587="Large",1.6)
    ),
    ""
),
"")</f>
        <v/>
      </c>
      <c r="M587" s="474" t="str">
        <f t="shared" si="654"/>
        <v/>
      </c>
      <c r="N587" s="620" t="str" cm="1">
        <f t="array" aca="1" ref="N58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IF(AND(_xlpm.baseRow,ISNA(MATCH($C587,'Tree List'!$C$3:$C$601,0)),SUMPRODUCT(--ISNUMBER(SEARCH(Tables2!$C$677:$C$772,$O587)))&gt;0),
Error!$B$57,
IF(AND(_xlpm.hasDM,$F587="Remove",$H587&lt;&gt;"",OR($I587="On-site replacement",$I587="Off-site replacement",$I587="Payment In Lieu")),
Error!$B$56,
IF(AND(_xlpm.hasDM,$F587="Remove",$H587&lt;&gt;"",$I587="Relocation"),
Error!$B$66,
IF(AND(OR(_xlpm.hasCN,_xlpm.hasPH,_xlpm.hasGR),$H587&lt;&gt;"",COUNTIF(Tables!$B$132:$B$134,$H587)&gt;0,$I587="N/A (No replacement required)"),
Error!$B$62,
IF(AND(_xlpm.baseRow,$E587&lt;&gt;"",ISNA(MATCH($E587,Tables!$B$225:$B$232,0))),
Error!$B$2,
IF(AND(_xlpm.baseRow,$F587&lt;&gt;"",ISNA(MATCH($F587,Tables!$B$234:$B$235,0))),
Error!$B$24,
IF(AND(_xlpm.baseRow,_xlpm.ECA_H&gt;0,_xlpm.Shore_H&gt;0),
Error!$B$16,
IF(AND(_xlpm.baseRow,$E587&lt;&gt;"",$D587=""),
Error!$B$3,
IF(AND(_xlpm.baseRow,OR($E587="Tier 3",$E587="Tier 4"),$C587&lt;&gt;"",$D587&gt;=24,COUNTIF(Tables2!$B$166:$B$674,$C587)&gt;0),
Error!$B$44,
IF(AND(_xlpm.baseRow,OR($E587="Tier 3",$E587="Tier 4"),$C587&lt;&gt;"",$D587&lt;&gt;"",COUNTIF(Tables2!$B$73:$B$152,$C587)&gt;0,
$D587&gt;=IFERROR(INDEX(Tables2!$C$73:$C$152,MATCH($C587,Tables2!$B$73:$B$152,0)),-1)),
Error!$B$44,
IF(AND(_xlpm.baseRow,OR($E587="Tier 2",$E587="Tier 2 Grove"),$C587&lt;&gt;"",$D587&gt;=12,COUNTIF(Tables2!$B$153:$B$162,$C587)&gt;0),
Error!$B$45,
IF(AND(_xlpm.baseRow,$E587="Tier 2 Grove",$D587&lt;12),
Error!$B$41,
IF(AND(_xlpm.baseRow,$E587="Tier 2",$D587&lt;5.88),
Error!$B$40,
IF(AND(_xlpm.baseRow,OR($E587="Tier 2",$E587="Tier 2 Grove"),$C587&lt;&gt;"",$D587&lt;12,$D587&gt;=6,COUNTIF(Tables2!$B$153:$B$162,$C587)&gt;0),
Error!$B$54,
IF(AND(_xlpm.baseRow,$E587="Tier 2",COUNTIF(Tables2!$B$166:$B$674,$C587)&gt;0,$D587&lt;24),
Error!$B$54,
IF(AND(_xlpm.baseRow,$E587="Tier 3",ISNA(MATCH($C587,Tables2!$B$153:$B$162,0)),OR($D587&lt;12,$D587&gt;=24)),
Error!$B$9,
IF(AND(_xlpm.baseRow,$E587="Tier 3",COUNTIF(Tables2!$B$153:$B$162,$C587)&gt;0,$D587&lt;12),
Error!$B$46,
IF(AND(_xlpm.baseRow,$E587="Tier 4",OR($D587&lt;6,$D587&gt;=12)),
Error!$B$10,
IF(AND(_xlpm.baseRow,$E587="&lt;6in DSH for Tree Points",OR($D587&gt;=6,$D587="")),
Error!$B$8,
IF(AND(_xlpm.baseRow,$E587="Street Tree for Green Factor",$F587&lt;&gt;"",$F587&lt;&gt;"Retain"),
Error!$B$14,
IF(AND($E587="&lt;6in DSH for Tree Points",$F587="Retain",$H587&lt;&gt;"",ISNA(MATCH($H587,Tables!$B$174:$B$174,0))),
Error!$B$15,
IF(AND($E587="Street Tree for Green Factor",$F587="Retain",$H587&lt;&gt;"",$H587&lt;&gt;"Zoning: Green Factor"),
Error!$B$15,
IF(AND($E587="ECA / Shoreline Tree",$F587="Remove",$H587&lt;&gt;"",ISNA(MATCH($H587,Tables!$B$189:$B$190,0))),
Error!$B$15,
IF(AND($E587="ECA / Shoreline Tree",$F587="Retain",$H587&lt;&gt;"",ISNA(MATCH($H587,Tables!$B$184:$B$186,0))),
Error!$B$15,
IF(AND($E587="Tier 4",$F587="Remove",$H587&lt;&gt;"",ISNA(MATCH($H587,Tables!$B$171,0))),
Error!$B$15,
IF(AND($E587="Tier 4",$F587="Retain",$H587&lt;&gt;"",ISNA(MATCH($H587,Tables!$B$166:$B$168,0))),
Error!$B$15,
IF(AND($E587="Tier 3",$F587="Retain",$H587&lt;&gt;"",ISNA(MATCH($H587,Tables!$B$158:$B$160,0))),
Error!$B$15,
IF(AND($E587="Tier 3",$F587="Remove",$H587&lt;&gt;"",ISNA(MATCH($H587,Tables!$B$163,0))),
Error!$B$15,
IF(AND(OR($E587="Tier 2",$E587="Tier 2 Grove"),$F587="Remove",$H587&lt;&gt;"",ISNA(MATCH($H587,Tables!$B$153:$B$155,0))),
Error!$B$15,
IF(AND(OR($E587="Tier 2",$E587="Tier 2 Grove"),$F587="Retain",$H587&lt;&gt;"",ISNA(MATCH($H587,Tables!$B$147:$B$150,0))),
Error!$B$15,
IF(AND($E587="Tier 1",$F587="Remove",$H587&lt;&gt;"",ISNA(MATCH($H587,Tables!$B$143:$B$144,0))),
Error!$B$15,
IF(AND($E587="Tier 1",$F587="Retain",$H587&lt;&gt;"",ISNA(MATCH($H587,Tables!$B$137:$B$140,0))),
Error!$B$15,
IF(AND($E587&lt;&gt;"Tier 2",$E587&lt;&gt;"Tier 2 Grove",$E587&lt;&gt;"Tier 3",$E587&lt;&gt;"Tier 4",$H587="Zoning: Green Factor",OR($D587="",$D587&lt;6)),
Error!$B$11,
IF(AND(_xlpm.baseRow,$D587&lt;6,$E587="&lt;6in DSH for Tree Points",_xlpm.TreePoints_H=0),
Error!$B$21,
IF(AND(_xlpm.baseRow,$E587&lt;&gt;"",$D587&lt;&gt;"",$F587=""),
Error!$B$4,
IF(AND(_xlpm.baseRow,$F587="Remove",OR($E587="Tier 1",$E587="Tier 2",$E587="Tier 2 Grove"),COUNTBLANK(_xlpm.HRange)&lt;3,_xlpm.uniqueH&gt;=2),
Error!$B$48,
IF(AND(_xlpm.baseRow,$F587="Retain",OR($E587="Tier 1",$E587="Tier 2",$E587="Tier 2 Grove"),COUNTIF(_xlpm.HRange,"Tree Code: Required to Retain Tier 1-2 Tree")=0),
Error!$B$47,
IF(AND(_xlpm.baseRow,$E587&lt;&gt;"",$D587&lt;&gt;"",$F587&lt;&gt;"",COUNTBLANK(_xlpm.HRange)=4),
Error!$B$5,
IF(AND($F587="Remove",$H587&lt;&gt;"",$I587=""),
Error!$B$18,
IF(AND($E587="Tier 4",$F587="Remove",$H587="Tree Protection Code: Tier 3 or Tier 4 Allowance",$H587&lt;&gt;"",ISNA(MATCH($I587,Tables!$B$200,0))),
Error!$B$17,
IF(AND($E587="Tier 3",$F587="Remove",$H587&lt;&gt;"",$H587="Tree Protection Code: Tier 3 or Tier 4 Allowance",OR($I587="",ISNA(MATCH($I587,Tables!$B$193:$B$197,0)))),
Error!$B$17,
IF(AND(OR($E587="Tier 2",$E587="Tier 2 Grove"),$F587="Remove",$H587="Tree Protection Code: Other removal allowance or exemption",$I587&lt;&gt;"",ISNA(MATCH($I587,Tables!$B$215:$B$218,0))),
Error!$B$17,
IF(AND(OR($E587="Tier 2",$E587="Tier 2 Grove"),$F587="Remove",$H587="Tree Protection Code: Development Capacity",$I587&lt;&gt;"",ISNA(MATCH($I587,Tables!$B$193:$B$197,0))),
Error!$B$17,
IF(AND(OR($E587="Tier 2",$E587="Tier 2 Grove"),$F587="Remove",$H587="Tree Protection Code: Necessary for Construction",$I587&lt;&gt;"",ISNA(MATCH($I587,Tables!$B$193:$B$197,0))),
Error!$B$17,
IF(AND($E587="Tier 1",$F587="Remove",$H587="Tree Protection Code: Special Exception",$I587&lt;&gt;"",ISNA(MATCH($I587,Tables!$B$215:$B$218,0))),
Error!$B$17,
IF(AND($E587="Tier 1",$F587="Remove",$H587="Tree Protection Code: Other removal allowance or exemption",$I587&lt;&gt;"",ISNA(MATCH($I587,Tables!$B$215:$B$218,0))),
Error!$B$17,
IF(AND($E587="ECA / Shoreline Tree",$F587="Remove",$H587&lt;&gt;"",OR($H587="Shoreline",$H587="Environmental Critical Area (ECA)"),ISNA(MATCH($I587,Tables!$B$209:$B$212,0))),
Error!$B$17,
IF(AND(_xlpm.baseRow,$F587="Retain",$E587="ECA / Shoreline Tree",_xlpm.ECA_Short=0),
Error!$B$61,
IF(AND($F587="Remove",ISNUMBER(MATCH($E587,{"Tier 1","Tier 2","Tier 3","Tier 4","Tier 2 Grove"},0)),ISNUMBER(MATCH($I587,{"On-site replacement","Off-site replacement"},0)),$J587="",$H587&lt;&gt;""),
Error!$B$19,
IF(AND(_xlpm.baseRow,$E587&lt;&gt;"",$D587&lt;&gt;"",$F587&lt;&gt;"",COUNTBLANK($B587:$C587)&gt;0,COUNTBLANK(_xlpm.HRange)&lt;&gt;4),
Error!$B$22,
IF(AND($H587="Zoning: Tree Points",$K587&lt;&gt;"",ISNA(MATCH($K587,Tables!$B$242:$B$253,0))),
Error!$B$58,
IF(AND($H587="Zoning: Tree Points",$K587="Small",$L587&lt;&gt;"",ISNA(MATCH($L587,Tables!$C$243:$C$244,0))),
Error!$B$59,
IF(AND($H587="Zoning: Tree Points",$K587="Small/Medium",$L587&lt;&gt;"",ISNA(MATCH($L587,Tables!$C$246:$C$247,0))),
Error!$B$59,
IF(AND($H587="Zoning: Tree Points",$K587="Medium/Large",$L587&lt;&gt;"",ISNA(MATCH($L587,Tables!$C$249:$C$250,0))),
Error!$B$59,
IF(AND($H587="Zoning: Tree Points",$K587="Large",$L587&lt;&gt;"",ISNA(MATCH($L587,Tables!$C$252:$C$253,0))),
Error!$B$59,
IF(AND($F587="Retain",$H587="Zoning: Tree Points",$C587&lt;&gt;"",$D587&lt;&gt;"",OR($K587="",$L587="",$M587="")),
Error!$B$20,
""
)))))))))))))))))))))))))))))))))))))))))))))))))))))))),
Error!$B$23))</f>
        <v/>
      </c>
      <c r="O587" s="343" t="str" cm="1">
        <f t="array" aca="1" ref="O587" ca="1">IFERROR(_xlfn.LET(
    _xlpm.txt, $C587,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88" spans="1:15" x14ac:dyDescent="0.3">
      <c r="A588" s="320"/>
      <c r="B588" s="616" t="str">
        <f t="shared" ref="B588:B590" si="685">IF($B587="", "", $B587)</f>
        <v/>
      </c>
      <c r="C588" s="617" t="str">
        <f t="shared" ref="C588:C590" si="686">IF($C587="", "", $C587)</f>
        <v/>
      </c>
      <c r="D588" s="618" t="str">
        <f t="shared" ref="D588:D590" si="687">IF($D587="", "", $D587)</f>
        <v/>
      </c>
      <c r="E588" s="616" t="str">
        <f t="shared" ref="E588:E590" si="688">IF($E587="", "", $E587)</f>
        <v/>
      </c>
      <c r="F588" s="616" t="str">
        <f t="shared" ref="F588:F590" si="689">IF($F587="", "", $F587)</f>
        <v/>
      </c>
      <c r="G588" s="619" t="str">
        <f>IF(Tree_Table1[[#This Row],[Tree Status  &amp;]]="Retain", Tables!$B$237, IF(Tree_Table1[[#This Row],[Tree Status  &amp;]]="Remove", Tables!$B$238, ""))</f>
        <v/>
      </c>
      <c r="H588" s="321"/>
      <c r="I588" s="322"/>
      <c r="J588" s="453"/>
      <c r="K588" s="323" t="str">
        <f>IFERROR(
    IF(
        AND($H588="Zoning: Tree Points", NOT(ISNUMBER(SEARCH("sp.", $C588)))),
        VLOOKUP($C588, 'Tree List'!$C$3:$F$601, 4, FALSE),
        ""
    ),
"")</f>
        <v/>
      </c>
      <c r="L588" s="324" t="str" cm="1">
        <f t="array" ref="L588">IFERROR(
IF(
    AND($H588="Zoning: Tree Points", NOT(ISNUMBER(SEARCH("sp.", $C588)))),
    _xlfn.IFS(
        (COUNTIFS('Tree List'!$C$3:$C$601,$C588,'Tree List'!$D$3:$D$601,"Coniferous")
        + COUNTIFS('Tree List'!$C$3:$C$601,$C588,'Tree List'!$D$3:$D$601,"Deciduous Conifer")) &gt; 0,
            _xlfn.IFS($K588="Small",0.5,$K588="Small/Medium",1,$K588="Medium/Large",1.4,$K588="Large",1.8),
        (COUNTIFS('Tree List'!$C$3:$C$601,$C588,'Tree List'!$D$3:$D$601,"Deciduous")
        + COUNTIFS('Tree List'!$C$3:$C$601,$C588,'Tree List'!$D$3:$D$601,"Broadleaf Evergreen")) &gt; 0,
            _xlfn.IFS($K588="Small",0.4,$K588="Small/Medium",0.8,$K588="Medium/Large",1.2,$K588="Large",1.6)
    ),
    ""
),
"")</f>
        <v/>
      </c>
      <c r="M588" s="475" t="str">
        <f t="shared" si="654"/>
        <v/>
      </c>
      <c r="N588" s="346" t="str" cm="1">
        <f t="array" aca="1" ref="N58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IF(AND(_xlpm.baseRow,ISNA(MATCH($C588,'Tree List'!$C$3:$C$601,0)),SUMPRODUCT(--ISNUMBER(SEARCH(Tables2!$C$677:$C$772,$O588)))&gt;0),
Error!$B$57,
IF(AND(_xlpm.hasDM,$F588="Remove",$H588&lt;&gt;"",OR($I588="On-site replacement",$I588="Off-site replacement",$I588="Payment In Lieu")),
Error!$B$56,
IF(AND(_xlpm.hasDM,$F588="Remove",$H588&lt;&gt;"",$I588="Relocation"),
Error!$B$66,
IF(AND(OR(_xlpm.hasCN,_xlpm.hasPH,_xlpm.hasGR),$H588&lt;&gt;"",COUNTIF(Tables!$B$132:$B$134,$H588)&gt;0,$I588="N/A (No replacement required)"),
Error!$B$62,
IF(AND(_xlpm.baseRow,$E588&lt;&gt;"",ISNA(MATCH($E588,Tables!$B$225:$B$232,0))),
Error!$B$2,
IF(AND(_xlpm.baseRow,$F588&lt;&gt;"",ISNA(MATCH($F588,Tables!$B$234:$B$235,0))),
Error!$B$24,
IF(AND(_xlpm.baseRow,_xlpm.ECA_H&gt;0,_xlpm.Shore_H&gt;0),
Error!$B$16,
IF(AND(_xlpm.baseRow,$E588&lt;&gt;"",$D588=""),
Error!$B$3,
IF(AND(_xlpm.baseRow,OR($E588="Tier 3",$E588="Tier 4"),$C588&lt;&gt;"",$D588&gt;=24,COUNTIF(Tables2!$B$166:$B$674,$C588)&gt;0),
Error!$B$44,
IF(AND(_xlpm.baseRow,OR($E588="Tier 3",$E588="Tier 4"),$C588&lt;&gt;"",$D588&lt;&gt;"",COUNTIF(Tables2!$B$73:$B$152,$C588)&gt;0,
$D588&gt;=IFERROR(INDEX(Tables2!$C$73:$C$152,MATCH($C588,Tables2!$B$73:$B$152,0)),-1)),
Error!$B$44,
IF(AND(_xlpm.baseRow,OR($E588="Tier 2",$E588="Tier 2 Grove"),$C588&lt;&gt;"",$D588&gt;=12,COUNTIF(Tables2!$B$153:$B$162,$C588)&gt;0),
Error!$B$45,
IF(AND(_xlpm.baseRow,$E588="Tier 2 Grove",$D588&lt;12),
Error!$B$41,
IF(AND(_xlpm.baseRow,$E588="Tier 2",$D588&lt;5.88),
Error!$B$40,
IF(AND(_xlpm.baseRow,OR($E588="Tier 2",$E588="Tier 2 Grove"),$C588&lt;&gt;"",$D588&lt;12,$D588&gt;=6,COUNTIF(Tables2!$B$153:$B$162,$C588)&gt;0),
Error!$B$54,
IF(AND(_xlpm.baseRow,$E588="Tier 2",COUNTIF(Tables2!$B$166:$B$674,$C588)&gt;0,$D588&lt;24),
Error!$B$54,
IF(AND(_xlpm.baseRow,$E588="Tier 3",ISNA(MATCH($C588,Tables2!$B$153:$B$162,0)),OR($D588&lt;12,$D588&gt;=24)),
Error!$B$9,
IF(AND(_xlpm.baseRow,$E588="Tier 3",COUNTIF(Tables2!$B$153:$B$162,$C588)&gt;0,$D588&lt;12),
Error!$B$46,
IF(AND(_xlpm.baseRow,$E588="Tier 4",OR($D588&lt;6,$D588&gt;=12)),
Error!$B$10,
IF(AND(_xlpm.baseRow,$E588="&lt;6in DSH for Tree Points",OR($D588&gt;=6,$D588="")),
Error!$B$8,
IF(AND(_xlpm.baseRow,$E588="Street Tree for Green Factor",$F588&lt;&gt;"",$F588&lt;&gt;"Retain"),
Error!$B$14,
IF(AND($E588="&lt;6in DSH for Tree Points",$F588="Retain",$H588&lt;&gt;"",ISNA(MATCH($H588,Tables!$B$174:$B$174,0))),
Error!$B$15,
IF(AND($E588="Street Tree for Green Factor",$F588="Retain",$H588&lt;&gt;"",$H588&lt;&gt;"Zoning: Green Factor"),
Error!$B$15,
IF(AND($E588="ECA / Shoreline Tree",$F588="Remove",$H588&lt;&gt;"",ISNA(MATCH($H588,Tables!$B$189:$B$190,0))),
Error!$B$15,
IF(AND($E588="ECA / Shoreline Tree",$F588="Retain",$H588&lt;&gt;"",ISNA(MATCH($H588,Tables!$B$184:$B$186,0))),
Error!$B$15,
IF(AND($E588="Tier 4",$F588="Remove",$H588&lt;&gt;"",ISNA(MATCH($H588,Tables!$B$171,0))),
Error!$B$15,
IF(AND($E588="Tier 4",$F588="Retain",$H588&lt;&gt;"",ISNA(MATCH($H588,Tables!$B$166:$B$168,0))),
Error!$B$15,
IF(AND($E588="Tier 3",$F588="Retain",$H588&lt;&gt;"",ISNA(MATCH($H588,Tables!$B$158:$B$160,0))),
Error!$B$15,
IF(AND($E588="Tier 3",$F588="Remove",$H588&lt;&gt;"",ISNA(MATCH($H588,Tables!$B$163,0))),
Error!$B$15,
IF(AND(OR($E588="Tier 2",$E588="Tier 2 Grove"),$F588="Remove",$H588&lt;&gt;"",ISNA(MATCH($H588,Tables!$B$153:$B$155,0))),
Error!$B$15,
IF(AND(OR($E588="Tier 2",$E588="Tier 2 Grove"),$F588="Retain",$H588&lt;&gt;"",ISNA(MATCH($H588,Tables!$B$147:$B$150,0))),
Error!$B$15,
IF(AND($E588="Tier 1",$F588="Remove",$H588&lt;&gt;"",ISNA(MATCH($H588,Tables!$B$143:$B$144,0))),
Error!$B$15,
IF(AND($E588="Tier 1",$F588="Retain",$H588&lt;&gt;"",ISNA(MATCH($H588,Tables!$B$137:$B$140,0))),
Error!$B$15,
IF(AND($E588&lt;&gt;"Tier 2",$E588&lt;&gt;"Tier 2 Grove",$E588&lt;&gt;"Tier 3",$E588&lt;&gt;"Tier 4",$H588="Zoning: Green Factor",OR($D588="",$D588&lt;6)),
Error!$B$11,
IF(AND(_xlpm.baseRow,$D588&lt;6,$E588="&lt;6in DSH for Tree Points",_xlpm.TreePoints_H=0),
Error!$B$21,
IF(AND(_xlpm.baseRow,$E588&lt;&gt;"",$D588&lt;&gt;"",$F588=""),
Error!$B$4,
IF(AND(_xlpm.baseRow,$F588="Remove",OR($E588="Tier 1",$E588="Tier 2",$E588="Tier 2 Grove"),COUNTBLANK(_xlpm.HRange)&lt;3,_xlpm.uniqueH&gt;=2),
Error!$B$48,
IF(AND(_xlpm.baseRow,$F588="Retain",OR($E588="Tier 1",$E588="Tier 2",$E588="Tier 2 Grove"),COUNTIF(_xlpm.HRange,"Tree Code: Required to Retain Tier 1-2 Tree")=0),
Error!$B$47,
IF(AND(_xlpm.baseRow,$E588&lt;&gt;"",$D588&lt;&gt;"",$F588&lt;&gt;"",COUNTBLANK(_xlpm.HRange)=4),
Error!$B$5,
IF(AND($F588="Remove",$H588&lt;&gt;"",$I588=""),
Error!$B$18,
IF(AND($E588="Tier 4",$F588="Remove",$H588="Tree Protection Code: Tier 3 or Tier 4 Allowance",$H588&lt;&gt;"",ISNA(MATCH($I588,Tables!$B$200,0))),
Error!$B$17,
IF(AND($E588="Tier 3",$F588="Remove",$H588&lt;&gt;"",$H588="Tree Protection Code: Tier 3 or Tier 4 Allowance",OR($I588="",ISNA(MATCH($I588,Tables!$B$193:$B$197,0)))),
Error!$B$17,
IF(AND(OR($E588="Tier 2",$E588="Tier 2 Grove"),$F588="Remove",$H588="Tree Protection Code: Other removal allowance or exemption",$I588&lt;&gt;"",ISNA(MATCH($I588,Tables!$B$215:$B$218,0))),
Error!$B$17,
IF(AND(OR($E588="Tier 2",$E588="Tier 2 Grove"),$F588="Remove",$H588="Tree Protection Code: Development Capacity",$I588&lt;&gt;"",ISNA(MATCH($I588,Tables!$B$193:$B$197,0))),
Error!$B$17,
IF(AND(OR($E588="Tier 2",$E588="Tier 2 Grove"),$F588="Remove",$H588="Tree Protection Code: Necessary for Construction",$I588&lt;&gt;"",ISNA(MATCH($I588,Tables!$B$193:$B$197,0))),
Error!$B$17,
IF(AND($E588="Tier 1",$F588="Remove",$H588="Tree Protection Code: Special Exception",$I588&lt;&gt;"",ISNA(MATCH($I588,Tables!$B$215:$B$218,0))),
Error!$B$17,
IF(AND($E588="Tier 1",$F588="Remove",$H588="Tree Protection Code: Other removal allowance or exemption",$I588&lt;&gt;"",ISNA(MATCH($I588,Tables!$B$215:$B$218,0))),
Error!$B$17,
IF(AND($E588="ECA / Shoreline Tree",$F588="Remove",$H588&lt;&gt;"",OR($H588="Shoreline",$H588="Environmental Critical Area (ECA)"),ISNA(MATCH($I588,Tables!$B$209:$B$212,0))),
Error!$B$17,
IF(AND(_xlpm.baseRow,$F588="Retain",$E588="ECA / Shoreline Tree",_xlpm.ECA_Short=0),
Error!$B$61,
IF(AND($F588="Remove",ISNUMBER(MATCH($E588,{"Tier 1","Tier 2","Tier 3","Tier 4","Tier 2 Grove"},0)),ISNUMBER(MATCH($I588,{"On-site replacement","Off-site replacement"},0)),$J588="",$H588&lt;&gt;""),
Error!$B$19,
IF(AND(_xlpm.baseRow,$E588&lt;&gt;"",$D588&lt;&gt;"",$F588&lt;&gt;"",COUNTBLANK($B588:$C588)&gt;0,COUNTBLANK(_xlpm.HRange)&lt;&gt;4),
Error!$B$22,
IF(AND($H588="Zoning: Tree Points",$K588&lt;&gt;"",ISNA(MATCH($K588,Tables!$B$242:$B$253,0))),
Error!$B$58,
IF(AND($H588="Zoning: Tree Points",$K588="Small",$L588&lt;&gt;"",ISNA(MATCH($L588,Tables!$C$243:$C$244,0))),
Error!$B$59,
IF(AND($H588="Zoning: Tree Points",$K588="Small/Medium",$L588&lt;&gt;"",ISNA(MATCH($L588,Tables!$C$246:$C$247,0))),
Error!$B$59,
IF(AND($H588="Zoning: Tree Points",$K588="Medium/Large",$L588&lt;&gt;"",ISNA(MATCH($L588,Tables!$C$249:$C$250,0))),
Error!$B$59,
IF(AND($H588="Zoning: Tree Points",$K588="Large",$L588&lt;&gt;"",ISNA(MATCH($L588,Tables!$C$252:$C$253,0))),
Error!$B$59,
IF(AND($F588="Retain",$H588="Zoning: Tree Points",$C588&lt;&gt;"",$D588&lt;&gt;"",OR($K588="",$L588="",$M588="")),
Error!$B$20,
""
)))))))))))))))))))))))))))))))))))))))))))))))))))))))),
Error!$B$23))</f>
        <v/>
      </c>
      <c r="O588" s="343" t="str" cm="1">
        <f t="array" aca="1" ref="O588" ca="1">IFERROR(_xlfn.LET(
    _xlpm.txt, $C588,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89" spans="1:15" x14ac:dyDescent="0.3">
      <c r="A589" s="320"/>
      <c r="B589" s="616" t="str">
        <f t="shared" si="685"/>
        <v/>
      </c>
      <c r="C589" s="617" t="str">
        <f t="shared" si="686"/>
        <v/>
      </c>
      <c r="D589" s="618" t="str">
        <f t="shared" si="687"/>
        <v/>
      </c>
      <c r="E589" s="616" t="str">
        <f t="shared" si="688"/>
        <v/>
      </c>
      <c r="F589" s="616" t="str">
        <f t="shared" si="689"/>
        <v/>
      </c>
      <c r="G589" s="619" t="str">
        <f>IF(Tree_Table1[[#This Row],[Tree Status  &amp;]]="Retain", Tables!$B$237, IF(Tree_Table1[[#This Row],[Tree Status  &amp;]]="Remove", Tables!$B$238, ""))</f>
        <v/>
      </c>
      <c r="H589" s="321"/>
      <c r="I589" s="322"/>
      <c r="J589" s="453"/>
      <c r="K589" s="323" t="str">
        <f>IFERROR(
    IF(
        AND($H589="Zoning: Tree Points", NOT(ISNUMBER(SEARCH("sp.", $C589)))),
        VLOOKUP($C589, 'Tree List'!$C$3:$F$601, 4, FALSE),
        ""
    ),
"")</f>
        <v/>
      </c>
      <c r="L589" s="324" t="str" cm="1">
        <f t="array" ref="L589">IFERROR(
IF(
    AND($H589="Zoning: Tree Points", NOT(ISNUMBER(SEARCH("sp.", $C589)))),
    _xlfn.IFS(
        (COUNTIFS('Tree List'!$C$3:$C$601,$C589,'Tree List'!$D$3:$D$601,"Coniferous")
        + COUNTIFS('Tree List'!$C$3:$C$601,$C589,'Tree List'!$D$3:$D$601,"Deciduous Conifer")) &gt; 0,
            _xlfn.IFS($K589="Small",0.5,$K589="Small/Medium",1,$K589="Medium/Large",1.4,$K589="Large",1.8),
        (COUNTIFS('Tree List'!$C$3:$C$601,$C589,'Tree List'!$D$3:$D$601,"Deciduous")
        + COUNTIFS('Tree List'!$C$3:$C$601,$C589,'Tree List'!$D$3:$D$601,"Broadleaf Evergreen")) &gt; 0,
            _xlfn.IFS($K589="Small",0.4,$K589="Small/Medium",0.8,$K589="Medium/Large",1.2,$K589="Large",1.6)
    ),
    ""
),
"")</f>
        <v/>
      </c>
      <c r="M589" s="475" t="str">
        <f t="shared" si="654"/>
        <v/>
      </c>
      <c r="N589" s="346" t="str" cm="1">
        <f t="array" aca="1" ref="N58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IF(AND(_xlpm.baseRow,ISNA(MATCH($C589,'Tree List'!$C$3:$C$601,0)),SUMPRODUCT(--ISNUMBER(SEARCH(Tables2!$C$677:$C$772,$O589)))&gt;0),
Error!$B$57,
IF(AND(_xlpm.hasDM,$F589="Remove",$H589&lt;&gt;"",OR($I589="On-site replacement",$I589="Off-site replacement",$I589="Payment In Lieu")),
Error!$B$56,
IF(AND(_xlpm.hasDM,$F589="Remove",$H589&lt;&gt;"",$I589="Relocation"),
Error!$B$66,
IF(AND(OR(_xlpm.hasCN,_xlpm.hasPH,_xlpm.hasGR),$H589&lt;&gt;"",COUNTIF(Tables!$B$132:$B$134,$H589)&gt;0,$I589="N/A (No replacement required)"),
Error!$B$62,
IF(AND(_xlpm.baseRow,$E589&lt;&gt;"",ISNA(MATCH($E589,Tables!$B$225:$B$232,0))),
Error!$B$2,
IF(AND(_xlpm.baseRow,$F589&lt;&gt;"",ISNA(MATCH($F589,Tables!$B$234:$B$235,0))),
Error!$B$24,
IF(AND(_xlpm.baseRow,_xlpm.ECA_H&gt;0,_xlpm.Shore_H&gt;0),
Error!$B$16,
IF(AND(_xlpm.baseRow,$E589&lt;&gt;"",$D589=""),
Error!$B$3,
IF(AND(_xlpm.baseRow,OR($E589="Tier 3",$E589="Tier 4"),$C589&lt;&gt;"",$D589&gt;=24,COUNTIF(Tables2!$B$166:$B$674,$C589)&gt;0),
Error!$B$44,
IF(AND(_xlpm.baseRow,OR($E589="Tier 3",$E589="Tier 4"),$C589&lt;&gt;"",$D589&lt;&gt;"",COUNTIF(Tables2!$B$73:$B$152,$C589)&gt;0,
$D589&gt;=IFERROR(INDEX(Tables2!$C$73:$C$152,MATCH($C589,Tables2!$B$73:$B$152,0)),-1)),
Error!$B$44,
IF(AND(_xlpm.baseRow,OR($E589="Tier 2",$E589="Tier 2 Grove"),$C589&lt;&gt;"",$D589&gt;=12,COUNTIF(Tables2!$B$153:$B$162,$C589)&gt;0),
Error!$B$45,
IF(AND(_xlpm.baseRow,$E589="Tier 2 Grove",$D589&lt;12),
Error!$B$41,
IF(AND(_xlpm.baseRow,$E589="Tier 2",$D589&lt;5.88),
Error!$B$40,
IF(AND(_xlpm.baseRow,OR($E589="Tier 2",$E589="Tier 2 Grove"),$C589&lt;&gt;"",$D589&lt;12,$D589&gt;=6,COUNTIF(Tables2!$B$153:$B$162,$C589)&gt;0),
Error!$B$54,
IF(AND(_xlpm.baseRow,$E589="Tier 2",COUNTIF(Tables2!$B$166:$B$674,$C589)&gt;0,$D589&lt;24),
Error!$B$54,
IF(AND(_xlpm.baseRow,$E589="Tier 3",ISNA(MATCH($C589,Tables2!$B$153:$B$162,0)),OR($D589&lt;12,$D589&gt;=24)),
Error!$B$9,
IF(AND(_xlpm.baseRow,$E589="Tier 3",COUNTIF(Tables2!$B$153:$B$162,$C589)&gt;0,$D589&lt;12),
Error!$B$46,
IF(AND(_xlpm.baseRow,$E589="Tier 4",OR($D589&lt;6,$D589&gt;=12)),
Error!$B$10,
IF(AND(_xlpm.baseRow,$E589="&lt;6in DSH for Tree Points",OR($D589&gt;=6,$D589="")),
Error!$B$8,
IF(AND(_xlpm.baseRow,$E589="Street Tree for Green Factor",$F589&lt;&gt;"",$F589&lt;&gt;"Retain"),
Error!$B$14,
IF(AND($E589="&lt;6in DSH for Tree Points",$F589="Retain",$H589&lt;&gt;"",ISNA(MATCH($H589,Tables!$B$174:$B$174,0))),
Error!$B$15,
IF(AND($E589="Street Tree for Green Factor",$F589="Retain",$H589&lt;&gt;"",$H589&lt;&gt;"Zoning: Green Factor"),
Error!$B$15,
IF(AND($E589="ECA / Shoreline Tree",$F589="Remove",$H589&lt;&gt;"",ISNA(MATCH($H589,Tables!$B$189:$B$190,0))),
Error!$B$15,
IF(AND($E589="ECA / Shoreline Tree",$F589="Retain",$H589&lt;&gt;"",ISNA(MATCH($H589,Tables!$B$184:$B$186,0))),
Error!$B$15,
IF(AND($E589="Tier 4",$F589="Remove",$H589&lt;&gt;"",ISNA(MATCH($H589,Tables!$B$171,0))),
Error!$B$15,
IF(AND($E589="Tier 4",$F589="Retain",$H589&lt;&gt;"",ISNA(MATCH($H589,Tables!$B$166:$B$168,0))),
Error!$B$15,
IF(AND($E589="Tier 3",$F589="Retain",$H589&lt;&gt;"",ISNA(MATCH($H589,Tables!$B$158:$B$160,0))),
Error!$B$15,
IF(AND($E589="Tier 3",$F589="Remove",$H589&lt;&gt;"",ISNA(MATCH($H589,Tables!$B$163,0))),
Error!$B$15,
IF(AND(OR($E589="Tier 2",$E589="Tier 2 Grove"),$F589="Remove",$H589&lt;&gt;"",ISNA(MATCH($H589,Tables!$B$153:$B$155,0))),
Error!$B$15,
IF(AND(OR($E589="Tier 2",$E589="Tier 2 Grove"),$F589="Retain",$H589&lt;&gt;"",ISNA(MATCH($H589,Tables!$B$147:$B$150,0))),
Error!$B$15,
IF(AND($E589="Tier 1",$F589="Remove",$H589&lt;&gt;"",ISNA(MATCH($H589,Tables!$B$143:$B$144,0))),
Error!$B$15,
IF(AND($E589="Tier 1",$F589="Retain",$H589&lt;&gt;"",ISNA(MATCH($H589,Tables!$B$137:$B$140,0))),
Error!$B$15,
IF(AND($E589&lt;&gt;"Tier 2",$E589&lt;&gt;"Tier 2 Grove",$E589&lt;&gt;"Tier 3",$E589&lt;&gt;"Tier 4",$H589="Zoning: Green Factor",OR($D589="",$D589&lt;6)),
Error!$B$11,
IF(AND(_xlpm.baseRow,$D589&lt;6,$E589="&lt;6in DSH for Tree Points",_xlpm.TreePoints_H=0),
Error!$B$21,
IF(AND(_xlpm.baseRow,$E589&lt;&gt;"",$D589&lt;&gt;"",$F589=""),
Error!$B$4,
IF(AND(_xlpm.baseRow,$F589="Remove",OR($E589="Tier 1",$E589="Tier 2",$E589="Tier 2 Grove"),COUNTBLANK(_xlpm.HRange)&lt;3,_xlpm.uniqueH&gt;=2),
Error!$B$48,
IF(AND(_xlpm.baseRow,$F589="Retain",OR($E589="Tier 1",$E589="Tier 2",$E589="Tier 2 Grove"),COUNTIF(_xlpm.HRange,"Tree Code: Required to Retain Tier 1-2 Tree")=0),
Error!$B$47,
IF(AND(_xlpm.baseRow,$E589&lt;&gt;"",$D589&lt;&gt;"",$F589&lt;&gt;"",COUNTBLANK(_xlpm.HRange)=4),
Error!$B$5,
IF(AND($F589="Remove",$H589&lt;&gt;"",$I589=""),
Error!$B$18,
IF(AND($E589="Tier 4",$F589="Remove",$H589="Tree Protection Code: Tier 3 or Tier 4 Allowance",$H589&lt;&gt;"",ISNA(MATCH($I589,Tables!$B$200,0))),
Error!$B$17,
IF(AND($E589="Tier 3",$F589="Remove",$H589&lt;&gt;"",$H589="Tree Protection Code: Tier 3 or Tier 4 Allowance",OR($I589="",ISNA(MATCH($I589,Tables!$B$193:$B$197,0)))),
Error!$B$17,
IF(AND(OR($E589="Tier 2",$E589="Tier 2 Grove"),$F589="Remove",$H589="Tree Protection Code: Other removal allowance or exemption",$I589&lt;&gt;"",ISNA(MATCH($I589,Tables!$B$215:$B$218,0))),
Error!$B$17,
IF(AND(OR($E589="Tier 2",$E589="Tier 2 Grove"),$F589="Remove",$H589="Tree Protection Code: Development Capacity",$I589&lt;&gt;"",ISNA(MATCH($I589,Tables!$B$193:$B$197,0))),
Error!$B$17,
IF(AND(OR($E589="Tier 2",$E589="Tier 2 Grove"),$F589="Remove",$H589="Tree Protection Code: Necessary for Construction",$I589&lt;&gt;"",ISNA(MATCH($I589,Tables!$B$193:$B$197,0))),
Error!$B$17,
IF(AND($E589="Tier 1",$F589="Remove",$H589="Tree Protection Code: Special Exception",$I589&lt;&gt;"",ISNA(MATCH($I589,Tables!$B$215:$B$218,0))),
Error!$B$17,
IF(AND($E589="Tier 1",$F589="Remove",$H589="Tree Protection Code: Other removal allowance or exemption",$I589&lt;&gt;"",ISNA(MATCH($I589,Tables!$B$215:$B$218,0))),
Error!$B$17,
IF(AND($E589="ECA / Shoreline Tree",$F589="Remove",$H589&lt;&gt;"",OR($H589="Shoreline",$H589="Environmental Critical Area (ECA)"),ISNA(MATCH($I589,Tables!$B$209:$B$212,0))),
Error!$B$17,
IF(AND(_xlpm.baseRow,$F589="Retain",$E589="ECA / Shoreline Tree",_xlpm.ECA_Short=0),
Error!$B$61,
IF(AND($F589="Remove",ISNUMBER(MATCH($E589,{"Tier 1","Tier 2","Tier 3","Tier 4","Tier 2 Grove"},0)),ISNUMBER(MATCH($I589,{"On-site replacement","Off-site replacement"},0)),$J589="",$H589&lt;&gt;""),
Error!$B$19,
IF(AND(_xlpm.baseRow,$E589&lt;&gt;"",$D589&lt;&gt;"",$F589&lt;&gt;"",COUNTBLANK($B589:$C589)&gt;0,COUNTBLANK(_xlpm.HRange)&lt;&gt;4),
Error!$B$22,
IF(AND($H589="Zoning: Tree Points",$K589&lt;&gt;"",ISNA(MATCH($K589,Tables!$B$242:$B$253,0))),
Error!$B$58,
IF(AND($H589="Zoning: Tree Points",$K589="Small",$L589&lt;&gt;"",ISNA(MATCH($L589,Tables!$C$243:$C$244,0))),
Error!$B$59,
IF(AND($H589="Zoning: Tree Points",$K589="Small/Medium",$L589&lt;&gt;"",ISNA(MATCH($L589,Tables!$C$246:$C$247,0))),
Error!$B$59,
IF(AND($H589="Zoning: Tree Points",$K589="Medium/Large",$L589&lt;&gt;"",ISNA(MATCH($L589,Tables!$C$249:$C$250,0))),
Error!$B$59,
IF(AND($H589="Zoning: Tree Points",$K589="Large",$L589&lt;&gt;"",ISNA(MATCH($L589,Tables!$C$252:$C$253,0))),
Error!$B$59,
IF(AND($F589="Retain",$H589="Zoning: Tree Points",$C589&lt;&gt;"",$D589&lt;&gt;"",OR($K589="",$L589="",$M589="")),
Error!$B$20,
""
)))))))))))))))))))))))))))))))))))))))))))))))))))))))),
Error!$B$23))</f>
        <v/>
      </c>
      <c r="O589" s="343" t="str" cm="1">
        <f t="array" aca="1" ref="O589" ca="1">IFERROR(_xlfn.LET(
    _xlpm.txt, $C589,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90" spans="1:15" ht="15" thickBot="1" x14ac:dyDescent="0.35">
      <c r="A590" s="331"/>
      <c r="B590" s="616" t="str">
        <f t="shared" si="685"/>
        <v/>
      </c>
      <c r="C590" s="617" t="str">
        <f t="shared" si="686"/>
        <v/>
      </c>
      <c r="D590" s="618" t="str">
        <f t="shared" si="687"/>
        <v/>
      </c>
      <c r="E590" s="616" t="str">
        <f t="shared" si="688"/>
        <v/>
      </c>
      <c r="F590" s="616" t="str">
        <f t="shared" si="689"/>
        <v/>
      </c>
      <c r="G590" s="619" t="str">
        <f>IF(Tree_Table1[[#This Row],[Tree Status  &amp;]]="Retain", Tables!$B$237, IF(Tree_Table1[[#This Row],[Tree Status  &amp;]]="Remove", Tables!$B$238, ""))</f>
        <v/>
      </c>
      <c r="H590" s="329"/>
      <c r="I590" s="330"/>
      <c r="J590" s="455"/>
      <c r="K590" s="327" t="str">
        <f>IFERROR(
    IF(
        AND($H590="Zoning: Tree Points", NOT(ISNUMBER(SEARCH("sp.", $C590)))),
        VLOOKUP($C590, 'Tree List'!$C$3:$F$601, 4, FALSE),
        ""
    ),
"")</f>
        <v/>
      </c>
      <c r="L590" s="328" t="str" cm="1">
        <f t="array" ref="L590">IFERROR(
IF(
    AND($H590="Zoning: Tree Points", NOT(ISNUMBER(SEARCH("sp.", $C590)))),
    _xlfn.IFS(
        (COUNTIFS('Tree List'!$C$3:$C$601,$C590,'Tree List'!$D$3:$D$601,"Coniferous")
        + COUNTIFS('Tree List'!$C$3:$C$601,$C590,'Tree List'!$D$3:$D$601,"Deciduous Conifer")) &gt; 0,
            _xlfn.IFS($K590="Small",0.5,$K590="Small/Medium",1,$K590="Medium/Large",1.4,$K590="Large",1.8),
        (COUNTIFS('Tree List'!$C$3:$C$601,$C590,'Tree List'!$D$3:$D$601,"Deciduous")
        + COUNTIFS('Tree List'!$C$3:$C$601,$C590,'Tree List'!$D$3:$D$601,"Broadleaf Evergreen")) &gt; 0,
            _xlfn.IFS($K590="Small",0.4,$K590="Small/Medium",0.8,$K590="Medium/Large",1.2,$K590="Large",1.6)
    ),
    ""
),
"")</f>
        <v/>
      </c>
      <c r="M590" s="476" t="str">
        <f t="shared" si="654"/>
        <v/>
      </c>
      <c r="N590" s="347" t="str" cm="1">
        <f t="array" aca="1" ref="N59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IF(AND(_xlpm.baseRow,ISNA(MATCH($C590,'Tree List'!$C$3:$C$601,0)),SUMPRODUCT(--ISNUMBER(SEARCH(Tables2!$C$677:$C$772,$O590)))&gt;0),
Error!$B$57,
IF(AND(_xlpm.hasDM,$F590="Remove",$H590&lt;&gt;"",OR($I590="On-site replacement",$I590="Off-site replacement",$I590="Payment In Lieu")),
Error!$B$56,
IF(AND(_xlpm.hasDM,$F590="Remove",$H590&lt;&gt;"",$I590="Relocation"),
Error!$B$66,
IF(AND(OR(_xlpm.hasCN,_xlpm.hasPH,_xlpm.hasGR),$H590&lt;&gt;"",COUNTIF(Tables!$B$132:$B$134,$H590)&gt;0,$I590="N/A (No replacement required)"),
Error!$B$62,
IF(AND(_xlpm.baseRow,$E590&lt;&gt;"",ISNA(MATCH($E590,Tables!$B$225:$B$232,0))),
Error!$B$2,
IF(AND(_xlpm.baseRow,$F590&lt;&gt;"",ISNA(MATCH($F590,Tables!$B$234:$B$235,0))),
Error!$B$24,
IF(AND(_xlpm.baseRow,_xlpm.ECA_H&gt;0,_xlpm.Shore_H&gt;0),
Error!$B$16,
IF(AND(_xlpm.baseRow,$E590&lt;&gt;"",$D590=""),
Error!$B$3,
IF(AND(_xlpm.baseRow,OR($E590="Tier 3",$E590="Tier 4"),$C590&lt;&gt;"",$D590&gt;=24,COUNTIF(Tables2!$B$166:$B$674,$C590)&gt;0),
Error!$B$44,
IF(AND(_xlpm.baseRow,OR($E590="Tier 3",$E590="Tier 4"),$C590&lt;&gt;"",$D590&lt;&gt;"",COUNTIF(Tables2!$B$73:$B$152,$C590)&gt;0,
$D590&gt;=IFERROR(INDEX(Tables2!$C$73:$C$152,MATCH($C590,Tables2!$B$73:$B$152,0)),-1)),
Error!$B$44,
IF(AND(_xlpm.baseRow,OR($E590="Tier 2",$E590="Tier 2 Grove"),$C590&lt;&gt;"",$D590&gt;=12,COUNTIF(Tables2!$B$153:$B$162,$C590)&gt;0),
Error!$B$45,
IF(AND(_xlpm.baseRow,$E590="Tier 2 Grove",$D590&lt;12),
Error!$B$41,
IF(AND(_xlpm.baseRow,$E590="Tier 2",$D590&lt;5.88),
Error!$B$40,
IF(AND(_xlpm.baseRow,OR($E590="Tier 2",$E590="Tier 2 Grove"),$C590&lt;&gt;"",$D590&lt;12,$D590&gt;=6,COUNTIF(Tables2!$B$153:$B$162,$C590)&gt;0),
Error!$B$54,
IF(AND(_xlpm.baseRow,$E590="Tier 2",COUNTIF(Tables2!$B$166:$B$674,$C590)&gt;0,$D590&lt;24),
Error!$B$54,
IF(AND(_xlpm.baseRow,$E590="Tier 3",ISNA(MATCH($C590,Tables2!$B$153:$B$162,0)),OR($D590&lt;12,$D590&gt;=24)),
Error!$B$9,
IF(AND(_xlpm.baseRow,$E590="Tier 3",COUNTIF(Tables2!$B$153:$B$162,$C590)&gt;0,$D590&lt;12),
Error!$B$46,
IF(AND(_xlpm.baseRow,$E590="Tier 4",OR($D590&lt;6,$D590&gt;=12)),
Error!$B$10,
IF(AND(_xlpm.baseRow,$E590="&lt;6in DSH for Tree Points",OR($D590&gt;=6,$D590="")),
Error!$B$8,
IF(AND(_xlpm.baseRow,$E590="Street Tree for Green Factor",$F590&lt;&gt;"",$F590&lt;&gt;"Retain"),
Error!$B$14,
IF(AND($E590="&lt;6in DSH for Tree Points",$F590="Retain",$H590&lt;&gt;"",ISNA(MATCH($H590,Tables!$B$174:$B$174,0))),
Error!$B$15,
IF(AND($E590="Street Tree for Green Factor",$F590="Retain",$H590&lt;&gt;"",$H590&lt;&gt;"Zoning: Green Factor"),
Error!$B$15,
IF(AND($E590="ECA / Shoreline Tree",$F590="Remove",$H590&lt;&gt;"",ISNA(MATCH($H590,Tables!$B$189:$B$190,0))),
Error!$B$15,
IF(AND($E590="ECA / Shoreline Tree",$F590="Retain",$H590&lt;&gt;"",ISNA(MATCH($H590,Tables!$B$184:$B$186,0))),
Error!$B$15,
IF(AND($E590="Tier 4",$F590="Remove",$H590&lt;&gt;"",ISNA(MATCH($H590,Tables!$B$171,0))),
Error!$B$15,
IF(AND($E590="Tier 4",$F590="Retain",$H590&lt;&gt;"",ISNA(MATCH($H590,Tables!$B$166:$B$168,0))),
Error!$B$15,
IF(AND($E590="Tier 3",$F590="Retain",$H590&lt;&gt;"",ISNA(MATCH($H590,Tables!$B$158:$B$160,0))),
Error!$B$15,
IF(AND($E590="Tier 3",$F590="Remove",$H590&lt;&gt;"",ISNA(MATCH($H590,Tables!$B$163,0))),
Error!$B$15,
IF(AND(OR($E590="Tier 2",$E590="Tier 2 Grove"),$F590="Remove",$H590&lt;&gt;"",ISNA(MATCH($H590,Tables!$B$153:$B$155,0))),
Error!$B$15,
IF(AND(OR($E590="Tier 2",$E590="Tier 2 Grove"),$F590="Retain",$H590&lt;&gt;"",ISNA(MATCH($H590,Tables!$B$147:$B$150,0))),
Error!$B$15,
IF(AND($E590="Tier 1",$F590="Remove",$H590&lt;&gt;"",ISNA(MATCH($H590,Tables!$B$143:$B$144,0))),
Error!$B$15,
IF(AND($E590="Tier 1",$F590="Retain",$H590&lt;&gt;"",ISNA(MATCH($H590,Tables!$B$137:$B$140,0))),
Error!$B$15,
IF(AND($E590&lt;&gt;"Tier 2",$E590&lt;&gt;"Tier 2 Grove",$E590&lt;&gt;"Tier 3",$E590&lt;&gt;"Tier 4",$H590="Zoning: Green Factor",OR($D590="",$D590&lt;6)),
Error!$B$11,
IF(AND(_xlpm.baseRow,$D590&lt;6,$E590="&lt;6in DSH for Tree Points",_xlpm.TreePoints_H=0),
Error!$B$21,
IF(AND(_xlpm.baseRow,$E590&lt;&gt;"",$D590&lt;&gt;"",$F590=""),
Error!$B$4,
IF(AND(_xlpm.baseRow,$F590="Remove",OR($E590="Tier 1",$E590="Tier 2",$E590="Tier 2 Grove"),COUNTBLANK(_xlpm.HRange)&lt;3,_xlpm.uniqueH&gt;=2),
Error!$B$48,
IF(AND(_xlpm.baseRow,$F590="Retain",OR($E590="Tier 1",$E590="Tier 2",$E590="Tier 2 Grove"),COUNTIF(_xlpm.HRange,"Tree Code: Required to Retain Tier 1-2 Tree")=0),
Error!$B$47,
IF(AND(_xlpm.baseRow,$E590&lt;&gt;"",$D590&lt;&gt;"",$F590&lt;&gt;"",COUNTBLANK(_xlpm.HRange)=4),
Error!$B$5,
IF(AND($F590="Remove",$H590&lt;&gt;"",$I590=""),
Error!$B$18,
IF(AND($E590="Tier 4",$F590="Remove",$H590="Tree Protection Code: Tier 3 or Tier 4 Allowance",$H590&lt;&gt;"",ISNA(MATCH($I590,Tables!$B$200,0))),
Error!$B$17,
IF(AND($E590="Tier 3",$F590="Remove",$H590&lt;&gt;"",$H590="Tree Protection Code: Tier 3 or Tier 4 Allowance",OR($I590="",ISNA(MATCH($I590,Tables!$B$193:$B$197,0)))),
Error!$B$17,
IF(AND(OR($E590="Tier 2",$E590="Tier 2 Grove"),$F590="Remove",$H590="Tree Protection Code: Other removal allowance or exemption",$I590&lt;&gt;"",ISNA(MATCH($I590,Tables!$B$215:$B$218,0))),
Error!$B$17,
IF(AND(OR($E590="Tier 2",$E590="Tier 2 Grove"),$F590="Remove",$H590="Tree Protection Code: Development Capacity",$I590&lt;&gt;"",ISNA(MATCH($I590,Tables!$B$193:$B$197,0))),
Error!$B$17,
IF(AND(OR($E590="Tier 2",$E590="Tier 2 Grove"),$F590="Remove",$H590="Tree Protection Code: Necessary for Construction",$I590&lt;&gt;"",ISNA(MATCH($I590,Tables!$B$193:$B$197,0))),
Error!$B$17,
IF(AND($E590="Tier 1",$F590="Remove",$H590="Tree Protection Code: Special Exception",$I590&lt;&gt;"",ISNA(MATCH($I590,Tables!$B$215:$B$218,0))),
Error!$B$17,
IF(AND($E590="Tier 1",$F590="Remove",$H590="Tree Protection Code: Other removal allowance or exemption",$I590&lt;&gt;"",ISNA(MATCH($I590,Tables!$B$215:$B$218,0))),
Error!$B$17,
IF(AND($E590="ECA / Shoreline Tree",$F590="Remove",$H590&lt;&gt;"",OR($H590="Shoreline",$H590="Environmental Critical Area (ECA)"),ISNA(MATCH($I590,Tables!$B$209:$B$212,0))),
Error!$B$17,
IF(AND(_xlpm.baseRow,$F590="Retain",$E590="ECA / Shoreline Tree",_xlpm.ECA_Short=0),
Error!$B$61,
IF(AND($F590="Remove",ISNUMBER(MATCH($E590,{"Tier 1","Tier 2","Tier 3","Tier 4","Tier 2 Grove"},0)),ISNUMBER(MATCH($I590,{"On-site replacement","Off-site replacement"},0)),$J590="",$H590&lt;&gt;""),
Error!$B$19,
IF(AND(_xlpm.baseRow,$E590&lt;&gt;"",$D590&lt;&gt;"",$F590&lt;&gt;"",COUNTBLANK($B590:$C590)&gt;0,COUNTBLANK(_xlpm.HRange)&lt;&gt;4),
Error!$B$22,
IF(AND($H590="Zoning: Tree Points",$K590&lt;&gt;"",ISNA(MATCH($K590,Tables!$B$242:$B$253,0))),
Error!$B$58,
IF(AND($H590="Zoning: Tree Points",$K590="Small",$L590&lt;&gt;"",ISNA(MATCH($L590,Tables!$C$243:$C$244,0))),
Error!$B$59,
IF(AND($H590="Zoning: Tree Points",$K590="Small/Medium",$L590&lt;&gt;"",ISNA(MATCH($L590,Tables!$C$246:$C$247,0))),
Error!$B$59,
IF(AND($H590="Zoning: Tree Points",$K590="Medium/Large",$L590&lt;&gt;"",ISNA(MATCH($L590,Tables!$C$249:$C$250,0))),
Error!$B$59,
IF(AND($H590="Zoning: Tree Points",$K590="Large",$L590&lt;&gt;"",ISNA(MATCH($L590,Tables!$C$252:$C$253,0))),
Error!$B$59,
IF(AND($F590="Retain",$H590="Zoning: Tree Points",$C590&lt;&gt;"",$D590&lt;&gt;"",OR($K590="",$L590="",$M590="")),
Error!$B$20,
""
)))))))))))))))))))))))))))))))))))))))))))))))))))))))),
Error!$B$23))</f>
        <v/>
      </c>
      <c r="O590" s="343" t="str" cm="1">
        <f t="array" aca="1" ref="O590" ca="1">IFERROR(_xlfn.LET(
    _xlpm.txt, $C590,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91" spans="1:15" ht="15" thickBot="1" x14ac:dyDescent="0.35">
      <c r="A591" s="311">
        <v>146</v>
      </c>
      <c r="B591" s="312"/>
      <c r="C591" s="313"/>
      <c r="D591" s="478"/>
      <c r="E591" s="314"/>
      <c r="F591" s="314"/>
      <c r="G591" s="315" t="str">
        <f>IF(Tree_Table1[[#This Row],[Tree Status  &amp;]]="Retain", Tables!$B$237, IF(Tree_Table1[[#This Row],[Tree Status  &amp;]]="Remove", Tables!$B$238, ""))</f>
        <v/>
      </c>
      <c r="H591" s="316"/>
      <c r="I591" s="317"/>
      <c r="J591" s="452"/>
      <c r="K591" s="318" t="str">
        <f>IFERROR(
    IF(
        AND($H591="Zoning: Tree Points", NOT(ISNUMBER(SEARCH("sp.", $C591)))),
        VLOOKUP($C591, 'Tree List'!$C$3:$F$601, 4, FALSE),
        ""
    ),
"")</f>
        <v/>
      </c>
      <c r="L591" s="319" t="str" cm="1">
        <f t="array" ref="L591">IFERROR(
IF(
    AND($H591="Zoning: Tree Points", NOT(ISNUMBER(SEARCH("sp.", $C591)))),
    _xlfn.IFS(
        (COUNTIFS('Tree List'!$C$3:$C$601,$C591,'Tree List'!$D$3:$D$601,"Coniferous")
        + COUNTIFS('Tree List'!$C$3:$C$601,$C591,'Tree List'!$D$3:$D$601,"Deciduous Conifer")) &gt; 0,
            _xlfn.IFS($K591="Small",0.5,$K591="Small/Medium",1,$K591="Medium/Large",1.4,$K591="Large",1.8),
        (COUNTIFS('Tree List'!$C$3:$C$601,$C591,'Tree List'!$D$3:$D$601,"Deciduous")
        + COUNTIFS('Tree List'!$C$3:$C$601,$C591,'Tree List'!$D$3:$D$601,"Broadleaf Evergreen")) &gt; 0,
            _xlfn.IFS($K591="Small",0.4,$K591="Small/Medium",0.8,$K591="Medium/Large",1.2,$K591="Large",1.6)
    ),
    ""
),
"")</f>
        <v/>
      </c>
      <c r="M591" s="474" t="str">
        <f t="shared" si="654"/>
        <v/>
      </c>
      <c r="N591" s="620" t="str" cm="1">
        <f t="array" aca="1" ref="N59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IF(AND(_xlpm.baseRow,ISNA(MATCH($C591,'Tree List'!$C$3:$C$601,0)),SUMPRODUCT(--ISNUMBER(SEARCH(Tables2!$C$677:$C$772,$O591)))&gt;0),
Error!$B$57,
IF(AND(_xlpm.hasDM,$F591="Remove",$H591&lt;&gt;"",OR($I591="On-site replacement",$I591="Off-site replacement",$I591="Payment In Lieu")),
Error!$B$56,
IF(AND(_xlpm.hasDM,$F591="Remove",$H591&lt;&gt;"",$I591="Relocation"),
Error!$B$66,
IF(AND(OR(_xlpm.hasCN,_xlpm.hasPH,_xlpm.hasGR),$H591&lt;&gt;"",COUNTIF(Tables!$B$132:$B$134,$H591)&gt;0,$I591="N/A (No replacement required)"),
Error!$B$62,
IF(AND(_xlpm.baseRow,$E591&lt;&gt;"",ISNA(MATCH($E591,Tables!$B$225:$B$232,0))),
Error!$B$2,
IF(AND(_xlpm.baseRow,$F591&lt;&gt;"",ISNA(MATCH($F591,Tables!$B$234:$B$235,0))),
Error!$B$24,
IF(AND(_xlpm.baseRow,_xlpm.ECA_H&gt;0,_xlpm.Shore_H&gt;0),
Error!$B$16,
IF(AND(_xlpm.baseRow,$E591&lt;&gt;"",$D591=""),
Error!$B$3,
IF(AND(_xlpm.baseRow,OR($E591="Tier 3",$E591="Tier 4"),$C591&lt;&gt;"",$D591&gt;=24,COUNTIF(Tables2!$B$166:$B$674,$C591)&gt;0),
Error!$B$44,
IF(AND(_xlpm.baseRow,OR($E591="Tier 3",$E591="Tier 4"),$C591&lt;&gt;"",$D591&lt;&gt;"",COUNTIF(Tables2!$B$73:$B$152,$C591)&gt;0,
$D591&gt;=IFERROR(INDEX(Tables2!$C$73:$C$152,MATCH($C591,Tables2!$B$73:$B$152,0)),-1)),
Error!$B$44,
IF(AND(_xlpm.baseRow,OR($E591="Tier 2",$E591="Tier 2 Grove"),$C591&lt;&gt;"",$D591&gt;=12,COUNTIF(Tables2!$B$153:$B$162,$C591)&gt;0),
Error!$B$45,
IF(AND(_xlpm.baseRow,$E591="Tier 2 Grove",$D591&lt;12),
Error!$B$41,
IF(AND(_xlpm.baseRow,$E591="Tier 2",$D591&lt;5.88),
Error!$B$40,
IF(AND(_xlpm.baseRow,OR($E591="Tier 2",$E591="Tier 2 Grove"),$C591&lt;&gt;"",$D591&lt;12,$D591&gt;=6,COUNTIF(Tables2!$B$153:$B$162,$C591)&gt;0),
Error!$B$54,
IF(AND(_xlpm.baseRow,$E591="Tier 2",COUNTIF(Tables2!$B$166:$B$674,$C591)&gt;0,$D591&lt;24),
Error!$B$54,
IF(AND(_xlpm.baseRow,$E591="Tier 3",ISNA(MATCH($C591,Tables2!$B$153:$B$162,0)),OR($D591&lt;12,$D591&gt;=24)),
Error!$B$9,
IF(AND(_xlpm.baseRow,$E591="Tier 3",COUNTIF(Tables2!$B$153:$B$162,$C591)&gt;0,$D591&lt;12),
Error!$B$46,
IF(AND(_xlpm.baseRow,$E591="Tier 4",OR($D591&lt;6,$D591&gt;=12)),
Error!$B$10,
IF(AND(_xlpm.baseRow,$E591="&lt;6in DSH for Tree Points",OR($D591&gt;=6,$D591="")),
Error!$B$8,
IF(AND(_xlpm.baseRow,$E591="Street Tree for Green Factor",$F591&lt;&gt;"",$F591&lt;&gt;"Retain"),
Error!$B$14,
IF(AND($E591="&lt;6in DSH for Tree Points",$F591="Retain",$H591&lt;&gt;"",ISNA(MATCH($H591,Tables!$B$174:$B$174,0))),
Error!$B$15,
IF(AND($E591="Street Tree for Green Factor",$F591="Retain",$H591&lt;&gt;"",$H591&lt;&gt;"Zoning: Green Factor"),
Error!$B$15,
IF(AND($E591="ECA / Shoreline Tree",$F591="Remove",$H591&lt;&gt;"",ISNA(MATCH($H591,Tables!$B$189:$B$190,0))),
Error!$B$15,
IF(AND($E591="ECA / Shoreline Tree",$F591="Retain",$H591&lt;&gt;"",ISNA(MATCH($H591,Tables!$B$184:$B$186,0))),
Error!$B$15,
IF(AND($E591="Tier 4",$F591="Remove",$H591&lt;&gt;"",ISNA(MATCH($H591,Tables!$B$171,0))),
Error!$B$15,
IF(AND($E591="Tier 4",$F591="Retain",$H591&lt;&gt;"",ISNA(MATCH($H591,Tables!$B$166:$B$168,0))),
Error!$B$15,
IF(AND($E591="Tier 3",$F591="Retain",$H591&lt;&gt;"",ISNA(MATCH($H591,Tables!$B$158:$B$160,0))),
Error!$B$15,
IF(AND($E591="Tier 3",$F591="Remove",$H591&lt;&gt;"",ISNA(MATCH($H591,Tables!$B$163,0))),
Error!$B$15,
IF(AND(OR($E591="Tier 2",$E591="Tier 2 Grove"),$F591="Remove",$H591&lt;&gt;"",ISNA(MATCH($H591,Tables!$B$153:$B$155,0))),
Error!$B$15,
IF(AND(OR($E591="Tier 2",$E591="Tier 2 Grove"),$F591="Retain",$H591&lt;&gt;"",ISNA(MATCH($H591,Tables!$B$147:$B$150,0))),
Error!$B$15,
IF(AND($E591="Tier 1",$F591="Remove",$H591&lt;&gt;"",ISNA(MATCH($H591,Tables!$B$143:$B$144,0))),
Error!$B$15,
IF(AND($E591="Tier 1",$F591="Retain",$H591&lt;&gt;"",ISNA(MATCH($H591,Tables!$B$137:$B$140,0))),
Error!$B$15,
IF(AND($E591&lt;&gt;"Tier 2",$E591&lt;&gt;"Tier 2 Grove",$E591&lt;&gt;"Tier 3",$E591&lt;&gt;"Tier 4",$H591="Zoning: Green Factor",OR($D591="",$D591&lt;6)),
Error!$B$11,
IF(AND(_xlpm.baseRow,$D591&lt;6,$E591="&lt;6in DSH for Tree Points",_xlpm.TreePoints_H=0),
Error!$B$21,
IF(AND(_xlpm.baseRow,$E591&lt;&gt;"",$D591&lt;&gt;"",$F591=""),
Error!$B$4,
IF(AND(_xlpm.baseRow,$F591="Remove",OR($E591="Tier 1",$E591="Tier 2",$E591="Tier 2 Grove"),COUNTBLANK(_xlpm.HRange)&lt;3,_xlpm.uniqueH&gt;=2),
Error!$B$48,
IF(AND(_xlpm.baseRow,$F591="Retain",OR($E591="Tier 1",$E591="Tier 2",$E591="Tier 2 Grove"),COUNTIF(_xlpm.HRange,"Tree Code: Required to Retain Tier 1-2 Tree")=0),
Error!$B$47,
IF(AND(_xlpm.baseRow,$E591&lt;&gt;"",$D591&lt;&gt;"",$F591&lt;&gt;"",COUNTBLANK(_xlpm.HRange)=4),
Error!$B$5,
IF(AND($F591="Remove",$H591&lt;&gt;"",$I591=""),
Error!$B$18,
IF(AND($E591="Tier 4",$F591="Remove",$H591="Tree Protection Code: Tier 3 or Tier 4 Allowance",$H591&lt;&gt;"",ISNA(MATCH($I591,Tables!$B$200,0))),
Error!$B$17,
IF(AND($E591="Tier 3",$F591="Remove",$H591&lt;&gt;"",$H591="Tree Protection Code: Tier 3 or Tier 4 Allowance",OR($I591="",ISNA(MATCH($I591,Tables!$B$193:$B$197,0)))),
Error!$B$17,
IF(AND(OR($E591="Tier 2",$E591="Tier 2 Grove"),$F591="Remove",$H591="Tree Protection Code: Other removal allowance or exemption",$I591&lt;&gt;"",ISNA(MATCH($I591,Tables!$B$215:$B$218,0))),
Error!$B$17,
IF(AND(OR($E591="Tier 2",$E591="Tier 2 Grove"),$F591="Remove",$H591="Tree Protection Code: Development Capacity",$I591&lt;&gt;"",ISNA(MATCH($I591,Tables!$B$193:$B$197,0))),
Error!$B$17,
IF(AND(OR($E591="Tier 2",$E591="Tier 2 Grove"),$F591="Remove",$H591="Tree Protection Code: Necessary for Construction",$I591&lt;&gt;"",ISNA(MATCH($I591,Tables!$B$193:$B$197,0))),
Error!$B$17,
IF(AND($E591="Tier 1",$F591="Remove",$H591="Tree Protection Code: Special Exception",$I591&lt;&gt;"",ISNA(MATCH($I591,Tables!$B$215:$B$218,0))),
Error!$B$17,
IF(AND($E591="Tier 1",$F591="Remove",$H591="Tree Protection Code: Other removal allowance or exemption",$I591&lt;&gt;"",ISNA(MATCH($I591,Tables!$B$215:$B$218,0))),
Error!$B$17,
IF(AND($E591="ECA / Shoreline Tree",$F591="Remove",$H591&lt;&gt;"",OR($H591="Shoreline",$H591="Environmental Critical Area (ECA)"),ISNA(MATCH($I591,Tables!$B$209:$B$212,0))),
Error!$B$17,
IF(AND(_xlpm.baseRow,$F591="Retain",$E591="ECA / Shoreline Tree",_xlpm.ECA_Short=0),
Error!$B$61,
IF(AND($F591="Remove",ISNUMBER(MATCH($E591,{"Tier 1","Tier 2","Tier 3","Tier 4","Tier 2 Grove"},0)),ISNUMBER(MATCH($I591,{"On-site replacement","Off-site replacement"},0)),$J591="",$H591&lt;&gt;""),
Error!$B$19,
IF(AND(_xlpm.baseRow,$E591&lt;&gt;"",$D591&lt;&gt;"",$F591&lt;&gt;"",COUNTBLANK($B591:$C591)&gt;0,COUNTBLANK(_xlpm.HRange)&lt;&gt;4),
Error!$B$22,
IF(AND($H591="Zoning: Tree Points",$K591&lt;&gt;"",ISNA(MATCH($K591,Tables!$B$242:$B$253,0))),
Error!$B$58,
IF(AND($H591="Zoning: Tree Points",$K591="Small",$L591&lt;&gt;"",ISNA(MATCH($L591,Tables!$C$243:$C$244,0))),
Error!$B$59,
IF(AND($H591="Zoning: Tree Points",$K591="Small/Medium",$L591&lt;&gt;"",ISNA(MATCH($L591,Tables!$C$246:$C$247,0))),
Error!$B$59,
IF(AND($H591="Zoning: Tree Points",$K591="Medium/Large",$L591&lt;&gt;"",ISNA(MATCH($L591,Tables!$C$249:$C$250,0))),
Error!$B$59,
IF(AND($H591="Zoning: Tree Points",$K591="Large",$L591&lt;&gt;"",ISNA(MATCH($L591,Tables!$C$252:$C$253,0))),
Error!$B$59,
IF(AND($F591="Retain",$H591="Zoning: Tree Points",$C591&lt;&gt;"",$D591&lt;&gt;"",OR($K591="",$L591="",$M591="")),
Error!$B$20,
""
)))))))))))))))))))))))))))))))))))))))))))))))))))))))),
Error!$B$23))</f>
        <v/>
      </c>
      <c r="O591" s="343" t="str" cm="1">
        <f t="array" aca="1" ref="O591" ca="1">IFERROR(_xlfn.LET(
    _xlpm.txt, $C591,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92" spans="1:15" x14ac:dyDescent="0.3">
      <c r="A592" s="320"/>
      <c r="B592" s="616" t="str">
        <f t="shared" ref="B592:B594" si="690">IF($B591="", "", $B591)</f>
        <v/>
      </c>
      <c r="C592" s="617" t="str">
        <f t="shared" ref="C592:C594" si="691">IF($C591="", "", $C591)</f>
        <v/>
      </c>
      <c r="D592" s="618" t="str">
        <f t="shared" ref="D592:D594" si="692">IF($D591="", "", $D591)</f>
        <v/>
      </c>
      <c r="E592" s="616" t="str">
        <f t="shared" ref="E592:E594" si="693">IF($E591="", "", $E591)</f>
        <v/>
      </c>
      <c r="F592" s="616" t="str">
        <f t="shared" ref="F592:F594" si="694">IF($F591="", "", $F591)</f>
        <v/>
      </c>
      <c r="G592" s="619" t="str">
        <f>IF(Tree_Table1[[#This Row],[Tree Status  &amp;]]="Retain", Tables!$B$237, IF(Tree_Table1[[#This Row],[Tree Status  &amp;]]="Remove", Tables!$B$238, ""))</f>
        <v/>
      </c>
      <c r="H592" s="321"/>
      <c r="I592" s="322"/>
      <c r="J592" s="453"/>
      <c r="K592" s="323" t="str">
        <f>IFERROR(
    IF(
        AND($H592="Zoning: Tree Points", NOT(ISNUMBER(SEARCH("sp.", $C592)))),
        VLOOKUP($C592, 'Tree List'!$C$3:$F$601, 4, FALSE),
        ""
    ),
"")</f>
        <v/>
      </c>
      <c r="L592" s="324" t="str" cm="1">
        <f t="array" ref="L592">IFERROR(
IF(
    AND($H592="Zoning: Tree Points", NOT(ISNUMBER(SEARCH("sp.", $C592)))),
    _xlfn.IFS(
        (COUNTIFS('Tree List'!$C$3:$C$601,$C592,'Tree List'!$D$3:$D$601,"Coniferous")
        + COUNTIFS('Tree List'!$C$3:$C$601,$C592,'Tree List'!$D$3:$D$601,"Deciduous Conifer")) &gt; 0,
            _xlfn.IFS($K592="Small",0.5,$K592="Small/Medium",1,$K592="Medium/Large",1.4,$K592="Large",1.8),
        (COUNTIFS('Tree List'!$C$3:$C$601,$C592,'Tree List'!$D$3:$D$601,"Deciduous")
        + COUNTIFS('Tree List'!$C$3:$C$601,$C592,'Tree List'!$D$3:$D$601,"Broadleaf Evergreen")) &gt; 0,
            _xlfn.IFS($K592="Small",0.4,$K592="Small/Medium",0.8,$K592="Medium/Large",1.2,$K592="Large",1.6)
    ),
    ""
),
"")</f>
        <v/>
      </c>
      <c r="M592" s="475" t="str">
        <f t="shared" si="654"/>
        <v/>
      </c>
      <c r="N592" s="346" t="str" cm="1">
        <f t="array" aca="1" ref="N59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IF(AND(_xlpm.baseRow,ISNA(MATCH($C592,'Tree List'!$C$3:$C$601,0)),SUMPRODUCT(--ISNUMBER(SEARCH(Tables2!$C$677:$C$772,$O592)))&gt;0),
Error!$B$57,
IF(AND(_xlpm.hasDM,$F592="Remove",$H592&lt;&gt;"",OR($I592="On-site replacement",$I592="Off-site replacement",$I592="Payment In Lieu")),
Error!$B$56,
IF(AND(_xlpm.hasDM,$F592="Remove",$H592&lt;&gt;"",$I592="Relocation"),
Error!$B$66,
IF(AND(OR(_xlpm.hasCN,_xlpm.hasPH,_xlpm.hasGR),$H592&lt;&gt;"",COUNTIF(Tables!$B$132:$B$134,$H592)&gt;0,$I592="N/A (No replacement required)"),
Error!$B$62,
IF(AND(_xlpm.baseRow,$E592&lt;&gt;"",ISNA(MATCH($E592,Tables!$B$225:$B$232,0))),
Error!$B$2,
IF(AND(_xlpm.baseRow,$F592&lt;&gt;"",ISNA(MATCH($F592,Tables!$B$234:$B$235,0))),
Error!$B$24,
IF(AND(_xlpm.baseRow,_xlpm.ECA_H&gt;0,_xlpm.Shore_H&gt;0),
Error!$B$16,
IF(AND(_xlpm.baseRow,$E592&lt;&gt;"",$D592=""),
Error!$B$3,
IF(AND(_xlpm.baseRow,OR($E592="Tier 3",$E592="Tier 4"),$C592&lt;&gt;"",$D592&gt;=24,COUNTIF(Tables2!$B$166:$B$674,$C592)&gt;0),
Error!$B$44,
IF(AND(_xlpm.baseRow,OR($E592="Tier 3",$E592="Tier 4"),$C592&lt;&gt;"",$D592&lt;&gt;"",COUNTIF(Tables2!$B$73:$B$152,$C592)&gt;0,
$D592&gt;=IFERROR(INDEX(Tables2!$C$73:$C$152,MATCH($C592,Tables2!$B$73:$B$152,0)),-1)),
Error!$B$44,
IF(AND(_xlpm.baseRow,OR($E592="Tier 2",$E592="Tier 2 Grove"),$C592&lt;&gt;"",$D592&gt;=12,COUNTIF(Tables2!$B$153:$B$162,$C592)&gt;0),
Error!$B$45,
IF(AND(_xlpm.baseRow,$E592="Tier 2 Grove",$D592&lt;12),
Error!$B$41,
IF(AND(_xlpm.baseRow,$E592="Tier 2",$D592&lt;5.88),
Error!$B$40,
IF(AND(_xlpm.baseRow,OR($E592="Tier 2",$E592="Tier 2 Grove"),$C592&lt;&gt;"",$D592&lt;12,$D592&gt;=6,COUNTIF(Tables2!$B$153:$B$162,$C592)&gt;0),
Error!$B$54,
IF(AND(_xlpm.baseRow,$E592="Tier 2",COUNTIF(Tables2!$B$166:$B$674,$C592)&gt;0,$D592&lt;24),
Error!$B$54,
IF(AND(_xlpm.baseRow,$E592="Tier 3",ISNA(MATCH($C592,Tables2!$B$153:$B$162,0)),OR($D592&lt;12,$D592&gt;=24)),
Error!$B$9,
IF(AND(_xlpm.baseRow,$E592="Tier 3",COUNTIF(Tables2!$B$153:$B$162,$C592)&gt;0,$D592&lt;12),
Error!$B$46,
IF(AND(_xlpm.baseRow,$E592="Tier 4",OR($D592&lt;6,$D592&gt;=12)),
Error!$B$10,
IF(AND(_xlpm.baseRow,$E592="&lt;6in DSH for Tree Points",OR($D592&gt;=6,$D592="")),
Error!$B$8,
IF(AND(_xlpm.baseRow,$E592="Street Tree for Green Factor",$F592&lt;&gt;"",$F592&lt;&gt;"Retain"),
Error!$B$14,
IF(AND($E592="&lt;6in DSH for Tree Points",$F592="Retain",$H592&lt;&gt;"",ISNA(MATCH($H592,Tables!$B$174:$B$174,0))),
Error!$B$15,
IF(AND($E592="Street Tree for Green Factor",$F592="Retain",$H592&lt;&gt;"",$H592&lt;&gt;"Zoning: Green Factor"),
Error!$B$15,
IF(AND($E592="ECA / Shoreline Tree",$F592="Remove",$H592&lt;&gt;"",ISNA(MATCH($H592,Tables!$B$189:$B$190,0))),
Error!$B$15,
IF(AND($E592="ECA / Shoreline Tree",$F592="Retain",$H592&lt;&gt;"",ISNA(MATCH($H592,Tables!$B$184:$B$186,0))),
Error!$B$15,
IF(AND($E592="Tier 4",$F592="Remove",$H592&lt;&gt;"",ISNA(MATCH($H592,Tables!$B$171,0))),
Error!$B$15,
IF(AND($E592="Tier 4",$F592="Retain",$H592&lt;&gt;"",ISNA(MATCH($H592,Tables!$B$166:$B$168,0))),
Error!$B$15,
IF(AND($E592="Tier 3",$F592="Retain",$H592&lt;&gt;"",ISNA(MATCH($H592,Tables!$B$158:$B$160,0))),
Error!$B$15,
IF(AND($E592="Tier 3",$F592="Remove",$H592&lt;&gt;"",ISNA(MATCH($H592,Tables!$B$163,0))),
Error!$B$15,
IF(AND(OR($E592="Tier 2",$E592="Tier 2 Grove"),$F592="Remove",$H592&lt;&gt;"",ISNA(MATCH($H592,Tables!$B$153:$B$155,0))),
Error!$B$15,
IF(AND(OR($E592="Tier 2",$E592="Tier 2 Grove"),$F592="Retain",$H592&lt;&gt;"",ISNA(MATCH($H592,Tables!$B$147:$B$150,0))),
Error!$B$15,
IF(AND($E592="Tier 1",$F592="Remove",$H592&lt;&gt;"",ISNA(MATCH($H592,Tables!$B$143:$B$144,0))),
Error!$B$15,
IF(AND($E592="Tier 1",$F592="Retain",$H592&lt;&gt;"",ISNA(MATCH($H592,Tables!$B$137:$B$140,0))),
Error!$B$15,
IF(AND($E592&lt;&gt;"Tier 2",$E592&lt;&gt;"Tier 2 Grove",$E592&lt;&gt;"Tier 3",$E592&lt;&gt;"Tier 4",$H592="Zoning: Green Factor",OR($D592="",$D592&lt;6)),
Error!$B$11,
IF(AND(_xlpm.baseRow,$D592&lt;6,$E592="&lt;6in DSH for Tree Points",_xlpm.TreePoints_H=0),
Error!$B$21,
IF(AND(_xlpm.baseRow,$E592&lt;&gt;"",$D592&lt;&gt;"",$F592=""),
Error!$B$4,
IF(AND(_xlpm.baseRow,$F592="Remove",OR($E592="Tier 1",$E592="Tier 2",$E592="Tier 2 Grove"),COUNTBLANK(_xlpm.HRange)&lt;3,_xlpm.uniqueH&gt;=2),
Error!$B$48,
IF(AND(_xlpm.baseRow,$F592="Retain",OR($E592="Tier 1",$E592="Tier 2",$E592="Tier 2 Grove"),COUNTIF(_xlpm.HRange,"Tree Code: Required to Retain Tier 1-2 Tree")=0),
Error!$B$47,
IF(AND(_xlpm.baseRow,$E592&lt;&gt;"",$D592&lt;&gt;"",$F592&lt;&gt;"",COUNTBLANK(_xlpm.HRange)=4),
Error!$B$5,
IF(AND($F592="Remove",$H592&lt;&gt;"",$I592=""),
Error!$B$18,
IF(AND($E592="Tier 4",$F592="Remove",$H592="Tree Protection Code: Tier 3 or Tier 4 Allowance",$H592&lt;&gt;"",ISNA(MATCH($I592,Tables!$B$200,0))),
Error!$B$17,
IF(AND($E592="Tier 3",$F592="Remove",$H592&lt;&gt;"",$H592="Tree Protection Code: Tier 3 or Tier 4 Allowance",OR($I592="",ISNA(MATCH($I592,Tables!$B$193:$B$197,0)))),
Error!$B$17,
IF(AND(OR($E592="Tier 2",$E592="Tier 2 Grove"),$F592="Remove",$H592="Tree Protection Code: Other removal allowance or exemption",$I592&lt;&gt;"",ISNA(MATCH($I592,Tables!$B$215:$B$218,0))),
Error!$B$17,
IF(AND(OR($E592="Tier 2",$E592="Tier 2 Grove"),$F592="Remove",$H592="Tree Protection Code: Development Capacity",$I592&lt;&gt;"",ISNA(MATCH($I592,Tables!$B$193:$B$197,0))),
Error!$B$17,
IF(AND(OR($E592="Tier 2",$E592="Tier 2 Grove"),$F592="Remove",$H592="Tree Protection Code: Necessary for Construction",$I592&lt;&gt;"",ISNA(MATCH($I592,Tables!$B$193:$B$197,0))),
Error!$B$17,
IF(AND($E592="Tier 1",$F592="Remove",$H592="Tree Protection Code: Special Exception",$I592&lt;&gt;"",ISNA(MATCH($I592,Tables!$B$215:$B$218,0))),
Error!$B$17,
IF(AND($E592="Tier 1",$F592="Remove",$H592="Tree Protection Code: Other removal allowance or exemption",$I592&lt;&gt;"",ISNA(MATCH($I592,Tables!$B$215:$B$218,0))),
Error!$B$17,
IF(AND($E592="ECA / Shoreline Tree",$F592="Remove",$H592&lt;&gt;"",OR($H592="Shoreline",$H592="Environmental Critical Area (ECA)"),ISNA(MATCH($I592,Tables!$B$209:$B$212,0))),
Error!$B$17,
IF(AND(_xlpm.baseRow,$F592="Retain",$E592="ECA / Shoreline Tree",_xlpm.ECA_Short=0),
Error!$B$61,
IF(AND($F592="Remove",ISNUMBER(MATCH($E592,{"Tier 1","Tier 2","Tier 3","Tier 4","Tier 2 Grove"},0)),ISNUMBER(MATCH($I592,{"On-site replacement","Off-site replacement"},0)),$J592="",$H592&lt;&gt;""),
Error!$B$19,
IF(AND(_xlpm.baseRow,$E592&lt;&gt;"",$D592&lt;&gt;"",$F592&lt;&gt;"",COUNTBLANK($B592:$C592)&gt;0,COUNTBLANK(_xlpm.HRange)&lt;&gt;4),
Error!$B$22,
IF(AND($H592="Zoning: Tree Points",$K592&lt;&gt;"",ISNA(MATCH($K592,Tables!$B$242:$B$253,0))),
Error!$B$58,
IF(AND($H592="Zoning: Tree Points",$K592="Small",$L592&lt;&gt;"",ISNA(MATCH($L592,Tables!$C$243:$C$244,0))),
Error!$B$59,
IF(AND($H592="Zoning: Tree Points",$K592="Small/Medium",$L592&lt;&gt;"",ISNA(MATCH($L592,Tables!$C$246:$C$247,0))),
Error!$B$59,
IF(AND($H592="Zoning: Tree Points",$K592="Medium/Large",$L592&lt;&gt;"",ISNA(MATCH($L592,Tables!$C$249:$C$250,0))),
Error!$B$59,
IF(AND($H592="Zoning: Tree Points",$K592="Large",$L592&lt;&gt;"",ISNA(MATCH($L592,Tables!$C$252:$C$253,0))),
Error!$B$59,
IF(AND($F592="Retain",$H592="Zoning: Tree Points",$C592&lt;&gt;"",$D592&lt;&gt;"",OR($K592="",$L592="",$M592="")),
Error!$B$20,
""
)))))))))))))))))))))))))))))))))))))))))))))))))))))))),
Error!$B$23))</f>
        <v/>
      </c>
      <c r="O592" s="343" t="str" cm="1">
        <f t="array" aca="1" ref="O592" ca="1">IFERROR(_xlfn.LET(
    _xlpm.txt, $C592,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93" spans="1:15" x14ac:dyDescent="0.3">
      <c r="A593" s="320"/>
      <c r="B593" s="616" t="str">
        <f t="shared" si="690"/>
        <v/>
      </c>
      <c r="C593" s="617" t="str">
        <f t="shared" si="691"/>
        <v/>
      </c>
      <c r="D593" s="618" t="str">
        <f t="shared" si="692"/>
        <v/>
      </c>
      <c r="E593" s="616" t="str">
        <f t="shared" si="693"/>
        <v/>
      </c>
      <c r="F593" s="616" t="str">
        <f t="shared" si="694"/>
        <v/>
      </c>
      <c r="G593" s="619" t="str">
        <f>IF(Tree_Table1[[#This Row],[Tree Status  &amp;]]="Retain", Tables!$B$237, IF(Tree_Table1[[#This Row],[Tree Status  &amp;]]="Remove", Tables!$B$238, ""))</f>
        <v/>
      </c>
      <c r="H593" s="321"/>
      <c r="I593" s="322"/>
      <c r="J593" s="453"/>
      <c r="K593" s="323" t="str">
        <f>IFERROR(
    IF(
        AND($H593="Zoning: Tree Points", NOT(ISNUMBER(SEARCH("sp.", $C593)))),
        VLOOKUP($C593, 'Tree List'!$C$3:$F$601, 4, FALSE),
        ""
    ),
"")</f>
        <v/>
      </c>
      <c r="L593" s="324" t="str" cm="1">
        <f t="array" ref="L593">IFERROR(
IF(
    AND($H593="Zoning: Tree Points", NOT(ISNUMBER(SEARCH("sp.", $C593)))),
    _xlfn.IFS(
        (COUNTIFS('Tree List'!$C$3:$C$601,$C593,'Tree List'!$D$3:$D$601,"Coniferous")
        + COUNTIFS('Tree List'!$C$3:$C$601,$C593,'Tree List'!$D$3:$D$601,"Deciduous Conifer")) &gt; 0,
            _xlfn.IFS($K593="Small",0.5,$K593="Small/Medium",1,$K593="Medium/Large",1.4,$K593="Large",1.8),
        (COUNTIFS('Tree List'!$C$3:$C$601,$C593,'Tree List'!$D$3:$D$601,"Deciduous")
        + COUNTIFS('Tree List'!$C$3:$C$601,$C593,'Tree List'!$D$3:$D$601,"Broadleaf Evergreen")) &gt; 0,
            _xlfn.IFS($K593="Small",0.4,$K593="Small/Medium",0.8,$K593="Medium/Large",1.2,$K593="Large",1.6)
    ),
    ""
),
"")</f>
        <v/>
      </c>
      <c r="M593" s="475" t="str">
        <f t="shared" si="654"/>
        <v/>
      </c>
      <c r="N593" s="346" t="str" cm="1">
        <f t="array" aca="1" ref="N59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IF(AND(_xlpm.baseRow,ISNA(MATCH($C593,'Tree List'!$C$3:$C$601,0)),SUMPRODUCT(--ISNUMBER(SEARCH(Tables2!$C$677:$C$772,$O593)))&gt;0),
Error!$B$57,
IF(AND(_xlpm.hasDM,$F593="Remove",$H593&lt;&gt;"",OR($I593="On-site replacement",$I593="Off-site replacement",$I593="Payment In Lieu")),
Error!$B$56,
IF(AND(_xlpm.hasDM,$F593="Remove",$H593&lt;&gt;"",$I593="Relocation"),
Error!$B$66,
IF(AND(OR(_xlpm.hasCN,_xlpm.hasPH,_xlpm.hasGR),$H593&lt;&gt;"",COUNTIF(Tables!$B$132:$B$134,$H593)&gt;0,$I593="N/A (No replacement required)"),
Error!$B$62,
IF(AND(_xlpm.baseRow,$E593&lt;&gt;"",ISNA(MATCH($E593,Tables!$B$225:$B$232,0))),
Error!$B$2,
IF(AND(_xlpm.baseRow,$F593&lt;&gt;"",ISNA(MATCH($F593,Tables!$B$234:$B$235,0))),
Error!$B$24,
IF(AND(_xlpm.baseRow,_xlpm.ECA_H&gt;0,_xlpm.Shore_H&gt;0),
Error!$B$16,
IF(AND(_xlpm.baseRow,$E593&lt;&gt;"",$D593=""),
Error!$B$3,
IF(AND(_xlpm.baseRow,OR($E593="Tier 3",$E593="Tier 4"),$C593&lt;&gt;"",$D593&gt;=24,COUNTIF(Tables2!$B$166:$B$674,$C593)&gt;0),
Error!$B$44,
IF(AND(_xlpm.baseRow,OR($E593="Tier 3",$E593="Tier 4"),$C593&lt;&gt;"",$D593&lt;&gt;"",COUNTIF(Tables2!$B$73:$B$152,$C593)&gt;0,
$D593&gt;=IFERROR(INDEX(Tables2!$C$73:$C$152,MATCH($C593,Tables2!$B$73:$B$152,0)),-1)),
Error!$B$44,
IF(AND(_xlpm.baseRow,OR($E593="Tier 2",$E593="Tier 2 Grove"),$C593&lt;&gt;"",$D593&gt;=12,COUNTIF(Tables2!$B$153:$B$162,$C593)&gt;0),
Error!$B$45,
IF(AND(_xlpm.baseRow,$E593="Tier 2 Grove",$D593&lt;12),
Error!$B$41,
IF(AND(_xlpm.baseRow,$E593="Tier 2",$D593&lt;5.88),
Error!$B$40,
IF(AND(_xlpm.baseRow,OR($E593="Tier 2",$E593="Tier 2 Grove"),$C593&lt;&gt;"",$D593&lt;12,$D593&gt;=6,COUNTIF(Tables2!$B$153:$B$162,$C593)&gt;0),
Error!$B$54,
IF(AND(_xlpm.baseRow,$E593="Tier 2",COUNTIF(Tables2!$B$166:$B$674,$C593)&gt;0,$D593&lt;24),
Error!$B$54,
IF(AND(_xlpm.baseRow,$E593="Tier 3",ISNA(MATCH($C593,Tables2!$B$153:$B$162,0)),OR($D593&lt;12,$D593&gt;=24)),
Error!$B$9,
IF(AND(_xlpm.baseRow,$E593="Tier 3",COUNTIF(Tables2!$B$153:$B$162,$C593)&gt;0,$D593&lt;12),
Error!$B$46,
IF(AND(_xlpm.baseRow,$E593="Tier 4",OR($D593&lt;6,$D593&gt;=12)),
Error!$B$10,
IF(AND(_xlpm.baseRow,$E593="&lt;6in DSH for Tree Points",OR($D593&gt;=6,$D593="")),
Error!$B$8,
IF(AND(_xlpm.baseRow,$E593="Street Tree for Green Factor",$F593&lt;&gt;"",$F593&lt;&gt;"Retain"),
Error!$B$14,
IF(AND($E593="&lt;6in DSH for Tree Points",$F593="Retain",$H593&lt;&gt;"",ISNA(MATCH($H593,Tables!$B$174:$B$174,0))),
Error!$B$15,
IF(AND($E593="Street Tree for Green Factor",$F593="Retain",$H593&lt;&gt;"",$H593&lt;&gt;"Zoning: Green Factor"),
Error!$B$15,
IF(AND($E593="ECA / Shoreline Tree",$F593="Remove",$H593&lt;&gt;"",ISNA(MATCH($H593,Tables!$B$189:$B$190,0))),
Error!$B$15,
IF(AND($E593="ECA / Shoreline Tree",$F593="Retain",$H593&lt;&gt;"",ISNA(MATCH($H593,Tables!$B$184:$B$186,0))),
Error!$B$15,
IF(AND($E593="Tier 4",$F593="Remove",$H593&lt;&gt;"",ISNA(MATCH($H593,Tables!$B$171,0))),
Error!$B$15,
IF(AND($E593="Tier 4",$F593="Retain",$H593&lt;&gt;"",ISNA(MATCH($H593,Tables!$B$166:$B$168,0))),
Error!$B$15,
IF(AND($E593="Tier 3",$F593="Retain",$H593&lt;&gt;"",ISNA(MATCH($H593,Tables!$B$158:$B$160,0))),
Error!$B$15,
IF(AND($E593="Tier 3",$F593="Remove",$H593&lt;&gt;"",ISNA(MATCH($H593,Tables!$B$163,0))),
Error!$B$15,
IF(AND(OR($E593="Tier 2",$E593="Tier 2 Grove"),$F593="Remove",$H593&lt;&gt;"",ISNA(MATCH($H593,Tables!$B$153:$B$155,0))),
Error!$B$15,
IF(AND(OR($E593="Tier 2",$E593="Tier 2 Grove"),$F593="Retain",$H593&lt;&gt;"",ISNA(MATCH($H593,Tables!$B$147:$B$150,0))),
Error!$B$15,
IF(AND($E593="Tier 1",$F593="Remove",$H593&lt;&gt;"",ISNA(MATCH($H593,Tables!$B$143:$B$144,0))),
Error!$B$15,
IF(AND($E593="Tier 1",$F593="Retain",$H593&lt;&gt;"",ISNA(MATCH($H593,Tables!$B$137:$B$140,0))),
Error!$B$15,
IF(AND($E593&lt;&gt;"Tier 2",$E593&lt;&gt;"Tier 2 Grove",$E593&lt;&gt;"Tier 3",$E593&lt;&gt;"Tier 4",$H593="Zoning: Green Factor",OR($D593="",$D593&lt;6)),
Error!$B$11,
IF(AND(_xlpm.baseRow,$D593&lt;6,$E593="&lt;6in DSH for Tree Points",_xlpm.TreePoints_H=0),
Error!$B$21,
IF(AND(_xlpm.baseRow,$E593&lt;&gt;"",$D593&lt;&gt;"",$F593=""),
Error!$B$4,
IF(AND(_xlpm.baseRow,$F593="Remove",OR($E593="Tier 1",$E593="Tier 2",$E593="Tier 2 Grove"),COUNTBLANK(_xlpm.HRange)&lt;3,_xlpm.uniqueH&gt;=2),
Error!$B$48,
IF(AND(_xlpm.baseRow,$F593="Retain",OR($E593="Tier 1",$E593="Tier 2",$E593="Tier 2 Grove"),COUNTIF(_xlpm.HRange,"Tree Code: Required to Retain Tier 1-2 Tree")=0),
Error!$B$47,
IF(AND(_xlpm.baseRow,$E593&lt;&gt;"",$D593&lt;&gt;"",$F593&lt;&gt;"",COUNTBLANK(_xlpm.HRange)=4),
Error!$B$5,
IF(AND($F593="Remove",$H593&lt;&gt;"",$I593=""),
Error!$B$18,
IF(AND($E593="Tier 4",$F593="Remove",$H593="Tree Protection Code: Tier 3 or Tier 4 Allowance",$H593&lt;&gt;"",ISNA(MATCH($I593,Tables!$B$200,0))),
Error!$B$17,
IF(AND($E593="Tier 3",$F593="Remove",$H593&lt;&gt;"",$H593="Tree Protection Code: Tier 3 or Tier 4 Allowance",OR($I593="",ISNA(MATCH($I593,Tables!$B$193:$B$197,0)))),
Error!$B$17,
IF(AND(OR($E593="Tier 2",$E593="Tier 2 Grove"),$F593="Remove",$H593="Tree Protection Code: Other removal allowance or exemption",$I593&lt;&gt;"",ISNA(MATCH($I593,Tables!$B$215:$B$218,0))),
Error!$B$17,
IF(AND(OR($E593="Tier 2",$E593="Tier 2 Grove"),$F593="Remove",$H593="Tree Protection Code: Development Capacity",$I593&lt;&gt;"",ISNA(MATCH($I593,Tables!$B$193:$B$197,0))),
Error!$B$17,
IF(AND(OR($E593="Tier 2",$E593="Tier 2 Grove"),$F593="Remove",$H593="Tree Protection Code: Necessary for Construction",$I593&lt;&gt;"",ISNA(MATCH($I593,Tables!$B$193:$B$197,0))),
Error!$B$17,
IF(AND($E593="Tier 1",$F593="Remove",$H593="Tree Protection Code: Special Exception",$I593&lt;&gt;"",ISNA(MATCH($I593,Tables!$B$215:$B$218,0))),
Error!$B$17,
IF(AND($E593="Tier 1",$F593="Remove",$H593="Tree Protection Code: Other removal allowance or exemption",$I593&lt;&gt;"",ISNA(MATCH($I593,Tables!$B$215:$B$218,0))),
Error!$B$17,
IF(AND($E593="ECA / Shoreline Tree",$F593="Remove",$H593&lt;&gt;"",OR($H593="Shoreline",$H593="Environmental Critical Area (ECA)"),ISNA(MATCH($I593,Tables!$B$209:$B$212,0))),
Error!$B$17,
IF(AND(_xlpm.baseRow,$F593="Retain",$E593="ECA / Shoreline Tree",_xlpm.ECA_Short=0),
Error!$B$61,
IF(AND($F593="Remove",ISNUMBER(MATCH($E593,{"Tier 1","Tier 2","Tier 3","Tier 4","Tier 2 Grove"},0)),ISNUMBER(MATCH($I593,{"On-site replacement","Off-site replacement"},0)),$J593="",$H593&lt;&gt;""),
Error!$B$19,
IF(AND(_xlpm.baseRow,$E593&lt;&gt;"",$D593&lt;&gt;"",$F593&lt;&gt;"",COUNTBLANK($B593:$C593)&gt;0,COUNTBLANK(_xlpm.HRange)&lt;&gt;4),
Error!$B$22,
IF(AND($H593="Zoning: Tree Points",$K593&lt;&gt;"",ISNA(MATCH($K593,Tables!$B$242:$B$253,0))),
Error!$B$58,
IF(AND($H593="Zoning: Tree Points",$K593="Small",$L593&lt;&gt;"",ISNA(MATCH($L593,Tables!$C$243:$C$244,0))),
Error!$B$59,
IF(AND($H593="Zoning: Tree Points",$K593="Small/Medium",$L593&lt;&gt;"",ISNA(MATCH($L593,Tables!$C$246:$C$247,0))),
Error!$B$59,
IF(AND($H593="Zoning: Tree Points",$K593="Medium/Large",$L593&lt;&gt;"",ISNA(MATCH($L593,Tables!$C$249:$C$250,0))),
Error!$B$59,
IF(AND($H593="Zoning: Tree Points",$K593="Large",$L593&lt;&gt;"",ISNA(MATCH($L593,Tables!$C$252:$C$253,0))),
Error!$B$59,
IF(AND($F593="Retain",$H593="Zoning: Tree Points",$C593&lt;&gt;"",$D593&lt;&gt;"",OR($K593="",$L593="",$M593="")),
Error!$B$20,
""
)))))))))))))))))))))))))))))))))))))))))))))))))))))))),
Error!$B$23))</f>
        <v/>
      </c>
      <c r="O593" s="343" t="str" cm="1">
        <f t="array" aca="1" ref="O593" ca="1">IFERROR(_xlfn.LET(
    _xlpm.txt, $C593,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94" spans="1:15" ht="15" thickBot="1" x14ac:dyDescent="0.35">
      <c r="A594" s="331"/>
      <c r="B594" s="616" t="str">
        <f t="shared" si="690"/>
        <v/>
      </c>
      <c r="C594" s="617" t="str">
        <f t="shared" si="691"/>
        <v/>
      </c>
      <c r="D594" s="618" t="str">
        <f t="shared" si="692"/>
        <v/>
      </c>
      <c r="E594" s="616" t="str">
        <f t="shared" si="693"/>
        <v/>
      </c>
      <c r="F594" s="616" t="str">
        <f t="shared" si="694"/>
        <v/>
      </c>
      <c r="G594" s="619" t="str">
        <f>IF(Tree_Table1[[#This Row],[Tree Status  &amp;]]="Retain", Tables!$B$237, IF(Tree_Table1[[#This Row],[Tree Status  &amp;]]="Remove", Tables!$B$238, ""))</f>
        <v/>
      </c>
      <c r="H594" s="329"/>
      <c r="I594" s="330"/>
      <c r="J594" s="455"/>
      <c r="K594" s="327" t="str">
        <f>IFERROR(
    IF(
        AND($H594="Zoning: Tree Points", NOT(ISNUMBER(SEARCH("sp.", $C594)))),
        VLOOKUP($C594, 'Tree List'!$C$3:$F$601, 4, FALSE),
        ""
    ),
"")</f>
        <v/>
      </c>
      <c r="L594" s="328" t="str" cm="1">
        <f t="array" ref="L594">IFERROR(
IF(
    AND($H594="Zoning: Tree Points", NOT(ISNUMBER(SEARCH("sp.", $C594)))),
    _xlfn.IFS(
        (COUNTIFS('Tree List'!$C$3:$C$601,$C594,'Tree List'!$D$3:$D$601,"Coniferous")
        + COUNTIFS('Tree List'!$C$3:$C$601,$C594,'Tree List'!$D$3:$D$601,"Deciduous Conifer")) &gt; 0,
            _xlfn.IFS($K594="Small",0.5,$K594="Small/Medium",1,$K594="Medium/Large",1.4,$K594="Large",1.8),
        (COUNTIFS('Tree List'!$C$3:$C$601,$C594,'Tree List'!$D$3:$D$601,"Deciduous")
        + COUNTIFS('Tree List'!$C$3:$C$601,$C594,'Tree List'!$D$3:$D$601,"Broadleaf Evergreen")) &gt; 0,
            _xlfn.IFS($K594="Small",0.4,$K594="Small/Medium",0.8,$K594="Medium/Large",1.2,$K594="Large",1.6)
    ),
    ""
),
"")</f>
        <v/>
      </c>
      <c r="M594" s="476" t="str">
        <f t="shared" si="654"/>
        <v/>
      </c>
      <c r="N594" s="347" t="str" cm="1">
        <f t="array" aca="1" ref="N59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IF(AND(_xlpm.baseRow,ISNA(MATCH($C594,'Tree List'!$C$3:$C$601,0)),SUMPRODUCT(--ISNUMBER(SEARCH(Tables2!$C$677:$C$772,$O594)))&gt;0),
Error!$B$57,
IF(AND(_xlpm.hasDM,$F594="Remove",$H594&lt;&gt;"",OR($I594="On-site replacement",$I594="Off-site replacement",$I594="Payment In Lieu")),
Error!$B$56,
IF(AND(_xlpm.hasDM,$F594="Remove",$H594&lt;&gt;"",$I594="Relocation"),
Error!$B$66,
IF(AND(OR(_xlpm.hasCN,_xlpm.hasPH,_xlpm.hasGR),$H594&lt;&gt;"",COUNTIF(Tables!$B$132:$B$134,$H594)&gt;0,$I594="N/A (No replacement required)"),
Error!$B$62,
IF(AND(_xlpm.baseRow,$E594&lt;&gt;"",ISNA(MATCH($E594,Tables!$B$225:$B$232,0))),
Error!$B$2,
IF(AND(_xlpm.baseRow,$F594&lt;&gt;"",ISNA(MATCH($F594,Tables!$B$234:$B$235,0))),
Error!$B$24,
IF(AND(_xlpm.baseRow,_xlpm.ECA_H&gt;0,_xlpm.Shore_H&gt;0),
Error!$B$16,
IF(AND(_xlpm.baseRow,$E594&lt;&gt;"",$D594=""),
Error!$B$3,
IF(AND(_xlpm.baseRow,OR($E594="Tier 3",$E594="Tier 4"),$C594&lt;&gt;"",$D594&gt;=24,COUNTIF(Tables2!$B$166:$B$674,$C594)&gt;0),
Error!$B$44,
IF(AND(_xlpm.baseRow,OR($E594="Tier 3",$E594="Tier 4"),$C594&lt;&gt;"",$D594&lt;&gt;"",COUNTIF(Tables2!$B$73:$B$152,$C594)&gt;0,
$D594&gt;=IFERROR(INDEX(Tables2!$C$73:$C$152,MATCH($C594,Tables2!$B$73:$B$152,0)),-1)),
Error!$B$44,
IF(AND(_xlpm.baseRow,OR($E594="Tier 2",$E594="Tier 2 Grove"),$C594&lt;&gt;"",$D594&gt;=12,COUNTIF(Tables2!$B$153:$B$162,$C594)&gt;0),
Error!$B$45,
IF(AND(_xlpm.baseRow,$E594="Tier 2 Grove",$D594&lt;12),
Error!$B$41,
IF(AND(_xlpm.baseRow,$E594="Tier 2",$D594&lt;5.88),
Error!$B$40,
IF(AND(_xlpm.baseRow,OR($E594="Tier 2",$E594="Tier 2 Grove"),$C594&lt;&gt;"",$D594&lt;12,$D594&gt;=6,COUNTIF(Tables2!$B$153:$B$162,$C594)&gt;0),
Error!$B$54,
IF(AND(_xlpm.baseRow,$E594="Tier 2",COUNTIF(Tables2!$B$166:$B$674,$C594)&gt;0,$D594&lt;24),
Error!$B$54,
IF(AND(_xlpm.baseRow,$E594="Tier 3",ISNA(MATCH($C594,Tables2!$B$153:$B$162,0)),OR($D594&lt;12,$D594&gt;=24)),
Error!$B$9,
IF(AND(_xlpm.baseRow,$E594="Tier 3",COUNTIF(Tables2!$B$153:$B$162,$C594)&gt;0,$D594&lt;12),
Error!$B$46,
IF(AND(_xlpm.baseRow,$E594="Tier 4",OR($D594&lt;6,$D594&gt;=12)),
Error!$B$10,
IF(AND(_xlpm.baseRow,$E594="&lt;6in DSH for Tree Points",OR($D594&gt;=6,$D594="")),
Error!$B$8,
IF(AND(_xlpm.baseRow,$E594="Street Tree for Green Factor",$F594&lt;&gt;"",$F594&lt;&gt;"Retain"),
Error!$B$14,
IF(AND($E594="&lt;6in DSH for Tree Points",$F594="Retain",$H594&lt;&gt;"",ISNA(MATCH($H594,Tables!$B$174:$B$174,0))),
Error!$B$15,
IF(AND($E594="Street Tree for Green Factor",$F594="Retain",$H594&lt;&gt;"",$H594&lt;&gt;"Zoning: Green Factor"),
Error!$B$15,
IF(AND($E594="ECA / Shoreline Tree",$F594="Remove",$H594&lt;&gt;"",ISNA(MATCH($H594,Tables!$B$189:$B$190,0))),
Error!$B$15,
IF(AND($E594="ECA / Shoreline Tree",$F594="Retain",$H594&lt;&gt;"",ISNA(MATCH($H594,Tables!$B$184:$B$186,0))),
Error!$B$15,
IF(AND($E594="Tier 4",$F594="Remove",$H594&lt;&gt;"",ISNA(MATCH($H594,Tables!$B$171,0))),
Error!$B$15,
IF(AND($E594="Tier 4",$F594="Retain",$H594&lt;&gt;"",ISNA(MATCH($H594,Tables!$B$166:$B$168,0))),
Error!$B$15,
IF(AND($E594="Tier 3",$F594="Retain",$H594&lt;&gt;"",ISNA(MATCH($H594,Tables!$B$158:$B$160,0))),
Error!$B$15,
IF(AND($E594="Tier 3",$F594="Remove",$H594&lt;&gt;"",ISNA(MATCH($H594,Tables!$B$163,0))),
Error!$B$15,
IF(AND(OR($E594="Tier 2",$E594="Tier 2 Grove"),$F594="Remove",$H594&lt;&gt;"",ISNA(MATCH($H594,Tables!$B$153:$B$155,0))),
Error!$B$15,
IF(AND(OR($E594="Tier 2",$E594="Tier 2 Grove"),$F594="Retain",$H594&lt;&gt;"",ISNA(MATCH($H594,Tables!$B$147:$B$150,0))),
Error!$B$15,
IF(AND($E594="Tier 1",$F594="Remove",$H594&lt;&gt;"",ISNA(MATCH($H594,Tables!$B$143:$B$144,0))),
Error!$B$15,
IF(AND($E594="Tier 1",$F594="Retain",$H594&lt;&gt;"",ISNA(MATCH($H594,Tables!$B$137:$B$140,0))),
Error!$B$15,
IF(AND($E594&lt;&gt;"Tier 2",$E594&lt;&gt;"Tier 2 Grove",$E594&lt;&gt;"Tier 3",$E594&lt;&gt;"Tier 4",$H594="Zoning: Green Factor",OR($D594="",$D594&lt;6)),
Error!$B$11,
IF(AND(_xlpm.baseRow,$D594&lt;6,$E594="&lt;6in DSH for Tree Points",_xlpm.TreePoints_H=0),
Error!$B$21,
IF(AND(_xlpm.baseRow,$E594&lt;&gt;"",$D594&lt;&gt;"",$F594=""),
Error!$B$4,
IF(AND(_xlpm.baseRow,$F594="Remove",OR($E594="Tier 1",$E594="Tier 2",$E594="Tier 2 Grove"),COUNTBLANK(_xlpm.HRange)&lt;3,_xlpm.uniqueH&gt;=2),
Error!$B$48,
IF(AND(_xlpm.baseRow,$F594="Retain",OR($E594="Tier 1",$E594="Tier 2",$E594="Tier 2 Grove"),COUNTIF(_xlpm.HRange,"Tree Code: Required to Retain Tier 1-2 Tree")=0),
Error!$B$47,
IF(AND(_xlpm.baseRow,$E594&lt;&gt;"",$D594&lt;&gt;"",$F594&lt;&gt;"",COUNTBLANK(_xlpm.HRange)=4),
Error!$B$5,
IF(AND($F594="Remove",$H594&lt;&gt;"",$I594=""),
Error!$B$18,
IF(AND($E594="Tier 4",$F594="Remove",$H594="Tree Protection Code: Tier 3 or Tier 4 Allowance",$H594&lt;&gt;"",ISNA(MATCH($I594,Tables!$B$200,0))),
Error!$B$17,
IF(AND($E594="Tier 3",$F594="Remove",$H594&lt;&gt;"",$H594="Tree Protection Code: Tier 3 or Tier 4 Allowance",OR($I594="",ISNA(MATCH($I594,Tables!$B$193:$B$197,0)))),
Error!$B$17,
IF(AND(OR($E594="Tier 2",$E594="Tier 2 Grove"),$F594="Remove",$H594="Tree Protection Code: Other removal allowance or exemption",$I594&lt;&gt;"",ISNA(MATCH($I594,Tables!$B$215:$B$218,0))),
Error!$B$17,
IF(AND(OR($E594="Tier 2",$E594="Tier 2 Grove"),$F594="Remove",$H594="Tree Protection Code: Development Capacity",$I594&lt;&gt;"",ISNA(MATCH($I594,Tables!$B$193:$B$197,0))),
Error!$B$17,
IF(AND(OR($E594="Tier 2",$E594="Tier 2 Grove"),$F594="Remove",$H594="Tree Protection Code: Necessary for Construction",$I594&lt;&gt;"",ISNA(MATCH($I594,Tables!$B$193:$B$197,0))),
Error!$B$17,
IF(AND($E594="Tier 1",$F594="Remove",$H594="Tree Protection Code: Special Exception",$I594&lt;&gt;"",ISNA(MATCH($I594,Tables!$B$215:$B$218,0))),
Error!$B$17,
IF(AND($E594="Tier 1",$F594="Remove",$H594="Tree Protection Code: Other removal allowance or exemption",$I594&lt;&gt;"",ISNA(MATCH($I594,Tables!$B$215:$B$218,0))),
Error!$B$17,
IF(AND($E594="ECA / Shoreline Tree",$F594="Remove",$H594&lt;&gt;"",OR($H594="Shoreline",$H594="Environmental Critical Area (ECA)"),ISNA(MATCH($I594,Tables!$B$209:$B$212,0))),
Error!$B$17,
IF(AND(_xlpm.baseRow,$F594="Retain",$E594="ECA / Shoreline Tree",_xlpm.ECA_Short=0),
Error!$B$61,
IF(AND($F594="Remove",ISNUMBER(MATCH($E594,{"Tier 1","Tier 2","Tier 3","Tier 4","Tier 2 Grove"},0)),ISNUMBER(MATCH($I594,{"On-site replacement","Off-site replacement"},0)),$J594="",$H594&lt;&gt;""),
Error!$B$19,
IF(AND(_xlpm.baseRow,$E594&lt;&gt;"",$D594&lt;&gt;"",$F594&lt;&gt;"",COUNTBLANK($B594:$C594)&gt;0,COUNTBLANK(_xlpm.HRange)&lt;&gt;4),
Error!$B$22,
IF(AND($H594="Zoning: Tree Points",$K594&lt;&gt;"",ISNA(MATCH($K594,Tables!$B$242:$B$253,0))),
Error!$B$58,
IF(AND($H594="Zoning: Tree Points",$K594="Small",$L594&lt;&gt;"",ISNA(MATCH($L594,Tables!$C$243:$C$244,0))),
Error!$B$59,
IF(AND($H594="Zoning: Tree Points",$K594="Small/Medium",$L594&lt;&gt;"",ISNA(MATCH($L594,Tables!$C$246:$C$247,0))),
Error!$B$59,
IF(AND($H594="Zoning: Tree Points",$K594="Medium/Large",$L594&lt;&gt;"",ISNA(MATCH($L594,Tables!$C$249:$C$250,0))),
Error!$B$59,
IF(AND($H594="Zoning: Tree Points",$K594="Large",$L594&lt;&gt;"",ISNA(MATCH($L594,Tables!$C$252:$C$253,0))),
Error!$B$59,
IF(AND($F594="Retain",$H594="Zoning: Tree Points",$C594&lt;&gt;"",$D594&lt;&gt;"",OR($K594="",$L594="",$M594="")),
Error!$B$20,
""
)))))))))))))))))))))))))))))))))))))))))))))))))))))))),
Error!$B$23))</f>
        <v/>
      </c>
      <c r="O594" s="343" t="str" cm="1">
        <f t="array" aca="1" ref="O594" ca="1">IFERROR(_xlfn.LET(
    _xlpm.txt, $C594,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95" spans="1:15" ht="15" thickBot="1" x14ac:dyDescent="0.35">
      <c r="A595" s="311">
        <v>147</v>
      </c>
      <c r="B595" s="312"/>
      <c r="C595" s="313"/>
      <c r="D595" s="478"/>
      <c r="E595" s="314"/>
      <c r="F595" s="314"/>
      <c r="G595" s="315" t="str">
        <f>IF(Tree_Table1[[#This Row],[Tree Status  &amp;]]="Retain", Tables!$B$237, IF(Tree_Table1[[#This Row],[Tree Status  &amp;]]="Remove", Tables!$B$238, ""))</f>
        <v/>
      </c>
      <c r="H595" s="316"/>
      <c r="I595" s="317"/>
      <c r="J595" s="452"/>
      <c r="K595" s="318" t="str">
        <f>IFERROR(
    IF(
        AND($H595="Zoning: Tree Points", NOT(ISNUMBER(SEARCH("sp.", $C595)))),
        VLOOKUP($C595, 'Tree List'!$C$3:$F$601, 4, FALSE),
        ""
    ),
"")</f>
        <v/>
      </c>
      <c r="L595" s="319" t="str" cm="1">
        <f t="array" ref="L595">IFERROR(
IF(
    AND($H595="Zoning: Tree Points", NOT(ISNUMBER(SEARCH("sp.", $C595)))),
    _xlfn.IFS(
        (COUNTIFS('Tree List'!$C$3:$C$601,$C595,'Tree List'!$D$3:$D$601,"Coniferous")
        + COUNTIFS('Tree List'!$C$3:$C$601,$C595,'Tree List'!$D$3:$D$601,"Deciduous Conifer")) &gt; 0,
            _xlfn.IFS($K595="Small",0.5,$K595="Small/Medium",1,$K595="Medium/Large",1.4,$K595="Large",1.8),
        (COUNTIFS('Tree List'!$C$3:$C$601,$C595,'Tree List'!$D$3:$D$601,"Deciduous")
        + COUNTIFS('Tree List'!$C$3:$C$601,$C595,'Tree List'!$D$3:$D$601,"Broadleaf Evergreen")) &gt; 0,
            _xlfn.IFS($K595="Small",0.4,$K595="Small/Medium",0.8,$K595="Medium/Large",1.2,$K595="Large",1.6)
    ),
    ""
),
"")</f>
        <v/>
      </c>
      <c r="M595" s="474" t="str">
        <f t="shared" si="654"/>
        <v/>
      </c>
      <c r="N595" s="620" t="str" cm="1">
        <f t="array" aca="1" ref="N59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IF(AND(_xlpm.baseRow,ISNA(MATCH($C595,'Tree List'!$C$3:$C$601,0)),SUMPRODUCT(--ISNUMBER(SEARCH(Tables2!$C$677:$C$772,$O595)))&gt;0),
Error!$B$57,
IF(AND(_xlpm.hasDM,$F595="Remove",$H595&lt;&gt;"",OR($I595="On-site replacement",$I595="Off-site replacement",$I595="Payment In Lieu")),
Error!$B$56,
IF(AND(_xlpm.hasDM,$F595="Remove",$H595&lt;&gt;"",$I595="Relocation"),
Error!$B$66,
IF(AND(OR(_xlpm.hasCN,_xlpm.hasPH,_xlpm.hasGR),$H595&lt;&gt;"",COUNTIF(Tables!$B$132:$B$134,$H595)&gt;0,$I595="N/A (No replacement required)"),
Error!$B$62,
IF(AND(_xlpm.baseRow,$E595&lt;&gt;"",ISNA(MATCH($E595,Tables!$B$225:$B$232,0))),
Error!$B$2,
IF(AND(_xlpm.baseRow,$F595&lt;&gt;"",ISNA(MATCH($F595,Tables!$B$234:$B$235,0))),
Error!$B$24,
IF(AND(_xlpm.baseRow,_xlpm.ECA_H&gt;0,_xlpm.Shore_H&gt;0),
Error!$B$16,
IF(AND(_xlpm.baseRow,$E595&lt;&gt;"",$D595=""),
Error!$B$3,
IF(AND(_xlpm.baseRow,OR($E595="Tier 3",$E595="Tier 4"),$C595&lt;&gt;"",$D595&gt;=24,COUNTIF(Tables2!$B$166:$B$674,$C595)&gt;0),
Error!$B$44,
IF(AND(_xlpm.baseRow,OR($E595="Tier 3",$E595="Tier 4"),$C595&lt;&gt;"",$D595&lt;&gt;"",COUNTIF(Tables2!$B$73:$B$152,$C595)&gt;0,
$D595&gt;=IFERROR(INDEX(Tables2!$C$73:$C$152,MATCH($C595,Tables2!$B$73:$B$152,0)),-1)),
Error!$B$44,
IF(AND(_xlpm.baseRow,OR($E595="Tier 2",$E595="Tier 2 Grove"),$C595&lt;&gt;"",$D595&gt;=12,COUNTIF(Tables2!$B$153:$B$162,$C595)&gt;0),
Error!$B$45,
IF(AND(_xlpm.baseRow,$E595="Tier 2 Grove",$D595&lt;12),
Error!$B$41,
IF(AND(_xlpm.baseRow,$E595="Tier 2",$D595&lt;5.88),
Error!$B$40,
IF(AND(_xlpm.baseRow,OR($E595="Tier 2",$E595="Tier 2 Grove"),$C595&lt;&gt;"",$D595&lt;12,$D595&gt;=6,COUNTIF(Tables2!$B$153:$B$162,$C595)&gt;0),
Error!$B$54,
IF(AND(_xlpm.baseRow,$E595="Tier 2",COUNTIF(Tables2!$B$166:$B$674,$C595)&gt;0,$D595&lt;24),
Error!$B$54,
IF(AND(_xlpm.baseRow,$E595="Tier 3",ISNA(MATCH($C595,Tables2!$B$153:$B$162,0)),OR($D595&lt;12,$D595&gt;=24)),
Error!$B$9,
IF(AND(_xlpm.baseRow,$E595="Tier 3",COUNTIF(Tables2!$B$153:$B$162,$C595)&gt;0,$D595&lt;12),
Error!$B$46,
IF(AND(_xlpm.baseRow,$E595="Tier 4",OR($D595&lt;6,$D595&gt;=12)),
Error!$B$10,
IF(AND(_xlpm.baseRow,$E595="&lt;6in DSH for Tree Points",OR($D595&gt;=6,$D595="")),
Error!$B$8,
IF(AND(_xlpm.baseRow,$E595="Street Tree for Green Factor",$F595&lt;&gt;"",$F595&lt;&gt;"Retain"),
Error!$B$14,
IF(AND($E595="&lt;6in DSH for Tree Points",$F595="Retain",$H595&lt;&gt;"",ISNA(MATCH($H595,Tables!$B$174:$B$174,0))),
Error!$B$15,
IF(AND($E595="Street Tree for Green Factor",$F595="Retain",$H595&lt;&gt;"",$H595&lt;&gt;"Zoning: Green Factor"),
Error!$B$15,
IF(AND($E595="ECA / Shoreline Tree",$F595="Remove",$H595&lt;&gt;"",ISNA(MATCH($H595,Tables!$B$189:$B$190,0))),
Error!$B$15,
IF(AND($E595="ECA / Shoreline Tree",$F595="Retain",$H595&lt;&gt;"",ISNA(MATCH($H595,Tables!$B$184:$B$186,0))),
Error!$B$15,
IF(AND($E595="Tier 4",$F595="Remove",$H595&lt;&gt;"",ISNA(MATCH($H595,Tables!$B$171,0))),
Error!$B$15,
IF(AND($E595="Tier 4",$F595="Retain",$H595&lt;&gt;"",ISNA(MATCH($H595,Tables!$B$166:$B$168,0))),
Error!$B$15,
IF(AND($E595="Tier 3",$F595="Retain",$H595&lt;&gt;"",ISNA(MATCH($H595,Tables!$B$158:$B$160,0))),
Error!$B$15,
IF(AND($E595="Tier 3",$F595="Remove",$H595&lt;&gt;"",ISNA(MATCH($H595,Tables!$B$163,0))),
Error!$B$15,
IF(AND(OR($E595="Tier 2",$E595="Tier 2 Grove"),$F595="Remove",$H595&lt;&gt;"",ISNA(MATCH($H595,Tables!$B$153:$B$155,0))),
Error!$B$15,
IF(AND(OR($E595="Tier 2",$E595="Tier 2 Grove"),$F595="Retain",$H595&lt;&gt;"",ISNA(MATCH($H595,Tables!$B$147:$B$150,0))),
Error!$B$15,
IF(AND($E595="Tier 1",$F595="Remove",$H595&lt;&gt;"",ISNA(MATCH($H595,Tables!$B$143:$B$144,0))),
Error!$B$15,
IF(AND($E595="Tier 1",$F595="Retain",$H595&lt;&gt;"",ISNA(MATCH($H595,Tables!$B$137:$B$140,0))),
Error!$B$15,
IF(AND($E595&lt;&gt;"Tier 2",$E595&lt;&gt;"Tier 2 Grove",$E595&lt;&gt;"Tier 3",$E595&lt;&gt;"Tier 4",$H595="Zoning: Green Factor",OR($D595="",$D595&lt;6)),
Error!$B$11,
IF(AND(_xlpm.baseRow,$D595&lt;6,$E595="&lt;6in DSH for Tree Points",_xlpm.TreePoints_H=0),
Error!$B$21,
IF(AND(_xlpm.baseRow,$E595&lt;&gt;"",$D595&lt;&gt;"",$F595=""),
Error!$B$4,
IF(AND(_xlpm.baseRow,$F595="Remove",OR($E595="Tier 1",$E595="Tier 2",$E595="Tier 2 Grove"),COUNTBLANK(_xlpm.HRange)&lt;3,_xlpm.uniqueH&gt;=2),
Error!$B$48,
IF(AND(_xlpm.baseRow,$F595="Retain",OR($E595="Tier 1",$E595="Tier 2",$E595="Tier 2 Grove"),COUNTIF(_xlpm.HRange,"Tree Code: Required to Retain Tier 1-2 Tree")=0),
Error!$B$47,
IF(AND(_xlpm.baseRow,$E595&lt;&gt;"",$D595&lt;&gt;"",$F595&lt;&gt;"",COUNTBLANK(_xlpm.HRange)=4),
Error!$B$5,
IF(AND($F595="Remove",$H595&lt;&gt;"",$I595=""),
Error!$B$18,
IF(AND($E595="Tier 4",$F595="Remove",$H595="Tree Protection Code: Tier 3 or Tier 4 Allowance",$H595&lt;&gt;"",ISNA(MATCH($I595,Tables!$B$200,0))),
Error!$B$17,
IF(AND($E595="Tier 3",$F595="Remove",$H595&lt;&gt;"",$H595="Tree Protection Code: Tier 3 or Tier 4 Allowance",OR($I595="",ISNA(MATCH($I595,Tables!$B$193:$B$197,0)))),
Error!$B$17,
IF(AND(OR($E595="Tier 2",$E595="Tier 2 Grove"),$F595="Remove",$H595="Tree Protection Code: Other removal allowance or exemption",$I595&lt;&gt;"",ISNA(MATCH($I595,Tables!$B$215:$B$218,0))),
Error!$B$17,
IF(AND(OR($E595="Tier 2",$E595="Tier 2 Grove"),$F595="Remove",$H595="Tree Protection Code: Development Capacity",$I595&lt;&gt;"",ISNA(MATCH($I595,Tables!$B$193:$B$197,0))),
Error!$B$17,
IF(AND(OR($E595="Tier 2",$E595="Tier 2 Grove"),$F595="Remove",$H595="Tree Protection Code: Necessary for Construction",$I595&lt;&gt;"",ISNA(MATCH($I595,Tables!$B$193:$B$197,0))),
Error!$B$17,
IF(AND($E595="Tier 1",$F595="Remove",$H595="Tree Protection Code: Special Exception",$I595&lt;&gt;"",ISNA(MATCH($I595,Tables!$B$215:$B$218,0))),
Error!$B$17,
IF(AND($E595="Tier 1",$F595="Remove",$H595="Tree Protection Code: Other removal allowance or exemption",$I595&lt;&gt;"",ISNA(MATCH($I595,Tables!$B$215:$B$218,0))),
Error!$B$17,
IF(AND($E595="ECA / Shoreline Tree",$F595="Remove",$H595&lt;&gt;"",OR($H595="Shoreline",$H595="Environmental Critical Area (ECA)"),ISNA(MATCH($I595,Tables!$B$209:$B$212,0))),
Error!$B$17,
IF(AND(_xlpm.baseRow,$F595="Retain",$E595="ECA / Shoreline Tree",_xlpm.ECA_Short=0),
Error!$B$61,
IF(AND($F595="Remove",ISNUMBER(MATCH($E595,{"Tier 1","Tier 2","Tier 3","Tier 4","Tier 2 Grove"},0)),ISNUMBER(MATCH($I595,{"On-site replacement","Off-site replacement"},0)),$J595="",$H595&lt;&gt;""),
Error!$B$19,
IF(AND(_xlpm.baseRow,$E595&lt;&gt;"",$D595&lt;&gt;"",$F595&lt;&gt;"",COUNTBLANK($B595:$C595)&gt;0,COUNTBLANK(_xlpm.HRange)&lt;&gt;4),
Error!$B$22,
IF(AND($H595="Zoning: Tree Points",$K595&lt;&gt;"",ISNA(MATCH($K595,Tables!$B$242:$B$253,0))),
Error!$B$58,
IF(AND($H595="Zoning: Tree Points",$K595="Small",$L595&lt;&gt;"",ISNA(MATCH($L595,Tables!$C$243:$C$244,0))),
Error!$B$59,
IF(AND($H595="Zoning: Tree Points",$K595="Small/Medium",$L595&lt;&gt;"",ISNA(MATCH($L595,Tables!$C$246:$C$247,0))),
Error!$B$59,
IF(AND($H595="Zoning: Tree Points",$K595="Medium/Large",$L595&lt;&gt;"",ISNA(MATCH($L595,Tables!$C$249:$C$250,0))),
Error!$B$59,
IF(AND($H595="Zoning: Tree Points",$K595="Large",$L595&lt;&gt;"",ISNA(MATCH($L595,Tables!$C$252:$C$253,0))),
Error!$B$59,
IF(AND($F595="Retain",$H595="Zoning: Tree Points",$C595&lt;&gt;"",$D595&lt;&gt;"",OR($K595="",$L595="",$M595="")),
Error!$B$20,
""
)))))))))))))))))))))))))))))))))))))))))))))))))))))))),
Error!$B$23))</f>
        <v/>
      </c>
      <c r="O595" s="343" t="str" cm="1">
        <f t="array" aca="1" ref="O595" ca="1">IFERROR(_xlfn.LET(
    _xlpm.txt, $C595,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96" spans="1:15" x14ac:dyDescent="0.3">
      <c r="A596" s="320"/>
      <c r="B596" s="616" t="str">
        <f t="shared" ref="B596:B598" si="695">IF($B595="", "", $B595)</f>
        <v/>
      </c>
      <c r="C596" s="617" t="str">
        <f t="shared" ref="C596:C598" si="696">IF($C595="", "", $C595)</f>
        <v/>
      </c>
      <c r="D596" s="618" t="str">
        <f t="shared" ref="D596:D598" si="697">IF($D595="", "", $D595)</f>
        <v/>
      </c>
      <c r="E596" s="616" t="str">
        <f t="shared" ref="E596:E598" si="698">IF($E595="", "", $E595)</f>
        <v/>
      </c>
      <c r="F596" s="616" t="str">
        <f t="shared" ref="F596:F598" si="699">IF($F595="", "", $F595)</f>
        <v/>
      </c>
      <c r="G596" s="619" t="str">
        <f>IF(Tree_Table1[[#This Row],[Tree Status  &amp;]]="Retain", Tables!$B$237, IF(Tree_Table1[[#This Row],[Tree Status  &amp;]]="Remove", Tables!$B$238, ""))</f>
        <v/>
      </c>
      <c r="H596" s="321"/>
      <c r="I596" s="322"/>
      <c r="J596" s="453"/>
      <c r="K596" s="323" t="str">
        <f>IFERROR(
    IF(
        AND($H596="Zoning: Tree Points", NOT(ISNUMBER(SEARCH("sp.", $C596)))),
        VLOOKUP($C596, 'Tree List'!$C$3:$F$601, 4, FALSE),
        ""
    ),
"")</f>
        <v/>
      </c>
      <c r="L596" s="324" t="str" cm="1">
        <f t="array" ref="L596">IFERROR(
IF(
    AND($H596="Zoning: Tree Points", NOT(ISNUMBER(SEARCH("sp.", $C596)))),
    _xlfn.IFS(
        (COUNTIFS('Tree List'!$C$3:$C$601,$C596,'Tree List'!$D$3:$D$601,"Coniferous")
        + COUNTIFS('Tree List'!$C$3:$C$601,$C596,'Tree List'!$D$3:$D$601,"Deciduous Conifer")) &gt; 0,
            _xlfn.IFS($K596="Small",0.5,$K596="Small/Medium",1,$K596="Medium/Large",1.4,$K596="Large",1.8),
        (COUNTIFS('Tree List'!$C$3:$C$601,$C596,'Tree List'!$D$3:$D$601,"Deciduous")
        + COUNTIFS('Tree List'!$C$3:$C$601,$C596,'Tree List'!$D$3:$D$601,"Broadleaf Evergreen")) &gt; 0,
            _xlfn.IFS($K596="Small",0.4,$K596="Small/Medium",0.8,$K596="Medium/Large",1.2,$K596="Large",1.6)
    ),
    ""
),
"")</f>
        <v/>
      </c>
      <c r="M596" s="475" t="str">
        <f t="shared" si="654"/>
        <v/>
      </c>
      <c r="N596" s="346" t="str" cm="1">
        <f t="array" aca="1" ref="N59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IF(AND(_xlpm.baseRow,ISNA(MATCH($C596,'Tree List'!$C$3:$C$601,0)),SUMPRODUCT(--ISNUMBER(SEARCH(Tables2!$C$677:$C$772,$O596)))&gt;0),
Error!$B$57,
IF(AND(_xlpm.hasDM,$F596="Remove",$H596&lt;&gt;"",OR($I596="On-site replacement",$I596="Off-site replacement",$I596="Payment In Lieu")),
Error!$B$56,
IF(AND(_xlpm.hasDM,$F596="Remove",$H596&lt;&gt;"",$I596="Relocation"),
Error!$B$66,
IF(AND(OR(_xlpm.hasCN,_xlpm.hasPH,_xlpm.hasGR),$H596&lt;&gt;"",COUNTIF(Tables!$B$132:$B$134,$H596)&gt;0,$I596="N/A (No replacement required)"),
Error!$B$62,
IF(AND(_xlpm.baseRow,$E596&lt;&gt;"",ISNA(MATCH($E596,Tables!$B$225:$B$232,0))),
Error!$B$2,
IF(AND(_xlpm.baseRow,$F596&lt;&gt;"",ISNA(MATCH($F596,Tables!$B$234:$B$235,0))),
Error!$B$24,
IF(AND(_xlpm.baseRow,_xlpm.ECA_H&gt;0,_xlpm.Shore_H&gt;0),
Error!$B$16,
IF(AND(_xlpm.baseRow,$E596&lt;&gt;"",$D596=""),
Error!$B$3,
IF(AND(_xlpm.baseRow,OR($E596="Tier 3",$E596="Tier 4"),$C596&lt;&gt;"",$D596&gt;=24,COUNTIF(Tables2!$B$166:$B$674,$C596)&gt;0),
Error!$B$44,
IF(AND(_xlpm.baseRow,OR($E596="Tier 3",$E596="Tier 4"),$C596&lt;&gt;"",$D596&lt;&gt;"",COUNTIF(Tables2!$B$73:$B$152,$C596)&gt;0,
$D596&gt;=IFERROR(INDEX(Tables2!$C$73:$C$152,MATCH($C596,Tables2!$B$73:$B$152,0)),-1)),
Error!$B$44,
IF(AND(_xlpm.baseRow,OR($E596="Tier 2",$E596="Tier 2 Grove"),$C596&lt;&gt;"",$D596&gt;=12,COUNTIF(Tables2!$B$153:$B$162,$C596)&gt;0),
Error!$B$45,
IF(AND(_xlpm.baseRow,$E596="Tier 2 Grove",$D596&lt;12),
Error!$B$41,
IF(AND(_xlpm.baseRow,$E596="Tier 2",$D596&lt;5.88),
Error!$B$40,
IF(AND(_xlpm.baseRow,OR($E596="Tier 2",$E596="Tier 2 Grove"),$C596&lt;&gt;"",$D596&lt;12,$D596&gt;=6,COUNTIF(Tables2!$B$153:$B$162,$C596)&gt;0),
Error!$B$54,
IF(AND(_xlpm.baseRow,$E596="Tier 2",COUNTIF(Tables2!$B$166:$B$674,$C596)&gt;0,$D596&lt;24),
Error!$B$54,
IF(AND(_xlpm.baseRow,$E596="Tier 3",ISNA(MATCH($C596,Tables2!$B$153:$B$162,0)),OR($D596&lt;12,$D596&gt;=24)),
Error!$B$9,
IF(AND(_xlpm.baseRow,$E596="Tier 3",COUNTIF(Tables2!$B$153:$B$162,$C596)&gt;0,$D596&lt;12),
Error!$B$46,
IF(AND(_xlpm.baseRow,$E596="Tier 4",OR($D596&lt;6,$D596&gt;=12)),
Error!$B$10,
IF(AND(_xlpm.baseRow,$E596="&lt;6in DSH for Tree Points",OR($D596&gt;=6,$D596="")),
Error!$B$8,
IF(AND(_xlpm.baseRow,$E596="Street Tree for Green Factor",$F596&lt;&gt;"",$F596&lt;&gt;"Retain"),
Error!$B$14,
IF(AND($E596="&lt;6in DSH for Tree Points",$F596="Retain",$H596&lt;&gt;"",ISNA(MATCH($H596,Tables!$B$174:$B$174,0))),
Error!$B$15,
IF(AND($E596="Street Tree for Green Factor",$F596="Retain",$H596&lt;&gt;"",$H596&lt;&gt;"Zoning: Green Factor"),
Error!$B$15,
IF(AND($E596="ECA / Shoreline Tree",$F596="Remove",$H596&lt;&gt;"",ISNA(MATCH($H596,Tables!$B$189:$B$190,0))),
Error!$B$15,
IF(AND($E596="ECA / Shoreline Tree",$F596="Retain",$H596&lt;&gt;"",ISNA(MATCH($H596,Tables!$B$184:$B$186,0))),
Error!$B$15,
IF(AND($E596="Tier 4",$F596="Remove",$H596&lt;&gt;"",ISNA(MATCH($H596,Tables!$B$171,0))),
Error!$B$15,
IF(AND($E596="Tier 4",$F596="Retain",$H596&lt;&gt;"",ISNA(MATCH($H596,Tables!$B$166:$B$168,0))),
Error!$B$15,
IF(AND($E596="Tier 3",$F596="Retain",$H596&lt;&gt;"",ISNA(MATCH($H596,Tables!$B$158:$B$160,0))),
Error!$B$15,
IF(AND($E596="Tier 3",$F596="Remove",$H596&lt;&gt;"",ISNA(MATCH($H596,Tables!$B$163,0))),
Error!$B$15,
IF(AND(OR($E596="Tier 2",$E596="Tier 2 Grove"),$F596="Remove",$H596&lt;&gt;"",ISNA(MATCH($H596,Tables!$B$153:$B$155,0))),
Error!$B$15,
IF(AND(OR($E596="Tier 2",$E596="Tier 2 Grove"),$F596="Retain",$H596&lt;&gt;"",ISNA(MATCH($H596,Tables!$B$147:$B$150,0))),
Error!$B$15,
IF(AND($E596="Tier 1",$F596="Remove",$H596&lt;&gt;"",ISNA(MATCH($H596,Tables!$B$143:$B$144,0))),
Error!$B$15,
IF(AND($E596="Tier 1",$F596="Retain",$H596&lt;&gt;"",ISNA(MATCH($H596,Tables!$B$137:$B$140,0))),
Error!$B$15,
IF(AND($E596&lt;&gt;"Tier 2",$E596&lt;&gt;"Tier 2 Grove",$E596&lt;&gt;"Tier 3",$E596&lt;&gt;"Tier 4",$H596="Zoning: Green Factor",OR($D596="",$D596&lt;6)),
Error!$B$11,
IF(AND(_xlpm.baseRow,$D596&lt;6,$E596="&lt;6in DSH for Tree Points",_xlpm.TreePoints_H=0),
Error!$B$21,
IF(AND(_xlpm.baseRow,$E596&lt;&gt;"",$D596&lt;&gt;"",$F596=""),
Error!$B$4,
IF(AND(_xlpm.baseRow,$F596="Remove",OR($E596="Tier 1",$E596="Tier 2",$E596="Tier 2 Grove"),COUNTBLANK(_xlpm.HRange)&lt;3,_xlpm.uniqueH&gt;=2),
Error!$B$48,
IF(AND(_xlpm.baseRow,$F596="Retain",OR($E596="Tier 1",$E596="Tier 2",$E596="Tier 2 Grove"),COUNTIF(_xlpm.HRange,"Tree Code: Required to Retain Tier 1-2 Tree")=0),
Error!$B$47,
IF(AND(_xlpm.baseRow,$E596&lt;&gt;"",$D596&lt;&gt;"",$F596&lt;&gt;"",COUNTBLANK(_xlpm.HRange)=4),
Error!$B$5,
IF(AND($F596="Remove",$H596&lt;&gt;"",$I596=""),
Error!$B$18,
IF(AND($E596="Tier 4",$F596="Remove",$H596="Tree Protection Code: Tier 3 or Tier 4 Allowance",$H596&lt;&gt;"",ISNA(MATCH($I596,Tables!$B$200,0))),
Error!$B$17,
IF(AND($E596="Tier 3",$F596="Remove",$H596&lt;&gt;"",$H596="Tree Protection Code: Tier 3 or Tier 4 Allowance",OR($I596="",ISNA(MATCH($I596,Tables!$B$193:$B$197,0)))),
Error!$B$17,
IF(AND(OR($E596="Tier 2",$E596="Tier 2 Grove"),$F596="Remove",$H596="Tree Protection Code: Other removal allowance or exemption",$I596&lt;&gt;"",ISNA(MATCH($I596,Tables!$B$215:$B$218,0))),
Error!$B$17,
IF(AND(OR($E596="Tier 2",$E596="Tier 2 Grove"),$F596="Remove",$H596="Tree Protection Code: Development Capacity",$I596&lt;&gt;"",ISNA(MATCH($I596,Tables!$B$193:$B$197,0))),
Error!$B$17,
IF(AND(OR($E596="Tier 2",$E596="Tier 2 Grove"),$F596="Remove",$H596="Tree Protection Code: Necessary for Construction",$I596&lt;&gt;"",ISNA(MATCH($I596,Tables!$B$193:$B$197,0))),
Error!$B$17,
IF(AND($E596="Tier 1",$F596="Remove",$H596="Tree Protection Code: Special Exception",$I596&lt;&gt;"",ISNA(MATCH($I596,Tables!$B$215:$B$218,0))),
Error!$B$17,
IF(AND($E596="Tier 1",$F596="Remove",$H596="Tree Protection Code: Other removal allowance or exemption",$I596&lt;&gt;"",ISNA(MATCH($I596,Tables!$B$215:$B$218,0))),
Error!$B$17,
IF(AND($E596="ECA / Shoreline Tree",$F596="Remove",$H596&lt;&gt;"",OR($H596="Shoreline",$H596="Environmental Critical Area (ECA)"),ISNA(MATCH($I596,Tables!$B$209:$B$212,0))),
Error!$B$17,
IF(AND(_xlpm.baseRow,$F596="Retain",$E596="ECA / Shoreline Tree",_xlpm.ECA_Short=0),
Error!$B$61,
IF(AND($F596="Remove",ISNUMBER(MATCH($E596,{"Tier 1","Tier 2","Tier 3","Tier 4","Tier 2 Grove"},0)),ISNUMBER(MATCH($I596,{"On-site replacement","Off-site replacement"},0)),$J596="",$H596&lt;&gt;""),
Error!$B$19,
IF(AND(_xlpm.baseRow,$E596&lt;&gt;"",$D596&lt;&gt;"",$F596&lt;&gt;"",COUNTBLANK($B596:$C596)&gt;0,COUNTBLANK(_xlpm.HRange)&lt;&gt;4),
Error!$B$22,
IF(AND($H596="Zoning: Tree Points",$K596&lt;&gt;"",ISNA(MATCH($K596,Tables!$B$242:$B$253,0))),
Error!$B$58,
IF(AND($H596="Zoning: Tree Points",$K596="Small",$L596&lt;&gt;"",ISNA(MATCH($L596,Tables!$C$243:$C$244,0))),
Error!$B$59,
IF(AND($H596="Zoning: Tree Points",$K596="Small/Medium",$L596&lt;&gt;"",ISNA(MATCH($L596,Tables!$C$246:$C$247,0))),
Error!$B$59,
IF(AND($H596="Zoning: Tree Points",$K596="Medium/Large",$L596&lt;&gt;"",ISNA(MATCH($L596,Tables!$C$249:$C$250,0))),
Error!$B$59,
IF(AND($H596="Zoning: Tree Points",$K596="Large",$L596&lt;&gt;"",ISNA(MATCH($L596,Tables!$C$252:$C$253,0))),
Error!$B$59,
IF(AND($F596="Retain",$H596="Zoning: Tree Points",$C596&lt;&gt;"",$D596&lt;&gt;"",OR($K596="",$L596="",$M596="")),
Error!$B$20,
""
)))))))))))))))))))))))))))))))))))))))))))))))))))))))),
Error!$B$23))</f>
        <v/>
      </c>
      <c r="O596" s="343" t="str" cm="1">
        <f t="array" aca="1" ref="O596" ca="1">IFERROR(_xlfn.LET(
    _xlpm.txt, $C596,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97" spans="1:15" x14ac:dyDescent="0.3">
      <c r="A597" s="320"/>
      <c r="B597" s="616" t="str">
        <f t="shared" si="695"/>
        <v/>
      </c>
      <c r="C597" s="617" t="str">
        <f t="shared" si="696"/>
        <v/>
      </c>
      <c r="D597" s="618" t="str">
        <f t="shared" si="697"/>
        <v/>
      </c>
      <c r="E597" s="616" t="str">
        <f t="shared" si="698"/>
        <v/>
      </c>
      <c r="F597" s="616" t="str">
        <f t="shared" si="699"/>
        <v/>
      </c>
      <c r="G597" s="619" t="str">
        <f>IF(Tree_Table1[[#This Row],[Tree Status  &amp;]]="Retain", Tables!$B$237, IF(Tree_Table1[[#This Row],[Tree Status  &amp;]]="Remove", Tables!$B$238, ""))</f>
        <v/>
      </c>
      <c r="H597" s="321"/>
      <c r="I597" s="322"/>
      <c r="J597" s="453"/>
      <c r="K597" s="323" t="str">
        <f>IFERROR(
    IF(
        AND($H597="Zoning: Tree Points", NOT(ISNUMBER(SEARCH("sp.", $C597)))),
        VLOOKUP($C597, 'Tree List'!$C$3:$F$601, 4, FALSE),
        ""
    ),
"")</f>
        <v/>
      </c>
      <c r="L597" s="324" t="str" cm="1">
        <f t="array" ref="L597">IFERROR(
IF(
    AND($H597="Zoning: Tree Points", NOT(ISNUMBER(SEARCH("sp.", $C597)))),
    _xlfn.IFS(
        (COUNTIFS('Tree List'!$C$3:$C$601,$C597,'Tree List'!$D$3:$D$601,"Coniferous")
        + COUNTIFS('Tree List'!$C$3:$C$601,$C597,'Tree List'!$D$3:$D$601,"Deciduous Conifer")) &gt; 0,
            _xlfn.IFS($K597="Small",0.5,$K597="Small/Medium",1,$K597="Medium/Large",1.4,$K597="Large",1.8),
        (COUNTIFS('Tree List'!$C$3:$C$601,$C597,'Tree List'!$D$3:$D$601,"Deciduous")
        + COUNTIFS('Tree List'!$C$3:$C$601,$C597,'Tree List'!$D$3:$D$601,"Broadleaf Evergreen")) &gt; 0,
            _xlfn.IFS($K597="Small",0.4,$K597="Small/Medium",0.8,$K597="Medium/Large",1.2,$K597="Large",1.6)
    ),
    ""
),
"")</f>
        <v/>
      </c>
      <c r="M597" s="475" t="str">
        <f t="shared" si="654"/>
        <v/>
      </c>
      <c r="N597" s="346" t="str" cm="1">
        <f t="array" aca="1" ref="N59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IF(AND(_xlpm.baseRow,ISNA(MATCH($C597,'Tree List'!$C$3:$C$601,0)),SUMPRODUCT(--ISNUMBER(SEARCH(Tables2!$C$677:$C$772,$O597)))&gt;0),
Error!$B$57,
IF(AND(_xlpm.hasDM,$F597="Remove",$H597&lt;&gt;"",OR($I597="On-site replacement",$I597="Off-site replacement",$I597="Payment In Lieu")),
Error!$B$56,
IF(AND(_xlpm.hasDM,$F597="Remove",$H597&lt;&gt;"",$I597="Relocation"),
Error!$B$66,
IF(AND(OR(_xlpm.hasCN,_xlpm.hasPH,_xlpm.hasGR),$H597&lt;&gt;"",COUNTIF(Tables!$B$132:$B$134,$H597)&gt;0,$I597="N/A (No replacement required)"),
Error!$B$62,
IF(AND(_xlpm.baseRow,$E597&lt;&gt;"",ISNA(MATCH($E597,Tables!$B$225:$B$232,0))),
Error!$B$2,
IF(AND(_xlpm.baseRow,$F597&lt;&gt;"",ISNA(MATCH($F597,Tables!$B$234:$B$235,0))),
Error!$B$24,
IF(AND(_xlpm.baseRow,_xlpm.ECA_H&gt;0,_xlpm.Shore_H&gt;0),
Error!$B$16,
IF(AND(_xlpm.baseRow,$E597&lt;&gt;"",$D597=""),
Error!$B$3,
IF(AND(_xlpm.baseRow,OR($E597="Tier 3",$E597="Tier 4"),$C597&lt;&gt;"",$D597&gt;=24,COUNTIF(Tables2!$B$166:$B$674,$C597)&gt;0),
Error!$B$44,
IF(AND(_xlpm.baseRow,OR($E597="Tier 3",$E597="Tier 4"),$C597&lt;&gt;"",$D597&lt;&gt;"",COUNTIF(Tables2!$B$73:$B$152,$C597)&gt;0,
$D597&gt;=IFERROR(INDEX(Tables2!$C$73:$C$152,MATCH($C597,Tables2!$B$73:$B$152,0)),-1)),
Error!$B$44,
IF(AND(_xlpm.baseRow,OR($E597="Tier 2",$E597="Tier 2 Grove"),$C597&lt;&gt;"",$D597&gt;=12,COUNTIF(Tables2!$B$153:$B$162,$C597)&gt;0),
Error!$B$45,
IF(AND(_xlpm.baseRow,$E597="Tier 2 Grove",$D597&lt;12),
Error!$B$41,
IF(AND(_xlpm.baseRow,$E597="Tier 2",$D597&lt;5.88),
Error!$B$40,
IF(AND(_xlpm.baseRow,OR($E597="Tier 2",$E597="Tier 2 Grove"),$C597&lt;&gt;"",$D597&lt;12,$D597&gt;=6,COUNTIF(Tables2!$B$153:$B$162,$C597)&gt;0),
Error!$B$54,
IF(AND(_xlpm.baseRow,$E597="Tier 2",COUNTIF(Tables2!$B$166:$B$674,$C597)&gt;0,$D597&lt;24),
Error!$B$54,
IF(AND(_xlpm.baseRow,$E597="Tier 3",ISNA(MATCH($C597,Tables2!$B$153:$B$162,0)),OR($D597&lt;12,$D597&gt;=24)),
Error!$B$9,
IF(AND(_xlpm.baseRow,$E597="Tier 3",COUNTIF(Tables2!$B$153:$B$162,$C597)&gt;0,$D597&lt;12),
Error!$B$46,
IF(AND(_xlpm.baseRow,$E597="Tier 4",OR($D597&lt;6,$D597&gt;=12)),
Error!$B$10,
IF(AND(_xlpm.baseRow,$E597="&lt;6in DSH for Tree Points",OR($D597&gt;=6,$D597="")),
Error!$B$8,
IF(AND(_xlpm.baseRow,$E597="Street Tree for Green Factor",$F597&lt;&gt;"",$F597&lt;&gt;"Retain"),
Error!$B$14,
IF(AND($E597="&lt;6in DSH for Tree Points",$F597="Retain",$H597&lt;&gt;"",ISNA(MATCH($H597,Tables!$B$174:$B$174,0))),
Error!$B$15,
IF(AND($E597="Street Tree for Green Factor",$F597="Retain",$H597&lt;&gt;"",$H597&lt;&gt;"Zoning: Green Factor"),
Error!$B$15,
IF(AND($E597="ECA / Shoreline Tree",$F597="Remove",$H597&lt;&gt;"",ISNA(MATCH($H597,Tables!$B$189:$B$190,0))),
Error!$B$15,
IF(AND($E597="ECA / Shoreline Tree",$F597="Retain",$H597&lt;&gt;"",ISNA(MATCH($H597,Tables!$B$184:$B$186,0))),
Error!$B$15,
IF(AND($E597="Tier 4",$F597="Remove",$H597&lt;&gt;"",ISNA(MATCH($H597,Tables!$B$171,0))),
Error!$B$15,
IF(AND($E597="Tier 4",$F597="Retain",$H597&lt;&gt;"",ISNA(MATCH($H597,Tables!$B$166:$B$168,0))),
Error!$B$15,
IF(AND($E597="Tier 3",$F597="Retain",$H597&lt;&gt;"",ISNA(MATCH($H597,Tables!$B$158:$B$160,0))),
Error!$B$15,
IF(AND($E597="Tier 3",$F597="Remove",$H597&lt;&gt;"",ISNA(MATCH($H597,Tables!$B$163,0))),
Error!$B$15,
IF(AND(OR($E597="Tier 2",$E597="Tier 2 Grove"),$F597="Remove",$H597&lt;&gt;"",ISNA(MATCH($H597,Tables!$B$153:$B$155,0))),
Error!$B$15,
IF(AND(OR($E597="Tier 2",$E597="Tier 2 Grove"),$F597="Retain",$H597&lt;&gt;"",ISNA(MATCH($H597,Tables!$B$147:$B$150,0))),
Error!$B$15,
IF(AND($E597="Tier 1",$F597="Remove",$H597&lt;&gt;"",ISNA(MATCH($H597,Tables!$B$143:$B$144,0))),
Error!$B$15,
IF(AND($E597="Tier 1",$F597="Retain",$H597&lt;&gt;"",ISNA(MATCH($H597,Tables!$B$137:$B$140,0))),
Error!$B$15,
IF(AND($E597&lt;&gt;"Tier 2",$E597&lt;&gt;"Tier 2 Grove",$E597&lt;&gt;"Tier 3",$E597&lt;&gt;"Tier 4",$H597="Zoning: Green Factor",OR($D597="",$D597&lt;6)),
Error!$B$11,
IF(AND(_xlpm.baseRow,$D597&lt;6,$E597="&lt;6in DSH for Tree Points",_xlpm.TreePoints_H=0),
Error!$B$21,
IF(AND(_xlpm.baseRow,$E597&lt;&gt;"",$D597&lt;&gt;"",$F597=""),
Error!$B$4,
IF(AND(_xlpm.baseRow,$F597="Remove",OR($E597="Tier 1",$E597="Tier 2",$E597="Tier 2 Grove"),COUNTBLANK(_xlpm.HRange)&lt;3,_xlpm.uniqueH&gt;=2),
Error!$B$48,
IF(AND(_xlpm.baseRow,$F597="Retain",OR($E597="Tier 1",$E597="Tier 2",$E597="Tier 2 Grove"),COUNTIF(_xlpm.HRange,"Tree Code: Required to Retain Tier 1-2 Tree")=0),
Error!$B$47,
IF(AND(_xlpm.baseRow,$E597&lt;&gt;"",$D597&lt;&gt;"",$F597&lt;&gt;"",COUNTBLANK(_xlpm.HRange)=4),
Error!$B$5,
IF(AND($F597="Remove",$H597&lt;&gt;"",$I597=""),
Error!$B$18,
IF(AND($E597="Tier 4",$F597="Remove",$H597="Tree Protection Code: Tier 3 or Tier 4 Allowance",$H597&lt;&gt;"",ISNA(MATCH($I597,Tables!$B$200,0))),
Error!$B$17,
IF(AND($E597="Tier 3",$F597="Remove",$H597&lt;&gt;"",$H597="Tree Protection Code: Tier 3 or Tier 4 Allowance",OR($I597="",ISNA(MATCH($I597,Tables!$B$193:$B$197,0)))),
Error!$B$17,
IF(AND(OR($E597="Tier 2",$E597="Tier 2 Grove"),$F597="Remove",$H597="Tree Protection Code: Other removal allowance or exemption",$I597&lt;&gt;"",ISNA(MATCH($I597,Tables!$B$215:$B$218,0))),
Error!$B$17,
IF(AND(OR($E597="Tier 2",$E597="Tier 2 Grove"),$F597="Remove",$H597="Tree Protection Code: Development Capacity",$I597&lt;&gt;"",ISNA(MATCH($I597,Tables!$B$193:$B$197,0))),
Error!$B$17,
IF(AND(OR($E597="Tier 2",$E597="Tier 2 Grove"),$F597="Remove",$H597="Tree Protection Code: Necessary for Construction",$I597&lt;&gt;"",ISNA(MATCH($I597,Tables!$B$193:$B$197,0))),
Error!$B$17,
IF(AND($E597="Tier 1",$F597="Remove",$H597="Tree Protection Code: Special Exception",$I597&lt;&gt;"",ISNA(MATCH($I597,Tables!$B$215:$B$218,0))),
Error!$B$17,
IF(AND($E597="Tier 1",$F597="Remove",$H597="Tree Protection Code: Other removal allowance or exemption",$I597&lt;&gt;"",ISNA(MATCH($I597,Tables!$B$215:$B$218,0))),
Error!$B$17,
IF(AND($E597="ECA / Shoreline Tree",$F597="Remove",$H597&lt;&gt;"",OR($H597="Shoreline",$H597="Environmental Critical Area (ECA)"),ISNA(MATCH($I597,Tables!$B$209:$B$212,0))),
Error!$B$17,
IF(AND(_xlpm.baseRow,$F597="Retain",$E597="ECA / Shoreline Tree",_xlpm.ECA_Short=0),
Error!$B$61,
IF(AND($F597="Remove",ISNUMBER(MATCH($E597,{"Tier 1","Tier 2","Tier 3","Tier 4","Tier 2 Grove"},0)),ISNUMBER(MATCH($I597,{"On-site replacement","Off-site replacement"},0)),$J597="",$H597&lt;&gt;""),
Error!$B$19,
IF(AND(_xlpm.baseRow,$E597&lt;&gt;"",$D597&lt;&gt;"",$F597&lt;&gt;"",COUNTBLANK($B597:$C597)&gt;0,COUNTBLANK(_xlpm.HRange)&lt;&gt;4),
Error!$B$22,
IF(AND($H597="Zoning: Tree Points",$K597&lt;&gt;"",ISNA(MATCH($K597,Tables!$B$242:$B$253,0))),
Error!$B$58,
IF(AND($H597="Zoning: Tree Points",$K597="Small",$L597&lt;&gt;"",ISNA(MATCH($L597,Tables!$C$243:$C$244,0))),
Error!$B$59,
IF(AND($H597="Zoning: Tree Points",$K597="Small/Medium",$L597&lt;&gt;"",ISNA(MATCH($L597,Tables!$C$246:$C$247,0))),
Error!$B$59,
IF(AND($H597="Zoning: Tree Points",$K597="Medium/Large",$L597&lt;&gt;"",ISNA(MATCH($L597,Tables!$C$249:$C$250,0))),
Error!$B$59,
IF(AND($H597="Zoning: Tree Points",$K597="Large",$L597&lt;&gt;"",ISNA(MATCH($L597,Tables!$C$252:$C$253,0))),
Error!$B$59,
IF(AND($F597="Retain",$H597="Zoning: Tree Points",$C597&lt;&gt;"",$D597&lt;&gt;"",OR($K597="",$L597="",$M597="")),
Error!$B$20,
""
)))))))))))))))))))))))))))))))))))))))))))))))))))))))),
Error!$B$23))</f>
        <v/>
      </c>
      <c r="O597" s="343" t="str" cm="1">
        <f t="array" aca="1" ref="O597" ca="1">IFERROR(_xlfn.LET(
    _xlpm.txt, $C597,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98" spans="1:15" ht="15" thickBot="1" x14ac:dyDescent="0.35">
      <c r="A598" s="331"/>
      <c r="B598" s="616" t="str">
        <f t="shared" si="695"/>
        <v/>
      </c>
      <c r="C598" s="617" t="str">
        <f t="shared" si="696"/>
        <v/>
      </c>
      <c r="D598" s="618" t="str">
        <f t="shared" si="697"/>
        <v/>
      </c>
      <c r="E598" s="616" t="str">
        <f t="shared" si="698"/>
        <v/>
      </c>
      <c r="F598" s="616" t="str">
        <f t="shared" si="699"/>
        <v/>
      </c>
      <c r="G598" s="619" t="str">
        <f>IF(Tree_Table1[[#This Row],[Tree Status  &amp;]]="Retain", Tables!$B$237, IF(Tree_Table1[[#This Row],[Tree Status  &amp;]]="Remove", Tables!$B$238, ""))</f>
        <v/>
      </c>
      <c r="H598" s="329"/>
      <c r="I598" s="330"/>
      <c r="J598" s="455"/>
      <c r="K598" s="327" t="str">
        <f>IFERROR(
    IF(
        AND($H598="Zoning: Tree Points", NOT(ISNUMBER(SEARCH("sp.", $C598)))),
        VLOOKUP($C598, 'Tree List'!$C$3:$F$601, 4, FALSE),
        ""
    ),
"")</f>
        <v/>
      </c>
      <c r="L598" s="328" t="str" cm="1">
        <f t="array" ref="L598">IFERROR(
IF(
    AND($H598="Zoning: Tree Points", NOT(ISNUMBER(SEARCH("sp.", $C598)))),
    _xlfn.IFS(
        (COUNTIFS('Tree List'!$C$3:$C$601,$C598,'Tree List'!$D$3:$D$601,"Coniferous")
        + COUNTIFS('Tree List'!$C$3:$C$601,$C598,'Tree List'!$D$3:$D$601,"Deciduous Conifer")) &gt; 0,
            _xlfn.IFS($K598="Small",0.5,$K598="Small/Medium",1,$K598="Medium/Large",1.4,$K598="Large",1.8),
        (COUNTIFS('Tree List'!$C$3:$C$601,$C598,'Tree List'!$D$3:$D$601,"Deciduous")
        + COUNTIFS('Tree List'!$C$3:$C$601,$C598,'Tree List'!$D$3:$D$601,"Broadleaf Evergreen")) &gt; 0,
            _xlfn.IFS($K598="Small",0.4,$K598="Small/Medium",0.8,$K598="Medium/Large",1.2,$K598="Large",1.6)
    ),
    ""
),
"")</f>
        <v/>
      </c>
      <c r="M598" s="476" t="str">
        <f t="shared" si="654"/>
        <v/>
      </c>
      <c r="N598" s="347" t="str" cm="1">
        <f t="array" aca="1" ref="N59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IF(AND(_xlpm.baseRow,ISNA(MATCH($C598,'Tree List'!$C$3:$C$601,0)),SUMPRODUCT(--ISNUMBER(SEARCH(Tables2!$C$677:$C$772,$O598)))&gt;0),
Error!$B$57,
IF(AND(_xlpm.hasDM,$F598="Remove",$H598&lt;&gt;"",OR($I598="On-site replacement",$I598="Off-site replacement",$I598="Payment In Lieu")),
Error!$B$56,
IF(AND(_xlpm.hasDM,$F598="Remove",$H598&lt;&gt;"",$I598="Relocation"),
Error!$B$66,
IF(AND(OR(_xlpm.hasCN,_xlpm.hasPH,_xlpm.hasGR),$H598&lt;&gt;"",COUNTIF(Tables!$B$132:$B$134,$H598)&gt;0,$I598="N/A (No replacement required)"),
Error!$B$62,
IF(AND(_xlpm.baseRow,$E598&lt;&gt;"",ISNA(MATCH($E598,Tables!$B$225:$B$232,0))),
Error!$B$2,
IF(AND(_xlpm.baseRow,$F598&lt;&gt;"",ISNA(MATCH($F598,Tables!$B$234:$B$235,0))),
Error!$B$24,
IF(AND(_xlpm.baseRow,_xlpm.ECA_H&gt;0,_xlpm.Shore_H&gt;0),
Error!$B$16,
IF(AND(_xlpm.baseRow,$E598&lt;&gt;"",$D598=""),
Error!$B$3,
IF(AND(_xlpm.baseRow,OR($E598="Tier 3",$E598="Tier 4"),$C598&lt;&gt;"",$D598&gt;=24,COUNTIF(Tables2!$B$166:$B$674,$C598)&gt;0),
Error!$B$44,
IF(AND(_xlpm.baseRow,OR($E598="Tier 3",$E598="Tier 4"),$C598&lt;&gt;"",$D598&lt;&gt;"",COUNTIF(Tables2!$B$73:$B$152,$C598)&gt;0,
$D598&gt;=IFERROR(INDEX(Tables2!$C$73:$C$152,MATCH($C598,Tables2!$B$73:$B$152,0)),-1)),
Error!$B$44,
IF(AND(_xlpm.baseRow,OR($E598="Tier 2",$E598="Tier 2 Grove"),$C598&lt;&gt;"",$D598&gt;=12,COUNTIF(Tables2!$B$153:$B$162,$C598)&gt;0),
Error!$B$45,
IF(AND(_xlpm.baseRow,$E598="Tier 2 Grove",$D598&lt;12),
Error!$B$41,
IF(AND(_xlpm.baseRow,$E598="Tier 2",$D598&lt;5.88),
Error!$B$40,
IF(AND(_xlpm.baseRow,OR($E598="Tier 2",$E598="Tier 2 Grove"),$C598&lt;&gt;"",$D598&lt;12,$D598&gt;=6,COUNTIF(Tables2!$B$153:$B$162,$C598)&gt;0),
Error!$B$54,
IF(AND(_xlpm.baseRow,$E598="Tier 2",COUNTIF(Tables2!$B$166:$B$674,$C598)&gt;0,$D598&lt;24),
Error!$B$54,
IF(AND(_xlpm.baseRow,$E598="Tier 3",ISNA(MATCH($C598,Tables2!$B$153:$B$162,0)),OR($D598&lt;12,$D598&gt;=24)),
Error!$B$9,
IF(AND(_xlpm.baseRow,$E598="Tier 3",COUNTIF(Tables2!$B$153:$B$162,$C598)&gt;0,$D598&lt;12),
Error!$B$46,
IF(AND(_xlpm.baseRow,$E598="Tier 4",OR($D598&lt;6,$D598&gt;=12)),
Error!$B$10,
IF(AND(_xlpm.baseRow,$E598="&lt;6in DSH for Tree Points",OR($D598&gt;=6,$D598="")),
Error!$B$8,
IF(AND(_xlpm.baseRow,$E598="Street Tree for Green Factor",$F598&lt;&gt;"",$F598&lt;&gt;"Retain"),
Error!$B$14,
IF(AND($E598="&lt;6in DSH for Tree Points",$F598="Retain",$H598&lt;&gt;"",ISNA(MATCH($H598,Tables!$B$174:$B$174,0))),
Error!$B$15,
IF(AND($E598="Street Tree for Green Factor",$F598="Retain",$H598&lt;&gt;"",$H598&lt;&gt;"Zoning: Green Factor"),
Error!$B$15,
IF(AND($E598="ECA / Shoreline Tree",$F598="Remove",$H598&lt;&gt;"",ISNA(MATCH($H598,Tables!$B$189:$B$190,0))),
Error!$B$15,
IF(AND($E598="ECA / Shoreline Tree",$F598="Retain",$H598&lt;&gt;"",ISNA(MATCH($H598,Tables!$B$184:$B$186,0))),
Error!$B$15,
IF(AND($E598="Tier 4",$F598="Remove",$H598&lt;&gt;"",ISNA(MATCH($H598,Tables!$B$171,0))),
Error!$B$15,
IF(AND($E598="Tier 4",$F598="Retain",$H598&lt;&gt;"",ISNA(MATCH($H598,Tables!$B$166:$B$168,0))),
Error!$B$15,
IF(AND($E598="Tier 3",$F598="Retain",$H598&lt;&gt;"",ISNA(MATCH($H598,Tables!$B$158:$B$160,0))),
Error!$B$15,
IF(AND($E598="Tier 3",$F598="Remove",$H598&lt;&gt;"",ISNA(MATCH($H598,Tables!$B$163,0))),
Error!$B$15,
IF(AND(OR($E598="Tier 2",$E598="Tier 2 Grove"),$F598="Remove",$H598&lt;&gt;"",ISNA(MATCH($H598,Tables!$B$153:$B$155,0))),
Error!$B$15,
IF(AND(OR($E598="Tier 2",$E598="Tier 2 Grove"),$F598="Retain",$H598&lt;&gt;"",ISNA(MATCH($H598,Tables!$B$147:$B$150,0))),
Error!$B$15,
IF(AND($E598="Tier 1",$F598="Remove",$H598&lt;&gt;"",ISNA(MATCH($H598,Tables!$B$143:$B$144,0))),
Error!$B$15,
IF(AND($E598="Tier 1",$F598="Retain",$H598&lt;&gt;"",ISNA(MATCH($H598,Tables!$B$137:$B$140,0))),
Error!$B$15,
IF(AND($E598&lt;&gt;"Tier 2",$E598&lt;&gt;"Tier 2 Grove",$E598&lt;&gt;"Tier 3",$E598&lt;&gt;"Tier 4",$H598="Zoning: Green Factor",OR($D598="",$D598&lt;6)),
Error!$B$11,
IF(AND(_xlpm.baseRow,$D598&lt;6,$E598="&lt;6in DSH for Tree Points",_xlpm.TreePoints_H=0),
Error!$B$21,
IF(AND(_xlpm.baseRow,$E598&lt;&gt;"",$D598&lt;&gt;"",$F598=""),
Error!$B$4,
IF(AND(_xlpm.baseRow,$F598="Remove",OR($E598="Tier 1",$E598="Tier 2",$E598="Tier 2 Grove"),COUNTBLANK(_xlpm.HRange)&lt;3,_xlpm.uniqueH&gt;=2),
Error!$B$48,
IF(AND(_xlpm.baseRow,$F598="Retain",OR($E598="Tier 1",$E598="Tier 2",$E598="Tier 2 Grove"),COUNTIF(_xlpm.HRange,"Tree Code: Required to Retain Tier 1-2 Tree")=0),
Error!$B$47,
IF(AND(_xlpm.baseRow,$E598&lt;&gt;"",$D598&lt;&gt;"",$F598&lt;&gt;"",COUNTBLANK(_xlpm.HRange)=4),
Error!$B$5,
IF(AND($F598="Remove",$H598&lt;&gt;"",$I598=""),
Error!$B$18,
IF(AND($E598="Tier 4",$F598="Remove",$H598="Tree Protection Code: Tier 3 or Tier 4 Allowance",$H598&lt;&gt;"",ISNA(MATCH($I598,Tables!$B$200,0))),
Error!$B$17,
IF(AND($E598="Tier 3",$F598="Remove",$H598&lt;&gt;"",$H598="Tree Protection Code: Tier 3 or Tier 4 Allowance",OR($I598="",ISNA(MATCH($I598,Tables!$B$193:$B$197,0)))),
Error!$B$17,
IF(AND(OR($E598="Tier 2",$E598="Tier 2 Grove"),$F598="Remove",$H598="Tree Protection Code: Other removal allowance or exemption",$I598&lt;&gt;"",ISNA(MATCH($I598,Tables!$B$215:$B$218,0))),
Error!$B$17,
IF(AND(OR($E598="Tier 2",$E598="Tier 2 Grove"),$F598="Remove",$H598="Tree Protection Code: Development Capacity",$I598&lt;&gt;"",ISNA(MATCH($I598,Tables!$B$193:$B$197,0))),
Error!$B$17,
IF(AND(OR($E598="Tier 2",$E598="Tier 2 Grove"),$F598="Remove",$H598="Tree Protection Code: Necessary for Construction",$I598&lt;&gt;"",ISNA(MATCH($I598,Tables!$B$193:$B$197,0))),
Error!$B$17,
IF(AND($E598="Tier 1",$F598="Remove",$H598="Tree Protection Code: Special Exception",$I598&lt;&gt;"",ISNA(MATCH($I598,Tables!$B$215:$B$218,0))),
Error!$B$17,
IF(AND($E598="Tier 1",$F598="Remove",$H598="Tree Protection Code: Other removal allowance or exemption",$I598&lt;&gt;"",ISNA(MATCH($I598,Tables!$B$215:$B$218,0))),
Error!$B$17,
IF(AND($E598="ECA / Shoreline Tree",$F598="Remove",$H598&lt;&gt;"",OR($H598="Shoreline",$H598="Environmental Critical Area (ECA)"),ISNA(MATCH($I598,Tables!$B$209:$B$212,0))),
Error!$B$17,
IF(AND(_xlpm.baseRow,$F598="Retain",$E598="ECA / Shoreline Tree",_xlpm.ECA_Short=0),
Error!$B$61,
IF(AND($F598="Remove",ISNUMBER(MATCH($E598,{"Tier 1","Tier 2","Tier 3","Tier 4","Tier 2 Grove"},0)),ISNUMBER(MATCH($I598,{"On-site replacement","Off-site replacement"},0)),$J598="",$H598&lt;&gt;""),
Error!$B$19,
IF(AND(_xlpm.baseRow,$E598&lt;&gt;"",$D598&lt;&gt;"",$F598&lt;&gt;"",COUNTBLANK($B598:$C598)&gt;0,COUNTBLANK(_xlpm.HRange)&lt;&gt;4),
Error!$B$22,
IF(AND($H598="Zoning: Tree Points",$K598&lt;&gt;"",ISNA(MATCH($K598,Tables!$B$242:$B$253,0))),
Error!$B$58,
IF(AND($H598="Zoning: Tree Points",$K598="Small",$L598&lt;&gt;"",ISNA(MATCH($L598,Tables!$C$243:$C$244,0))),
Error!$B$59,
IF(AND($H598="Zoning: Tree Points",$K598="Small/Medium",$L598&lt;&gt;"",ISNA(MATCH($L598,Tables!$C$246:$C$247,0))),
Error!$B$59,
IF(AND($H598="Zoning: Tree Points",$K598="Medium/Large",$L598&lt;&gt;"",ISNA(MATCH($L598,Tables!$C$249:$C$250,0))),
Error!$B$59,
IF(AND($H598="Zoning: Tree Points",$K598="Large",$L598&lt;&gt;"",ISNA(MATCH($L598,Tables!$C$252:$C$253,0))),
Error!$B$59,
IF(AND($F598="Retain",$H598="Zoning: Tree Points",$C598&lt;&gt;"",$D598&lt;&gt;"",OR($K598="",$L598="",$M598="")),
Error!$B$20,
""
)))))))))))))))))))))))))))))))))))))))))))))))))))))))),
Error!$B$23))</f>
        <v/>
      </c>
      <c r="O598" s="343" t="str" cm="1">
        <f t="array" aca="1" ref="O598" ca="1">IFERROR(_xlfn.LET(
    _xlpm.txt, $C598,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99" spans="1:15" ht="15" thickBot="1" x14ac:dyDescent="0.35">
      <c r="A599" s="311">
        <v>148</v>
      </c>
      <c r="B599" s="312"/>
      <c r="C599" s="313"/>
      <c r="D599" s="478"/>
      <c r="E599" s="314"/>
      <c r="F599" s="314"/>
      <c r="G599" s="315" t="str">
        <f>IF(Tree_Table1[[#This Row],[Tree Status  &amp;]]="Retain", Tables!$B$237, IF(Tree_Table1[[#This Row],[Tree Status  &amp;]]="Remove", Tables!$B$238, ""))</f>
        <v/>
      </c>
      <c r="H599" s="316"/>
      <c r="I599" s="317"/>
      <c r="J599" s="452"/>
      <c r="K599" s="318" t="str">
        <f>IFERROR(
    IF(
        AND($H599="Zoning: Tree Points", NOT(ISNUMBER(SEARCH("sp.", $C599)))),
        VLOOKUP($C599, 'Tree List'!$C$3:$F$601, 4, FALSE),
        ""
    ),
"")</f>
        <v/>
      </c>
      <c r="L599" s="319" t="str" cm="1">
        <f t="array" ref="L599">IFERROR(
IF(
    AND($H599="Zoning: Tree Points", NOT(ISNUMBER(SEARCH("sp.", $C599)))),
    _xlfn.IFS(
        (COUNTIFS('Tree List'!$C$3:$C$601,$C599,'Tree List'!$D$3:$D$601,"Coniferous")
        + COUNTIFS('Tree List'!$C$3:$C$601,$C599,'Tree List'!$D$3:$D$601,"Deciduous Conifer")) &gt; 0,
            _xlfn.IFS($K599="Small",0.5,$K599="Small/Medium",1,$K599="Medium/Large",1.4,$K599="Large",1.8),
        (COUNTIFS('Tree List'!$C$3:$C$601,$C599,'Tree List'!$D$3:$D$601,"Deciduous")
        + COUNTIFS('Tree List'!$C$3:$C$601,$C599,'Tree List'!$D$3:$D$601,"Broadleaf Evergreen")) &gt; 0,
            _xlfn.IFS($K599="Small",0.4,$K599="Small/Medium",0.8,$K599="Medium/Large",1.2,$K599="Large",1.6)
    ),
    ""
),
"")</f>
        <v/>
      </c>
      <c r="M599" s="474" t="str">
        <f t="shared" si="654"/>
        <v/>
      </c>
      <c r="N599" s="620" t="str" cm="1">
        <f t="array" aca="1" ref="N59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IF(AND(_xlpm.baseRow,ISNA(MATCH($C599,'Tree List'!$C$3:$C$601,0)),SUMPRODUCT(--ISNUMBER(SEARCH(Tables2!$C$677:$C$772,$O599)))&gt;0),
Error!$B$57,
IF(AND(_xlpm.hasDM,$F599="Remove",$H599&lt;&gt;"",OR($I599="On-site replacement",$I599="Off-site replacement",$I599="Payment In Lieu")),
Error!$B$56,
IF(AND(_xlpm.hasDM,$F599="Remove",$H599&lt;&gt;"",$I599="Relocation"),
Error!$B$66,
IF(AND(OR(_xlpm.hasCN,_xlpm.hasPH,_xlpm.hasGR),$H599&lt;&gt;"",COUNTIF(Tables!$B$132:$B$134,$H599)&gt;0,$I599="N/A (No replacement required)"),
Error!$B$62,
IF(AND(_xlpm.baseRow,$E599&lt;&gt;"",ISNA(MATCH($E599,Tables!$B$225:$B$232,0))),
Error!$B$2,
IF(AND(_xlpm.baseRow,$F599&lt;&gt;"",ISNA(MATCH($F599,Tables!$B$234:$B$235,0))),
Error!$B$24,
IF(AND(_xlpm.baseRow,_xlpm.ECA_H&gt;0,_xlpm.Shore_H&gt;0),
Error!$B$16,
IF(AND(_xlpm.baseRow,$E599&lt;&gt;"",$D599=""),
Error!$B$3,
IF(AND(_xlpm.baseRow,OR($E599="Tier 3",$E599="Tier 4"),$C599&lt;&gt;"",$D599&gt;=24,COUNTIF(Tables2!$B$166:$B$674,$C599)&gt;0),
Error!$B$44,
IF(AND(_xlpm.baseRow,OR($E599="Tier 3",$E599="Tier 4"),$C599&lt;&gt;"",$D599&lt;&gt;"",COUNTIF(Tables2!$B$73:$B$152,$C599)&gt;0,
$D599&gt;=IFERROR(INDEX(Tables2!$C$73:$C$152,MATCH($C599,Tables2!$B$73:$B$152,0)),-1)),
Error!$B$44,
IF(AND(_xlpm.baseRow,OR($E599="Tier 2",$E599="Tier 2 Grove"),$C599&lt;&gt;"",$D599&gt;=12,COUNTIF(Tables2!$B$153:$B$162,$C599)&gt;0),
Error!$B$45,
IF(AND(_xlpm.baseRow,$E599="Tier 2 Grove",$D599&lt;12),
Error!$B$41,
IF(AND(_xlpm.baseRow,$E599="Tier 2",$D599&lt;5.88),
Error!$B$40,
IF(AND(_xlpm.baseRow,OR($E599="Tier 2",$E599="Tier 2 Grove"),$C599&lt;&gt;"",$D599&lt;12,$D599&gt;=6,COUNTIF(Tables2!$B$153:$B$162,$C599)&gt;0),
Error!$B$54,
IF(AND(_xlpm.baseRow,$E599="Tier 2",COUNTIF(Tables2!$B$166:$B$674,$C599)&gt;0,$D599&lt;24),
Error!$B$54,
IF(AND(_xlpm.baseRow,$E599="Tier 3",ISNA(MATCH($C599,Tables2!$B$153:$B$162,0)),OR($D599&lt;12,$D599&gt;=24)),
Error!$B$9,
IF(AND(_xlpm.baseRow,$E599="Tier 3",COUNTIF(Tables2!$B$153:$B$162,$C599)&gt;0,$D599&lt;12),
Error!$B$46,
IF(AND(_xlpm.baseRow,$E599="Tier 4",OR($D599&lt;6,$D599&gt;=12)),
Error!$B$10,
IF(AND(_xlpm.baseRow,$E599="&lt;6in DSH for Tree Points",OR($D599&gt;=6,$D599="")),
Error!$B$8,
IF(AND(_xlpm.baseRow,$E599="Street Tree for Green Factor",$F599&lt;&gt;"",$F599&lt;&gt;"Retain"),
Error!$B$14,
IF(AND($E599="&lt;6in DSH for Tree Points",$F599="Retain",$H599&lt;&gt;"",ISNA(MATCH($H599,Tables!$B$174:$B$174,0))),
Error!$B$15,
IF(AND($E599="Street Tree for Green Factor",$F599="Retain",$H599&lt;&gt;"",$H599&lt;&gt;"Zoning: Green Factor"),
Error!$B$15,
IF(AND($E599="ECA / Shoreline Tree",$F599="Remove",$H599&lt;&gt;"",ISNA(MATCH($H599,Tables!$B$189:$B$190,0))),
Error!$B$15,
IF(AND($E599="ECA / Shoreline Tree",$F599="Retain",$H599&lt;&gt;"",ISNA(MATCH($H599,Tables!$B$184:$B$186,0))),
Error!$B$15,
IF(AND($E599="Tier 4",$F599="Remove",$H599&lt;&gt;"",ISNA(MATCH($H599,Tables!$B$171,0))),
Error!$B$15,
IF(AND($E599="Tier 4",$F599="Retain",$H599&lt;&gt;"",ISNA(MATCH($H599,Tables!$B$166:$B$168,0))),
Error!$B$15,
IF(AND($E599="Tier 3",$F599="Retain",$H599&lt;&gt;"",ISNA(MATCH($H599,Tables!$B$158:$B$160,0))),
Error!$B$15,
IF(AND($E599="Tier 3",$F599="Remove",$H599&lt;&gt;"",ISNA(MATCH($H599,Tables!$B$163,0))),
Error!$B$15,
IF(AND(OR($E599="Tier 2",$E599="Tier 2 Grove"),$F599="Remove",$H599&lt;&gt;"",ISNA(MATCH($H599,Tables!$B$153:$B$155,0))),
Error!$B$15,
IF(AND(OR($E599="Tier 2",$E599="Tier 2 Grove"),$F599="Retain",$H599&lt;&gt;"",ISNA(MATCH($H599,Tables!$B$147:$B$150,0))),
Error!$B$15,
IF(AND($E599="Tier 1",$F599="Remove",$H599&lt;&gt;"",ISNA(MATCH($H599,Tables!$B$143:$B$144,0))),
Error!$B$15,
IF(AND($E599="Tier 1",$F599="Retain",$H599&lt;&gt;"",ISNA(MATCH($H599,Tables!$B$137:$B$140,0))),
Error!$B$15,
IF(AND($E599&lt;&gt;"Tier 2",$E599&lt;&gt;"Tier 2 Grove",$E599&lt;&gt;"Tier 3",$E599&lt;&gt;"Tier 4",$H599="Zoning: Green Factor",OR($D599="",$D599&lt;6)),
Error!$B$11,
IF(AND(_xlpm.baseRow,$D599&lt;6,$E599="&lt;6in DSH for Tree Points",_xlpm.TreePoints_H=0),
Error!$B$21,
IF(AND(_xlpm.baseRow,$E599&lt;&gt;"",$D599&lt;&gt;"",$F599=""),
Error!$B$4,
IF(AND(_xlpm.baseRow,$F599="Remove",OR($E599="Tier 1",$E599="Tier 2",$E599="Tier 2 Grove"),COUNTBLANK(_xlpm.HRange)&lt;3,_xlpm.uniqueH&gt;=2),
Error!$B$48,
IF(AND(_xlpm.baseRow,$F599="Retain",OR($E599="Tier 1",$E599="Tier 2",$E599="Tier 2 Grove"),COUNTIF(_xlpm.HRange,"Tree Code: Required to Retain Tier 1-2 Tree")=0),
Error!$B$47,
IF(AND(_xlpm.baseRow,$E599&lt;&gt;"",$D599&lt;&gt;"",$F599&lt;&gt;"",COUNTBLANK(_xlpm.HRange)=4),
Error!$B$5,
IF(AND($F599="Remove",$H599&lt;&gt;"",$I599=""),
Error!$B$18,
IF(AND($E599="Tier 4",$F599="Remove",$H599="Tree Protection Code: Tier 3 or Tier 4 Allowance",$H599&lt;&gt;"",ISNA(MATCH($I599,Tables!$B$200,0))),
Error!$B$17,
IF(AND($E599="Tier 3",$F599="Remove",$H599&lt;&gt;"",$H599="Tree Protection Code: Tier 3 or Tier 4 Allowance",OR($I599="",ISNA(MATCH($I599,Tables!$B$193:$B$197,0)))),
Error!$B$17,
IF(AND(OR($E599="Tier 2",$E599="Tier 2 Grove"),$F599="Remove",$H599="Tree Protection Code: Other removal allowance or exemption",$I599&lt;&gt;"",ISNA(MATCH($I599,Tables!$B$215:$B$218,0))),
Error!$B$17,
IF(AND(OR($E599="Tier 2",$E599="Tier 2 Grove"),$F599="Remove",$H599="Tree Protection Code: Development Capacity",$I599&lt;&gt;"",ISNA(MATCH($I599,Tables!$B$193:$B$197,0))),
Error!$B$17,
IF(AND(OR($E599="Tier 2",$E599="Tier 2 Grove"),$F599="Remove",$H599="Tree Protection Code: Necessary for Construction",$I599&lt;&gt;"",ISNA(MATCH($I599,Tables!$B$193:$B$197,0))),
Error!$B$17,
IF(AND($E599="Tier 1",$F599="Remove",$H599="Tree Protection Code: Special Exception",$I599&lt;&gt;"",ISNA(MATCH($I599,Tables!$B$215:$B$218,0))),
Error!$B$17,
IF(AND($E599="Tier 1",$F599="Remove",$H599="Tree Protection Code: Other removal allowance or exemption",$I599&lt;&gt;"",ISNA(MATCH($I599,Tables!$B$215:$B$218,0))),
Error!$B$17,
IF(AND($E599="ECA / Shoreline Tree",$F599="Remove",$H599&lt;&gt;"",OR($H599="Shoreline",$H599="Environmental Critical Area (ECA)"),ISNA(MATCH($I599,Tables!$B$209:$B$212,0))),
Error!$B$17,
IF(AND(_xlpm.baseRow,$F599="Retain",$E599="ECA / Shoreline Tree",_xlpm.ECA_Short=0),
Error!$B$61,
IF(AND($F599="Remove",ISNUMBER(MATCH($E599,{"Tier 1","Tier 2","Tier 3","Tier 4","Tier 2 Grove"},0)),ISNUMBER(MATCH($I599,{"On-site replacement","Off-site replacement"},0)),$J599="",$H599&lt;&gt;""),
Error!$B$19,
IF(AND(_xlpm.baseRow,$E599&lt;&gt;"",$D599&lt;&gt;"",$F599&lt;&gt;"",COUNTBLANK($B599:$C599)&gt;0,COUNTBLANK(_xlpm.HRange)&lt;&gt;4),
Error!$B$22,
IF(AND($H599="Zoning: Tree Points",$K599&lt;&gt;"",ISNA(MATCH($K599,Tables!$B$242:$B$253,0))),
Error!$B$58,
IF(AND($H599="Zoning: Tree Points",$K599="Small",$L599&lt;&gt;"",ISNA(MATCH($L599,Tables!$C$243:$C$244,0))),
Error!$B$59,
IF(AND($H599="Zoning: Tree Points",$K599="Small/Medium",$L599&lt;&gt;"",ISNA(MATCH($L599,Tables!$C$246:$C$247,0))),
Error!$B$59,
IF(AND($H599="Zoning: Tree Points",$K599="Medium/Large",$L599&lt;&gt;"",ISNA(MATCH($L599,Tables!$C$249:$C$250,0))),
Error!$B$59,
IF(AND($H599="Zoning: Tree Points",$K599="Large",$L599&lt;&gt;"",ISNA(MATCH($L599,Tables!$C$252:$C$253,0))),
Error!$B$59,
IF(AND($F599="Retain",$H599="Zoning: Tree Points",$C599&lt;&gt;"",$D599&lt;&gt;"",OR($K599="",$L599="",$M599="")),
Error!$B$20,
""
)))))))))))))))))))))))))))))))))))))))))))))))))))))))),
Error!$B$23))</f>
        <v/>
      </c>
      <c r="O599" s="343" t="str" cm="1">
        <f t="array" aca="1" ref="O599" ca="1">IFERROR(_xlfn.LET(
    _xlpm.txt, $C599,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00" spans="1:15" x14ac:dyDescent="0.3">
      <c r="A600" s="320"/>
      <c r="B600" s="616" t="str">
        <f t="shared" ref="B600:B602" si="700">IF($B599="", "", $B599)</f>
        <v/>
      </c>
      <c r="C600" s="617" t="str">
        <f t="shared" ref="C600:C602" si="701">IF($C599="", "", $C599)</f>
        <v/>
      </c>
      <c r="D600" s="618" t="str">
        <f t="shared" ref="D600:D602" si="702">IF($D599="", "", $D599)</f>
        <v/>
      </c>
      <c r="E600" s="616" t="str">
        <f t="shared" ref="E600:E602" si="703">IF($E599="", "", $E599)</f>
        <v/>
      </c>
      <c r="F600" s="616" t="str">
        <f t="shared" ref="F600:F602" si="704">IF($F599="", "", $F599)</f>
        <v/>
      </c>
      <c r="G600" s="619" t="str">
        <f>IF(Tree_Table1[[#This Row],[Tree Status  &amp;]]="Retain", Tables!$B$237, IF(Tree_Table1[[#This Row],[Tree Status  &amp;]]="Remove", Tables!$B$238, ""))</f>
        <v/>
      </c>
      <c r="H600" s="321"/>
      <c r="I600" s="322"/>
      <c r="J600" s="453"/>
      <c r="K600" s="323" t="str">
        <f>IFERROR(
    IF(
        AND($H600="Zoning: Tree Points", NOT(ISNUMBER(SEARCH("sp.", $C600)))),
        VLOOKUP($C600, 'Tree List'!$C$3:$F$601, 4, FALSE),
        ""
    ),
"")</f>
        <v/>
      </c>
      <c r="L600" s="324" t="str" cm="1">
        <f t="array" ref="L600">IFERROR(
IF(
    AND($H600="Zoning: Tree Points", NOT(ISNUMBER(SEARCH("sp.", $C600)))),
    _xlfn.IFS(
        (COUNTIFS('Tree List'!$C$3:$C$601,$C600,'Tree List'!$D$3:$D$601,"Coniferous")
        + COUNTIFS('Tree List'!$C$3:$C$601,$C600,'Tree List'!$D$3:$D$601,"Deciduous Conifer")) &gt; 0,
            _xlfn.IFS($K600="Small",0.5,$K600="Small/Medium",1,$K600="Medium/Large",1.4,$K600="Large",1.8),
        (COUNTIFS('Tree List'!$C$3:$C$601,$C600,'Tree List'!$D$3:$D$601,"Deciduous")
        + COUNTIFS('Tree List'!$C$3:$C$601,$C600,'Tree List'!$D$3:$D$601,"Broadleaf Evergreen")) &gt; 0,
            _xlfn.IFS($K600="Small",0.4,$K600="Small/Medium",0.8,$K600="Medium/Large",1.2,$K600="Large",1.6)
    ),
    ""
),
"")</f>
        <v/>
      </c>
      <c r="M600" s="475" t="str">
        <f t="shared" si="654"/>
        <v/>
      </c>
      <c r="N600" s="346" t="str" cm="1">
        <f t="array" aca="1" ref="N60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IF(AND(_xlpm.baseRow,ISNA(MATCH($C600,'Tree List'!$C$3:$C$601,0)),SUMPRODUCT(--ISNUMBER(SEARCH(Tables2!$C$677:$C$772,$O600)))&gt;0),
Error!$B$57,
IF(AND(_xlpm.hasDM,$F600="Remove",$H600&lt;&gt;"",OR($I600="On-site replacement",$I600="Off-site replacement",$I600="Payment In Lieu")),
Error!$B$56,
IF(AND(_xlpm.hasDM,$F600="Remove",$H600&lt;&gt;"",$I600="Relocation"),
Error!$B$66,
IF(AND(OR(_xlpm.hasCN,_xlpm.hasPH,_xlpm.hasGR),$H600&lt;&gt;"",COUNTIF(Tables!$B$132:$B$134,$H600)&gt;0,$I600="N/A (No replacement required)"),
Error!$B$62,
IF(AND(_xlpm.baseRow,$E600&lt;&gt;"",ISNA(MATCH($E600,Tables!$B$225:$B$232,0))),
Error!$B$2,
IF(AND(_xlpm.baseRow,$F600&lt;&gt;"",ISNA(MATCH($F600,Tables!$B$234:$B$235,0))),
Error!$B$24,
IF(AND(_xlpm.baseRow,_xlpm.ECA_H&gt;0,_xlpm.Shore_H&gt;0),
Error!$B$16,
IF(AND(_xlpm.baseRow,$E600&lt;&gt;"",$D600=""),
Error!$B$3,
IF(AND(_xlpm.baseRow,OR($E600="Tier 3",$E600="Tier 4"),$C600&lt;&gt;"",$D600&gt;=24,COUNTIF(Tables2!$B$166:$B$674,$C600)&gt;0),
Error!$B$44,
IF(AND(_xlpm.baseRow,OR($E600="Tier 3",$E600="Tier 4"),$C600&lt;&gt;"",$D600&lt;&gt;"",COUNTIF(Tables2!$B$73:$B$152,$C600)&gt;0,
$D600&gt;=IFERROR(INDEX(Tables2!$C$73:$C$152,MATCH($C600,Tables2!$B$73:$B$152,0)),-1)),
Error!$B$44,
IF(AND(_xlpm.baseRow,OR($E600="Tier 2",$E600="Tier 2 Grove"),$C600&lt;&gt;"",$D600&gt;=12,COUNTIF(Tables2!$B$153:$B$162,$C600)&gt;0),
Error!$B$45,
IF(AND(_xlpm.baseRow,$E600="Tier 2 Grove",$D600&lt;12),
Error!$B$41,
IF(AND(_xlpm.baseRow,$E600="Tier 2",$D600&lt;5.88),
Error!$B$40,
IF(AND(_xlpm.baseRow,OR($E600="Tier 2",$E600="Tier 2 Grove"),$C600&lt;&gt;"",$D600&lt;12,$D600&gt;=6,COUNTIF(Tables2!$B$153:$B$162,$C600)&gt;0),
Error!$B$54,
IF(AND(_xlpm.baseRow,$E600="Tier 2",COUNTIF(Tables2!$B$166:$B$674,$C600)&gt;0,$D600&lt;24),
Error!$B$54,
IF(AND(_xlpm.baseRow,$E600="Tier 3",ISNA(MATCH($C600,Tables2!$B$153:$B$162,0)),OR($D600&lt;12,$D600&gt;=24)),
Error!$B$9,
IF(AND(_xlpm.baseRow,$E600="Tier 3",COUNTIF(Tables2!$B$153:$B$162,$C600)&gt;0,$D600&lt;12),
Error!$B$46,
IF(AND(_xlpm.baseRow,$E600="Tier 4",OR($D600&lt;6,$D600&gt;=12)),
Error!$B$10,
IF(AND(_xlpm.baseRow,$E600="&lt;6in DSH for Tree Points",OR($D600&gt;=6,$D600="")),
Error!$B$8,
IF(AND(_xlpm.baseRow,$E600="Street Tree for Green Factor",$F600&lt;&gt;"",$F600&lt;&gt;"Retain"),
Error!$B$14,
IF(AND($E600="&lt;6in DSH for Tree Points",$F600="Retain",$H600&lt;&gt;"",ISNA(MATCH($H600,Tables!$B$174:$B$174,0))),
Error!$B$15,
IF(AND($E600="Street Tree for Green Factor",$F600="Retain",$H600&lt;&gt;"",$H600&lt;&gt;"Zoning: Green Factor"),
Error!$B$15,
IF(AND($E600="ECA / Shoreline Tree",$F600="Remove",$H600&lt;&gt;"",ISNA(MATCH($H600,Tables!$B$189:$B$190,0))),
Error!$B$15,
IF(AND($E600="ECA / Shoreline Tree",$F600="Retain",$H600&lt;&gt;"",ISNA(MATCH($H600,Tables!$B$184:$B$186,0))),
Error!$B$15,
IF(AND($E600="Tier 4",$F600="Remove",$H600&lt;&gt;"",ISNA(MATCH($H600,Tables!$B$171,0))),
Error!$B$15,
IF(AND($E600="Tier 4",$F600="Retain",$H600&lt;&gt;"",ISNA(MATCH($H600,Tables!$B$166:$B$168,0))),
Error!$B$15,
IF(AND($E600="Tier 3",$F600="Retain",$H600&lt;&gt;"",ISNA(MATCH($H600,Tables!$B$158:$B$160,0))),
Error!$B$15,
IF(AND($E600="Tier 3",$F600="Remove",$H600&lt;&gt;"",ISNA(MATCH($H600,Tables!$B$163,0))),
Error!$B$15,
IF(AND(OR($E600="Tier 2",$E600="Tier 2 Grove"),$F600="Remove",$H600&lt;&gt;"",ISNA(MATCH($H600,Tables!$B$153:$B$155,0))),
Error!$B$15,
IF(AND(OR($E600="Tier 2",$E600="Tier 2 Grove"),$F600="Retain",$H600&lt;&gt;"",ISNA(MATCH($H600,Tables!$B$147:$B$150,0))),
Error!$B$15,
IF(AND($E600="Tier 1",$F600="Remove",$H600&lt;&gt;"",ISNA(MATCH($H600,Tables!$B$143:$B$144,0))),
Error!$B$15,
IF(AND($E600="Tier 1",$F600="Retain",$H600&lt;&gt;"",ISNA(MATCH($H600,Tables!$B$137:$B$140,0))),
Error!$B$15,
IF(AND($E600&lt;&gt;"Tier 2",$E600&lt;&gt;"Tier 2 Grove",$E600&lt;&gt;"Tier 3",$E600&lt;&gt;"Tier 4",$H600="Zoning: Green Factor",OR($D600="",$D600&lt;6)),
Error!$B$11,
IF(AND(_xlpm.baseRow,$D600&lt;6,$E600="&lt;6in DSH for Tree Points",_xlpm.TreePoints_H=0),
Error!$B$21,
IF(AND(_xlpm.baseRow,$E600&lt;&gt;"",$D600&lt;&gt;"",$F600=""),
Error!$B$4,
IF(AND(_xlpm.baseRow,$F600="Remove",OR($E600="Tier 1",$E600="Tier 2",$E600="Tier 2 Grove"),COUNTBLANK(_xlpm.HRange)&lt;3,_xlpm.uniqueH&gt;=2),
Error!$B$48,
IF(AND(_xlpm.baseRow,$F600="Retain",OR($E600="Tier 1",$E600="Tier 2",$E600="Tier 2 Grove"),COUNTIF(_xlpm.HRange,"Tree Code: Required to Retain Tier 1-2 Tree")=0),
Error!$B$47,
IF(AND(_xlpm.baseRow,$E600&lt;&gt;"",$D600&lt;&gt;"",$F600&lt;&gt;"",COUNTBLANK(_xlpm.HRange)=4),
Error!$B$5,
IF(AND($F600="Remove",$H600&lt;&gt;"",$I600=""),
Error!$B$18,
IF(AND($E600="Tier 4",$F600="Remove",$H600="Tree Protection Code: Tier 3 or Tier 4 Allowance",$H600&lt;&gt;"",ISNA(MATCH($I600,Tables!$B$200,0))),
Error!$B$17,
IF(AND($E600="Tier 3",$F600="Remove",$H600&lt;&gt;"",$H600="Tree Protection Code: Tier 3 or Tier 4 Allowance",OR($I600="",ISNA(MATCH($I600,Tables!$B$193:$B$197,0)))),
Error!$B$17,
IF(AND(OR($E600="Tier 2",$E600="Tier 2 Grove"),$F600="Remove",$H600="Tree Protection Code: Other removal allowance or exemption",$I600&lt;&gt;"",ISNA(MATCH($I600,Tables!$B$215:$B$218,0))),
Error!$B$17,
IF(AND(OR($E600="Tier 2",$E600="Tier 2 Grove"),$F600="Remove",$H600="Tree Protection Code: Development Capacity",$I600&lt;&gt;"",ISNA(MATCH($I600,Tables!$B$193:$B$197,0))),
Error!$B$17,
IF(AND(OR($E600="Tier 2",$E600="Tier 2 Grove"),$F600="Remove",$H600="Tree Protection Code: Necessary for Construction",$I600&lt;&gt;"",ISNA(MATCH($I600,Tables!$B$193:$B$197,0))),
Error!$B$17,
IF(AND($E600="Tier 1",$F600="Remove",$H600="Tree Protection Code: Special Exception",$I600&lt;&gt;"",ISNA(MATCH($I600,Tables!$B$215:$B$218,0))),
Error!$B$17,
IF(AND($E600="Tier 1",$F600="Remove",$H600="Tree Protection Code: Other removal allowance or exemption",$I600&lt;&gt;"",ISNA(MATCH($I600,Tables!$B$215:$B$218,0))),
Error!$B$17,
IF(AND($E600="ECA / Shoreline Tree",$F600="Remove",$H600&lt;&gt;"",OR($H600="Shoreline",$H600="Environmental Critical Area (ECA)"),ISNA(MATCH($I600,Tables!$B$209:$B$212,0))),
Error!$B$17,
IF(AND(_xlpm.baseRow,$F600="Retain",$E600="ECA / Shoreline Tree",_xlpm.ECA_Short=0),
Error!$B$61,
IF(AND($F600="Remove",ISNUMBER(MATCH($E600,{"Tier 1","Tier 2","Tier 3","Tier 4","Tier 2 Grove"},0)),ISNUMBER(MATCH($I600,{"On-site replacement","Off-site replacement"},0)),$J600="",$H600&lt;&gt;""),
Error!$B$19,
IF(AND(_xlpm.baseRow,$E600&lt;&gt;"",$D600&lt;&gt;"",$F600&lt;&gt;"",COUNTBLANK($B600:$C600)&gt;0,COUNTBLANK(_xlpm.HRange)&lt;&gt;4),
Error!$B$22,
IF(AND($H600="Zoning: Tree Points",$K600&lt;&gt;"",ISNA(MATCH($K600,Tables!$B$242:$B$253,0))),
Error!$B$58,
IF(AND($H600="Zoning: Tree Points",$K600="Small",$L600&lt;&gt;"",ISNA(MATCH($L600,Tables!$C$243:$C$244,0))),
Error!$B$59,
IF(AND($H600="Zoning: Tree Points",$K600="Small/Medium",$L600&lt;&gt;"",ISNA(MATCH($L600,Tables!$C$246:$C$247,0))),
Error!$B$59,
IF(AND($H600="Zoning: Tree Points",$K600="Medium/Large",$L600&lt;&gt;"",ISNA(MATCH($L600,Tables!$C$249:$C$250,0))),
Error!$B$59,
IF(AND($H600="Zoning: Tree Points",$K600="Large",$L600&lt;&gt;"",ISNA(MATCH($L600,Tables!$C$252:$C$253,0))),
Error!$B$59,
IF(AND($F600="Retain",$H600="Zoning: Tree Points",$C600&lt;&gt;"",$D600&lt;&gt;"",OR($K600="",$L600="",$M600="")),
Error!$B$20,
""
)))))))))))))))))))))))))))))))))))))))))))))))))))))))),
Error!$B$23))</f>
        <v/>
      </c>
      <c r="O600" s="343" t="str" cm="1">
        <f t="array" aca="1" ref="O600" ca="1">IFERROR(_xlfn.LET(
    _xlpm.txt, $C600,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01" spans="1:15" x14ac:dyDescent="0.3">
      <c r="A601" s="320"/>
      <c r="B601" s="616" t="str">
        <f t="shared" si="700"/>
        <v/>
      </c>
      <c r="C601" s="617" t="str">
        <f t="shared" si="701"/>
        <v/>
      </c>
      <c r="D601" s="618" t="str">
        <f t="shared" si="702"/>
        <v/>
      </c>
      <c r="E601" s="616" t="str">
        <f t="shared" si="703"/>
        <v/>
      </c>
      <c r="F601" s="616" t="str">
        <f t="shared" si="704"/>
        <v/>
      </c>
      <c r="G601" s="619" t="str">
        <f>IF(Tree_Table1[[#This Row],[Tree Status  &amp;]]="Retain", Tables!$B$237, IF(Tree_Table1[[#This Row],[Tree Status  &amp;]]="Remove", Tables!$B$238, ""))</f>
        <v/>
      </c>
      <c r="H601" s="321"/>
      <c r="I601" s="322"/>
      <c r="J601" s="453"/>
      <c r="K601" s="323" t="str">
        <f>IFERROR(
    IF(
        AND($H601="Zoning: Tree Points", NOT(ISNUMBER(SEARCH("sp.", $C601)))),
        VLOOKUP($C601, 'Tree List'!$C$3:$F$601, 4, FALSE),
        ""
    ),
"")</f>
        <v/>
      </c>
      <c r="L601" s="324" t="str" cm="1">
        <f t="array" ref="L601">IFERROR(
IF(
    AND($H601="Zoning: Tree Points", NOT(ISNUMBER(SEARCH("sp.", $C601)))),
    _xlfn.IFS(
        (COUNTIFS('Tree List'!$C$3:$C$601,$C601,'Tree List'!$D$3:$D$601,"Coniferous")
        + COUNTIFS('Tree List'!$C$3:$C$601,$C601,'Tree List'!$D$3:$D$601,"Deciduous Conifer")) &gt; 0,
            _xlfn.IFS($K601="Small",0.5,$K601="Small/Medium",1,$K601="Medium/Large",1.4,$K601="Large",1.8),
        (COUNTIFS('Tree List'!$C$3:$C$601,$C601,'Tree List'!$D$3:$D$601,"Deciduous")
        + COUNTIFS('Tree List'!$C$3:$C$601,$C601,'Tree List'!$D$3:$D$601,"Broadleaf Evergreen")) &gt; 0,
            _xlfn.IFS($K601="Small",0.4,$K601="Small/Medium",0.8,$K601="Medium/Large",1.2,$K601="Large",1.6)
    ),
    ""
),
"")</f>
        <v/>
      </c>
      <c r="M601" s="475" t="str">
        <f t="shared" si="654"/>
        <v/>
      </c>
      <c r="N601" s="346" t="str" cm="1">
        <f t="array" aca="1" ref="N60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IF(AND(_xlpm.baseRow,ISNA(MATCH($C601,'Tree List'!$C$3:$C$601,0)),SUMPRODUCT(--ISNUMBER(SEARCH(Tables2!$C$677:$C$772,$O601)))&gt;0),
Error!$B$57,
IF(AND(_xlpm.hasDM,$F601="Remove",$H601&lt;&gt;"",OR($I601="On-site replacement",$I601="Off-site replacement",$I601="Payment In Lieu")),
Error!$B$56,
IF(AND(_xlpm.hasDM,$F601="Remove",$H601&lt;&gt;"",$I601="Relocation"),
Error!$B$66,
IF(AND(OR(_xlpm.hasCN,_xlpm.hasPH,_xlpm.hasGR),$H601&lt;&gt;"",COUNTIF(Tables!$B$132:$B$134,$H601)&gt;0,$I601="N/A (No replacement required)"),
Error!$B$62,
IF(AND(_xlpm.baseRow,$E601&lt;&gt;"",ISNA(MATCH($E601,Tables!$B$225:$B$232,0))),
Error!$B$2,
IF(AND(_xlpm.baseRow,$F601&lt;&gt;"",ISNA(MATCH($F601,Tables!$B$234:$B$235,0))),
Error!$B$24,
IF(AND(_xlpm.baseRow,_xlpm.ECA_H&gt;0,_xlpm.Shore_H&gt;0),
Error!$B$16,
IF(AND(_xlpm.baseRow,$E601&lt;&gt;"",$D601=""),
Error!$B$3,
IF(AND(_xlpm.baseRow,OR($E601="Tier 3",$E601="Tier 4"),$C601&lt;&gt;"",$D601&gt;=24,COUNTIF(Tables2!$B$166:$B$674,$C601)&gt;0),
Error!$B$44,
IF(AND(_xlpm.baseRow,OR($E601="Tier 3",$E601="Tier 4"),$C601&lt;&gt;"",$D601&lt;&gt;"",COUNTIF(Tables2!$B$73:$B$152,$C601)&gt;0,
$D601&gt;=IFERROR(INDEX(Tables2!$C$73:$C$152,MATCH($C601,Tables2!$B$73:$B$152,0)),-1)),
Error!$B$44,
IF(AND(_xlpm.baseRow,OR($E601="Tier 2",$E601="Tier 2 Grove"),$C601&lt;&gt;"",$D601&gt;=12,COUNTIF(Tables2!$B$153:$B$162,$C601)&gt;0),
Error!$B$45,
IF(AND(_xlpm.baseRow,$E601="Tier 2 Grove",$D601&lt;12),
Error!$B$41,
IF(AND(_xlpm.baseRow,$E601="Tier 2",$D601&lt;5.88),
Error!$B$40,
IF(AND(_xlpm.baseRow,OR($E601="Tier 2",$E601="Tier 2 Grove"),$C601&lt;&gt;"",$D601&lt;12,$D601&gt;=6,COUNTIF(Tables2!$B$153:$B$162,$C601)&gt;0),
Error!$B$54,
IF(AND(_xlpm.baseRow,$E601="Tier 2",COUNTIF(Tables2!$B$166:$B$674,$C601)&gt;0,$D601&lt;24),
Error!$B$54,
IF(AND(_xlpm.baseRow,$E601="Tier 3",ISNA(MATCH($C601,Tables2!$B$153:$B$162,0)),OR($D601&lt;12,$D601&gt;=24)),
Error!$B$9,
IF(AND(_xlpm.baseRow,$E601="Tier 3",COUNTIF(Tables2!$B$153:$B$162,$C601)&gt;0,$D601&lt;12),
Error!$B$46,
IF(AND(_xlpm.baseRow,$E601="Tier 4",OR($D601&lt;6,$D601&gt;=12)),
Error!$B$10,
IF(AND(_xlpm.baseRow,$E601="&lt;6in DSH for Tree Points",OR($D601&gt;=6,$D601="")),
Error!$B$8,
IF(AND(_xlpm.baseRow,$E601="Street Tree for Green Factor",$F601&lt;&gt;"",$F601&lt;&gt;"Retain"),
Error!$B$14,
IF(AND($E601="&lt;6in DSH for Tree Points",$F601="Retain",$H601&lt;&gt;"",ISNA(MATCH($H601,Tables!$B$174:$B$174,0))),
Error!$B$15,
IF(AND($E601="Street Tree for Green Factor",$F601="Retain",$H601&lt;&gt;"",$H601&lt;&gt;"Zoning: Green Factor"),
Error!$B$15,
IF(AND($E601="ECA / Shoreline Tree",$F601="Remove",$H601&lt;&gt;"",ISNA(MATCH($H601,Tables!$B$189:$B$190,0))),
Error!$B$15,
IF(AND($E601="ECA / Shoreline Tree",$F601="Retain",$H601&lt;&gt;"",ISNA(MATCH($H601,Tables!$B$184:$B$186,0))),
Error!$B$15,
IF(AND($E601="Tier 4",$F601="Remove",$H601&lt;&gt;"",ISNA(MATCH($H601,Tables!$B$171,0))),
Error!$B$15,
IF(AND($E601="Tier 4",$F601="Retain",$H601&lt;&gt;"",ISNA(MATCH($H601,Tables!$B$166:$B$168,0))),
Error!$B$15,
IF(AND($E601="Tier 3",$F601="Retain",$H601&lt;&gt;"",ISNA(MATCH($H601,Tables!$B$158:$B$160,0))),
Error!$B$15,
IF(AND($E601="Tier 3",$F601="Remove",$H601&lt;&gt;"",ISNA(MATCH($H601,Tables!$B$163,0))),
Error!$B$15,
IF(AND(OR($E601="Tier 2",$E601="Tier 2 Grove"),$F601="Remove",$H601&lt;&gt;"",ISNA(MATCH($H601,Tables!$B$153:$B$155,0))),
Error!$B$15,
IF(AND(OR($E601="Tier 2",$E601="Tier 2 Grove"),$F601="Retain",$H601&lt;&gt;"",ISNA(MATCH($H601,Tables!$B$147:$B$150,0))),
Error!$B$15,
IF(AND($E601="Tier 1",$F601="Remove",$H601&lt;&gt;"",ISNA(MATCH($H601,Tables!$B$143:$B$144,0))),
Error!$B$15,
IF(AND($E601="Tier 1",$F601="Retain",$H601&lt;&gt;"",ISNA(MATCH($H601,Tables!$B$137:$B$140,0))),
Error!$B$15,
IF(AND($E601&lt;&gt;"Tier 2",$E601&lt;&gt;"Tier 2 Grove",$E601&lt;&gt;"Tier 3",$E601&lt;&gt;"Tier 4",$H601="Zoning: Green Factor",OR($D601="",$D601&lt;6)),
Error!$B$11,
IF(AND(_xlpm.baseRow,$D601&lt;6,$E601="&lt;6in DSH for Tree Points",_xlpm.TreePoints_H=0),
Error!$B$21,
IF(AND(_xlpm.baseRow,$E601&lt;&gt;"",$D601&lt;&gt;"",$F601=""),
Error!$B$4,
IF(AND(_xlpm.baseRow,$F601="Remove",OR($E601="Tier 1",$E601="Tier 2",$E601="Tier 2 Grove"),COUNTBLANK(_xlpm.HRange)&lt;3,_xlpm.uniqueH&gt;=2),
Error!$B$48,
IF(AND(_xlpm.baseRow,$F601="Retain",OR($E601="Tier 1",$E601="Tier 2",$E601="Tier 2 Grove"),COUNTIF(_xlpm.HRange,"Tree Code: Required to Retain Tier 1-2 Tree")=0),
Error!$B$47,
IF(AND(_xlpm.baseRow,$E601&lt;&gt;"",$D601&lt;&gt;"",$F601&lt;&gt;"",COUNTBLANK(_xlpm.HRange)=4),
Error!$B$5,
IF(AND($F601="Remove",$H601&lt;&gt;"",$I601=""),
Error!$B$18,
IF(AND($E601="Tier 4",$F601="Remove",$H601="Tree Protection Code: Tier 3 or Tier 4 Allowance",$H601&lt;&gt;"",ISNA(MATCH($I601,Tables!$B$200,0))),
Error!$B$17,
IF(AND($E601="Tier 3",$F601="Remove",$H601&lt;&gt;"",$H601="Tree Protection Code: Tier 3 or Tier 4 Allowance",OR($I601="",ISNA(MATCH($I601,Tables!$B$193:$B$197,0)))),
Error!$B$17,
IF(AND(OR($E601="Tier 2",$E601="Tier 2 Grove"),$F601="Remove",$H601="Tree Protection Code: Other removal allowance or exemption",$I601&lt;&gt;"",ISNA(MATCH($I601,Tables!$B$215:$B$218,0))),
Error!$B$17,
IF(AND(OR($E601="Tier 2",$E601="Tier 2 Grove"),$F601="Remove",$H601="Tree Protection Code: Development Capacity",$I601&lt;&gt;"",ISNA(MATCH($I601,Tables!$B$193:$B$197,0))),
Error!$B$17,
IF(AND(OR($E601="Tier 2",$E601="Tier 2 Grove"),$F601="Remove",$H601="Tree Protection Code: Necessary for Construction",$I601&lt;&gt;"",ISNA(MATCH($I601,Tables!$B$193:$B$197,0))),
Error!$B$17,
IF(AND($E601="Tier 1",$F601="Remove",$H601="Tree Protection Code: Special Exception",$I601&lt;&gt;"",ISNA(MATCH($I601,Tables!$B$215:$B$218,0))),
Error!$B$17,
IF(AND($E601="Tier 1",$F601="Remove",$H601="Tree Protection Code: Other removal allowance or exemption",$I601&lt;&gt;"",ISNA(MATCH($I601,Tables!$B$215:$B$218,0))),
Error!$B$17,
IF(AND($E601="ECA / Shoreline Tree",$F601="Remove",$H601&lt;&gt;"",OR($H601="Shoreline",$H601="Environmental Critical Area (ECA)"),ISNA(MATCH($I601,Tables!$B$209:$B$212,0))),
Error!$B$17,
IF(AND(_xlpm.baseRow,$F601="Retain",$E601="ECA / Shoreline Tree",_xlpm.ECA_Short=0),
Error!$B$61,
IF(AND($F601="Remove",ISNUMBER(MATCH($E601,{"Tier 1","Tier 2","Tier 3","Tier 4","Tier 2 Grove"},0)),ISNUMBER(MATCH($I601,{"On-site replacement","Off-site replacement"},0)),$J601="",$H601&lt;&gt;""),
Error!$B$19,
IF(AND(_xlpm.baseRow,$E601&lt;&gt;"",$D601&lt;&gt;"",$F601&lt;&gt;"",COUNTBLANK($B601:$C601)&gt;0,COUNTBLANK(_xlpm.HRange)&lt;&gt;4),
Error!$B$22,
IF(AND($H601="Zoning: Tree Points",$K601&lt;&gt;"",ISNA(MATCH($K601,Tables!$B$242:$B$253,0))),
Error!$B$58,
IF(AND($H601="Zoning: Tree Points",$K601="Small",$L601&lt;&gt;"",ISNA(MATCH($L601,Tables!$C$243:$C$244,0))),
Error!$B$59,
IF(AND($H601="Zoning: Tree Points",$K601="Small/Medium",$L601&lt;&gt;"",ISNA(MATCH($L601,Tables!$C$246:$C$247,0))),
Error!$B$59,
IF(AND($H601="Zoning: Tree Points",$K601="Medium/Large",$L601&lt;&gt;"",ISNA(MATCH($L601,Tables!$C$249:$C$250,0))),
Error!$B$59,
IF(AND($H601="Zoning: Tree Points",$K601="Large",$L601&lt;&gt;"",ISNA(MATCH($L601,Tables!$C$252:$C$253,0))),
Error!$B$59,
IF(AND($F601="Retain",$H601="Zoning: Tree Points",$C601&lt;&gt;"",$D601&lt;&gt;"",OR($K601="",$L601="",$M601="")),
Error!$B$20,
""
)))))))))))))))))))))))))))))))))))))))))))))))))))))))),
Error!$B$23))</f>
        <v/>
      </c>
      <c r="O601" s="343" t="str" cm="1">
        <f t="array" aca="1" ref="O601" ca="1">IFERROR(_xlfn.LET(
    _xlpm.txt, $C601,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02" spans="1:15" ht="15" thickBot="1" x14ac:dyDescent="0.35">
      <c r="A602" s="331"/>
      <c r="B602" s="616" t="str">
        <f t="shared" si="700"/>
        <v/>
      </c>
      <c r="C602" s="617" t="str">
        <f t="shared" si="701"/>
        <v/>
      </c>
      <c r="D602" s="618" t="str">
        <f t="shared" si="702"/>
        <v/>
      </c>
      <c r="E602" s="616" t="str">
        <f t="shared" si="703"/>
        <v/>
      </c>
      <c r="F602" s="616" t="str">
        <f t="shared" si="704"/>
        <v/>
      </c>
      <c r="G602" s="619" t="str">
        <f>IF(Tree_Table1[[#This Row],[Tree Status  &amp;]]="Retain", Tables!$B$237, IF(Tree_Table1[[#This Row],[Tree Status  &amp;]]="Remove", Tables!$B$238, ""))</f>
        <v/>
      </c>
      <c r="H602" s="329"/>
      <c r="I602" s="330"/>
      <c r="J602" s="455"/>
      <c r="K602" s="327" t="str">
        <f>IFERROR(
    IF(
        AND($H602="Zoning: Tree Points", NOT(ISNUMBER(SEARCH("sp.", $C602)))),
        VLOOKUP($C602, 'Tree List'!$C$3:$F$601, 4, FALSE),
        ""
    ),
"")</f>
        <v/>
      </c>
      <c r="L602" s="328" t="str" cm="1">
        <f t="array" ref="L602">IFERROR(
IF(
    AND($H602="Zoning: Tree Points", NOT(ISNUMBER(SEARCH("sp.", $C602)))),
    _xlfn.IFS(
        (COUNTIFS('Tree List'!$C$3:$C$601,$C602,'Tree List'!$D$3:$D$601,"Coniferous")
        + COUNTIFS('Tree List'!$C$3:$C$601,$C602,'Tree List'!$D$3:$D$601,"Deciduous Conifer")) &gt; 0,
            _xlfn.IFS($K602="Small",0.5,$K602="Small/Medium",1,$K602="Medium/Large",1.4,$K602="Large",1.8),
        (COUNTIFS('Tree List'!$C$3:$C$601,$C602,'Tree List'!$D$3:$D$601,"Deciduous")
        + COUNTIFS('Tree List'!$C$3:$C$601,$C602,'Tree List'!$D$3:$D$601,"Broadleaf Evergreen")) &gt; 0,
            _xlfn.IFS($K602="Small",0.4,$K602="Small/Medium",0.8,$K602="Medium/Large",1.2,$K602="Large",1.6)
    ),
    ""
),
"")</f>
        <v/>
      </c>
      <c r="M602" s="476" t="str">
        <f t="shared" si="654"/>
        <v/>
      </c>
      <c r="N602" s="347" t="str" cm="1">
        <f t="array" aca="1" ref="N60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IF(AND(_xlpm.baseRow,ISNA(MATCH($C602,'Tree List'!$C$3:$C$601,0)),SUMPRODUCT(--ISNUMBER(SEARCH(Tables2!$C$677:$C$772,$O602)))&gt;0),
Error!$B$57,
IF(AND(_xlpm.hasDM,$F602="Remove",$H602&lt;&gt;"",OR($I602="On-site replacement",$I602="Off-site replacement",$I602="Payment In Lieu")),
Error!$B$56,
IF(AND(_xlpm.hasDM,$F602="Remove",$H602&lt;&gt;"",$I602="Relocation"),
Error!$B$66,
IF(AND(OR(_xlpm.hasCN,_xlpm.hasPH,_xlpm.hasGR),$H602&lt;&gt;"",COUNTIF(Tables!$B$132:$B$134,$H602)&gt;0,$I602="N/A (No replacement required)"),
Error!$B$62,
IF(AND(_xlpm.baseRow,$E602&lt;&gt;"",ISNA(MATCH($E602,Tables!$B$225:$B$232,0))),
Error!$B$2,
IF(AND(_xlpm.baseRow,$F602&lt;&gt;"",ISNA(MATCH($F602,Tables!$B$234:$B$235,0))),
Error!$B$24,
IF(AND(_xlpm.baseRow,_xlpm.ECA_H&gt;0,_xlpm.Shore_H&gt;0),
Error!$B$16,
IF(AND(_xlpm.baseRow,$E602&lt;&gt;"",$D602=""),
Error!$B$3,
IF(AND(_xlpm.baseRow,OR($E602="Tier 3",$E602="Tier 4"),$C602&lt;&gt;"",$D602&gt;=24,COUNTIF(Tables2!$B$166:$B$674,$C602)&gt;0),
Error!$B$44,
IF(AND(_xlpm.baseRow,OR($E602="Tier 3",$E602="Tier 4"),$C602&lt;&gt;"",$D602&lt;&gt;"",COUNTIF(Tables2!$B$73:$B$152,$C602)&gt;0,
$D602&gt;=IFERROR(INDEX(Tables2!$C$73:$C$152,MATCH($C602,Tables2!$B$73:$B$152,0)),-1)),
Error!$B$44,
IF(AND(_xlpm.baseRow,OR($E602="Tier 2",$E602="Tier 2 Grove"),$C602&lt;&gt;"",$D602&gt;=12,COUNTIF(Tables2!$B$153:$B$162,$C602)&gt;0),
Error!$B$45,
IF(AND(_xlpm.baseRow,$E602="Tier 2 Grove",$D602&lt;12),
Error!$B$41,
IF(AND(_xlpm.baseRow,$E602="Tier 2",$D602&lt;5.88),
Error!$B$40,
IF(AND(_xlpm.baseRow,OR($E602="Tier 2",$E602="Tier 2 Grove"),$C602&lt;&gt;"",$D602&lt;12,$D602&gt;=6,COUNTIF(Tables2!$B$153:$B$162,$C602)&gt;0),
Error!$B$54,
IF(AND(_xlpm.baseRow,$E602="Tier 2",COUNTIF(Tables2!$B$166:$B$674,$C602)&gt;0,$D602&lt;24),
Error!$B$54,
IF(AND(_xlpm.baseRow,$E602="Tier 3",ISNA(MATCH($C602,Tables2!$B$153:$B$162,0)),OR($D602&lt;12,$D602&gt;=24)),
Error!$B$9,
IF(AND(_xlpm.baseRow,$E602="Tier 3",COUNTIF(Tables2!$B$153:$B$162,$C602)&gt;0,$D602&lt;12),
Error!$B$46,
IF(AND(_xlpm.baseRow,$E602="Tier 4",OR($D602&lt;6,$D602&gt;=12)),
Error!$B$10,
IF(AND(_xlpm.baseRow,$E602="&lt;6in DSH for Tree Points",OR($D602&gt;=6,$D602="")),
Error!$B$8,
IF(AND(_xlpm.baseRow,$E602="Street Tree for Green Factor",$F602&lt;&gt;"",$F602&lt;&gt;"Retain"),
Error!$B$14,
IF(AND($E602="&lt;6in DSH for Tree Points",$F602="Retain",$H602&lt;&gt;"",ISNA(MATCH($H602,Tables!$B$174:$B$174,0))),
Error!$B$15,
IF(AND($E602="Street Tree for Green Factor",$F602="Retain",$H602&lt;&gt;"",$H602&lt;&gt;"Zoning: Green Factor"),
Error!$B$15,
IF(AND($E602="ECA / Shoreline Tree",$F602="Remove",$H602&lt;&gt;"",ISNA(MATCH($H602,Tables!$B$189:$B$190,0))),
Error!$B$15,
IF(AND($E602="ECA / Shoreline Tree",$F602="Retain",$H602&lt;&gt;"",ISNA(MATCH($H602,Tables!$B$184:$B$186,0))),
Error!$B$15,
IF(AND($E602="Tier 4",$F602="Remove",$H602&lt;&gt;"",ISNA(MATCH($H602,Tables!$B$171,0))),
Error!$B$15,
IF(AND($E602="Tier 4",$F602="Retain",$H602&lt;&gt;"",ISNA(MATCH($H602,Tables!$B$166:$B$168,0))),
Error!$B$15,
IF(AND($E602="Tier 3",$F602="Retain",$H602&lt;&gt;"",ISNA(MATCH($H602,Tables!$B$158:$B$160,0))),
Error!$B$15,
IF(AND($E602="Tier 3",$F602="Remove",$H602&lt;&gt;"",ISNA(MATCH($H602,Tables!$B$163,0))),
Error!$B$15,
IF(AND(OR($E602="Tier 2",$E602="Tier 2 Grove"),$F602="Remove",$H602&lt;&gt;"",ISNA(MATCH($H602,Tables!$B$153:$B$155,0))),
Error!$B$15,
IF(AND(OR($E602="Tier 2",$E602="Tier 2 Grove"),$F602="Retain",$H602&lt;&gt;"",ISNA(MATCH($H602,Tables!$B$147:$B$150,0))),
Error!$B$15,
IF(AND($E602="Tier 1",$F602="Remove",$H602&lt;&gt;"",ISNA(MATCH($H602,Tables!$B$143:$B$144,0))),
Error!$B$15,
IF(AND($E602="Tier 1",$F602="Retain",$H602&lt;&gt;"",ISNA(MATCH($H602,Tables!$B$137:$B$140,0))),
Error!$B$15,
IF(AND($E602&lt;&gt;"Tier 2",$E602&lt;&gt;"Tier 2 Grove",$E602&lt;&gt;"Tier 3",$E602&lt;&gt;"Tier 4",$H602="Zoning: Green Factor",OR($D602="",$D602&lt;6)),
Error!$B$11,
IF(AND(_xlpm.baseRow,$D602&lt;6,$E602="&lt;6in DSH for Tree Points",_xlpm.TreePoints_H=0),
Error!$B$21,
IF(AND(_xlpm.baseRow,$E602&lt;&gt;"",$D602&lt;&gt;"",$F602=""),
Error!$B$4,
IF(AND(_xlpm.baseRow,$F602="Remove",OR($E602="Tier 1",$E602="Tier 2",$E602="Tier 2 Grove"),COUNTBLANK(_xlpm.HRange)&lt;3,_xlpm.uniqueH&gt;=2),
Error!$B$48,
IF(AND(_xlpm.baseRow,$F602="Retain",OR($E602="Tier 1",$E602="Tier 2",$E602="Tier 2 Grove"),COUNTIF(_xlpm.HRange,"Tree Code: Required to Retain Tier 1-2 Tree")=0),
Error!$B$47,
IF(AND(_xlpm.baseRow,$E602&lt;&gt;"",$D602&lt;&gt;"",$F602&lt;&gt;"",COUNTBLANK(_xlpm.HRange)=4),
Error!$B$5,
IF(AND($F602="Remove",$H602&lt;&gt;"",$I602=""),
Error!$B$18,
IF(AND($E602="Tier 4",$F602="Remove",$H602="Tree Protection Code: Tier 3 or Tier 4 Allowance",$H602&lt;&gt;"",ISNA(MATCH($I602,Tables!$B$200,0))),
Error!$B$17,
IF(AND($E602="Tier 3",$F602="Remove",$H602&lt;&gt;"",$H602="Tree Protection Code: Tier 3 or Tier 4 Allowance",OR($I602="",ISNA(MATCH($I602,Tables!$B$193:$B$197,0)))),
Error!$B$17,
IF(AND(OR($E602="Tier 2",$E602="Tier 2 Grove"),$F602="Remove",$H602="Tree Protection Code: Other removal allowance or exemption",$I602&lt;&gt;"",ISNA(MATCH($I602,Tables!$B$215:$B$218,0))),
Error!$B$17,
IF(AND(OR($E602="Tier 2",$E602="Tier 2 Grove"),$F602="Remove",$H602="Tree Protection Code: Development Capacity",$I602&lt;&gt;"",ISNA(MATCH($I602,Tables!$B$193:$B$197,0))),
Error!$B$17,
IF(AND(OR($E602="Tier 2",$E602="Tier 2 Grove"),$F602="Remove",$H602="Tree Protection Code: Necessary for Construction",$I602&lt;&gt;"",ISNA(MATCH($I602,Tables!$B$193:$B$197,0))),
Error!$B$17,
IF(AND($E602="Tier 1",$F602="Remove",$H602="Tree Protection Code: Special Exception",$I602&lt;&gt;"",ISNA(MATCH($I602,Tables!$B$215:$B$218,0))),
Error!$B$17,
IF(AND($E602="Tier 1",$F602="Remove",$H602="Tree Protection Code: Other removal allowance or exemption",$I602&lt;&gt;"",ISNA(MATCH($I602,Tables!$B$215:$B$218,0))),
Error!$B$17,
IF(AND($E602="ECA / Shoreline Tree",$F602="Remove",$H602&lt;&gt;"",OR($H602="Shoreline",$H602="Environmental Critical Area (ECA)"),ISNA(MATCH($I602,Tables!$B$209:$B$212,0))),
Error!$B$17,
IF(AND(_xlpm.baseRow,$F602="Retain",$E602="ECA / Shoreline Tree",_xlpm.ECA_Short=0),
Error!$B$61,
IF(AND($F602="Remove",ISNUMBER(MATCH($E602,{"Tier 1","Tier 2","Tier 3","Tier 4","Tier 2 Grove"},0)),ISNUMBER(MATCH($I602,{"On-site replacement","Off-site replacement"},0)),$J602="",$H602&lt;&gt;""),
Error!$B$19,
IF(AND(_xlpm.baseRow,$E602&lt;&gt;"",$D602&lt;&gt;"",$F602&lt;&gt;"",COUNTBLANK($B602:$C602)&gt;0,COUNTBLANK(_xlpm.HRange)&lt;&gt;4),
Error!$B$22,
IF(AND($H602="Zoning: Tree Points",$K602&lt;&gt;"",ISNA(MATCH($K602,Tables!$B$242:$B$253,0))),
Error!$B$58,
IF(AND($H602="Zoning: Tree Points",$K602="Small",$L602&lt;&gt;"",ISNA(MATCH($L602,Tables!$C$243:$C$244,0))),
Error!$B$59,
IF(AND($H602="Zoning: Tree Points",$K602="Small/Medium",$L602&lt;&gt;"",ISNA(MATCH($L602,Tables!$C$246:$C$247,0))),
Error!$B$59,
IF(AND($H602="Zoning: Tree Points",$K602="Medium/Large",$L602&lt;&gt;"",ISNA(MATCH($L602,Tables!$C$249:$C$250,0))),
Error!$B$59,
IF(AND($H602="Zoning: Tree Points",$K602="Large",$L602&lt;&gt;"",ISNA(MATCH($L602,Tables!$C$252:$C$253,0))),
Error!$B$59,
IF(AND($F602="Retain",$H602="Zoning: Tree Points",$C602&lt;&gt;"",$D602&lt;&gt;"",OR($K602="",$L602="",$M602="")),
Error!$B$20,
""
)))))))))))))))))))))))))))))))))))))))))))))))))))))))),
Error!$B$23))</f>
        <v/>
      </c>
      <c r="O602" s="343" t="str" cm="1">
        <f t="array" aca="1" ref="O602" ca="1">IFERROR(_xlfn.LET(
    _xlpm.txt, $C602,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03" spans="1:15" ht="15" thickBot="1" x14ac:dyDescent="0.35">
      <c r="A603" s="311">
        <v>149</v>
      </c>
      <c r="B603" s="312"/>
      <c r="C603" s="313"/>
      <c r="D603" s="478"/>
      <c r="E603" s="314"/>
      <c r="F603" s="314"/>
      <c r="G603" s="315" t="str">
        <f>IF(Tree_Table1[[#This Row],[Tree Status  &amp;]]="Retain", Tables!$B$237, IF(Tree_Table1[[#This Row],[Tree Status  &amp;]]="Remove", Tables!$B$238, ""))</f>
        <v/>
      </c>
      <c r="H603" s="316"/>
      <c r="I603" s="317"/>
      <c r="J603" s="452"/>
      <c r="K603" s="318" t="str">
        <f>IFERROR(
    IF(
        AND($H603="Zoning: Tree Points", NOT(ISNUMBER(SEARCH("sp.", $C603)))),
        VLOOKUP($C603, 'Tree List'!$C$3:$F$601, 4, FALSE),
        ""
    ),
"")</f>
        <v/>
      </c>
      <c r="L603" s="319" t="str" cm="1">
        <f t="array" ref="L603">IFERROR(
IF(
    AND($H603="Zoning: Tree Points", NOT(ISNUMBER(SEARCH("sp.", $C603)))),
    _xlfn.IFS(
        (COUNTIFS('Tree List'!$C$3:$C$601,$C603,'Tree List'!$D$3:$D$601,"Coniferous")
        + COUNTIFS('Tree List'!$C$3:$C$601,$C603,'Tree List'!$D$3:$D$601,"Deciduous Conifer")) &gt; 0,
            _xlfn.IFS($K603="Small",0.5,$K603="Small/Medium",1,$K603="Medium/Large",1.4,$K603="Large",1.8),
        (COUNTIFS('Tree List'!$C$3:$C$601,$C603,'Tree List'!$D$3:$D$601,"Deciduous")
        + COUNTIFS('Tree List'!$C$3:$C$601,$C603,'Tree List'!$D$3:$D$601,"Broadleaf Evergreen")) &gt; 0,
            _xlfn.IFS($K603="Small",0.4,$K603="Small/Medium",0.8,$K603="Medium/Large",1.2,$K603="Large",1.6)
    ),
    ""
),
"")</f>
        <v/>
      </c>
      <c r="M603" s="474" t="str">
        <f t="shared" si="654"/>
        <v/>
      </c>
      <c r="N603" s="620" t="str" cm="1">
        <f t="array" aca="1" ref="N60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IF(AND(_xlpm.baseRow,ISNA(MATCH($C603,'Tree List'!$C$3:$C$601,0)),SUMPRODUCT(--ISNUMBER(SEARCH(Tables2!$C$677:$C$772,$O603)))&gt;0),
Error!$B$57,
IF(AND(_xlpm.hasDM,$F603="Remove",$H603&lt;&gt;"",OR($I603="On-site replacement",$I603="Off-site replacement",$I603="Payment In Lieu")),
Error!$B$56,
IF(AND(_xlpm.hasDM,$F603="Remove",$H603&lt;&gt;"",$I603="Relocation"),
Error!$B$66,
IF(AND(OR(_xlpm.hasCN,_xlpm.hasPH,_xlpm.hasGR),$H603&lt;&gt;"",COUNTIF(Tables!$B$132:$B$134,$H603)&gt;0,$I603="N/A (No replacement required)"),
Error!$B$62,
IF(AND(_xlpm.baseRow,$E603&lt;&gt;"",ISNA(MATCH($E603,Tables!$B$225:$B$232,0))),
Error!$B$2,
IF(AND(_xlpm.baseRow,$F603&lt;&gt;"",ISNA(MATCH($F603,Tables!$B$234:$B$235,0))),
Error!$B$24,
IF(AND(_xlpm.baseRow,_xlpm.ECA_H&gt;0,_xlpm.Shore_H&gt;0),
Error!$B$16,
IF(AND(_xlpm.baseRow,$E603&lt;&gt;"",$D603=""),
Error!$B$3,
IF(AND(_xlpm.baseRow,OR($E603="Tier 3",$E603="Tier 4"),$C603&lt;&gt;"",$D603&gt;=24,COUNTIF(Tables2!$B$166:$B$674,$C603)&gt;0),
Error!$B$44,
IF(AND(_xlpm.baseRow,OR($E603="Tier 3",$E603="Tier 4"),$C603&lt;&gt;"",$D603&lt;&gt;"",COUNTIF(Tables2!$B$73:$B$152,$C603)&gt;0,
$D603&gt;=IFERROR(INDEX(Tables2!$C$73:$C$152,MATCH($C603,Tables2!$B$73:$B$152,0)),-1)),
Error!$B$44,
IF(AND(_xlpm.baseRow,OR($E603="Tier 2",$E603="Tier 2 Grove"),$C603&lt;&gt;"",$D603&gt;=12,COUNTIF(Tables2!$B$153:$B$162,$C603)&gt;0),
Error!$B$45,
IF(AND(_xlpm.baseRow,$E603="Tier 2 Grove",$D603&lt;12),
Error!$B$41,
IF(AND(_xlpm.baseRow,$E603="Tier 2",$D603&lt;5.88),
Error!$B$40,
IF(AND(_xlpm.baseRow,OR($E603="Tier 2",$E603="Tier 2 Grove"),$C603&lt;&gt;"",$D603&lt;12,$D603&gt;=6,COUNTIF(Tables2!$B$153:$B$162,$C603)&gt;0),
Error!$B$54,
IF(AND(_xlpm.baseRow,$E603="Tier 2",COUNTIF(Tables2!$B$166:$B$674,$C603)&gt;0,$D603&lt;24),
Error!$B$54,
IF(AND(_xlpm.baseRow,$E603="Tier 3",ISNA(MATCH($C603,Tables2!$B$153:$B$162,0)),OR($D603&lt;12,$D603&gt;=24)),
Error!$B$9,
IF(AND(_xlpm.baseRow,$E603="Tier 3",COUNTIF(Tables2!$B$153:$B$162,$C603)&gt;0,$D603&lt;12),
Error!$B$46,
IF(AND(_xlpm.baseRow,$E603="Tier 4",OR($D603&lt;6,$D603&gt;=12)),
Error!$B$10,
IF(AND(_xlpm.baseRow,$E603="&lt;6in DSH for Tree Points",OR($D603&gt;=6,$D603="")),
Error!$B$8,
IF(AND(_xlpm.baseRow,$E603="Street Tree for Green Factor",$F603&lt;&gt;"",$F603&lt;&gt;"Retain"),
Error!$B$14,
IF(AND($E603="&lt;6in DSH for Tree Points",$F603="Retain",$H603&lt;&gt;"",ISNA(MATCH($H603,Tables!$B$174:$B$174,0))),
Error!$B$15,
IF(AND($E603="Street Tree for Green Factor",$F603="Retain",$H603&lt;&gt;"",$H603&lt;&gt;"Zoning: Green Factor"),
Error!$B$15,
IF(AND($E603="ECA / Shoreline Tree",$F603="Remove",$H603&lt;&gt;"",ISNA(MATCH($H603,Tables!$B$189:$B$190,0))),
Error!$B$15,
IF(AND($E603="ECA / Shoreline Tree",$F603="Retain",$H603&lt;&gt;"",ISNA(MATCH($H603,Tables!$B$184:$B$186,0))),
Error!$B$15,
IF(AND($E603="Tier 4",$F603="Remove",$H603&lt;&gt;"",ISNA(MATCH($H603,Tables!$B$171,0))),
Error!$B$15,
IF(AND($E603="Tier 4",$F603="Retain",$H603&lt;&gt;"",ISNA(MATCH($H603,Tables!$B$166:$B$168,0))),
Error!$B$15,
IF(AND($E603="Tier 3",$F603="Retain",$H603&lt;&gt;"",ISNA(MATCH($H603,Tables!$B$158:$B$160,0))),
Error!$B$15,
IF(AND($E603="Tier 3",$F603="Remove",$H603&lt;&gt;"",ISNA(MATCH($H603,Tables!$B$163,0))),
Error!$B$15,
IF(AND(OR($E603="Tier 2",$E603="Tier 2 Grove"),$F603="Remove",$H603&lt;&gt;"",ISNA(MATCH($H603,Tables!$B$153:$B$155,0))),
Error!$B$15,
IF(AND(OR($E603="Tier 2",$E603="Tier 2 Grove"),$F603="Retain",$H603&lt;&gt;"",ISNA(MATCH($H603,Tables!$B$147:$B$150,0))),
Error!$B$15,
IF(AND($E603="Tier 1",$F603="Remove",$H603&lt;&gt;"",ISNA(MATCH($H603,Tables!$B$143:$B$144,0))),
Error!$B$15,
IF(AND($E603="Tier 1",$F603="Retain",$H603&lt;&gt;"",ISNA(MATCH($H603,Tables!$B$137:$B$140,0))),
Error!$B$15,
IF(AND($E603&lt;&gt;"Tier 2",$E603&lt;&gt;"Tier 2 Grove",$E603&lt;&gt;"Tier 3",$E603&lt;&gt;"Tier 4",$H603="Zoning: Green Factor",OR($D603="",$D603&lt;6)),
Error!$B$11,
IF(AND(_xlpm.baseRow,$D603&lt;6,$E603="&lt;6in DSH for Tree Points",_xlpm.TreePoints_H=0),
Error!$B$21,
IF(AND(_xlpm.baseRow,$E603&lt;&gt;"",$D603&lt;&gt;"",$F603=""),
Error!$B$4,
IF(AND(_xlpm.baseRow,$F603="Remove",OR($E603="Tier 1",$E603="Tier 2",$E603="Tier 2 Grove"),COUNTBLANK(_xlpm.HRange)&lt;3,_xlpm.uniqueH&gt;=2),
Error!$B$48,
IF(AND(_xlpm.baseRow,$F603="Retain",OR($E603="Tier 1",$E603="Tier 2",$E603="Tier 2 Grove"),COUNTIF(_xlpm.HRange,"Tree Code: Required to Retain Tier 1-2 Tree")=0),
Error!$B$47,
IF(AND(_xlpm.baseRow,$E603&lt;&gt;"",$D603&lt;&gt;"",$F603&lt;&gt;"",COUNTBLANK(_xlpm.HRange)=4),
Error!$B$5,
IF(AND($F603="Remove",$H603&lt;&gt;"",$I603=""),
Error!$B$18,
IF(AND($E603="Tier 4",$F603="Remove",$H603="Tree Protection Code: Tier 3 or Tier 4 Allowance",$H603&lt;&gt;"",ISNA(MATCH($I603,Tables!$B$200,0))),
Error!$B$17,
IF(AND($E603="Tier 3",$F603="Remove",$H603&lt;&gt;"",$H603="Tree Protection Code: Tier 3 or Tier 4 Allowance",OR($I603="",ISNA(MATCH($I603,Tables!$B$193:$B$197,0)))),
Error!$B$17,
IF(AND(OR($E603="Tier 2",$E603="Tier 2 Grove"),$F603="Remove",$H603="Tree Protection Code: Other removal allowance or exemption",$I603&lt;&gt;"",ISNA(MATCH($I603,Tables!$B$215:$B$218,0))),
Error!$B$17,
IF(AND(OR($E603="Tier 2",$E603="Tier 2 Grove"),$F603="Remove",$H603="Tree Protection Code: Development Capacity",$I603&lt;&gt;"",ISNA(MATCH($I603,Tables!$B$193:$B$197,0))),
Error!$B$17,
IF(AND(OR($E603="Tier 2",$E603="Tier 2 Grove"),$F603="Remove",$H603="Tree Protection Code: Necessary for Construction",$I603&lt;&gt;"",ISNA(MATCH($I603,Tables!$B$193:$B$197,0))),
Error!$B$17,
IF(AND($E603="Tier 1",$F603="Remove",$H603="Tree Protection Code: Special Exception",$I603&lt;&gt;"",ISNA(MATCH($I603,Tables!$B$215:$B$218,0))),
Error!$B$17,
IF(AND($E603="Tier 1",$F603="Remove",$H603="Tree Protection Code: Other removal allowance or exemption",$I603&lt;&gt;"",ISNA(MATCH($I603,Tables!$B$215:$B$218,0))),
Error!$B$17,
IF(AND($E603="ECA / Shoreline Tree",$F603="Remove",$H603&lt;&gt;"",OR($H603="Shoreline",$H603="Environmental Critical Area (ECA)"),ISNA(MATCH($I603,Tables!$B$209:$B$212,0))),
Error!$B$17,
IF(AND(_xlpm.baseRow,$F603="Retain",$E603="ECA / Shoreline Tree",_xlpm.ECA_Short=0),
Error!$B$61,
IF(AND($F603="Remove",ISNUMBER(MATCH($E603,{"Tier 1","Tier 2","Tier 3","Tier 4","Tier 2 Grove"},0)),ISNUMBER(MATCH($I603,{"On-site replacement","Off-site replacement"},0)),$J603="",$H603&lt;&gt;""),
Error!$B$19,
IF(AND(_xlpm.baseRow,$E603&lt;&gt;"",$D603&lt;&gt;"",$F603&lt;&gt;"",COUNTBLANK($B603:$C603)&gt;0,COUNTBLANK(_xlpm.HRange)&lt;&gt;4),
Error!$B$22,
IF(AND($H603="Zoning: Tree Points",$K603&lt;&gt;"",ISNA(MATCH($K603,Tables!$B$242:$B$253,0))),
Error!$B$58,
IF(AND($H603="Zoning: Tree Points",$K603="Small",$L603&lt;&gt;"",ISNA(MATCH($L603,Tables!$C$243:$C$244,0))),
Error!$B$59,
IF(AND($H603="Zoning: Tree Points",$K603="Small/Medium",$L603&lt;&gt;"",ISNA(MATCH($L603,Tables!$C$246:$C$247,0))),
Error!$B$59,
IF(AND($H603="Zoning: Tree Points",$K603="Medium/Large",$L603&lt;&gt;"",ISNA(MATCH($L603,Tables!$C$249:$C$250,0))),
Error!$B$59,
IF(AND($H603="Zoning: Tree Points",$K603="Large",$L603&lt;&gt;"",ISNA(MATCH($L603,Tables!$C$252:$C$253,0))),
Error!$B$59,
IF(AND($F603="Retain",$H603="Zoning: Tree Points",$C603&lt;&gt;"",$D603&lt;&gt;"",OR($K603="",$L603="",$M603="")),
Error!$B$20,
""
)))))))))))))))))))))))))))))))))))))))))))))))))))))))),
Error!$B$23))</f>
        <v/>
      </c>
      <c r="O603" s="343" t="str" cm="1">
        <f t="array" aca="1" ref="O603" ca="1">IFERROR(_xlfn.LET(
    _xlpm.txt, $C603,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04" spans="1:15" x14ac:dyDescent="0.3">
      <c r="A604" s="320"/>
      <c r="B604" s="616" t="str">
        <f t="shared" ref="B604:B606" si="705">IF($B603="", "", $B603)</f>
        <v/>
      </c>
      <c r="C604" s="617" t="str">
        <f t="shared" ref="C604:C606" si="706">IF($C603="", "", $C603)</f>
        <v/>
      </c>
      <c r="D604" s="618" t="str">
        <f t="shared" ref="D604:D606" si="707">IF($D603="", "", $D603)</f>
        <v/>
      </c>
      <c r="E604" s="616" t="str">
        <f t="shared" ref="E604:E606" si="708">IF($E603="", "", $E603)</f>
        <v/>
      </c>
      <c r="F604" s="616" t="str">
        <f t="shared" ref="F604:F606" si="709">IF($F603="", "", $F603)</f>
        <v/>
      </c>
      <c r="G604" s="619" t="str">
        <f>IF(Tree_Table1[[#This Row],[Tree Status  &amp;]]="Retain", Tables!$B$237, IF(Tree_Table1[[#This Row],[Tree Status  &amp;]]="Remove", Tables!$B$238, ""))</f>
        <v/>
      </c>
      <c r="H604" s="321"/>
      <c r="I604" s="322"/>
      <c r="J604" s="453"/>
      <c r="K604" s="323" t="str">
        <f>IFERROR(
    IF(
        AND($H604="Zoning: Tree Points", NOT(ISNUMBER(SEARCH("sp.", $C604)))),
        VLOOKUP($C604, 'Tree List'!$C$3:$F$601, 4, FALSE),
        ""
    ),
"")</f>
        <v/>
      </c>
      <c r="L604" s="324" t="str" cm="1">
        <f t="array" ref="L604">IFERROR(
IF(
    AND($H604="Zoning: Tree Points", NOT(ISNUMBER(SEARCH("sp.", $C604)))),
    _xlfn.IFS(
        (COUNTIFS('Tree List'!$C$3:$C$601,$C604,'Tree List'!$D$3:$D$601,"Coniferous")
        + COUNTIFS('Tree List'!$C$3:$C$601,$C604,'Tree List'!$D$3:$D$601,"Deciduous Conifer")) &gt; 0,
            _xlfn.IFS($K604="Small",0.5,$K604="Small/Medium",1,$K604="Medium/Large",1.4,$K604="Large",1.8),
        (COUNTIFS('Tree List'!$C$3:$C$601,$C604,'Tree List'!$D$3:$D$601,"Deciduous")
        + COUNTIFS('Tree List'!$C$3:$C$601,$C604,'Tree List'!$D$3:$D$601,"Broadleaf Evergreen")) &gt; 0,
            _xlfn.IFS($K604="Small",0.4,$K604="Small/Medium",0.8,$K604="Medium/Large",1.2,$K604="Large",1.6)
    ),
    ""
),
"")</f>
        <v/>
      </c>
      <c r="M604" s="475" t="str">
        <f t="shared" si="654"/>
        <v/>
      </c>
      <c r="N604" s="346" t="str" cm="1">
        <f t="array" aca="1" ref="N60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IF(AND(_xlpm.baseRow,ISNA(MATCH($C604,'Tree List'!$C$3:$C$601,0)),SUMPRODUCT(--ISNUMBER(SEARCH(Tables2!$C$677:$C$772,$O604)))&gt;0),
Error!$B$57,
IF(AND(_xlpm.hasDM,$F604="Remove",$H604&lt;&gt;"",OR($I604="On-site replacement",$I604="Off-site replacement",$I604="Payment In Lieu")),
Error!$B$56,
IF(AND(_xlpm.hasDM,$F604="Remove",$H604&lt;&gt;"",$I604="Relocation"),
Error!$B$66,
IF(AND(OR(_xlpm.hasCN,_xlpm.hasPH,_xlpm.hasGR),$H604&lt;&gt;"",COUNTIF(Tables!$B$132:$B$134,$H604)&gt;0,$I604="N/A (No replacement required)"),
Error!$B$62,
IF(AND(_xlpm.baseRow,$E604&lt;&gt;"",ISNA(MATCH($E604,Tables!$B$225:$B$232,0))),
Error!$B$2,
IF(AND(_xlpm.baseRow,$F604&lt;&gt;"",ISNA(MATCH($F604,Tables!$B$234:$B$235,0))),
Error!$B$24,
IF(AND(_xlpm.baseRow,_xlpm.ECA_H&gt;0,_xlpm.Shore_H&gt;0),
Error!$B$16,
IF(AND(_xlpm.baseRow,$E604&lt;&gt;"",$D604=""),
Error!$B$3,
IF(AND(_xlpm.baseRow,OR($E604="Tier 3",$E604="Tier 4"),$C604&lt;&gt;"",$D604&gt;=24,COUNTIF(Tables2!$B$166:$B$674,$C604)&gt;0),
Error!$B$44,
IF(AND(_xlpm.baseRow,OR($E604="Tier 3",$E604="Tier 4"),$C604&lt;&gt;"",$D604&lt;&gt;"",COUNTIF(Tables2!$B$73:$B$152,$C604)&gt;0,
$D604&gt;=IFERROR(INDEX(Tables2!$C$73:$C$152,MATCH($C604,Tables2!$B$73:$B$152,0)),-1)),
Error!$B$44,
IF(AND(_xlpm.baseRow,OR($E604="Tier 2",$E604="Tier 2 Grove"),$C604&lt;&gt;"",$D604&gt;=12,COUNTIF(Tables2!$B$153:$B$162,$C604)&gt;0),
Error!$B$45,
IF(AND(_xlpm.baseRow,$E604="Tier 2 Grove",$D604&lt;12),
Error!$B$41,
IF(AND(_xlpm.baseRow,$E604="Tier 2",$D604&lt;5.88),
Error!$B$40,
IF(AND(_xlpm.baseRow,OR($E604="Tier 2",$E604="Tier 2 Grove"),$C604&lt;&gt;"",$D604&lt;12,$D604&gt;=6,COUNTIF(Tables2!$B$153:$B$162,$C604)&gt;0),
Error!$B$54,
IF(AND(_xlpm.baseRow,$E604="Tier 2",COUNTIF(Tables2!$B$166:$B$674,$C604)&gt;0,$D604&lt;24),
Error!$B$54,
IF(AND(_xlpm.baseRow,$E604="Tier 3",ISNA(MATCH($C604,Tables2!$B$153:$B$162,0)),OR($D604&lt;12,$D604&gt;=24)),
Error!$B$9,
IF(AND(_xlpm.baseRow,$E604="Tier 3",COUNTIF(Tables2!$B$153:$B$162,$C604)&gt;0,$D604&lt;12),
Error!$B$46,
IF(AND(_xlpm.baseRow,$E604="Tier 4",OR($D604&lt;6,$D604&gt;=12)),
Error!$B$10,
IF(AND(_xlpm.baseRow,$E604="&lt;6in DSH for Tree Points",OR($D604&gt;=6,$D604="")),
Error!$B$8,
IF(AND(_xlpm.baseRow,$E604="Street Tree for Green Factor",$F604&lt;&gt;"",$F604&lt;&gt;"Retain"),
Error!$B$14,
IF(AND($E604="&lt;6in DSH for Tree Points",$F604="Retain",$H604&lt;&gt;"",ISNA(MATCH($H604,Tables!$B$174:$B$174,0))),
Error!$B$15,
IF(AND($E604="Street Tree for Green Factor",$F604="Retain",$H604&lt;&gt;"",$H604&lt;&gt;"Zoning: Green Factor"),
Error!$B$15,
IF(AND($E604="ECA / Shoreline Tree",$F604="Remove",$H604&lt;&gt;"",ISNA(MATCH($H604,Tables!$B$189:$B$190,0))),
Error!$B$15,
IF(AND($E604="ECA / Shoreline Tree",$F604="Retain",$H604&lt;&gt;"",ISNA(MATCH($H604,Tables!$B$184:$B$186,0))),
Error!$B$15,
IF(AND($E604="Tier 4",$F604="Remove",$H604&lt;&gt;"",ISNA(MATCH($H604,Tables!$B$171,0))),
Error!$B$15,
IF(AND($E604="Tier 4",$F604="Retain",$H604&lt;&gt;"",ISNA(MATCH($H604,Tables!$B$166:$B$168,0))),
Error!$B$15,
IF(AND($E604="Tier 3",$F604="Retain",$H604&lt;&gt;"",ISNA(MATCH($H604,Tables!$B$158:$B$160,0))),
Error!$B$15,
IF(AND($E604="Tier 3",$F604="Remove",$H604&lt;&gt;"",ISNA(MATCH($H604,Tables!$B$163,0))),
Error!$B$15,
IF(AND(OR($E604="Tier 2",$E604="Tier 2 Grove"),$F604="Remove",$H604&lt;&gt;"",ISNA(MATCH($H604,Tables!$B$153:$B$155,0))),
Error!$B$15,
IF(AND(OR($E604="Tier 2",$E604="Tier 2 Grove"),$F604="Retain",$H604&lt;&gt;"",ISNA(MATCH($H604,Tables!$B$147:$B$150,0))),
Error!$B$15,
IF(AND($E604="Tier 1",$F604="Remove",$H604&lt;&gt;"",ISNA(MATCH($H604,Tables!$B$143:$B$144,0))),
Error!$B$15,
IF(AND($E604="Tier 1",$F604="Retain",$H604&lt;&gt;"",ISNA(MATCH($H604,Tables!$B$137:$B$140,0))),
Error!$B$15,
IF(AND($E604&lt;&gt;"Tier 2",$E604&lt;&gt;"Tier 2 Grove",$E604&lt;&gt;"Tier 3",$E604&lt;&gt;"Tier 4",$H604="Zoning: Green Factor",OR($D604="",$D604&lt;6)),
Error!$B$11,
IF(AND(_xlpm.baseRow,$D604&lt;6,$E604="&lt;6in DSH for Tree Points",_xlpm.TreePoints_H=0),
Error!$B$21,
IF(AND(_xlpm.baseRow,$E604&lt;&gt;"",$D604&lt;&gt;"",$F604=""),
Error!$B$4,
IF(AND(_xlpm.baseRow,$F604="Remove",OR($E604="Tier 1",$E604="Tier 2",$E604="Tier 2 Grove"),COUNTBLANK(_xlpm.HRange)&lt;3,_xlpm.uniqueH&gt;=2),
Error!$B$48,
IF(AND(_xlpm.baseRow,$F604="Retain",OR($E604="Tier 1",$E604="Tier 2",$E604="Tier 2 Grove"),COUNTIF(_xlpm.HRange,"Tree Code: Required to Retain Tier 1-2 Tree")=0),
Error!$B$47,
IF(AND(_xlpm.baseRow,$E604&lt;&gt;"",$D604&lt;&gt;"",$F604&lt;&gt;"",COUNTBLANK(_xlpm.HRange)=4),
Error!$B$5,
IF(AND($F604="Remove",$H604&lt;&gt;"",$I604=""),
Error!$B$18,
IF(AND($E604="Tier 4",$F604="Remove",$H604="Tree Protection Code: Tier 3 or Tier 4 Allowance",$H604&lt;&gt;"",ISNA(MATCH($I604,Tables!$B$200,0))),
Error!$B$17,
IF(AND($E604="Tier 3",$F604="Remove",$H604&lt;&gt;"",$H604="Tree Protection Code: Tier 3 or Tier 4 Allowance",OR($I604="",ISNA(MATCH($I604,Tables!$B$193:$B$197,0)))),
Error!$B$17,
IF(AND(OR($E604="Tier 2",$E604="Tier 2 Grove"),$F604="Remove",$H604="Tree Protection Code: Other removal allowance or exemption",$I604&lt;&gt;"",ISNA(MATCH($I604,Tables!$B$215:$B$218,0))),
Error!$B$17,
IF(AND(OR($E604="Tier 2",$E604="Tier 2 Grove"),$F604="Remove",$H604="Tree Protection Code: Development Capacity",$I604&lt;&gt;"",ISNA(MATCH($I604,Tables!$B$193:$B$197,0))),
Error!$B$17,
IF(AND(OR($E604="Tier 2",$E604="Tier 2 Grove"),$F604="Remove",$H604="Tree Protection Code: Necessary for Construction",$I604&lt;&gt;"",ISNA(MATCH($I604,Tables!$B$193:$B$197,0))),
Error!$B$17,
IF(AND($E604="Tier 1",$F604="Remove",$H604="Tree Protection Code: Special Exception",$I604&lt;&gt;"",ISNA(MATCH($I604,Tables!$B$215:$B$218,0))),
Error!$B$17,
IF(AND($E604="Tier 1",$F604="Remove",$H604="Tree Protection Code: Other removal allowance or exemption",$I604&lt;&gt;"",ISNA(MATCH($I604,Tables!$B$215:$B$218,0))),
Error!$B$17,
IF(AND($E604="ECA / Shoreline Tree",$F604="Remove",$H604&lt;&gt;"",OR($H604="Shoreline",$H604="Environmental Critical Area (ECA)"),ISNA(MATCH($I604,Tables!$B$209:$B$212,0))),
Error!$B$17,
IF(AND(_xlpm.baseRow,$F604="Retain",$E604="ECA / Shoreline Tree",_xlpm.ECA_Short=0),
Error!$B$61,
IF(AND($F604="Remove",ISNUMBER(MATCH($E604,{"Tier 1","Tier 2","Tier 3","Tier 4","Tier 2 Grove"},0)),ISNUMBER(MATCH($I604,{"On-site replacement","Off-site replacement"},0)),$J604="",$H604&lt;&gt;""),
Error!$B$19,
IF(AND(_xlpm.baseRow,$E604&lt;&gt;"",$D604&lt;&gt;"",$F604&lt;&gt;"",COUNTBLANK($B604:$C604)&gt;0,COUNTBLANK(_xlpm.HRange)&lt;&gt;4),
Error!$B$22,
IF(AND($H604="Zoning: Tree Points",$K604&lt;&gt;"",ISNA(MATCH($K604,Tables!$B$242:$B$253,0))),
Error!$B$58,
IF(AND($H604="Zoning: Tree Points",$K604="Small",$L604&lt;&gt;"",ISNA(MATCH($L604,Tables!$C$243:$C$244,0))),
Error!$B$59,
IF(AND($H604="Zoning: Tree Points",$K604="Small/Medium",$L604&lt;&gt;"",ISNA(MATCH($L604,Tables!$C$246:$C$247,0))),
Error!$B$59,
IF(AND($H604="Zoning: Tree Points",$K604="Medium/Large",$L604&lt;&gt;"",ISNA(MATCH($L604,Tables!$C$249:$C$250,0))),
Error!$B$59,
IF(AND($H604="Zoning: Tree Points",$K604="Large",$L604&lt;&gt;"",ISNA(MATCH($L604,Tables!$C$252:$C$253,0))),
Error!$B$59,
IF(AND($F604="Retain",$H604="Zoning: Tree Points",$C604&lt;&gt;"",$D604&lt;&gt;"",OR($K604="",$L604="",$M604="")),
Error!$B$20,
""
)))))))))))))))))))))))))))))))))))))))))))))))))))))))),
Error!$B$23))</f>
        <v/>
      </c>
      <c r="O604" s="343" t="str" cm="1">
        <f t="array" aca="1" ref="O604" ca="1">IFERROR(_xlfn.LET(
    _xlpm.txt, $C604,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05" spans="1:15" x14ac:dyDescent="0.3">
      <c r="A605" s="320"/>
      <c r="B605" s="616" t="str">
        <f t="shared" si="705"/>
        <v/>
      </c>
      <c r="C605" s="617" t="str">
        <f t="shared" si="706"/>
        <v/>
      </c>
      <c r="D605" s="618" t="str">
        <f t="shared" si="707"/>
        <v/>
      </c>
      <c r="E605" s="616" t="str">
        <f t="shared" si="708"/>
        <v/>
      </c>
      <c r="F605" s="616" t="str">
        <f t="shared" si="709"/>
        <v/>
      </c>
      <c r="G605" s="619" t="str">
        <f>IF(Tree_Table1[[#This Row],[Tree Status  &amp;]]="Retain", Tables!$B$237, IF(Tree_Table1[[#This Row],[Tree Status  &amp;]]="Remove", Tables!$B$238, ""))</f>
        <v/>
      </c>
      <c r="H605" s="321"/>
      <c r="I605" s="322"/>
      <c r="J605" s="453"/>
      <c r="K605" s="323" t="str">
        <f>IFERROR(
    IF(
        AND($H605="Zoning: Tree Points", NOT(ISNUMBER(SEARCH("sp.", $C605)))),
        VLOOKUP($C605, 'Tree List'!$C$3:$F$601, 4, FALSE),
        ""
    ),
"")</f>
        <v/>
      </c>
      <c r="L605" s="324" t="str" cm="1">
        <f t="array" ref="L605">IFERROR(
IF(
    AND($H605="Zoning: Tree Points", NOT(ISNUMBER(SEARCH("sp.", $C605)))),
    _xlfn.IFS(
        (COUNTIFS('Tree List'!$C$3:$C$601,$C605,'Tree List'!$D$3:$D$601,"Coniferous")
        + COUNTIFS('Tree List'!$C$3:$C$601,$C605,'Tree List'!$D$3:$D$601,"Deciduous Conifer")) &gt; 0,
            _xlfn.IFS($K605="Small",0.5,$K605="Small/Medium",1,$K605="Medium/Large",1.4,$K605="Large",1.8),
        (COUNTIFS('Tree List'!$C$3:$C$601,$C605,'Tree List'!$D$3:$D$601,"Deciduous")
        + COUNTIFS('Tree List'!$C$3:$C$601,$C605,'Tree List'!$D$3:$D$601,"Broadleaf Evergreen")) &gt; 0,
            _xlfn.IFS($K605="Small",0.4,$K605="Small/Medium",0.8,$K605="Medium/Large",1.2,$K605="Large",1.6)
    ),
    ""
),
"")</f>
        <v/>
      </c>
      <c r="M605" s="475" t="str">
        <f t="shared" si="654"/>
        <v/>
      </c>
      <c r="N605" s="346" t="str" cm="1">
        <f t="array" aca="1" ref="N60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IF(AND(_xlpm.baseRow,ISNA(MATCH($C605,'Tree List'!$C$3:$C$601,0)),SUMPRODUCT(--ISNUMBER(SEARCH(Tables2!$C$677:$C$772,$O605)))&gt;0),
Error!$B$57,
IF(AND(_xlpm.hasDM,$F605="Remove",$H605&lt;&gt;"",OR($I605="On-site replacement",$I605="Off-site replacement",$I605="Payment In Lieu")),
Error!$B$56,
IF(AND(_xlpm.hasDM,$F605="Remove",$H605&lt;&gt;"",$I605="Relocation"),
Error!$B$66,
IF(AND(OR(_xlpm.hasCN,_xlpm.hasPH,_xlpm.hasGR),$H605&lt;&gt;"",COUNTIF(Tables!$B$132:$B$134,$H605)&gt;0,$I605="N/A (No replacement required)"),
Error!$B$62,
IF(AND(_xlpm.baseRow,$E605&lt;&gt;"",ISNA(MATCH($E605,Tables!$B$225:$B$232,0))),
Error!$B$2,
IF(AND(_xlpm.baseRow,$F605&lt;&gt;"",ISNA(MATCH($F605,Tables!$B$234:$B$235,0))),
Error!$B$24,
IF(AND(_xlpm.baseRow,_xlpm.ECA_H&gt;0,_xlpm.Shore_H&gt;0),
Error!$B$16,
IF(AND(_xlpm.baseRow,$E605&lt;&gt;"",$D605=""),
Error!$B$3,
IF(AND(_xlpm.baseRow,OR($E605="Tier 3",$E605="Tier 4"),$C605&lt;&gt;"",$D605&gt;=24,COUNTIF(Tables2!$B$166:$B$674,$C605)&gt;0),
Error!$B$44,
IF(AND(_xlpm.baseRow,OR($E605="Tier 3",$E605="Tier 4"),$C605&lt;&gt;"",$D605&lt;&gt;"",COUNTIF(Tables2!$B$73:$B$152,$C605)&gt;0,
$D605&gt;=IFERROR(INDEX(Tables2!$C$73:$C$152,MATCH($C605,Tables2!$B$73:$B$152,0)),-1)),
Error!$B$44,
IF(AND(_xlpm.baseRow,OR($E605="Tier 2",$E605="Tier 2 Grove"),$C605&lt;&gt;"",$D605&gt;=12,COUNTIF(Tables2!$B$153:$B$162,$C605)&gt;0),
Error!$B$45,
IF(AND(_xlpm.baseRow,$E605="Tier 2 Grove",$D605&lt;12),
Error!$B$41,
IF(AND(_xlpm.baseRow,$E605="Tier 2",$D605&lt;5.88),
Error!$B$40,
IF(AND(_xlpm.baseRow,OR($E605="Tier 2",$E605="Tier 2 Grove"),$C605&lt;&gt;"",$D605&lt;12,$D605&gt;=6,COUNTIF(Tables2!$B$153:$B$162,$C605)&gt;0),
Error!$B$54,
IF(AND(_xlpm.baseRow,$E605="Tier 2",COUNTIF(Tables2!$B$166:$B$674,$C605)&gt;0,$D605&lt;24),
Error!$B$54,
IF(AND(_xlpm.baseRow,$E605="Tier 3",ISNA(MATCH($C605,Tables2!$B$153:$B$162,0)),OR($D605&lt;12,$D605&gt;=24)),
Error!$B$9,
IF(AND(_xlpm.baseRow,$E605="Tier 3",COUNTIF(Tables2!$B$153:$B$162,$C605)&gt;0,$D605&lt;12),
Error!$B$46,
IF(AND(_xlpm.baseRow,$E605="Tier 4",OR($D605&lt;6,$D605&gt;=12)),
Error!$B$10,
IF(AND(_xlpm.baseRow,$E605="&lt;6in DSH for Tree Points",OR($D605&gt;=6,$D605="")),
Error!$B$8,
IF(AND(_xlpm.baseRow,$E605="Street Tree for Green Factor",$F605&lt;&gt;"",$F605&lt;&gt;"Retain"),
Error!$B$14,
IF(AND($E605="&lt;6in DSH for Tree Points",$F605="Retain",$H605&lt;&gt;"",ISNA(MATCH($H605,Tables!$B$174:$B$174,0))),
Error!$B$15,
IF(AND($E605="Street Tree for Green Factor",$F605="Retain",$H605&lt;&gt;"",$H605&lt;&gt;"Zoning: Green Factor"),
Error!$B$15,
IF(AND($E605="ECA / Shoreline Tree",$F605="Remove",$H605&lt;&gt;"",ISNA(MATCH($H605,Tables!$B$189:$B$190,0))),
Error!$B$15,
IF(AND($E605="ECA / Shoreline Tree",$F605="Retain",$H605&lt;&gt;"",ISNA(MATCH($H605,Tables!$B$184:$B$186,0))),
Error!$B$15,
IF(AND($E605="Tier 4",$F605="Remove",$H605&lt;&gt;"",ISNA(MATCH($H605,Tables!$B$171,0))),
Error!$B$15,
IF(AND($E605="Tier 4",$F605="Retain",$H605&lt;&gt;"",ISNA(MATCH($H605,Tables!$B$166:$B$168,0))),
Error!$B$15,
IF(AND($E605="Tier 3",$F605="Retain",$H605&lt;&gt;"",ISNA(MATCH($H605,Tables!$B$158:$B$160,0))),
Error!$B$15,
IF(AND($E605="Tier 3",$F605="Remove",$H605&lt;&gt;"",ISNA(MATCH($H605,Tables!$B$163,0))),
Error!$B$15,
IF(AND(OR($E605="Tier 2",$E605="Tier 2 Grove"),$F605="Remove",$H605&lt;&gt;"",ISNA(MATCH($H605,Tables!$B$153:$B$155,0))),
Error!$B$15,
IF(AND(OR($E605="Tier 2",$E605="Tier 2 Grove"),$F605="Retain",$H605&lt;&gt;"",ISNA(MATCH($H605,Tables!$B$147:$B$150,0))),
Error!$B$15,
IF(AND($E605="Tier 1",$F605="Remove",$H605&lt;&gt;"",ISNA(MATCH($H605,Tables!$B$143:$B$144,0))),
Error!$B$15,
IF(AND($E605="Tier 1",$F605="Retain",$H605&lt;&gt;"",ISNA(MATCH($H605,Tables!$B$137:$B$140,0))),
Error!$B$15,
IF(AND($E605&lt;&gt;"Tier 2",$E605&lt;&gt;"Tier 2 Grove",$E605&lt;&gt;"Tier 3",$E605&lt;&gt;"Tier 4",$H605="Zoning: Green Factor",OR($D605="",$D605&lt;6)),
Error!$B$11,
IF(AND(_xlpm.baseRow,$D605&lt;6,$E605="&lt;6in DSH for Tree Points",_xlpm.TreePoints_H=0),
Error!$B$21,
IF(AND(_xlpm.baseRow,$E605&lt;&gt;"",$D605&lt;&gt;"",$F605=""),
Error!$B$4,
IF(AND(_xlpm.baseRow,$F605="Remove",OR($E605="Tier 1",$E605="Tier 2",$E605="Tier 2 Grove"),COUNTBLANK(_xlpm.HRange)&lt;3,_xlpm.uniqueH&gt;=2),
Error!$B$48,
IF(AND(_xlpm.baseRow,$F605="Retain",OR($E605="Tier 1",$E605="Tier 2",$E605="Tier 2 Grove"),COUNTIF(_xlpm.HRange,"Tree Code: Required to Retain Tier 1-2 Tree")=0),
Error!$B$47,
IF(AND(_xlpm.baseRow,$E605&lt;&gt;"",$D605&lt;&gt;"",$F605&lt;&gt;"",COUNTBLANK(_xlpm.HRange)=4),
Error!$B$5,
IF(AND($F605="Remove",$H605&lt;&gt;"",$I605=""),
Error!$B$18,
IF(AND($E605="Tier 4",$F605="Remove",$H605="Tree Protection Code: Tier 3 or Tier 4 Allowance",$H605&lt;&gt;"",ISNA(MATCH($I605,Tables!$B$200,0))),
Error!$B$17,
IF(AND($E605="Tier 3",$F605="Remove",$H605&lt;&gt;"",$H605="Tree Protection Code: Tier 3 or Tier 4 Allowance",OR($I605="",ISNA(MATCH($I605,Tables!$B$193:$B$197,0)))),
Error!$B$17,
IF(AND(OR($E605="Tier 2",$E605="Tier 2 Grove"),$F605="Remove",$H605="Tree Protection Code: Other removal allowance or exemption",$I605&lt;&gt;"",ISNA(MATCH($I605,Tables!$B$215:$B$218,0))),
Error!$B$17,
IF(AND(OR($E605="Tier 2",$E605="Tier 2 Grove"),$F605="Remove",$H605="Tree Protection Code: Development Capacity",$I605&lt;&gt;"",ISNA(MATCH($I605,Tables!$B$193:$B$197,0))),
Error!$B$17,
IF(AND(OR($E605="Tier 2",$E605="Tier 2 Grove"),$F605="Remove",$H605="Tree Protection Code: Necessary for Construction",$I605&lt;&gt;"",ISNA(MATCH($I605,Tables!$B$193:$B$197,0))),
Error!$B$17,
IF(AND($E605="Tier 1",$F605="Remove",$H605="Tree Protection Code: Special Exception",$I605&lt;&gt;"",ISNA(MATCH($I605,Tables!$B$215:$B$218,0))),
Error!$B$17,
IF(AND($E605="Tier 1",$F605="Remove",$H605="Tree Protection Code: Other removal allowance or exemption",$I605&lt;&gt;"",ISNA(MATCH($I605,Tables!$B$215:$B$218,0))),
Error!$B$17,
IF(AND($E605="ECA / Shoreline Tree",$F605="Remove",$H605&lt;&gt;"",OR($H605="Shoreline",$H605="Environmental Critical Area (ECA)"),ISNA(MATCH($I605,Tables!$B$209:$B$212,0))),
Error!$B$17,
IF(AND(_xlpm.baseRow,$F605="Retain",$E605="ECA / Shoreline Tree",_xlpm.ECA_Short=0),
Error!$B$61,
IF(AND($F605="Remove",ISNUMBER(MATCH($E605,{"Tier 1","Tier 2","Tier 3","Tier 4","Tier 2 Grove"},0)),ISNUMBER(MATCH($I605,{"On-site replacement","Off-site replacement"},0)),$J605="",$H605&lt;&gt;""),
Error!$B$19,
IF(AND(_xlpm.baseRow,$E605&lt;&gt;"",$D605&lt;&gt;"",$F605&lt;&gt;"",COUNTBLANK($B605:$C605)&gt;0,COUNTBLANK(_xlpm.HRange)&lt;&gt;4),
Error!$B$22,
IF(AND($H605="Zoning: Tree Points",$K605&lt;&gt;"",ISNA(MATCH($K605,Tables!$B$242:$B$253,0))),
Error!$B$58,
IF(AND($H605="Zoning: Tree Points",$K605="Small",$L605&lt;&gt;"",ISNA(MATCH($L605,Tables!$C$243:$C$244,0))),
Error!$B$59,
IF(AND($H605="Zoning: Tree Points",$K605="Small/Medium",$L605&lt;&gt;"",ISNA(MATCH($L605,Tables!$C$246:$C$247,0))),
Error!$B$59,
IF(AND($H605="Zoning: Tree Points",$K605="Medium/Large",$L605&lt;&gt;"",ISNA(MATCH($L605,Tables!$C$249:$C$250,0))),
Error!$B$59,
IF(AND($H605="Zoning: Tree Points",$K605="Large",$L605&lt;&gt;"",ISNA(MATCH($L605,Tables!$C$252:$C$253,0))),
Error!$B$59,
IF(AND($F605="Retain",$H605="Zoning: Tree Points",$C605&lt;&gt;"",$D605&lt;&gt;"",OR($K605="",$L605="",$M605="")),
Error!$B$20,
""
)))))))))))))))))))))))))))))))))))))))))))))))))))))))),
Error!$B$23))</f>
        <v/>
      </c>
      <c r="O605" s="343" t="str" cm="1">
        <f t="array" aca="1" ref="O605" ca="1">IFERROR(_xlfn.LET(
    _xlpm.txt, $C605,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06" spans="1:15" ht="15" thickBot="1" x14ac:dyDescent="0.35">
      <c r="A606" s="331"/>
      <c r="B606" s="616" t="str">
        <f t="shared" si="705"/>
        <v/>
      </c>
      <c r="C606" s="617" t="str">
        <f t="shared" si="706"/>
        <v/>
      </c>
      <c r="D606" s="618" t="str">
        <f t="shared" si="707"/>
        <v/>
      </c>
      <c r="E606" s="616" t="str">
        <f t="shared" si="708"/>
        <v/>
      </c>
      <c r="F606" s="616" t="str">
        <f t="shared" si="709"/>
        <v/>
      </c>
      <c r="G606" s="619" t="str">
        <f>IF(Tree_Table1[[#This Row],[Tree Status  &amp;]]="Retain", Tables!$B$237, IF(Tree_Table1[[#This Row],[Tree Status  &amp;]]="Remove", Tables!$B$238, ""))</f>
        <v/>
      </c>
      <c r="H606" s="329"/>
      <c r="I606" s="330"/>
      <c r="J606" s="455"/>
      <c r="K606" s="327" t="str">
        <f>IFERROR(
    IF(
        AND($H606="Zoning: Tree Points", NOT(ISNUMBER(SEARCH("sp.", $C606)))),
        VLOOKUP($C606, 'Tree List'!$C$3:$F$601, 4, FALSE),
        ""
    ),
"")</f>
        <v/>
      </c>
      <c r="L606" s="328" t="str" cm="1">
        <f t="array" ref="L606">IFERROR(
IF(
    AND($H606="Zoning: Tree Points", NOT(ISNUMBER(SEARCH("sp.", $C606)))),
    _xlfn.IFS(
        (COUNTIFS('Tree List'!$C$3:$C$601,$C606,'Tree List'!$D$3:$D$601,"Coniferous")
        + COUNTIFS('Tree List'!$C$3:$C$601,$C606,'Tree List'!$D$3:$D$601,"Deciduous Conifer")) &gt; 0,
            _xlfn.IFS($K606="Small",0.5,$K606="Small/Medium",1,$K606="Medium/Large",1.4,$K606="Large",1.8),
        (COUNTIFS('Tree List'!$C$3:$C$601,$C606,'Tree List'!$D$3:$D$601,"Deciduous")
        + COUNTIFS('Tree List'!$C$3:$C$601,$C606,'Tree List'!$D$3:$D$601,"Broadleaf Evergreen")) &gt; 0,
            _xlfn.IFS($K606="Small",0.4,$K606="Small/Medium",0.8,$K606="Medium/Large",1.2,$K606="Large",1.6)
    ),
    ""
),
"")</f>
        <v/>
      </c>
      <c r="M606" s="476" t="str">
        <f t="shared" si="654"/>
        <v/>
      </c>
      <c r="N606" s="347" t="str" cm="1">
        <f t="array" aca="1" ref="N60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IF(AND(_xlpm.baseRow,ISNA(MATCH($C606,'Tree List'!$C$3:$C$601,0)),SUMPRODUCT(--ISNUMBER(SEARCH(Tables2!$C$677:$C$772,$O606)))&gt;0),
Error!$B$57,
IF(AND(_xlpm.hasDM,$F606="Remove",$H606&lt;&gt;"",OR($I606="On-site replacement",$I606="Off-site replacement",$I606="Payment In Lieu")),
Error!$B$56,
IF(AND(_xlpm.hasDM,$F606="Remove",$H606&lt;&gt;"",$I606="Relocation"),
Error!$B$66,
IF(AND(OR(_xlpm.hasCN,_xlpm.hasPH,_xlpm.hasGR),$H606&lt;&gt;"",COUNTIF(Tables!$B$132:$B$134,$H606)&gt;0,$I606="N/A (No replacement required)"),
Error!$B$62,
IF(AND(_xlpm.baseRow,$E606&lt;&gt;"",ISNA(MATCH($E606,Tables!$B$225:$B$232,0))),
Error!$B$2,
IF(AND(_xlpm.baseRow,$F606&lt;&gt;"",ISNA(MATCH($F606,Tables!$B$234:$B$235,0))),
Error!$B$24,
IF(AND(_xlpm.baseRow,_xlpm.ECA_H&gt;0,_xlpm.Shore_H&gt;0),
Error!$B$16,
IF(AND(_xlpm.baseRow,$E606&lt;&gt;"",$D606=""),
Error!$B$3,
IF(AND(_xlpm.baseRow,OR($E606="Tier 3",$E606="Tier 4"),$C606&lt;&gt;"",$D606&gt;=24,COUNTIF(Tables2!$B$166:$B$674,$C606)&gt;0),
Error!$B$44,
IF(AND(_xlpm.baseRow,OR($E606="Tier 3",$E606="Tier 4"),$C606&lt;&gt;"",$D606&lt;&gt;"",COUNTIF(Tables2!$B$73:$B$152,$C606)&gt;0,
$D606&gt;=IFERROR(INDEX(Tables2!$C$73:$C$152,MATCH($C606,Tables2!$B$73:$B$152,0)),-1)),
Error!$B$44,
IF(AND(_xlpm.baseRow,OR($E606="Tier 2",$E606="Tier 2 Grove"),$C606&lt;&gt;"",$D606&gt;=12,COUNTIF(Tables2!$B$153:$B$162,$C606)&gt;0),
Error!$B$45,
IF(AND(_xlpm.baseRow,$E606="Tier 2 Grove",$D606&lt;12),
Error!$B$41,
IF(AND(_xlpm.baseRow,$E606="Tier 2",$D606&lt;5.88),
Error!$B$40,
IF(AND(_xlpm.baseRow,OR($E606="Tier 2",$E606="Tier 2 Grove"),$C606&lt;&gt;"",$D606&lt;12,$D606&gt;=6,COUNTIF(Tables2!$B$153:$B$162,$C606)&gt;0),
Error!$B$54,
IF(AND(_xlpm.baseRow,$E606="Tier 2",COUNTIF(Tables2!$B$166:$B$674,$C606)&gt;0,$D606&lt;24),
Error!$B$54,
IF(AND(_xlpm.baseRow,$E606="Tier 3",ISNA(MATCH($C606,Tables2!$B$153:$B$162,0)),OR($D606&lt;12,$D606&gt;=24)),
Error!$B$9,
IF(AND(_xlpm.baseRow,$E606="Tier 3",COUNTIF(Tables2!$B$153:$B$162,$C606)&gt;0,$D606&lt;12),
Error!$B$46,
IF(AND(_xlpm.baseRow,$E606="Tier 4",OR($D606&lt;6,$D606&gt;=12)),
Error!$B$10,
IF(AND(_xlpm.baseRow,$E606="&lt;6in DSH for Tree Points",OR($D606&gt;=6,$D606="")),
Error!$B$8,
IF(AND(_xlpm.baseRow,$E606="Street Tree for Green Factor",$F606&lt;&gt;"",$F606&lt;&gt;"Retain"),
Error!$B$14,
IF(AND($E606="&lt;6in DSH for Tree Points",$F606="Retain",$H606&lt;&gt;"",ISNA(MATCH($H606,Tables!$B$174:$B$174,0))),
Error!$B$15,
IF(AND($E606="Street Tree for Green Factor",$F606="Retain",$H606&lt;&gt;"",$H606&lt;&gt;"Zoning: Green Factor"),
Error!$B$15,
IF(AND($E606="ECA / Shoreline Tree",$F606="Remove",$H606&lt;&gt;"",ISNA(MATCH($H606,Tables!$B$189:$B$190,0))),
Error!$B$15,
IF(AND($E606="ECA / Shoreline Tree",$F606="Retain",$H606&lt;&gt;"",ISNA(MATCH($H606,Tables!$B$184:$B$186,0))),
Error!$B$15,
IF(AND($E606="Tier 4",$F606="Remove",$H606&lt;&gt;"",ISNA(MATCH($H606,Tables!$B$171,0))),
Error!$B$15,
IF(AND($E606="Tier 4",$F606="Retain",$H606&lt;&gt;"",ISNA(MATCH($H606,Tables!$B$166:$B$168,0))),
Error!$B$15,
IF(AND($E606="Tier 3",$F606="Retain",$H606&lt;&gt;"",ISNA(MATCH($H606,Tables!$B$158:$B$160,0))),
Error!$B$15,
IF(AND($E606="Tier 3",$F606="Remove",$H606&lt;&gt;"",ISNA(MATCH($H606,Tables!$B$163,0))),
Error!$B$15,
IF(AND(OR($E606="Tier 2",$E606="Tier 2 Grove"),$F606="Remove",$H606&lt;&gt;"",ISNA(MATCH($H606,Tables!$B$153:$B$155,0))),
Error!$B$15,
IF(AND(OR($E606="Tier 2",$E606="Tier 2 Grove"),$F606="Retain",$H606&lt;&gt;"",ISNA(MATCH($H606,Tables!$B$147:$B$150,0))),
Error!$B$15,
IF(AND($E606="Tier 1",$F606="Remove",$H606&lt;&gt;"",ISNA(MATCH($H606,Tables!$B$143:$B$144,0))),
Error!$B$15,
IF(AND($E606="Tier 1",$F606="Retain",$H606&lt;&gt;"",ISNA(MATCH($H606,Tables!$B$137:$B$140,0))),
Error!$B$15,
IF(AND($E606&lt;&gt;"Tier 2",$E606&lt;&gt;"Tier 2 Grove",$E606&lt;&gt;"Tier 3",$E606&lt;&gt;"Tier 4",$H606="Zoning: Green Factor",OR($D606="",$D606&lt;6)),
Error!$B$11,
IF(AND(_xlpm.baseRow,$D606&lt;6,$E606="&lt;6in DSH for Tree Points",_xlpm.TreePoints_H=0),
Error!$B$21,
IF(AND(_xlpm.baseRow,$E606&lt;&gt;"",$D606&lt;&gt;"",$F606=""),
Error!$B$4,
IF(AND(_xlpm.baseRow,$F606="Remove",OR($E606="Tier 1",$E606="Tier 2",$E606="Tier 2 Grove"),COUNTBLANK(_xlpm.HRange)&lt;3,_xlpm.uniqueH&gt;=2),
Error!$B$48,
IF(AND(_xlpm.baseRow,$F606="Retain",OR($E606="Tier 1",$E606="Tier 2",$E606="Tier 2 Grove"),COUNTIF(_xlpm.HRange,"Tree Code: Required to Retain Tier 1-2 Tree")=0),
Error!$B$47,
IF(AND(_xlpm.baseRow,$E606&lt;&gt;"",$D606&lt;&gt;"",$F606&lt;&gt;"",COUNTBLANK(_xlpm.HRange)=4),
Error!$B$5,
IF(AND($F606="Remove",$H606&lt;&gt;"",$I606=""),
Error!$B$18,
IF(AND($E606="Tier 4",$F606="Remove",$H606="Tree Protection Code: Tier 3 or Tier 4 Allowance",$H606&lt;&gt;"",ISNA(MATCH($I606,Tables!$B$200,0))),
Error!$B$17,
IF(AND($E606="Tier 3",$F606="Remove",$H606&lt;&gt;"",$H606="Tree Protection Code: Tier 3 or Tier 4 Allowance",OR($I606="",ISNA(MATCH($I606,Tables!$B$193:$B$197,0)))),
Error!$B$17,
IF(AND(OR($E606="Tier 2",$E606="Tier 2 Grove"),$F606="Remove",$H606="Tree Protection Code: Other removal allowance or exemption",$I606&lt;&gt;"",ISNA(MATCH($I606,Tables!$B$215:$B$218,0))),
Error!$B$17,
IF(AND(OR($E606="Tier 2",$E606="Tier 2 Grove"),$F606="Remove",$H606="Tree Protection Code: Development Capacity",$I606&lt;&gt;"",ISNA(MATCH($I606,Tables!$B$193:$B$197,0))),
Error!$B$17,
IF(AND(OR($E606="Tier 2",$E606="Tier 2 Grove"),$F606="Remove",$H606="Tree Protection Code: Necessary for Construction",$I606&lt;&gt;"",ISNA(MATCH($I606,Tables!$B$193:$B$197,0))),
Error!$B$17,
IF(AND($E606="Tier 1",$F606="Remove",$H606="Tree Protection Code: Special Exception",$I606&lt;&gt;"",ISNA(MATCH($I606,Tables!$B$215:$B$218,0))),
Error!$B$17,
IF(AND($E606="Tier 1",$F606="Remove",$H606="Tree Protection Code: Other removal allowance or exemption",$I606&lt;&gt;"",ISNA(MATCH($I606,Tables!$B$215:$B$218,0))),
Error!$B$17,
IF(AND($E606="ECA / Shoreline Tree",$F606="Remove",$H606&lt;&gt;"",OR($H606="Shoreline",$H606="Environmental Critical Area (ECA)"),ISNA(MATCH($I606,Tables!$B$209:$B$212,0))),
Error!$B$17,
IF(AND(_xlpm.baseRow,$F606="Retain",$E606="ECA / Shoreline Tree",_xlpm.ECA_Short=0),
Error!$B$61,
IF(AND($F606="Remove",ISNUMBER(MATCH($E606,{"Tier 1","Tier 2","Tier 3","Tier 4","Tier 2 Grove"},0)),ISNUMBER(MATCH($I606,{"On-site replacement","Off-site replacement"},0)),$J606="",$H606&lt;&gt;""),
Error!$B$19,
IF(AND(_xlpm.baseRow,$E606&lt;&gt;"",$D606&lt;&gt;"",$F606&lt;&gt;"",COUNTBLANK($B606:$C606)&gt;0,COUNTBLANK(_xlpm.HRange)&lt;&gt;4),
Error!$B$22,
IF(AND($H606="Zoning: Tree Points",$K606&lt;&gt;"",ISNA(MATCH($K606,Tables!$B$242:$B$253,0))),
Error!$B$58,
IF(AND($H606="Zoning: Tree Points",$K606="Small",$L606&lt;&gt;"",ISNA(MATCH($L606,Tables!$C$243:$C$244,0))),
Error!$B$59,
IF(AND($H606="Zoning: Tree Points",$K606="Small/Medium",$L606&lt;&gt;"",ISNA(MATCH($L606,Tables!$C$246:$C$247,0))),
Error!$B$59,
IF(AND($H606="Zoning: Tree Points",$K606="Medium/Large",$L606&lt;&gt;"",ISNA(MATCH($L606,Tables!$C$249:$C$250,0))),
Error!$B$59,
IF(AND($H606="Zoning: Tree Points",$K606="Large",$L606&lt;&gt;"",ISNA(MATCH($L606,Tables!$C$252:$C$253,0))),
Error!$B$59,
IF(AND($F606="Retain",$H606="Zoning: Tree Points",$C606&lt;&gt;"",$D606&lt;&gt;"",OR($K606="",$L606="",$M606="")),
Error!$B$20,
""
)))))))))))))))))))))))))))))))))))))))))))))))))))))))),
Error!$B$23))</f>
        <v/>
      </c>
      <c r="O606" s="343" t="str" cm="1">
        <f t="array" aca="1" ref="O606" ca="1">IFERROR(_xlfn.LET(
    _xlpm.txt, $C606,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07" spans="1:15" ht="15" thickBot="1" x14ac:dyDescent="0.35">
      <c r="A607" s="311">
        <v>150</v>
      </c>
      <c r="B607" s="312"/>
      <c r="C607" s="313"/>
      <c r="D607" s="478"/>
      <c r="E607" s="314"/>
      <c r="F607" s="314"/>
      <c r="G607" s="315" t="str">
        <f>IF(Tree_Table1[[#This Row],[Tree Status  &amp;]]="Retain", Tables!$B$237, IF(Tree_Table1[[#This Row],[Tree Status  &amp;]]="Remove", Tables!$B$238, ""))</f>
        <v/>
      </c>
      <c r="H607" s="316"/>
      <c r="I607" s="317"/>
      <c r="J607" s="452"/>
      <c r="K607" s="318" t="str">
        <f>IFERROR(
    IF(
        AND($H607="Zoning: Tree Points", NOT(ISNUMBER(SEARCH("sp.", $C607)))),
        VLOOKUP($C607, 'Tree List'!$C$3:$F$601, 4, FALSE),
        ""
    ),
"")</f>
        <v/>
      </c>
      <c r="L607" s="319" t="str" cm="1">
        <f t="array" ref="L607">IFERROR(
IF(
    AND($H607="Zoning: Tree Points", NOT(ISNUMBER(SEARCH("sp.", $C607)))),
    _xlfn.IFS(
        (COUNTIFS('Tree List'!$C$3:$C$601,$C607,'Tree List'!$D$3:$D$601,"Coniferous")
        + COUNTIFS('Tree List'!$C$3:$C$601,$C607,'Tree List'!$D$3:$D$601,"Deciduous Conifer")) &gt; 0,
            _xlfn.IFS($K607="Small",0.5,$K607="Small/Medium",1,$K607="Medium/Large",1.4,$K607="Large",1.8),
        (COUNTIFS('Tree List'!$C$3:$C$601,$C607,'Tree List'!$D$3:$D$601,"Deciduous")
        + COUNTIFS('Tree List'!$C$3:$C$601,$C607,'Tree List'!$D$3:$D$601,"Broadleaf Evergreen")) &gt; 0,
            _xlfn.IFS($K607="Small",0.4,$K607="Small/Medium",0.8,$K607="Medium/Large",1.2,$K607="Large",1.6)
    ),
    ""
),
"")</f>
        <v/>
      </c>
      <c r="M607" s="474" t="str">
        <f t="shared" si="654"/>
        <v/>
      </c>
      <c r="N607" s="620" t="str" cm="1">
        <f t="array" aca="1" ref="N60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IF(AND(_xlpm.baseRow,ISNA(MATCH($C607,'Tree List'!$C$3:$C$601,0)),SUMPRODUCT(--ISNUMBER(SEARCH(Tables2!$C$677:$C$772,$O607)))&gt;0),
Error!$B$57,
IF(AND(_xlpm.hasDM,$F607="Remove",$H607&lt;&gt;"",OR($I607="On-site replacement",$I607="Off-site replacement",$I607="Payment In Lieu")),
Error!$B$56,
IF(AND(_xlpm.hasDM,$F607="Remove",$H607&lt;&gt;"",$I607="Relocation"),
Error!$B$66,
IF(AND(OR(_xlpm.hasCN,_xlpm.hasPH,_xlpm.hasGR),$H607&lt;&gt;"",COUNTIF(Tables!$B$132:$B$134,$H607)&gt;0,$I607="N/A (No replacement required)"),
Error!$B$62,
IF(AND(_xlpm.baseRow,$E607&lt;&gt;"",ISNA(MATCH($E607,Tables!$B$225:$B$232,0))),
Error!$B$2,
IF(AND(_xlpm.baseRow,$F607&lt;&gt;"",ISNA(MATCH($F607,Tables!$B$234:$B$235,0))),
Error!$B$24,
IF(AND(_xlpm.baseRow,_xlpm.ECA_H&gt;0,_xlpm.Shore_H&gt;0),
Error!$B$16,
IF(AND(_xlpm.baseRow,$E607&lt;&gt;"",$D607=""),
Error!$B$3,
IF(AND(_xlpm.baseRow,OR($E607="Tier 3",$E607="Tier 4"),$C607&lt;&gt;"",$D607&gt;=24,COUNTIF(Tables2!$B$166:$B$674,$C607)&gt;0),
Error!$B$44,
IF(AND(_xlpm.baseRow,OR($E607="Tier 3",$E607="Tier 4"),$C607&lt;&gt;"",$D607&lt;&gt;"",COUNTIF(Tables2!$B$73:$B$152,$C607)&gt;0,
$D607&gt;=IFERROR(INDEX(Tables2!$C$73:$C$152,MATCH($C607,Tables2!$B$73:$B$152,0)),-1)),
Error!$B$44,
IF(AND(_xlpm.baseRow,OR($E607="Tier 2",$E607="Tier 2 Grove"),$C607&lt;&gt;"",$D607&gt;=12,COUNTIF(Tables2!$B$153:$B$162,$C607)&gt;0),
Error!$B$45,
IF(AND(_xlpm.baseRow,$E607="Tier 2 Grove",$D607&lt;12),
Error!$B$41,
IF(AND(_xlpm.baseRow,$E607="Tier 2",$D607&lt;5.88),
Error!$B$40,
IF(AND(_xlpm.baseRow,OR($E607="Tier 2",$E607="Tier 2 Grove"),$C607&lt;&gt;"",$D607&lt;12,$D607&gt;=6,COUNTIF(Tables2!$B$153:$B$162,$C607)&gt;0),
Error!$B$54,
IF(AND(_xlpm.baseRow,$E607="Tier 2",COUNTIF(Tables2!$B$166:$B$674,$C607)&gt;0,$D607&lt;24),
Error!$B$54,
IF(AND(_xlpm.baseRow,$E607="Tier 3",ISNA(MATCH($C607,Tables2!$B$153:$B$162,0)),OR($D607&lt;12,$D607&gt;=24)),
Error!$B$9,
IF(AND(_xlpm.baseRow,$E607="Tier 3",COUNTIF(Tables2!$B$153:$B$162,$C607)&gt;0,$D607&lt;12),
Error!$B$46,
IF(AND(_xlpm.baseRow,$E607="Tier 4",OR($D607&lt;6,$D607&gt;=12)),
Error!$B$10,
IF(AND(_xlpm.baseRow,$E607="&lt;6in DSH for Tree Points",OR($D607&gt;=6,$D607="")),
Error!$B$8,
IF(AND(_xlpm.baseRow,$E607="Street Tree for Green Factor",$F607&lt;&gt;"",$F607&lt;&gt;"Retain"),
Error!$B$14,
IF(AND($E607="&lt;6in DSH for Tree Points",$F607="Retain",$H607&lt;&gt;"",ISNA(MATCH($H607,Tables!$B$174:$B$174,0))),
Error!$B$15,
IF(AND($E607="Street Tree for Green Factor",$F607="Retain",$H607&lt;&gt;"",$H607&lt;&gt;"Zoning: Green Factor"),
Error!$B$15,
IF(AND($E607="ECA / Shoreline Tree",$F607="Remove",$H607&lt;&gt;"",ISNA(MATCH($H607,Tables!$B$189:$B$190,0))),
Error!$B$15,
IF(AND($E607="ECA / Shoreline Tree",$F607="Retain",$H607&lt;&gt;"",ISNA(MATCH($H607,Tables!$B$184:$B$186,0))),
Error!$B$15,
IF(AND($E607="Tier 4",$F607="Remove",$H607&lt;&gt;"",ISNA(MATCH($H607,Tables!$B$171,0))),
Error!$B$15,
IF(AND($E607="Tier 4",$F607="Retain",$H607&lt;&gt;"",ISNA(MATCH($H607,Tables!$B$166:$B$168,0))),
Error!$B$15,
IF(AND($E607="Tier 3",$F607="Retain",$H607&lt;&gt;"",ISNA(MATCH($H607,Tables!$B$158:$B$160,0))),
Error!$B$15,
IF(AND($E607="Tier 3",$F607="Remove",$H607&lt;&gt;"",ISNA(MATCH($H607,Tables!$B$163,0))),
Error!$B$15,
IF(AND(OR($E607="Tier 2",$E607="Tier 2 Grove"),$F607="Remove",$H607&lt;&gt;"",ISNA(MATCH($H607,Tables!$B$153:$B$155,0))),
Error!$B$15,
IF(AND(OR($E607="Tier 2",$E607="Tier 2 Grove"),$F607="Retain",$H607&lt;&gt;"",ISNA(MATCH($H607,Tables!$B$147:$B$150,0))),
Error!$B$15,
IF(AND($E607="Tier 1",$F607="Remove",$H607&lt;&gt;"",ISNA(MATCH($H607,Tables!$B$143:$B$144,0))),
Error!$B$15,
IF(AND($E607="Tier 1",$F607="Retain",$H607&lt;&gt;"",ISNA(MATCH($H607,Tables!$B$137:$B$140,0))),
Error!$B$15,
IF(AND($E607&lt;&gt;"Tier 2",$E607&lt;&gt;"Tier 2 Grove",$E607&lt;&gt;"Tier 3",$E607&lt;&gt;"Tier 4",$H607="Zoning: Green Factor",OR($D607="",$D607&lt;6)),
Error!$B$11,
IF(AND(_xlpm.baseRow,$D607&lt;6,$E607="&lt;6in DSH for Tree Points",_xlpm.TreePoints_H=0),
Error!$B$21,
IF(AND(_xlpm.baseRow,$E607&lt;&gt;"",$D607&lt;&gt;"",$F607=""),
Error!$B$4,
IF(AND(_xlpm.baseRow,$F607="Remove",OR($E607="Tier 1",$E607="Tier 2",$E607="Tier 2 Grove"),COUNTBLANK(_xlpm.HRange)&lt;3,_xlpm.uniqueH&gt;=2),
Error!$B$48,
IF(AND(_xlpm.baseRow,$F607="Retain",OR($E607="Tier 1",$E607="Tier 2",$E607="Tier 2 Grove"),COUNTIF(_xlpm.HRange,"Tree Code: Required to Retain Tier 1-2 Tree")=0),
Error!$B$47,
IF(AND(_xlpm.baseRow,$E607&lt;&gt;"",$D607&lt;&gt;"",$F607&lt;&gt;"",COUNTBLANK(_xlpm.HRange)=4),
Error!$B$5,
IF(AND($F607="Remove",$H607&lt;&gt;"",$I607=""),
Error!$B$18,
IF(AND($E607="Tier 4",$F607="Remove",$H607="Tree Protection Code: Tier 3 or Tier 4 Allowance",$H607&lt;&gt;"",ISNA(MATCH($I607,Tables!$B$200,0))),
Error!$B$17,
IF(AND($E607="Tier 3",$F607="Remove",$H607&lt;&gt;"",$H607="Tree Protection Code: Tier 3 or Tier 4 Allowance",OR($I607="",ISNA(MATCH($I607,Tables!$B$193:$B$197,0)))),
Error!$B$17,
IF(AND(OR($E607="Tier 2",$E607="Tier 2 Grove"),$F607="Remove",$H607="Tree Protection Code: Other removal allowance or exemption",$I607&lt;&gt;"",ISNA(MATCH($I607,Tables!$B$215:$B$218,0))),
Error!$B$17,
IF(AND(OR($E607="Tier 2",$E607="Tier 2 Grove"),$F607="Remove",$H607="Tree Protection Code: Development Capacity",$I607&lt;&gt;"",ISNA(MATCH($I607,Tables!$B$193:$B$197,0))),
Error!$B$17,
IF(AND(OR($E607="Tier 2",$E607="Tier 2 Grove"),$F607="Remove",$H607="Tree Protection Code: Necessary for Construction",$I607&lt;&gt;"",ISNA(MATCH($I607,Tables!$B$193:$B$197,0))),
Error!$B$17,
IF(AND($E607="Tier 1",$F607="Remove",$H607="Tree Protection Code: Special Exception",$I607&lt;&gt;"",ISNA(MATCH($I607,Tables!$B$215:$B$218,0))),
Error!$B$17,
IF(AND($E607="Tier 1",$F607="Remove",$H607="Tree Protection Code: Other removal allowance or exemption",$I607&lt;&gt;"",ISNA(MATCH($I607,Tables!$B$215:$B$218,0))),
Error!$B$17,
IF(AND($E607="ECA / Shoreline Tree",$F607="Remove",$H607&lt;&gt;"",OR($H607="Shoreline",$H607="Environmental Critical Area (ECA)"),ISNA(MATCH($I607,Tables!$B$209:$B$212,0))),
Error!$B$17,
IF(AND(_xlpm.baseRow,$F607="Retain",$E607="ECA / Shoreline Tree",_xlpm.ECA_Short=0),
Error!$B$61,
IF(AND($F607="Remove",ISNUMBER(MATCH($E607,{"Tier 1","Tier 2","Tier 3","Tier 4","Tier 2 Grove"},0)),ISNUMBER(MATCH($I607,{"On-site replacement","Off-site replacement"},0)),$J607="",$H607&lt;&gt;""),
Error!$B$19,
IF(AND(_xlpm.baseRow,$E607&lt;&gt;"",$D607&lt;&gt;"",$F607&lt;&gt;"",COUNTBLANK($B607:$C607)&gt;0,COUNTBLANK(_xlpm.HRange)&lt;&gt;4),
Error!$B$22,
IF(AND($H607="Zoning: Tree Points",$K607&lt;&gt;"",ISNA(MATCH($K607,Tables!$B$242:$B$253,0))),
Error!$B$58,
IF(AND($H607="Zoning: Tree Points",$K607="Small",$L607&lt;&gt;"",ISNA(MATCH($L607,Tables!$C$243:$C$244,0))),
Error!$B$59,
IF(AND($H607="Zoning: Tree Points",$K607="Small/Medium",$L607&lt;&gt;"",ISNA(MATCH($L607,Tables!$C$246:$C$247,0))),
Error!$B$59,
IF(AND($H607="Zoning: Tree Points",$K607="Medium/Large",$L607&lt;&gt;"",ISNA(MATCH($L607,Tables!$C$249:$C$250,0))),
Error!$B$59,
IF(AND($H607="Zoning: Tree Points",$K607="Large",$L607&lt;&gt;"",ISNA(MATCH($L607,Tables!$C$252:$C$253,0))),
Error!$B$59,
IF(AND($F607="Retain",$H607="Zoning: Tree Points",$C607&lt;&gt;"",$D607&lt;&gt;"",OR($K607="",$L607="",$M607="")),
Error!$B$20,
""
)))))))))))))))))))))))))))))))))))))))))))))))))))))))),
Error!$B$23))</f>
        <v/>
      </c>
      <c r="O607" s="343" t="str" cm="1">
        <f t="array" aca="1" ref="O607" ca="1">IFERROR(_xlfn.LET(
    _xlpm.txt, $C607,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08" spans="1:15" x14ac:dyDescent="0.3">
      <c r="A608" s="320"/>
      <c r="B608" s="616" t="str">
        <f t="shared" ref="B608:B610" si="710">IF($B607="", "", $B607)</f>
        <v/>
      </c>
      <c r="C608" s="617" t="str">
        <f t="shared" ref="C608:C610" si="711">IF($C607="", "", $C607)</f>
        <v/>
      </c>
      <c r="D608" s="618" t="str">
        <f t="shared" ref="D608:D610" si="712">IF($D607="", "", $D607)</f>
        <v/>
      </c>
      <c r="E608" s="616" t="str">
        <f t="shared" ref="E608:E610" si="713">IF($E607="", "", $E607)</f>
        <v/>
      </c>
      <c r="F608" s="616" t="str">
        <f t="shared" ref="F608:F610" si="714">IF($F607="", "", $F607)</f>
        <v/>
      </c>
      <c r="G608" s="619" t="str">
        <f>IF(Tree_Table1[[#This Row],[Tree Status  &amp;]]="Retain", Tables!$B$237, IF(Tree_Table1[[#This Row],[Tree Status  &amp;]]="Remove", Tables!$B$238, ""))</f>
        <v/>
      </c>
      <c r="H608" s="321"/>
      <c r="I608" s="322"/>
      <c r="J608" s="453"/>
      <c r="K608" s="323" t="str">
        <f>IFERROR(
    IF(
        AND($H608="Zoning: Tree Points", NOT(ISNUMBER(SEARCH("sp.", $C608)))),
        VLOOKUP($C608, 'Tree List'!$C$3:$F$601, 4, FALSE),
        ""
    ),
"")</f>
        <v/>
      </c>
      <c r="L608" s="324" t="str" cm="1">
        <f t="array" ref="L608">IFERROR(
IF(
    AND($H608="Zoning: Tree Points", NOT(ISNUMBER(SEARCH("sp.", $C608)))),
    _xlfn.IFS(
        (COUNTIFS('Tree List'!$C$3:$C$601,$C608,'Tree List'!$D$3:$D$601,"Coniferous")
        + COUNTIFS('Tree List'!$C$3:$C$601,$C608,'Tree List'!$D$3:$D$601,"Deciduous Conifer")) &gt; 0,
            _xlfn.IFS($K608="Small",0.5,$K608="Small/Medium",1,$K608="Medium/Large",1.4,$K608="Large",1.8),
        (COUNTIFS('Tree List'!$C$3:$C$601,$C608,'Tree List'!$D$3:$D$601,"Deciduous")
        + COUNTIFS('Tree List'!$C$3:$C$601,$C608,'Tree List'!$D$3:$D$601,"Broadleaf Evergreen")) &gt; 0,
            _xlfn.IFS($K608="Small",0.4,$K608="Small/Medium",0.8,$K608="Medium/Large",1.2,$K608="Large",1.6)
    ),
    ""
),
"")</f>
        <v/>
      </c>
      <c r="M608" s="475" t="str">
        <f t="shared" si="654"/>
        <v/>
      </c>
      <c r="N608" s="346" t="str" cm="1">
        <f t="array" aca="1" ref="N60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IF(AND(_xlpm.baseRow,ISNA(MATCH($C608,'Tree List'!$C$3:$C$601,0)),SUMPRODUCT(--ISNUMBER(SEARCH(Tables2!$C$677:$C$772,$O608)))&gt;0),
Error!$B$57,
IF(AND(_xlpm.hasDM,$F608="Remove",$H608&lt;&gt;"",OR($I608="On-site replacement",$I608="Off-site replacement",$I608="Payment In Lieu")),
Error!$B$56,
IF(AND(_xlpm.hasDM,$F608="Remove",$H608&lt;&gt;"",$I608="Relocation"),
Error!$B$66,
IF(AND(OR(_xlpm.hasCN,_xlpm.hasPH,_xlpm.hasGR),$H608&lt;&gt;"",COUNTIF(Tables!$B$132:$B$134,$H608)&gt;0,$I608="N/A (No replacement required)"),
Error!$B$62,
IF(AND(_xlpm.baseRow,$E608&lt;&gt;"",ISNA(MATCH($E608,Tables!$B$225:$B$232,0))),
Error!$B$2,
IF(AND(_xlpm.baseRow,$F608&lt;&gt;"",ISNA(MATCH($F608,Tables!$B$234:$B$235,0))),
Error!$B$24,
IF(AND(_xlpm.baseRow,_xlpm.ECA_H&gt;0,_xlpm.Shore_H&gt;0),
Error!$B$16,
IF(AND(_xlpm.baseRow,$E608&lt;&gt;"",$D608=""),
Error!$B$3,
IF(AND(_xlpm.baseRow,OR($E608="Tier 3",$E608="Tier 4"),$C608&lt;&gt;"",$D608&gt;=24,COUNTIF(Tables2!$B$166:$B$674,$C608)&gt;0),
Error!$B$44,
IF(AND(_xlpm.baseRow,OR($E608="Tier 3",$E608="Tier 4"),$C608&lt;&gt;"",$D608&lt;&gt;"",COUNTIF(Tables2!$B$73:$B$152,$C608)&gt;0,
$D608&gt;=IFERROR(INDEX(Tables2!$C$73:$C$152,MATCH($C608,Tables2!$B$73:$B$152,0)),-1)),
Error!$B$44,
IF(AND(_xlpm.baseRow,OR($E608="Tier 2",$E608="Tier 2 Grove"),$C608&lt;&gt;"",$D608&gt;=12,COUNTIF(Tables2!$B$153:$B$162,$C608)&gt;0),
Error!$B$45,
IF(AND(_xlpm.baseRow,$E608="Tier 2 Grove",$D608&lt;12),
Error!$B$41,
IF(AND(_xlpm.baseRow,$E608="Tier 2",$D608&lt;5.88),
Error!$B$40,
IF(AND(_xlpm.baseRow,OR($E608="Tier 2",$E608="Tier 2 Grove"),$C608&lt;&gt;"",$D608&lt;12,$D608&gt;=6,COUNTIF(Tables2!$B$153:$B$162,$C608)&gt;0),
Error!$B$54,
IF(AND(_xlpm.baseRow,$E608="Tier 2",COUNTIF(Tables2!$B$166:$B$674,$C608)&gt;0,$D608&lt;24),
Error!$B$54,
IF(AND(_xlpm.baseRow,$E608="Tier 3",ISNA(MATCH($C608,Tables2!$B$153:$B$162,0)),OR($D608&lt;12,$D608&gt;=24)),
Error!$B$9,
IF(AND(_xlpm.baseRow,$E608="Tier 3",COUNTIF(Tables2!$B$153:$B$162,$C608)&gt;0,$D608&lt;12),
Error!$B$46,
IF(AND(_xlpm.baseRow,$E608="Tier 4",OR($D608&lt;6,$D608&gt;=12)),
Error!$B$10,
IF(AND(_xlpm.baseRow,$E608="&lt;6in DSH for Tree Points",OR($D608&gt;=6,$D608="")),
Error!$B$8,
IF(AND(_xlpm.baseRow,$E608="Street Tree for Green Factor",$F608&lt;&gt;"",$F608&lt;&gt;"Retain"),
Error!$B$14,
IF(AND($E608="&lt;6in DSH for Tree Points",$F608="Retain",$H608&lt;&gt;"",ISNA(MATCH($H608,Tables!$B$174:$B$174,0))),
Error!$B$15,
IF(AND($E608="Street Tree for Green Factor",$F608="Retain",$H608&lt;&gt;"",$H608&lt;&gt;"Zoning: Green Factor"),
Error!$B$15,
IF(AND($E608="ECA / Shoreline Tree",$F608="Remove",$H608&lt;&gt;"",ISNA(MATCH($H608,Tables!$B$189:$B$190,0))),
Error!$B$15,
IF(AND($E608="ECA / Shoreline Tree",$F608="Retain",$H608&lt;&gt;"",ISNA(MATCH($H608,Tables!$B$184:$B$186,0))),
Error!$B$15,
IF(AND($E608="Tier 4",$F608="Remove",$H608&lt;&gt;"",ISNA(MATCH($H608,Tables!$B$171,0))),
Error!$B$15,
IF(AND($E608="Tier 4",$F608="Retain",$H608&lt;&gt;"",ISNA(MATCH($H608,Tables!$B$166:$B$168,0))),
Error!$B$15,
IF(AND($E608="Tier 3",$F608="Retain",$H608&lt;&gt;"",ISNA(MATCH($H608,Tables!$B$158:$B$160,0))),
Error!$B$15,
IF(AND($E608="Tier 3",$F608="Remove",$H608&lt;&gt;"",ISNA(MATCH($H608,Tables!$B$163,0))),
Error!$B$15,
IF(AND(OR($E608="Tier 2",$E608="Tier 2 Grove"),$F608="Remove",$H608&lt;&gt;"",ISNA(MATCH($H608,Tables!$B$153:$B$155,0))),
Error!$B$15,
IF(AND(OR($E608="Tier 2",$E608="Tier 2 Grove"),$F608="Retain",$H608&lt;&gt;"",ISNA(MATCH($H608,Tables!$B$147:$B$150,0))),
Error!$B$15,
IF(AND($E608="Tier 1",$F608="Remove",$H608&lt;&gt;"",ISNA(MATCH($H608,Tables!$B$143:$B$144,0))),
Error!$B$15,
IF(AND($E608="Tier 1",$F608="Retain",$H608&lt;&gt;"",ISNA(MATCH($H608,Tables!$B$137:$B$140,0))),
Error!$B$15,
IF(AND($E608&lt;&gt;"Tier 2",$E608&lt;&gt;"Tier 2 Grove",$E608&lt;&gt;"Tier 3",$E608&lt;&gt;"Tier 4",$H608="Zoning: Green Factor",OR($D608="",$D608&lt;6)),
Error!$B$11,
IF(AND(_xlpm.baseRow,$D608&lt;6,$E608="&lt;6in DSH for Tree Points",_xlpm.TreePoints_H=0),
Error!$B$21,
IF(AND(_xlpm.baseRow,$E608&lt;&gt;"",$D608&lt;&gt;"",$F608=""),
Error!$B$4,
IF(AND(_xlpm.baseRow,$F608="Remove",OR($E608="Tier 1",$E608="Tier 2",$E608="Tier 2 Grove"),COUNTBLANK(_xlpm.HRange)&lt;3,_xlpm.uniqueH&gt;=2),
Error!$B$48,
IF(AND(_xlpm.baseRow,$F608="Retain",OR($E608="Tier 1",$E608="Tier 2",$E608="Tier 2 Grove"),COUNTIF(_xlpm.HRange,"Tree Code: Required to Retain Tier 1-2 Tree")=0),
Error!$B$47,
IF(AND(_xlpm.baseRow,$E608&lt;&gt;"",$D608&lt;&gt;"",$F608&lt;&gt;"",COUNTBLANK(_xlpm.HRange)=4),
Error!$B$5,
IF(AND($F608="Remove",$H608&lt;&gt;"",$I608=""),
Error!$B$18,
IF(AND($E608="Tier 4",$F608="Remove",$H608="Tree Protection Code: Tier 3 or Tier 4 Allowance",$H608&lt;&gt;"",ISNA(MATCH($I608,Tables!$B$200,0))),
Error!$B$17,
IF(AND($E608="Tier 3",$F608="Remove",$H608&lt;&gt;"",$H608="Tree Protection Code: Tier 3 or Tier 4 Allowance",OR($I608="",ISNA(MATCH($I608,Tables!$B$193:$B$197,0)))),
Error!$B$17,
IF(AND(OR($E608="Tier 2",$E608="Tier 2 Grove"),$F608="Remove",$H608="Tree Protection Code: Other removal allowance or exemption",$I608&lt;&gt;"",ISNA(MATCH($I608,Tables!$B$215:$B$218,0))),
Error!$B$17,
IF(AND(OR($E608="Tier 2",$E608="Tier 2 Grove"),$F608="Remove",$H608="Tree Protection Code: Development Capacity",$I608&lt;&gt;"",ISNA(MATCH($I608,Tables!$B$193:$B$197,0))),
Error!$B$17,
IF(AND(OR($E608="Tier 2",$E608="Tier 2 Grove"),$F608="Remove",$H608="Tree Protection Code: Necessary for Construction",$I608&lt;&gt;"",ISNA(MATCH($I608,Tables!$B$193:$B$197,0))),
Error!$B$17,
IF(AND($E608="Tier 1",$F608="Remove",$H608="Tree Protection Code: Special Exception",$I608&lt;&gt;"",ISNA(MATCH($I608,Tables!$B$215:$B$218,0))),
Error!$B$17,
IF(AND($E608="Tier 1",$F608="Remove",$H608="Tree Protection Code: Other removal allowance or exemption",$I608&lt;&gt;"",ISNA(MATCH($I608,Tables!$B$215:$B$218,0))),
Error!$B$17,
IF(AND($E608="ECA / Shoreline Tree",$F608="Remove",$H608&lt;&gt;"",OR($H608="Shoreline",$H608="Environmental Critical Area (ECA)"),ISNA(MATCH($I608,Tables!$B$209:$B$212,0))),
Error!$B$17,
IF(AND(_xlpm.baseRow,$F608="Retain",$E608="ECA / Shoreline Tree",_xlpm.ECA_Short=0),
Error!$B$61,
IF(AND($F608="Remove",ISNUMBER(MATCH($E608,{"Tier 1","Tier 2","Tier 3","Tier 4","Tier 2 Grove"},0)),ISNUMBER(MATCH($I608,{"On-site replacement","Off-site replacement"},0)),$J608="",$H608&lt;&gt;""),
Error!$B$19,
IF(AND(_xlpm.baseRow,$E608&lt;&gt;"",$D608&lt;&gt;"",$F608&lt;&gt;"",COUNTBLANK($B608:$C608)&gt;0,COUNTBLANK(_xlpm.HRange)&lt;&gt;4),
Error!$B$22,
IF(AND($H608="Zoning: Tree Points",$K608&lt;&gt;"",ISNA(MATCH($K608,Tables!$B$242:$B$253,0))),
Error!$B$58,
IF(AND($H608="Zoning: Tree Points",$K608="Small",$L608&lt;&gt;"",ISNA(MATCH($L608,Tables!$C$243:$C$244,0))),
Error!$B$59,
IF(AND($H608="Zoning: Tree Points",$K608="Small/Medium",$L608&lt;&gt;"",ISNA(MATCH($L608,Tables!$C$246:$C$247,0))),
Error!$B$59,
IF(AND($H608="Zoning: Tree Points",$K608="Medium/Large",$L608&lt;&gt;"",ISNA(MATCH($L608,Tables!$C$249:$C$250,0))),
Error!$B$59,
IF(AND($H608="Zoning: Tree Points",$K608="Large",$L608&lt;&gt;"",ISNA(MATCH($L608,Tables!$C$252:$C$253,0))),
Error!$B$59,
IF(AND($F608="Retain",$H608="Zoning: Tree Points",$C608&lt;&gt;"",$D608&lt;&gt;"",OR($K608="",$L608="",$M608="")),
Error!$B$20,
""
)))))))))))))))))))))))))))))))))))))))))))))))))))))))),
Error!$B$23))</f>
        <v/>
      </c>
      <c r="O608" s="343" t="str" cm="1">
        <f t="array" aca="1" ref="O608" ca="1">IFERROR(_xlfn.LET(
    _xlpm.txt, $C608,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09" spans="1:15" x14ac:dyDescent="0.3">
      <c r="A609" s="320"/>
      <c r="B609" s="616" t="str">
        <f t="shared" si="710"/>
        <v/>
      </c>
      <c r="C609" s="617" t="str">
        <f t="shared" si="711"/>
        <v/>
      </c>
      <c r="D609" s="618" t="str">
        <f t="shared" si="712"/>
        <v/>
      </c>
      <c r="E609" s="616" t="str">
        <f t="shared" si="713"/>
        <v/>
      </c>
      <c r="F609" s="616" t="str">
        <f t="shared" si="714"/>
        <v/>
      </c>
      <c r="G609" s="619" t="str">
        <f>IF(Tree_Table1[[#This Row],[Tree Status  &amp;]]="Retain", Tables!$B$237, IF(Tree_Table1[[#This Row],[Tree Status  &amp;]]="Remove", Tables!$B$238, ""))</f>
        <v/>
      </c>
      <c r="H609" s="321"/>
      <c r="I609" s="322"/>
      <c r="J609" s="453"/>
      <c r="K609" s="323" t="str">
        <f>IFERROR(
    IF(
        AND($H609="Zoning: Tree Points", NOT(ISNUMBER(SEARCH("sp.", $C609)))),
        VLOOKUP($C609, 'Tree List'!$C$3:$F$601, 4, FALSE),
        ""
    ),
"")</f>
        <v/>
      </c>
      <c r="L609" s="324" t="str" cm="1">
        <f t="array" ref="L609">IFERROR(
IF(
    AND($H609="Zoning: Tree Points", NOT(ISNUMBER(SEARCH("sp.", $C609)))),
    _xlfn.IFS(
        (COUNTIFS('Tree List'!$C$3:$C$601,$C609,'Tree List'!$D$3:$D$601,"Coniferous")
        + COUNTIFS('Tree List'!$C$3:$C$601,$C609,'Tree List'!$D$3:$D$601,"Deciduous Conifer")) &gt; 0,
            _xlfn.IFS($K609="Small",0.5,$K609="Small/Medium",1,$K609="Medium/Large",1.4,$K609="Large",1.8),
        (COUNTIFS('Tree List'!$C$3:$C$601,$C609,'Tree List'!$D$3:$D$601,"Deciduous")
        + COUNTIFS('Tree List'!$C$3:$C$601,$C609,'Tree List'!$D$3:$D$601,"Broadleaf Evergreen")) &gt; 0,
            _xlfn.IFS($K609="Small",0.4,$K609="Small/Medium",0.8,$K609="Medium/Large",1.2,$K609="Large",1.6)
    ),
    ""
),
"")</f>
        <v/>
      </c>
      <c r="M609" s="475" t="str">
        <f t="shared" si="654"/>
        <v/>
      </c>
      <c r="N609" s="346" t="str" cm="1">
        <f t="array" aca="1" ref="N60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IF(AND(_xlpm.baseRow,ISNA(MATCH($C609,'Tree List'!$C$3:$C$601,0)),SUMPRODUCT(--ISNUMBER(SEARCH(Tables2!$C$677:$C$772,$O609)))&gt;0),
Error!$B$57,
IF(AND(_xlpm.hasDM,$F609="Remove",$H609&lt;&gt;"",OR($I609="On-site replacement",$I609="Off-site replacement",$I609="Payment In Lieu")),
Error!$B$56,
IF(AND(_xlpm.hasDM,$F609="Remove",$H609&lt;&gt;"",$I609="Relocation"),
Error!$B$66,
IF(AND(OR(_xlpm.hasCN,_xlpm.hasPH,_xlpm.hasGR),$H609&lt;&gt;"",COUNTIF(Tables!$B$132:$B$134,$H609)&gt;0,$I609="N/A (No replacement required)"),
Error!$B$62,
IF(AND(_xlpm.baseRow,$E609&lt;&gt;"",ISNA(MATCH($E609,Tables!$B$225:$B$232,0))),
Error!$B$2,
IF(AND(_xlpm.baseRow,$F609&lt;&gt;"",ISNA(MATCH($F609,Tables!$B$234:$B$235,0))),
Error!$B$24,
IF(AND(_xlpm.baseRow,_xlpm.ECA_H&gt;0,_xlpm.Shore_H&gt;0),
Error!$B$16,
IF(AND(_xlpm.baseRow,$E609&lt;&gt;"",$D609=""),
Error!$B$3,
IF(AND(_xlpm.baseRow,OR($E609="Tier 3",$E609="Tier 4"),$C609&lt;&gt;"",$D609&gt;=24,COUNTIF(Tables2!$B$166:$B$674,$C609)&gt;0),
Error!$B$44,
IF(AND(_xlpm.baseRow,OR($E609="Tier 3",$E609="Tier 4"),$C609&lt;&gt;"",$D609&lt;&gt;"",COUNTIF(Tables2!$B$73:$B$152,$C609)&gt;0,
$D609&gt;=IFERROR(INDEX(Tables2!$C$73:$C$152,MATCH($C609,Tables2!$B$73:$B$152,0)),-1)),
Error!$B$44,
IF(AND(_xlpm.baseRow,OR($E609="Tier 2",$E609="Tier 2 Grove"),$C609&lt;&gt;"",$D609&gt;=12,COUNTIF(Tables2!$B$153:$B$162,$C609)&gt;0),
Error!$B$45,
IF(AND(_xlpm.baseRow,$E609="Tier 2 Grove",$D609&lt;12),
Error!$B$41,
IF(AND(_xlpm.baseRow,$E609="Tier 2",$D609&lt;5.88),
Error!$B$40,
IF(AND(_xlpm.baseRow,OR($E609="Tier 2",$E609="Tier 2 Grove"),$C609&lt;&gt;"",$D609&lt;12,$D609&gt;=6,COUNTIF(Tables2!$B$153:$B$162,$C609)&gt;0),
Error!$B$54,
IF(AND(_xlpm.baseRow,$E609="Tier 2",COUNTIF(Tables2!$B$166:$B$674,$C609)&gt;0,$D609&lt;24),
Error!$B$54,
IF(AND(_xlpm.baseRow,$E609="Tier 3",ISNA(MATCH($C609,Tables2!$B$153:$B$162,0)),OR($D609&lt;12,$D609&gt;=24)),
Error!$B$9,
IF(AND(_xlpm.baseRow,$E609="Tier 3",COUNTIF(Tables2!$B$153:$B$162,$C609)&gt;0,$D609&lt;12),
Error!$B$46,
IF(AND(_xlpm.baseRow,$E609="Tier 4",OR($D609&lt;6,$D609&gt;=12)),
Error!$B$10,
IF(AND(_xlpm.baseRow,$E609="&lt;6in DSH for Tree Points",OR($D609&gt;=6,$D609="")),
Error!$B$8,
IF(AND(_xlpm.baseRow,$E609="Street Tree for Green Factor",$F609&lt;&gt;"",$F609&lt;&gt;"Retain"),
Error!$B$14,
IF(AND($E609="&lt;6in DSH for Tree Points",$F609="Retain",$H609&lt;&gt;"",ISNA(MATCH($H609,Tables!$B$174:$B$174,0))),
Error!$B$15,
IF(AND($E609="Street Tree for Green Factor",$F609="Retain",$H609&lt;&gt;"",$H609&lt;&gt;"Zoning: Green Factor"),
Error!$B$15,
IF(AND($E609="ECA / Shoreline Tree",$F609="Remove",$H609&lt;&gt;"",ISNA(MATCH($H609,Tables!$B$189:$B$190,0))),
Error!$B$15,
IF(AND($E609="ECA / Shoreline Tree",$F609="Retain",$H609&lt;&gt;"",ISNA(MATCH($H609,Tables!$B$184:$B$186,0))),
Error!$B$15,
IF(AND($E609="Tier 4",$F609="Remove",$H609&lt;&gt;"",ISNA(MATCH($H609,Tables!$B$171,0))),
Error!$B$15,
IF(AND($E609="Tier 4",$F609="Retain",$H609&lt;&gt;"",ISNA(MATCH($H609,Tables!$B$166:$B$168,0))),
Error!$B$15,
IF(AND($E609="Tier 3",$F609="Retain",$H609&lt;&gt;"",ISNA(MATCH($H609,Tables!$B$158:$B$160,0))),
Error!$B$15,
IF(AND($E609="Tier 3",$F609="Remove",$H609&lt;&gt;"",ISNA(MATCH($H609,Tables!$B$163,0))),
Error!$B$15,
IF(AND(OR($E609="Tier 2",$E609="Tier 2 Grove"),$F609="Remove",$H609&lt;&gt;"",ISNA(MATCH($H609,Tables!$B$153:$B$155,0))),
Error!$B$15,
IF(AND(OR($E609="Tier 2",$E609="Tier 2 Grove"),$F609="Retain",$H609&lt;&gt;"",ISNA(MATCH($H609,Tables!$B$147:$B$150,0))),
Error!$B$15,
IF(AND($E609="Tier 1",$F609="Remove",$H609&lt;&gt;"",ISNA(MATCH($H609,Tables!$B$143:$B$144,0))),
Error!$B$15,
IF(AND($E609="Tier 1",$F609="Retain",$H609&lt;&gt;"",ISNA(MATCH($H609,Tables!$B$137:$B$140,0))),
Error!$B$15,
IF(AND($E609&lt;&gt;"Tier 2",$E609&lt;&gt;"Tier 2 Grove",$E609&lt;&gt;"Tier 3",$E609&lt;&gt;"Tier 4",$H609="Zoning: Green Factor",OR($D609="",$D609&lt;6)),
Error!$B$11,
IF(AND(_xlpm.baseRow,$D609&lt;6,$E609="&lt;6in DSH for Tree Points",_xlpm.TreePoints_H=0),
Error!$B$21,
IF(AND(_xlpm.baseRow,$E609&lt;&gt;"",$D609&lt;&gt;"",$F609=""),
Error!$B$4,
IF(AND(_xlpm.baseRow,$F609="Remove",OR($E609="Tier 1",$E609="Tier 2",$E609="Tier 2 Grove"),COUNTBLANK(_xlpm.HRange)&lt;3,_xlpm.uniqueH&gt;=2),
Error!$B$48,
IF(AND(_xlpm.baseRow,$F609="Retain",OR($E609="Tier 1",$E609="Tier 2",$E609="Tier 2 Grove"),COUNTIF(_xlpm.HRange,"Tree Code: Required to Retain Tier 1-2 Tree")=0),
Error!$B$47,
IF(AND(_xlpm.baseRow,$E609&lt;&gt;"",$D609&lt;&gt;"",$F609&lt;&gt;"",COUNTBLANK(_xlpm.HRange)=4),
Error!$B$5,
IF(AND($F609="Remove",$H609&lt;&gt;"",$I609=""),
Error!$B$18,
IF(AND($E609="Tier 4",$F609="Remove",$H609="Tree Protection Code: Tier 3 or Tier 4 Allowance",$H609&lt;&gt;"",ISNA(MATCH($I609,Tables!$B$200,0))),
Error!$B$17,
IF(AND($E609="Tier 3",$F609="Remove",$H609&lt;&gt;"",$H609="Tree Protection Code: Tier 3 or Tier 4 Allowance",OR($I609="",ISNA(MATCH($I609,Tables!$B$193:$B$197,0)))),
Error!$B$17,
IF(AND(OR($E609="Tier 2",$E609="Tier 2 Grove"),$F609="Remove",$H609="Tree Protection Code: Other removal allowance or exemption",$I609&lt;&gt;"",ISNA(MATCH($I609,Tables!$B$215:$B$218,0))),
Error!$B$17,
IF(AND(OR($E609="Tier 2",$E609="Tier 2 Grove"),$F609="Remove",$H609="Tree Protection Code: Development Capacity",$I609&lt;&gt;"",ISNA(MATCH($I609,Tables!$B$193:$B$197,0))),
Error!$B$17,
IF(AND(OR($E609="Tier 2",$E609="Tier 2 Grove"),$F609="Remove",$H609="Tree Protection Code: Necessary for Construction",$I609&lt;&gt;"",ISNA(MATCH($I609,Tables!$B$193:$B$197,0))),
Error!$B$17,
IF(AND($E609="Tier 1",$F609="Remove",$H609="Tree Protection Code: Special Exception",$I609&lt;&gt;"",ISNA(MATCH($I609,Tables!$B$215:$B$218,0))),
Error!$B$17,
IF(AND($E609="Tier 1",$F609="Remove",$H609="Tree Protection Code: Other removal allowance or exemption",$I609&lt;&gt;"",ISNA(MATCH($I609,Tables!$B$215:$B$218,0))),
Error!$B$17,
IF(AND($E609="ECA / Shoreline Tree",$F609="Remove",$H609&lt;&gt;"",OR($H609="Shoreline",$H609="Environmental Critical Area (ECA)"),ISNA(MATCH($I609,Tables!$B$209:$B$212,0))),
Error!$B$17,
IF(AND(_xlpm.baseRow,$F609="Retain",$E609="ECA / Shoreline Tree",_xlpm.ECA_Short=0),
Error!$B$61,
IF(AND($F609="Remove",ISNUMBER(MATCH($E609,{"Tier 1","Tier 2","Tier 3","Tier 4","Tier 2 Grove"},0)),ISNUMBER(MATCH($I609,{"On-site replacement","Off-site replacement"},0)),$J609="",$H609&lt;&gt;""),
Error!$B$19,
IF(AND(_xlpm.baseRow,$E609&lt;&gt;"",$D609&lt;&gt;"",$F609&lt;&gt;"",COUNTBLANK($B609:$C609)&gt;0,COUNTBLANK(_xlpm.HRange)&lt;&gt;4),
Error!$B$22,
IF(AND($H609="Zoning: Tree Points",$K609&lt;&gt;"",ISNA(MATCH($K609,Tables!$B$242:$B$253,0))),
Error!$B$58,
IF(AND($H609="Zoning: Tree Points",$K609="Small",$L609&lt;&gt;"",ISNA(MATCH($L609,Tables!$C$243:$C$244,0))),
Error!$B$59,
IF(AND($H609="Zoning: Tree Points",$K609="Small/Medium",$L609&lt;&gt;"",ISNA(MATCH($L609,Tables!$C$246:$C$247,0))),
Error!$B$59,
IF(AND($H609="Zoning: Tree Points",$K609="Medium/Large",$L609&lt;&gt;"",ISNA(MATCH($L609,Tables!$C$249:$C$250,0))),
Error!$B$59,
IF(AND($H609="Zoning: Tree Points",$K609="Large",$L609&lt;&gt;"",ISNA(MATCH($L609,Tables!$C$252:$C$253,0))),
Error!$B$59,
IF(AND($F609="Retain",$H609="Zoning: Tree Points",$C609&lt;&gt;"",$D609&lt;&gt;"",OR($K609="",$L609="",$M609="")),
Error!$B$20,
""
)))))))))))))))))))))))))))))))))))))))))))))))))))))))),
Error!$B$23))</f>
        <v/>
      </c>
      <c r="O609" s="343" t="str" cm="1">
        <f t="array" aca="1" ref="O609" ca="1">IFERROR(_xlfn.LET(
    _xlpm.txt, $C609,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10" spans="1:15" ht="15" thickBot="1" x14ac:dyDescent="0.35">
      <c r="A610" s="331"/>
      <c r="B610" s="616" t="str">
        <f t="shared" si="710"/>
        <v/>
      </c>
      <c r="C610" s="617" t="str">
        <f t="shared" si="711"/>
        <v/>
      </c>
      <c r="D610" s="618" t="str">
        <f t="shared" si="712"/>
        <v/>
      </c>
      <c r="E610" s="616" t="str">
        <f t="shared" si="713"/>
        <v/>
      </c>
      <c r="F610" s="616" t="str">
        <f t="shared" si="714"/>
        <v/>
      </c>
      <c r="G610" s="619" t="str">
        <f>IF(Tree_Table1[[#This Row],[Tree Status  &amp;]]="Retain", Tables!$B$237, IF(Tree_Table1[[#This Row],[Tree Status  &amp;]]="Remove", Tables!$B$238, ""))</f>
        <v/>
      </c>
      <c r="H610" s="329"/>
      <c r="I610" s="330"/>
      <c r="J610" s="455"/>
      <c r="K610" s="327" t="str">
        <f>IFERROR(
    IF(
        AND($H610="Zoning: Tree Points", NOT(ISNUMBER(SEARCH("sp.", $C610)))),
        VLOOKUP($C610, 'Tree List'!$C$3:$F$601, 4, FALSE),
        ""
    ),
"")</f>
        <v/>
      </c>
      <c r="L610" s="328" t="str" cm="1">
        <f t="array" ref="L610">IFERROR(
IF(
    AND($H610="Zoning: Tree Points", NOT(ISNUMBER(SEARCH("sp.", $C610)))),
    _xlfn.IFS(
        (COUNTIFS('Tree List'!$C$3:$C$601,$C610,'Tree List'!$D$3:$D$601,"Coniferous")
        + COUNTIFS('Tree List'!$C$3:$C$601,$C610,'Tree List'!$D$3:$D$601,"Deciduous Conifer")) &gt; 0,
            _xlfn.IFS($K610="Small",0.5,$K610="Small/Medium",1,$K610="Medium/Large",1.4,$K610="Large",1.8),
        (COUNTIFS('Tree List'!$C$3:$C$601,$C610,'Tree List'!$D$3:$D$601,"Deciduous")
        + COUNTIFS('Tree List'!$C$3:$C$601,$C610,'Tree List'!$D$3:$D$601,"Broadleaf Evergreen")) &gt; 0,
            _xlfn.IFS($K610="Small",0.4,$K610="Small/Medium",0.8,$K610="Medium/Large",1.2,$K610="Large",1.6)
    ),
    ""
),
"")</f>
        <v/>
      </c>
      <c r="M610" s="476" t="str">
        <f t="shared" si="654"/>
        <v/>
      </c>
      <c r="N610" s="347" t="str" cm="1">
        <f t="array" aca="1" ref="N61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IF(AND(_xlpm.baseRow,ISNA(MATCH($C610,'Tree List'!$C$3:$C$601,0)),SUMPRODUCT(--ISNUMBER(SEARCH(Tables2!$C$677:$C$772,$O610)))&gt;0),
Error!$B$57,
IF(AND(_xlpm.hasDM,$F610="Remove",$H610&lt;&gt;"",OR($I610="On-site replacement",$I610="Off-site replacement",$I610="Payment In Lieu")),
Error!$B$56,
IF(AND(_xlpm.hasDM,$F610="Remove",$H610&lt;&gt;"",$I610="Relocation"),
Error!$B$66,
IF(AND(OR(_xlpm.hasCN,_xlpm.hasPH,_xlpm.hasGR),$H610&lt;&gt;"",COUNTIF(Tables!$B$132:$B$134,$H610)&gt;0,$I610="N/A (No replacement required)"),
Error!$B$62,
IF(AND(_xlpm.baseRow,$E610&lt;&gt;"",ISNA(MATCH($E610,Tables!$B$225:$B$232,0))),
Error!$B$2,
IF(AND(_xlpm.baseRow,$F610&lt;&gt;"",ISNA(MATCH($F610,Tables!$B$234:$B$235,0))),
Error!$B$24,
IF(AND(_xlpm.baseRow,_xlpm.ECA_H&gt;0,_xlpm.Shore_H&gt;0),
Error!$B$16,
IF(AND(_xlpm.baseRow,$E610&lt;&gt;"",$D610=""),
Error!$B$3,
IF(AND(_xlpm.baseRow,OR($E610="Tier 3",$E610="Tier 4"),$C610&lt;&gt;"",$D610&gt;=24,COUNTIF(Tables2!$B$166:$B$674,$C610)&gt;0),
Error!$B$44,
IF(AND(_xlpm.baseRow,OR($E610="Tier 3",$E610="Tier 4"),$C610&lt;&gt;"",$D610&lt;&gt;"",COUNTIF(Tables2!$B$73:$B$152,$C610)&gt;0,
$D610&gt;=IFERROR(INDEX(Tables2!$C$73:$C$152,MATCH($C610,Tables2!$B$73:$B$152,0)),-1)),
Error!$B$44,
IF(AND(_xlpm.baseRow,OR($E610="Tier 2",$E610="Tier 2 Grove"),$C610&lt;&gt;"",$D610&gt;=12,COUNTIF(Tables2!$B$153:$B$162,$C610)&gt;0),
Error!$B$45,
IF(AND(_xlpm.baseRow,$E610="Tier 2 Grove",$D610&lt;12),
Error!$B$41,
IF(AND(_xlpm.baseRow,$E610="Tier 2",$D610&lt;5.88),
Error!$B$40,
IF(AND(_xlpm.baseRow,OR($E610="Tier 2",$E610="Tier 2 Grove"),$C610&lt;&gt;"",$D610&lt;12,$D610&gt;=6,COUNTIF(Tables2!$B$153:$B$162,$C610)&gt;0),
Error!$B$54,
IF(AND(_xlpm.baseRow,$E610="Tier 2",COUNTIF(Tables2!$B$166:$B$674,$C610)&gt;0,$D610&lt;24),
Error!$B$54,
IF(AND(_xlpm.baseRow,$E610="Tier 3",ISNA(MATCH($C610,Tables2!$B$153:$B$162,0)),OR($D610&lt;12,$D610&gt;=24)),
Error!$B$9,
IF(AND(_xlpm.baseRow,$E610="Tier 3",COUNTIF(Tables2!$B$153:$B$162,$C610)&gt;0,$D610&lt;12),
Error!$B$46,
IF(AND(_xlpm.baseRow,$E610="Tier 4",OR($D610&lt;6,$D610&gt;=12)),
Error!$B$10,
IF(AND(_xlpm.baseRow,$E610="&lt;6in DSH for Tree Points",OR($D610&gt;=6,$D610="")),
Error!$B$8,
IF(AND(_xlpm.baseRow,$E610="Street Tree for Green Factor",$F610&lt;&gt;"",$F610&lt;&gt;"Retain"),
Error!$B$14,
IF(AND($E610="&lt;6in DSH for Tree Points",$F610="Retain",$H610&lt;&gt;"",ISNA(MATCH($H610,Tables!$B$174:$B$174,0))),
Error!$B$15,
IF(AND($E610="Street Tree for Green Factor",$F610="Retain",$H610&lt;&gt;"",$H610&lt;&gt;"Zoning: Green Factor"),
Error!$B$15,
IF(AND($E610="ECA / Shoreline Tree",$F610="Remove",$H610&lt;&gt;"",ISNA(MATCH($H610,Tables!$B$189:$B$190,0))),
Error!$B$15,
IF(AND($E610="ECA / Shoreline Tree",$F610="Retain",$H610&lt;&gt;"",ISNA(MATCH($H610,Tables!$B$184:$B$186,0))),
Error!$B$15,
IF(AND($E610="Tier 4",$F610="Remove",$H610&lt;&gt;"",ISNA(MATCH($H610,Tables!$B$171,0))),
Error!$B$15,
IF(AND($E610="Tier 4",$F610="Retain",$H610&lt;&gt;"",ISNA(MATCH($H610,Tables!$B$166:$B$168,0))),
Error!$B$15,
IF(AND($E610="Tier 3",$F610="Retain",$H610&lt;&gt;"",ISNA(MATCH($H610,Tables!$B$158:$B$160,0))),
Error!$B$15,
IF(AND($E610="Tier 3",$F610="Remove",$H610&lt;&gt;"",ISNA(MATCH($H610,Tables!$B$163,0))),
Error!$B$15,
IF(AND(OR($E610="Tier 2",$E610="Tier 2 Grove"),$F610="Remove",$H610&lt;&gt;"",ISNA(MATCH($H610,Tables!$B$153:$B$155,0))),
Error!$B$15,
IF(AND(OR($E610="Tier 2",$E610="Tier 2 Grove"),$F610="Retain",$H610&lt;&gt;"",ISNA(MATCH($H610,Tables!$B$147:$B$150,0))),
Error!$B$15,
IF(AND($E610="Tier 1",$F610="Remove",$H610&lt;&gt;"",ISNA(MATCH($H610,Tables!$B$143:$B$144,0))),
Error!$B$15,
IF(AND($E610="Tier 1",$F610="Retain",$H610&lt;&gt;"",ISNA(MATCH($H610,Tables!$B$137:$B$140,0))),
Error!$B$15,
IF(AND($E610&lt;&gt;"Tier 2",$E610&lt;&gt;"Tier 2 Grove",$E610&lt;&gt;"Tier 3",$E610&lt;&gt;"Tier 4",$H610="Zoning: Green Factor",OR($D610="",$D610&lt;6)),
Error!$B$11,
IF(AND(_xlpm.baseRow,$D610&lt;6,$E610="&lt;6in DSH for Tree Points",_xlpm.TreePoints_H=0),
Error!$B$21,
IF(AND(_xlpm.baseRow,$E610&lt;&gt;"",$D610&lt;&gt;"",$F610=""),
Error!$B$4,
IF(AND(_xlpm.baseRow,$F610="Remove",OR($E610="Tier 1",$E610="Tier 2",$E610="Tier 2 Grove"),COUNTBLANK(_xlpm.HRange)&lt;3,_xlpm.uniqueH&gt;=2),
Error!$B$48,
IF(AND(_xlpm.baseRow,$F610="Retain",OR($E610="Tier 1",$E610="Tier 2",$E610="Tier 2 Grove"),COUNTIF(_xlpm.HRange,"Tree Code: Required to Retain Tier 1-2 Tree")=0),
Error!$B$47,
IF(AND(_xlpm.baseRow,$E610&lt;&gt;"",$D610&lt;&gt;"",$F610&lt;&gt;"",COUNTBLANK(_xlpm.HRange)=4),
Error!$B$5,
IF(AND($F610="Remove",$H610&lt;&gt;"",$I610=""),
Error!$B$18,
IF(AND($E610="Tier 4",$F610="Remove",$H610="Tree Protection Code: Tier 3 or Tier 4 Allowance",$H610&lt;&gt;"",ISNA(MATCH($I610,Tables!$B$200,0))),
Error!$B$17,
IF(AND($E610="Tier 3",$F610="Remove",$H610&lt;&gt;"",$H610="Tree Protection Code: Tier 3 or Tier 4 Allowance",OR($I610="",ISNA(MATCH($I610,Tables!$B$193:$B$197,0)))),
Error!$B$17,
IF(AND(OR($E610="Tier 2",$E610="Tier 2 Grove"),$F610="Remove",$H610="Tree Protection Code: Other removal allowance or exemption",$I610&lt;&gt;"",ISNA(MATCH($I610,Tables!$B$215:$B$218,0))),
Error!$B$17,
IF(AND(OR($E610="Tier 2",$E610="Tier 2 Grove"),$F610="Remove",$H610="Tree Protection Code: Development Capacity",$I610&lt;&gt;"",ISNA(MATCH($I610,Tables!$B$193:$B$197,0))),
Error!$B$17,
IF(AND(OR($E610="Tier 2",$E610="Tier 2 Grove"),$F610="Remove",$H610="Tree Protection Code: Necessary for Construction",$I610&lt;&gt;"",ISNA(MATCH($I610,Tables!$B$193:$B$197,0))),
Error!$B$17,
IF(AND($E610="Tier 1",$F610="Remove",$H610="Tree Protection Code: Special Exception",$I610&lt;&gt;"",ISNA(MATCH($I610,Tables!$B$215:$B$218,0))),
Error!$B$17,
IF(AND($E610="Tier 1",$F610="Remove",$H610="Tree Protection Code: Other removal allowance or exemption",$I610&lt;&gt;"",ISNA(MATCH($I610,Tables!$B$215:$B$218,0))),
Error!$B$17,
IF(AND($E610="ECA / Shoreline Tree",$F610="Remove",$H610&lt;&gt;"",OR($H610="Shoreline",$H610="Environmental Critical Area (ECA)"),ISNA(MATCH($I610,Tables!$B$209:$B$212,0))),
Error!$B$17,
IF(AND(_xlpm.baseRow,$F610="Retain",$E610="ECA / Shoreline Tree",_xlpm.ECA_Short=0),
Error!$B$61,
IF(AND($F610="Remove",ISNUMBER(MATCH($E610,{"Tier 1","Tier 2","Tier 3","Tier 4","Tier 2 Grove"},0)),ISNUMBER(MATCH($I610,{"On-site replacement","Off-site replacement"},0)),$J610="",$H610&lt;&gt;""),
Error!$B$19,
IF(AND(_xlpm.baseRow,$E610&lt;&gt;"",$D610&lt;&gt;"",$F610&lt;&gt;"",COUNTBLANK($B610:$C610)&gt;0,COUNTBLANK(_xlpm.HRange)&lt;&gt;4),
Error!$B$22,
IF(AND($H610="Zoning: Tree Points",$K610&lt;&gt;"",ISNA(MATCH($K610,Tables!$B$242:$B$253,0))),
Error!$B$58,
IF(AND($H610="Zoning: Tree Points",$K610="Small",$L610&lt;&gt;"",ISNA(MATCH($L610,Tables!$C$243:$C$244,0))),
Error!$B$59,
IF(AND($H610="Zoning: Tree Points",$K610="Small/Medium",$L610&lt;&gt;"",ISNA(MATCH($L610,Tables!$C$246:$C$247,0))),
Error!$B$59,
IF(AND($H610="Zoning: Tree Points",$K610="Medium/Large",$L610&lt;&gt;"",ISNA(MATCH($L610,Tables!$C$249:$C$250,0))),
Error!$B$59,
IF(AND($H610="Zoning: Tree Points",$K610="Large",$L610&lt;&gt;"",ISNA(MATCH($L610,Tables!$C$252:$C$253,0))),
Error!$B$59,
IF(AND($F610="Retain",$H610="Zoning: Tree Points",$C610&lt;&gt;"",$D610&lt;&gt;"",OR($K610="",$L610="",$M610="")),
Error!$B$20,
""
)))))))))))))))))))))))))))))))))))))))))))))))))))))))),
Error!$B$23))</f>
        <v/>
      </c>
      <c r="O610" s="343" t="str" cm="1">
        <f t="array" aca="1" ref="O610" ca="1">IFERROR(_xlfn.LET(
    _xlpm.txt, $C610,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11" spans="1:15" ht="15" thickBot="1" x14ac:dyDescent="0.35">
      <c r="A611" s="311">
        <v>151</v>
      </c>
      <c r="B611" s="312"/>
      <c r="C611" s="313"/>
      <c r="D611" s="478"/>
      <c r="E611" s="314"/>
      <c r="F611" s="314"/>
      <c r="G611" s="315" t="str">
        <f>IF(Tree_Table1[[#This Row],[Tree Status  &amp;]]="Retain", Tables!$B$237, IF(Tree_Table1[[#This Row],[Tree Status  &amp;]]="Remove", Tables!$B$238, ""))</f>
        <v/>
      </c>
      <c r="H611" s="316"/>
      <c r="I611" s="317"/>
      <c r="J611" s="452"/>
      <c r="K611" s="318" t="str">
        <f>IFERROR(
    IF(
        AND($H611="Zoning: Tree Points", NOT(ISNUMBER(SEARCH("sp.", $C611)))),
        VLOOKUP($C611, 'Tree List'!$C$3:$F$601, 4, FALSE),
        ""
    ),
"")</f>
        <v/>
      </c>
      <c r="L611" s="319" t="str" cm="1">
        <f t="array" ref="L611">IFERROR(
IF(
    AND($H611="Zoning: Tree Points", NOT(ISNUMBER(SEARCH("sp.", $C611)))),
    _xlfn.IFS(
        (COUNTIFS('Tree List'!$C$3:$C$601,$C611,'Tree List'!$D$3:$D$601,"Coniferous")
        + COUNTIFS('Tree List'!$C$3:$C$601,$C611,'Tree List'!$D$3:$D$601,"Deciduous Conifer")) &gt; 0,
            _xlfn.IFS($K611="Small",0.5,$K611="Small/Medium",1,$K611="Medium/Large",1.4,$K611="Large",1.8),
        (COUNTIFS('Tree List'!$C$3:$C$601,$C611,'Tree List'!$D$3:$D$601,"Deciduous")
        + COUNTIFS('Tree List'!$C$3:$C$601,$C611,'Tree List'!$D$3:$D$601,"Broadleaf Evergreen")) &gt; 0,
            _xlfn.IFS($K611="Small",0.4,$K611="Small/Medium",0.8,$K611="Medium/Large",1.2,$K611="Large",1.6)
    ),
    ""
),
"")</f>
        <v/>
      </c>
      <c r="M611" s="474" t="str">
        <f t="shared" si="654"/>
        <v/>
      </c>
      <c r="N611" s="620" t="str" cm="1">
        <f t="array" aca="1" ref="N61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IF(AND(_xlpm.baseRow,ISNA(MATCH($C611,'Tree List'!$C$3:$C$601,0)),SUMPRODUCT(--ISNUMBER(SEARCH(Tables2!$C$677:$C$772,$O611)))&gt;0),
Error!$B$57,
IF(AND(_xlpm.hasDM,$F611="Remove",$H611&lt;&gt;"",OR($I611="On-site replacement",$I611="Off-site replacement",$I611="Payment In Lieu")),
Error!$B$56,
IF(AND(_xlpm.hasDM,$F611="Remove",$H611&lt;&gt;"",$I611="Relocation"),
Error!$B$66,
IF(AND(OR(_xlpm.hasCN,_xlpm.hasPH,_xlpm.hasGR),$H611&lt;&gt;"",COUNTIF(Tables!$B$132:$B$134,$H611)&gt;0,$I611="N/A (No replacement required)"),
Error!$B$62,
IF(AND(_xlpm.baseRow,$E611&lt;&gt;"",ISNA(MATCH($E611,Tables!$B$225:$B$232,0))),
Error!$B$2,
IF(AND(_xlpm.baseRow,$F611&lt;&gt;"",ISNA(MATCH($F611,Tables!$B$234:$B$235,0))),
Error!$B$24,
IF(AND(_xlpm.baseRow,_xlpm.ECA_H&gt;0,_xlpm.Shore_H&gt;0),
Error!$B$16,
IF(AND(_xlpm.baseRow,$E611&lt;&gt;"",$D611=""),
Error!$B$3,
IF(AND(_xlpm.baseRow,OR($E611="Tier 3",$E611="Tier 4"),$C611&lt;&gt;"",$D611&gt;=24,COUNTIF(Tables2!$B$166:$B$674,$C611)&gt;0),
Error!$B$44,
IF(AND(_xlpm.baseRow,OR($E611="Tier 3",$E611="Tier 4"),$C611&lt;&gt;"",$D611&lt;&gt;"",COUNTIF(Tables2!$B$73:$B$152,$C611)&gt;0,
$D611&gt;=IFERROR(INDEX(Tables2!$C$73:$C$152,MATCH($C611,Tables2!$B$73:$B$152,0)),-1)),
Error!$B$44,
IF(AND(_xlpm.baseRow,OR($E611="Tier 2",$E611="Tier 2 Grove"),$C611&lt;&gt;"",$D611&gt;=12,COUNTIF(Tables2!$B$153:$B$162,$C611)&gt;0),
Error!$B$45,
IF(AND(_xlpm.baseRow,$E611="Tier 2 Grove",$D611&lt;12),
Error!$B$41,
IF(AND(_xlpm.baseRow,$E611="Tier 2",$D611&lt;5.88),
Error!$B$40,
IF(AND(_xlpm.baseRow,OR($E611="Tier 2",$E611="Tier 2 Grove"),$C611&lt;&gt;"",$D611&lt;12,$D611&gt;=6,COUNTIF(Tables2!$B$153:$B$162,$C611)&gt;0),
Error!$B$54,
IF(AND(_xlpm.baseRow,$E611="Tier 2",COUNTIF(Tables2!$B$166:$B$674,$C611)&gt;0,$D611&lt;24),
Error!$B$54,
IF(AND(_xlpm.baseRow,$E611="Tier 3",ISNA(MATCH($C611,Tables2!$B$153:$B$162,0)),OR($D611&lt;12,$D611&gt;=24)),
Error!$B$9,
IF(AND(_xlpm.baseRow,$E611="Tier 3",COUNTIF(Tables2!$B$153:$B$162,$C611)&gt;0,$D611&lt;12),
Error!$B$46,
IF(AND(_xlpm.baseRow,$E611="Tier 4",OR($D611&lt;6,$D611&gt;=12)),
Error!$B$10,
IF(AND(_xlpm.baseRow,$E611="&lt;6in DSH for Tree Points",OR($D611&gt;=6,$D611="")),
Error!$B$8,
IF(AND(_xlpm.baseRow,$E611="Street Tree for Green Factor",$F611&lt;&gt;"",$F611&lt;&gt;"Retain"),
Error!$B$14,
IF(AND($E611="&lt;6in DSH for Tree Points",$F611="Retain",$H611&lt;&gt;"",ISNA(MATCH($H611,Tables!$B$174:$B$174,0))),
Error!$B$15,
IF(AND($E611="Street Tree for Green Factor",$F611="Retain",$H611&lt;&gt;"",$H611&lt;&gt;"Zoning: Green Factor"),
Error!$B$15,
IF(AND($E611="ECA / Shoreline Tree",$F611="Remove",$H611&lt;&gt;"",ISNA(MATCH($H611,Tables!$B$189:$B$190,0))),
Error!$B$15,
IF(AND($E611="ECA / Shoreline Tree",$F611="Retain",$H611&lt;&gt;"",ISNA(MATCH($H611,Tables!$B$184:$B$186,0))),
Error!$B$15,
IF(AND($E611="Tier 4",$F611="Remove",$H611&lt;&gt;"",ISNA(MATCH($H611,Tables!$B$171,0))),
Error!$B$15,
IF(AND($E611="Tier 4",$F611="Retain",$H611&lt;&gt;"",ISNA(MATCH($H611,Tables!$B$166:$B$168,0))),
Error!$B$15,
IF(AND($E611="Tier 3",$F611="Retain",$H611&lt;&gt;"",ISNA(MATCH($H611,Tables!$B$158:$B$160,0))),
Error!$B$15,
IF(AND($E611="Tier 3",$F611="Remove",$H611&lt;&gt;"",ISNA(MATCH($H611,Tables!$B$163,0))),
Error!$B$15,
IF(AND(OR($E611="Tier 2",$E611="Tier 2 Grove"),$F611="Remove",$H611&lt;&gt;"",ISNA(MATCH($H611,Tables!$B$153:$B$155,0))),
Error!$B$15,
IF(AND(OR($E611="Tier 2",$E611="Tier 2 Grove"),$F611="Retain",$H611&lt;&gt;"",ISNA(MATCH($H611,Tables!$B$147:$B$150,0))),
Error!$B$15,
IF(AND($E611="Tier 1",$F611="Remove",$H611&lt;&gt;"",ISNA(MATCH($H611,Tables!$B$143:$B$144,0))),
Error!$B$15,
IF(AND($E611="Tier 1",$F611="Retain",$H611&lt;&gt;"",ISNA(MATCH($H611,Tables!$B$137:$B$140,0))),
Error!$B$15,
IF(AND($E611&lt;&gt;"Tier 2",$E611&lt;&gt;"Tier 2 Grove",$E611&lt;&gt;"Tier 3",$E611&lt;&gt;"Tier 4",$H611="Zoning: Green Factor",OR($D611="",$D611&lt;6)),
Error!$B$11,
IF(AND(_xlpm.baseRow,$D611&lt;6,$E611="&lt;6in DSH for Tree Points",_xlpm.TreePoints_H=0),
Error!$B$21,
IF(AND(_xlpm.baseRow,$E611&lt;&gt;"",$D611&lt;&gt;"",$F611=""),
Error!$B$4,
IF(AND(_xlpm.baseRow,$F611="Remove",OR($E611="Tier 1",$E611="Tier 2",$E611="Tier 2 Grove"),COUNTBLANK(_xlpm.HRange)&lt;3,_xlpm.uniqueH&gt;=2),
Error!$B$48,
IF(AND(_xlpm.baseRow,$F611="Retain",OR($E611="Tier 1",$E611="Tier 2",$E611="Tier 2 Grove"),COUNTIF(_xlpm.HRange,"Tree Code: Required to Retain Tier 1-2 Tree")=0),
Error!$B$47,
IF(AND(_xlpm.baseRow,$E611&lt;&gt;"",$D611&lt;&gt;"",$F611&lt;&gt;"",COUNTBLANK(_xlpm.HRange)=4),
Error!$B$5,
IF(AND($F611="Remove",$H611&lt;&gt;"",$I611=""),
Error!$B$18,
IF(AND($E611="Tier 4",$F611="Remove",$H611="Tree Protection Code: Tier 3 or Tier 4 Allowance",$H611&lt;&gt;"",ISNA(MATCH($I611,Tables!$B$200,0))),
Error!$B$17,
IF(AND($E611="Tier 3",$F611="Remove",$H611&lt;&gt;"",$H611="Tree Protection Code: Tier 3 or Tier 4 Allowance",OR($I611="",ISNA(MATCH($I611,Tables!$B$193:$B$197,0)))),
Error!$B$17,
IF(AND(OR($E611="Tier 2",$E611="Tier 2 Grove"),$F611="Remove",$H611="Tree Protection Code: Other removal allowance or exemption",$I611&lt;&gt;"",ISNA(MATCH($I611,Tables!$B$215:$B$218,0))),
Error!$B$17,
IF(AND(OR($E611="Tier 2",$E611="Tier 2 Grove"),$F611="Remove",$H611="Tree Protection Code: Development Capacity",$I611&lt;&gt;"",ISNA(MATCH($I611,Tables!$B$193:$B$197,0))),
Error!$B$17,
IF(AND(OR($E611="Tier 2",$E611="Tier 2 Grove"),$F611="Remove",$H611="Tree Protection Code: Necessary for Construction",$I611&lt;&gt;"",ISNA(MATCH($I611,Tables!$B$193:$B$197,0))),
Error!$B$17,
IF(AND($E611="Tier 1",$F611="Remove",$H611="Tree Protection Code: Special Exception",$I611&lt;&gt;"",ISNA(MATCH($I611,Tables!$B$215:$B$218,0))),
Error!$B$17,
IF(AND($E611="Tier 1",$F611="Remove",$H611="Tree Protection Code: Other removal allowance or exemption",$I611&lt;&gt;"",ISNA(MATCH($I611,Tables!$B$215:$B$218,0))),
Error!$B$17,
IF(AND($E611="ECA / Shoreline Tree",$F611="Remove",$H611&lt;&gt;"",OR($H611="Shoreline",$H611="Environmental Critical Area (ECA)"),ISNA(MATCH($I611,Tables!$B$209:$B$212,0))),
Error!$B$17,
IF(AND(_xlpm.baseRow,$F611="Retain",$E611="ECA / Shoreline Tree",_xlpm.ECA_Short=0),
Error!$B$61,
IF(AND($F611="Remove",ISNUMBER(MATCH($E611,{"Tier 1","Tier 2","Tier 3","Tier 4","Tier 2 Grove"},0)),ISNUMBER(MATCH($I611,{"On-site replacement","Off-site replacement"},0)),$J611="",$H611&lt;&gt;""),
Error!$B$19,
IF(AND(_xlpm.baseRow,$E611&lt;&gt;"",$D611&lt;&gt;"",$F611&lt;&gt;"",COUNTBLANK($B611:$C611)&gt;0,COUNTBLANK(_xlpm.HRange)&lt;&gt;4),
Error!$B$22,
IF(AND($H611="Zoning: Tree Points",$K611&lt;&gt;"",ISNA(MATCH($K611,Tables!$B$242:$B$253,0))),
Error!$B$58,
IF(AND($H611="Zoning: Tree Points",$K611="Small",$L611&lt;&gt;"",ISNA(MATCH($L611,Tables!$C$243:$C$244,0))),
Error!$B$59,
IF(AND($H611="Zoning: Tree Points",$K611="Small/Medium",$L611&lt;&gt;"",ISNA(MATCH($L611,Tables!$C$246:$C$247,0))),
Error!$B$59,
IF(AND($H611="Zoning: Tree Points",$K611="Medium/Large",$L611&lt;&gt;"",ISNA(MATCH($L611,Tables!$C$249:$C$250,0))),
Error!$B$59,
IF(AND($H611="Zoning: Tree Points",$K611="Large",$L611&lt;&gt;"",ISNA(MATCH($L611,Tables!$C$252:$C$253,0))),
Error!$B$59,
IF(AND($F611="Retain",$H611="Zoning: Tree Points",$C611&lt;&gt;"",$D611&lt;&gt;"",OR($K611="",$L611="",$M611="")),
Error!$B$20,
""
)))))))))))))))))))))))))))))))))))))))))))))))))))))))),
Error!$B$23))</f>
        <v/>
      </c>
      <c r="O611" s="343" t="str" cm="1">
        <f t="array" aca="1" ref="O611" ca="1">IFERROR(_xlfn.LET(
    _xlpm.txt, $C611,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12" spans="1:15" x14ac:dyDescent="0.3">
      <c r="A612" s="320"/>
      <c r="B612" s="616" t="str">
        <f t="shared" ref="B612:B614" si="715">IF($B611="", "", $B611)</f>
        <v/>
      </c>
      <c r="C612" s="617" t="str">
        <f t="shared" ref="C612:C614" si="716">IF($C611="", "", $C611)</f>
        <v/>
      </c>
      <c r="D612" s="618" t="str">
        <f t="shared" ref="D612:D614" si="717">IF($D611="", "", $D611)</f>
        <v/>
      </c>
      <c r="E612" s="616" t="str">
        <f t="shared" ref="E612:E614" si="718">IF($E611="", "", $E611)</f>
        <v/>
      </c>
      <c r="F612" s="616" t="str">
        <f t="shared" ref="F612:F614" si="719">IF($F611="", "", $F611)</f>
        <v/>
      </c>
      <c r="G612" s="619" t="str">
        <f>IF(Tree_Table1[[#This Row],[Tree Status  &amp;]]="Retain", Tables!$B$237, IF(Tree_Table1[[#This Row],[Tree Status  &amp;]]="Remove", Tables!$B$238, ""))</f>
        <v/>
      </c>
      <c r="H612" s="321"/>
      <c r="I612" s="322"/>
      <c r="J612" s="453"/>
      <c r="K612" s="323" t="str">
        <f>IFERROR(
    IF(
        AND($H612="Zoning: Tree Points", NOT(ISNUMBER(SEARCH("sp.", $C612)))),
        VLOOKUP($C612, 'Tree List'!$C$3:$F$601, 4, FALSE),
        ""
    ),
"")</f>
        <v/>
      </c>
      <c r="L612" s="324" t="str" cm="1">
        <f t="array" ref="L612">IFERROR(
IF(
    AND($H612="Zoning: Tree Points", NOT(ISNUMBER(SEARCH("sp.", $C612)))),
    _xlfn.IFS(
        (COUNTIFS('Tree List'!$C$3:$C$601,$C612,'Tree List'!$D$3:$D$601,"Coniferous")
        + COUNTIFS('Tree List'!$C$3:$C$601,$C612,'Tree List'!$D$3:$D$601,"Deciduous Conifer")) &gt; 0,
            _xlfn.IFS($K612="Small",0.5,$K612="Small/Medium",1,$K612="Medium/Large",1.4,$K612="Large",1.8),
        (COUNTIFS('Tree List'!$C$3:$C$601,$C612,'Tree List'!$D$3:$D$601,"Deciduous")
        + COUNTIFS('Tree List'!$C$3:$C$601,$C612,'Tree List'!$D$3:$D$601,"Broadleaf Evergreen")) &gt; 0,
            _xlfn.IFS($K612="Small",0.4,$K612="Small/Medium",0.8,$K612="Medium/Large",1.2,$K612="Large",1.6)
    ),
    ""
),
"")</f>
        <v/>
      </c>
      <c r="M612" s="475" t="str">
        <f t="shared" si="654"/>
        <v/>
      </c>
      <c r="N612" s="346" t="str" cm="1">
        <f t="array" aca="1" ref="N61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IF(AND(_xlpm.baseRow,ISNA(MATCH($C612,'Tree List'!$C$3:$C$601,0)),SUMPRODUCT(--ISNUMBER(SEARCH(Tables2!$C$677:$C$772,$O612)))&gt;0),
Error!$B$57,
IF(AND(_xlpm.hasDM,$F612="Remove",$H612&lt;&gt;"",OR($I612="On-site replacement",$I612="Off-site replacement",$I612="Payment In Lieu")),
Error!$B$56,
IF(AND(_xlpm.hasDM,$F612="Remove",$H612&lt;&gt;"",$I612="Relocation"),
Error!$B$66,
IF(AND(OR(_xlpm.hasCN,_xlpm.hasPH,_xlpm.hasGR),$H612&lt;&gt;"",COUNTIF(Tables!$B$132:$B$134,$H612)&gt;0,$I612="N/A (No replacement required)"),
Error!$B$62,
IF(AND(_xlpm.baseRow,$E612&lt;&gt;"",ISNA(MATCH($E612,Tables!$B$225:$B$232,0))),
Error!$B$2,
IF(AND(_xlpm.baseRow,$F612&lt;&gt;"",ISNA(MATCH($F612,Tables!$B$234:$B$235,0))),
Error!$B$24,
IF(AND(_xlpm.baseRow,_xlpm.ECA_H&gt;0,_xlpm.Shore_H&gt;0),
Error!$B$16,
IF(AND(_xlpm.baseRow,$E612&lt;&gt;"",$D612=""),
Error!$B$3,
IF(AND(_xlpm.baseRow,OR($E612="Tier 3",$E612="Tier 4"),$C612&lt;&gt;"",$D612&gt;=24,COUNTIF(Tables2!$B$166:$B$674,$C612)&gt;0),
Error!$B$44,
IF(AND(_xlpm.baseRow,OR($E612="Tier 3",$E612="Tier 4"),$C612&lt;&gt;"",$D612&lt;&gt;"",COUNTIF(Tables2!$B$73:$B$152,$C612)&gt;0,
$D612&gt;=IFERROR(INDEX(Tables2!$C$73:$C$152,MATCH($C612,Tables2!$B$73:$B$152,0)),-1)),
Error!$B$44,
IF(AND(_xlpm.baseRow,OR($E612="Tier 2",$E612="Tier 2 Grove"),$C612&lt;&gt;"",$D612&gt;=12,COUNTIF(Tables2!$B$153:$B$162,$C612)&gt;0),
Error!$B$45,
IF(AND(_xlpm.baseRow,$E612="Tier 2 Grove",$D612&lt;12),
Error!$B$41,
IF(AND(_xlpm.baseRow,$E612="Tier 2",$D612&lt;5.88),
Error!$B$40,
IF(AND(_xlpm.baseRow,OR($E612="Tier 2",$E612="Tier 2 Grove"),$C612&lt;&gt;"",$D612&lt;12,$D612&gt;=6,COUNTIF(Tables2!$B$153:$B$162,$C612)&gt;0),
Error!$B$54,
IF(AND(_xlpm.baseRow,$E612="Tier 2",COUNTIF(Tables2!$B$166:$B$674,$C612)&gt;0,$D612&lt;24),
Error!$B$54,
IF(AND(_xlpm.baseRow,$E612="Tier 3",ISNA(MATCH($C612,Tables2!$B$153:$B$162,0)),OR($D612&lt;12,$D612&gt;=24)),
Error!$B$9,
IF(AND(_xlpm.baseRow,$E612="Tier 3",COUNTIF(Tables2!$B$153:$B$162,$C612)&gt;0,$D612&lt;12),
Error!$B$46,
IF(AND(_xlpm.baseRow,$E612="Tier 4",OR($D612&lt;6,$D612&gt;=12)),
Error!$B$10,
IF(AND(_xlpm.baseRow,$E612="&lt;6in DSH for Tree Points",OR($D612&gt;=6,$D612="")),
Error!$B$8,
IF(AND(_xlpm.baseRow,$E612="Street Tree for Green Factor",$F612&lt;&gt;"",$F612&lt;&gt;"Retain"),
Error!$B$14,
IF(AND($E612="&lt;6in DSH for Tree Points",$F612="Retain",$H612&lt;&gt;"",ISNA(MATCH($H612,Tables!$B$174:$B$174,0))),
Error!$B$15,
IF(AND($E612="Street Tree for Green Factor",$F612="Retain",$H612&lt;&gt;"",$H612&lt;&gt;"Zoning: Green Factor"),
Error!$B$15,
IF(AND($E612="ECA / Shoreline Tree",$F612="Remove",$H612&lt;&gt;"",ISNA(MATCH($H612,Tables!$B$189:$B$190,0))),
Error!$B$15,
IF(AND($E612="ECA / Shoreline Tree",$F612="Retain",$H612&lt;&gt;"",ISNA(MATCH($H612,Tables!$B$184:$B$186,0))),
Error!$B$15,
IF(AND($E612="Tier 4",$F612="Remove",$H612&lt;&gt;"",ISNA(MATCH($H612,Tables!$B$171,0))),
Error!$B$15,
IF(AND($E612="Tier 4",$F612="Retain",$H612&lt;&gt;"",ISNA(MATCH($H612,Tables!$B$166:$B$168,0))),
Error!$B$15,
IF(AND($E612="Tier 3",$F612="Retain",$H612&lt;&gt;"",ISNA(MATCH($H612,Tables!$B$158:$B$160,0))),
Error!$B$15,
IF(AND($E612="Tier 3",$F612="Remove",$H612&lt;&gt;"",ISNA(MATCH($H612,Tables!$B$163,0))),
Error!$B$15,
IF(AND(OR($E612="Tier 2",$E612="Tier 2 Grove"),$F612="Remove",$H612&lt;&gt;"",ISNA(MATCH($H612,Tables!$B$153:$B$155,0))),
Error!$B$15,
IF(AND(OR($E612="Tier 2",$E612="Tier 2 Grove"),$F612="Retain",$H612&lt;&gt;"",ISNA(MATCH($H612,Tables!$B$147:$B$150,0))),
Error!$B$15,
IF(AND($E612="Tier 1",$F612="Remove",$H612&lt;&gt;"",ISNA(MATCH($H612,Tables!$B$143:$B$144,0))),
Error!$B$15,
IF(AND($E612="Tier 1",$F612="Retain",$H612&lt;&gt;"",ISNA(MATCH($H612,Tables!$B$137:$B$140,0))),
Error!$B$15,
IF(AND($E612&lt;&gt;"Tier 2",$E612&lt;&gt;"Tier 2 Grove",$E612&lt;&gt;"Tier 3",$E612&lt;&gt;"Tier 4",$H612="Zoning: Green Factor",OR($D612="",$D612&lt;6)),
Error!$B$11,
IF(AND(_xlpm.baseRow,$D612&lt;6,$E612="&lt;6in DSH for Tree Points",_xlpm.TreePoints_H=0),
Error!$B$21,
IF(AND(_xlpm.baseRow,$E612&lt;&gt;"",$D612&lt;&gt;"",$F612=""),
Error!$B$4,
IF(AND(_xlpm.baseRow,$F612="Remove",OR($E612="Tier 1",$E612="Tier 2",$E612="Tier 2 Grove"),COUNTBLANK(_xlpm.HRange)&lt;3,_xlpm.uniqueH&gt;=2),
Error!$B$48,
IF(AND(_xlpm.baseRow,$F612="Retain",OR($E612="Tier 1",$E612="Tier 2",$E612="Tier 2 Grove"),COUNTIF(_xlpm.HRange,"Tree Code: Required to Retain Tier 1-2 Tree")=0),
Error!$B$47,
IF(AND(_xlpm.baseRow,$E612&lt;&gt;"",$D612&lt;&gt;"",$F612&lt;&gt;"",COUNTBLANK(_xlpm.HRange)=4),
Error!$B$5,
IF(AND($F612="Remove",$H612&lt;&gt;"",$I612=""),
Error!$B$18,
IF(AND($E612="Tier 4",$F612="Remove",$H612="Tree Protection Code: Tier 3 or Tier 4 Allowance",$H612&lt;&gt;"",ISNA(MATCH($I612,Tables!$B$200,0))),
Error!$B$17,
IF(AND($E612="Tier 3",$F612="Remove",$H612&lt;&gt;"",$H612="Tree Protection Code: Tier 3 or Tier 4 Allowance",OR($I612="",ISNA(MATCH($I612,Tables!$B$193:$B$197,0)))),
Error!$B$17,
IF(AND(OR($E612="Tier 2",$E612="Tier 2 Grove"),$F612="Remove",$H612="Tree Protection Code: Other removal allowance or exemption",$I612&lt;&gt;"",ISNA(MATCH($I612,Tables!$B$215:$B$218,0))),
Error!$B$17,
IF(AND(OR($E612="Tier 2",$E612="Tier 2 Grove"),$F612="Remove",$H612="Tree Protection Code: Development Capacity",$I612&lt;&gt;"",ISNA(MATCH($I612,Tables!$B$193:$B$197,0))),
Error!$B$17,
IF(AND(OR($E612="Tier 2",$E612="Tier 2 Grove"),$F612="Remove",$H612="Tree Protection Code: Necessary for Construction",$I612&lt;&gt;"",ISNA(MATCH($I612,Tables!$B$193:$B$197,0))),
Error!$B$17,
IF(AND($E612="Tier 1",$F612="Remove",$H612="Tree Protection Code: Special Exception",$I612&lt;&gt;"",ISNA(MATCH($I612,Tables!$B$215:$B$218,0))),
Error!$B$17,
IF(AND($E612="Tier 1",$F612="Remove",$H612="Tree Protection Code: Other removal allowance or exemption",$I612&lt;&gt;"",ISNA(MATCH($I612,Tables!$B$215:$B$218,0))),
Error!$B$17,
IF(AND($E612="ECA / Shoreline Tree",$F612="Remove",$H612&lt;&gt;"",OR($H612="Shoreline",$H612="Environmental Critical Area (ECA)"),ISNA(MATCH($I612,Tables!$B$209:$B$212,0))),
Error!$B$17,
IF(AND(_xlpm.baseRow,$F612="Retain",$E612="ECA / Shoreline Tree",_xlpm.ECA_Short=0),
Error!$B$61,
IF(AND($F612="Remove",ISNUMBER(MATCH($E612,{"Tier 1","Tier 2","Tier 3","Tier 4","Tier 2 Grove"},0)),ISNUMBER(MATCH($I612,{"On-site replacement","Off-site replacement"},0)),$J612="",$H612&lt;&gt;""),
Error!$B$19,
IF(AND(_xlpm.baseRow,$E612&lt;&gt;"",$D612&lt;&gt;"",$F612&lt;&gt;"",COUNTBLANK($B612:$C612)&gt;0,COUNTBLANK(_xlpm.HRange)&lt;&gt;4),
Error!$B$22,
IF(AND($H612="Zoning: Tree Points",$K612&lt;&gt;"",ISNA(MATCH($K612,Tables!$B$242:$B$253,0))),
Error!$B$58,
IF(AND($H612="Zoning: Tree Points",$K612="Small",$L612&lt;&gt;"",ISNA(MATCH($L612,Tables!$C$243:$C$244,0))),
Error!$B$59,
IF(AND($H612="Zoning: Tree Points",$K612="Small/Medium",$L612&lt;&gt;"",ISNA(MATCH($L612,Tables!$C$246:$C$247,0))),
Error!$B$59,
IF(AND($H612="Zoning: Tree Points",$K612="Medium/Large",$L612&lt;&gt;"",ISNA(MATCH($L612,Tables!$C$249:$C$250,0))),
Error!$B$59,
IF(AND($H612="Zoning: Tree Points",$K612="Large",$L612&lt;&gt;"",ISNA(MATCH($L612,Tables!$C$252:$C$253,0))),
Error!$B$59,
IF(AND($F612="Retain",$H612="Zoning: Tree Points",$C612&lt;&gt;"",$D612&lt;&gt;"",OR($K612="",$L612="",$M612="")),
Error!$B$20,
""
)))))))))))))))))))))))))))))))))))))))))))))))))))))))),
Error!$B$23))</f>
        <v/>
      </c>
      <c r="O612" s="343" t="str" cm="1">
        <f t="array" aca="1" ref="O612" ca="1">IFERROR(_xlfn.LET(
    _xlpm.txt, $C612,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13" spans="1:15" x14ac:dyDescent="0.3">
      <c r="A613" s="320"/>
      <c r="B613" s="616" t="str">
        <f t="shared" si="715"/>
        <v/>
      </c>
      <c r="C613" s="617" t="str">
        <f t="shared" si="716"/>
        <v/>
      </c>
      <c r="D613" s="618" t="str">
        <f t="shared" si="717"/>
        <v/>
      </c>
      <c r="E613" s="616" t="str">
        <f t="shared" si="718"/>
        <v/>
      </c>
      <c r="F613" s="616" t="str">
        <f t="shared" si="719"/>
        <v/>
      </c>
      <c r="G613" s="619" t="str">
        <f>IF(Tree_Table1[[#This Row],[Tree Status  &amp;]]="Retain", Tables!$B$237, IF(Tree_Table1[[#This Row],[Tree Status  &amp;]]="Remove", Tables!$B$238, ""))</f>
        <v/>
      </c>
      <c r="H613" s="321"/>
      <c r="I613" s="322"/>
      <c r="J613" s="453"/>
      <c r="K613" s="323" t="str">
        <f>IFERROR(
    IF(
        AND($H613="Zoning: Tree Points", NOT(ISNUMBER(SEARCH("sp.", $C613)))),
        VLOOKUP($C613, 'Tree List'!$C$3:$F$601, 4, FALSE),
        ""
    ),
"")</f>
        <v/>
      </c>
      <c r="L613" s="324" t="str" cm="1">
        <f t="array" ref="L613">IFERROR(
IF(
    AND($H613="Zoning: Tree Points", NOT(ISNUMBER(SEARCH("sp.", $C613)))),
    _xlfn.IFS(
        (COUNTIFS('Tree List'!$C$3:$C$601,$C613,'Tree List'!$D$3:$D$601,"Coniferous")
        + COUNTIFS('Tree List'!$C$3:$C$601,$C613,'Tree List'!$D$3:$D$601,"Deciduous Conifer")) &gt; 0,
            _xlfn.IFS($K613="Small",0.5,$K613="Small/Medium",1,$K613="Medium/Large",1.4,$K613="Large",1.8),
        (COUNTIFS('Tree List'!$C$3:$C$601,$C613,'Tree List'!$D$3:$D$601,"Deciduous")
        + COUNTIFS('Tree List'!$C$3:$C$601,$C613,'Tree List'!$D$3:$D$601,"Broadleaf Evergreen")) &gt; 0,
            _xlfn.IFS($K613="Small",0.4,$K613="Small/Medium",0.8,$K613="Medium/Large",1.2,$K613="Large",1.6)
    ),
    ""
),
"")</f>
        <v/>
      </c>
      <c r="M613" s="475" t="str">
        <f t="shared" si="654"/>
        <v/>
      </c>
      <c r="N613" s="346" t="str" cm="1">
        <f t="array" aca="1" ref="N61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IF(AND(_xlpm.baseRow,ISNA(MATCH($C613,'Tree List'!$C$3:$C$601,0)),SUMPRODUCT(--ISNUMBER(SEARCH(Tables2!$C$677:$C$772,$O613)))&gt;0),
Error!$B$57,
IF(AND(_xlpm.hasDM,$F613="Remove",$H613&lt;&gt;"",OR($I613="On-site replacement",$I613="Off-site replacement",$I613="Payment In Lieu")),
Error!$B$56,
IF(AND(_xlpm.hasDM,$F613="Remove",$H613&lt;&gt;"",$I613="Relocation"),
Error!$B$66,
IF(AND(OR(_xlpm.hasCN,_xlpm.hasPH,_xlpm.hasGR),$H613&lt;&gt;"",COUNTIF(Tables!$B$132:$B$134,$H613)&gt;0,$I613="N/A (No replacement required)"),
Error!$B$62,
IF(AND(_xlpm.baseRow,$E613&lt;&gt;"",ISNA(MATCH($E613,Tables!$B$225:$B$232,0))),
Error!$B$2,
IF(AND(_xlpm.baseRow,$F613&lt;&gt;"",ISNA(MATCH($F613,Tables!$B$234:$B$235,0))),
Error!$B$24,
IF(AND(_xlpm.baseRow,_xlpm.ECA_H&gt;0,_xlpm.Shore_H&gt;0),
Error!$B$16,
IF(AND(_xlpm.baseRow,$E613&lt;&gt;"",$D613=""),
Error!$B$3,
IF(AND(_xlpm.baseRow,OR($E613="Tier 3",$E613="Tier 4"),$C613&lt;&gt;"",$D613&gt;=24,COUNTIF(Tables2!$B$166:$B$674,$C613)&gt;0),
Error!$B$44,
IF(AND(_xlpm.baseRow,OR($E613="Tier 3",$E613="Tier 4"),$C613&lt;&gt;"",$D613&lt;&gt;"",COUNTIF(Tables2!$B$73:$B$152,$C613)&gt;0,
$D613&gt;=IFERROR(INDEX(Tables2!$C$73:$C$152,MATCH($C613,Tables2!$B$73:$B$152,0)),-1)),
Error!$B$44,
IF(AND(_xlpm.baseRow,OR($E613="Tier 2",$E613="Tier 2 Grove"),$C613&lt;&gt;"",$D613&gt;=12,COUNTIF(Tables2!$B$153:$B$162,$C613)&gt;0),
Error!$B$45,
IF(AND(_xlpm.baseRow,$E613="Tier 2 Grove",$D613&lt;12),
Error!$B$41,
IF(AND(_xlpm.baseRow,$E613="Tier 2",$D613&lt;5.88),
Error!$B$40,
IF(AND(_xlpm.baseRow,OR($E613="Tier 2",$E613="Tier 2 Grove"),$C613&lt;&gt;"",$D613&lt;12,$D613&gt;=6,COUNTIF(Tables2!$B$153:$B$162,$C613)&gt;0),
Error!$B$54,
IF(AND(_xlpm.baseRow,$E613="Tier 2",COUNTIF(Tables2!$B$166:$B$674,$C613)&gt;0,$D613&lt;24),
Error!$B$54,
IF(AND(_xlpm.baseRow,$E613="Tier 3",ISNA(MATCH($C613,Tables2!$B$153:$B$162,0)),OR($D613&lt;12,$D613&gt;=24)),
Error!$B$9,
IF(AND(_xlpm.baseRow,$E613="Tier 3",COUNTIF(Tables2!$B$153:$B$162,$C613)&gt;0,$D613&lt;12),
Error!$B$46,
IF(AND(_xlpm.baseRow,$E613="Tier 4",OR($D613&lt;6,$D613&gt;=12)),
Error!$B$10,
IF(AND(_xlpm.baseRow,$E613="&lt;6in DSH for Tree Points",OR($D613&gt;=6,$D613="")),
Error!$B$8,
IF(AND(_xlpm.baseRow,$E613="Street Tree for Green Factor",$F613&lt;&gt;"",$F613&lt;&gt;"Retain"),
Error!$B$14,
IF(AND($E613="&lt;6in DSH for Tree Points",$F613="Retain",$H613&lt;&gt;"",ISNA(MATCH($H613,Tables!$B$174:$B$174,0))),
Error!$B$15,
IF(AND($E613="Street Tree for Green Factor",$F613="Retain",$H613&lt;&gt;"",$H613&lt;&gt;"Zoning: Green Factor"),
Error!$B$15,
IF(AND($E613="ECA / Shoreline Tree",$F613="Remove",$H613&lt;&gt;"",ISNA(MATCH($H613,Tables!$B$189:$B$190,0))),
Error!$B$15,
IF(AND($E613="ECA / Shoreline Tree",$F613="Retain",$H613&lt;&gt;"",ISNA(MATCH($H613,Tables!$B$184:$B$186,0))),
Error!$B$15,
IF(AND($E613="Tier 4",$F613="Remove",$H613&lt;&gt;"",ISNA(MATCH($H613,Tables!$B$171,0))),
Error!$B$15,
IF(AND($E613="Tier 4",$F613="Retain",$H613&lt;&gt;"",ISNA(MATCH($H613,Tables!$B$166:$B$168,0))),
Error!$B$15,
IF(AND($E613="Tier 3",$F613="Retain",$H613&lt;&gt;"",ISNA(MATCH($H613,Tables!$B$158:$B$160,0))),
Error!$B$15,
IF(AND($E613="Tier 3",$F613="Remove",$H613&lt;&gt;"",ISNA(MATCH($H613,Tables!$B$163,0))),
Error!$B$15,
IF(AND(OR($E613="Tier 2",$E613="Tier 2 Grove"),$F613="Remove",$H613&lt;&gt;"",ISNA(MATCH($H613,Tables!$B$153:$B$155,0))),
Error!$B$15,
IF(AND(OR($E613="Tier 2",$E613="Tier 2 Grove"),$F613="Retain",$H613&lt;&gt;"",ISNA(MATCH($H613,Tables!$B$147:$B$150,0))),
Error!$B$15,
IF(AND($E613="Tier 1",$F613="Remove",$H613&lt;&gt;"",ISNA(MATCH($H613,Tables!$B$143:$B$144,0))),
Error!$B$15,
IF(AND($E613="Tier 1",$F613="Retain",$H613&lt;&gt;"",ISNA(MATCH($H613,Tables!$B$137:$B$140,0))),
Error!$B$15,
IF(AND($E613&lt;&gt;"Tier 2",$E613&lt;&gt;"Tier 2 Grove",$E613&lt;&gt;"Tier 3",$E613&lt;&gt;"Tier 4",$H613="Zoning: Green Factor",OR($D613="",$D613&lt;6)),
Error!$B$11,
IF(AND(_xlpm.baseRow,$D613&lt;6,$E613="&lt;6in DSH for Tree Points",_xlpm.TreePoints_H=0),
Error!$B$21,
IF(AND(_xlpm.baseRow,$E613&lt;&gt;"",$D613&lt;&gt;"",$F613=""),
Error!$B$4,
IF(AND(_xlpm.baseRow,$F613="Remove",OR($E613="Tier 1",$E613="Tier 2",$E613="Tier 2 Grove"),COUNTBLANK(_xlpm.HRange)&lt;3,_xlpm.uniqueH&gt;=2),
Error!$B$48,
IF(AND(_xlpm.baseRow,$F613="Retain",OR($E613="Tier 1",$E613="Tier 2",$E613="Tier 2 Grove"),COUNTIF(_xlpm.HRange,"Tree Code: Required to Retain Tier 1-2 Tree")=0),
Error!$B$47,
IF(AND(_xlpm.baseRow,$E613&lt;&gt;"",$D613&lt;&gt;"",$F613&lt;&gt;"",COUNTBLANK(_xlpm.HRange)=4),
Error!$B$5,
IF(AND($F613="Remove",$H613&lt;&gt;"",$I613=""),
Error!$B$18,
IF(AND($E613="Tier 4",$F613="Remove",$H613="Tree Protection Code: Tier 3 or Tier 4 Allowance",$H613&lt;&gt;"",ISNA(MATCH($I613,Tables!$B$200,0))),
Error!$B$17,
IF(AND($E613="Tier 3",$F613="Remove",$H613&lt;&gt;"",$H613="Tree Protection Code: Tier 3 or Tier 4 Allowance",OR($I613="",ISNA(MATCH($I613,Tables!$B$193:$B$197,0)))),
Error!$B$17,
IF(AND(OR($E613="Tier 2",$E613="Tier 2 Grove"),$F613="Remove",$H613="Tree Protection Code: Other removal allowance or exemption",$I613&lt;&gt;"",ISNA(MATCH($I613,Tables!$B$215:$B$218,0))),
Error!$B$17,
IF(AND(OR($E613="Tier 2",$E613="Tier 2 Grove"),$F613="Remove",$H613="Tree Protection Code: Development Capacity",$I613&lt;&gt;"",ISNA(MATCH($I613,Tables!$B$193:$B$197,0))),
Error!$B$17,
IF(AND(OR($E613="Tier 2",$E613="Tier 2 Grove"),$F613="Remove",$H613="Tree Protection Code: Necessary for Construction",$I613&lt;&gt;"",ISNA(MATCH($I613,Tables!$B$193:$B$197,0))),
Error!$B$17,
IF(AND($E613="Tier 1",$F613="Remove",$H613="Tree Protection Code: Special Exception",$I613&lt;&gt;"",ISNA(MATCH($I613,Tables!$B$215:$B$218,0))),
Error!$B$17,
IF(AND($E613="Tier 1",$F613="Remove",$H613="Tree Protection Code: Other removal allowance or exemption",$I613&lt;&gt;"",ISNA(MATCH($I613,Tables!$B$215:$B$218,0))),
Error!$B$17,
IF(AND($E613="ECA / Shoreline Tree",$F613="Remove",$H613&lt;&gt;"",OR($H613="Shoreline",$H613="Environmental Critical Area (ECA)"),ISNA(MATCH($I613,Tables!$B$209:$B$212,0))),
Error!$B$17,
IF(AND(_xlpm.baseRow,$F613="Retain",$E613="ECA / Shoreline Tree",_xlpm.ECA_Short=0),
Error!$B$61,
IF(AND($F613="Remove",ISNUMBER(MATCH($E613,{"Tier 1","Tier 2","Tier 3","Tier 4","Tier 2 Grove"},0)),ISNUMBER(MATCH($I613,{"On-site replacement","Off-site replacement"},0)),$J613="",$H613&lt;&gt;""),
Error!$B$19,
IF(AND(_xlpm.baseRow,$E613&lt;&gt;"",$D613&lt;&gt;"",$F613&lt;&gt;"",COUNTBLANK($B613:$C613)&gt;0,COUNTBLANK(_xlpm.HRange)&lt;&gt;4),
Error!$B$22,
IF(AND($H613="Zoning: Tree Points",$K613&lt;&gt;"",ISNA(MATCH($K613,Tables!$B$242:$B$253,0))),
Error!$B$58,
IF(AND($H613="Zoning: Tree Points",$K613="Small",$L613&lt;&gt;"",ISNA(MATCH($L613,Tables!$C$243:$C$244,0))),
Error!$B$59,
IF(AND($H613="Zoning: Tree Points",$K613="Small/Medium",$L613&lt;&gt;"",ISNA(MATCH($L613,Tables!$C$246:$C$247,0))),
Error!$B$59,
IF(AND($H613="Zoning: Tree Points",$K613="Medium/Large",$L613&lt;&gt;"",ISNA(MATCH($L613,Tables!$C$249:$C$250,0))),
Error!$B$59,
IF(AND($H613="Zoning: Tree Points",$K613="Large",$L613&lt;&gt;"",ISNA(MATCH($L613,Tables!$C$252:$C$253,0))),
Error!$B$59,
IF(AND($F613="Retain",$H613="Zoning: Tree Points",$C613&lt;&gt;"",$D613&lt;&gt;"",OR($K613="",$L613="",$M613="")),
Error!$B$20,
""
)))))))))))))))))))))))))))))))))))))))))))))))))))))))),
Error!$B$23))</f>
        <v/>
      </c>
      <c r="O613" s="343" t="str" cm="1">
        <f t="array" aca="1" ref="O613" ca="1">IFERROR(_xlfn.LET(
    _xlpm.txt, $C613,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14" spans="1:15" ht="15" thickBot="1" x14ac:dyDescent="0.35">
      <c r="A614" s="331"/>
      <c r="B614" s="616" t="str">
        <f t="shared" si="715"/>
        <v/>
      </c>
      <c r="C614" s="617" t="str">
        <f t="shared" si="716"/>
        <v/>
      </c>
      <c r="D614" s="618" t="str">
        <f t="shared" si="717"/>
        <v/>
      </c>
      <c r="E614" s="616" t="str">
        <f t="shared" si="718"/>
        <v/>
      </c>
      <c r="F614" s="616" t="str">
        <f t="shared" si="719"/>
        <v/>
      </c>
      <c r="G614" s="619" t="str">
        <f>IF(Tree_Table1[[#This Row],[Tree Status  &amp;]]="Retain", Tables!$B$237, IF(Tree_Table1[[#This Row],[Tree Status  &amp;]]="Remove", Tables!$B$238, ""))</f>
        <v/>
      </c>
      <c r="H614" s="329"/>
      <c r="I614" s="330"/>
      <c r="J614" s="455"/>
      <c r="K614" s="327" t="str">
        <f>IFERROR(
    IF(
        AND($H614="Zoning: Tree Points", NOT(ISNUMBER(SEARCH("sp.", $C614)))),
        VLOOKUP($C614, 'Tree List'!$C$3:$F$601, 4, FALSE),
        ""
    ),
"")</f>
        <v/>
      </c>
      <c r="L614" s="328" t="str" cm="1">
        <f t="array" ref="L614">IFERROR(
IF(
    AND($H614="Zoning: Tree Points", NOT(ISNUMBER(SEARCH("sp.", $C614)))),
    _xlfn.IFS(
        (COUNTIFS('Tree List'!$C$3:$C$601,$C614,'Tree List'!$D$3:$D$601,"Coniferous")
        + COUNTIFS('Tree List'!$C$3:$C$601,$C614,'Tree List'!$D$3:$D$601,"Deciduous Conifer")) &gt; 0,
            _xlfn.IFS($K614="Small",0.5,$K614="Small/Medium",1,$K614="Medium/Large",1.4,$K614="Large",1.8),
        (COUNTIFS('Tree List'!$C$3:$C$601,$C614,'Tree List'!$D$3:$D$601,"Deciduous")
        + COUNTIFS('Tree List'!$C$3:$C$601,$C614,'Tree List'!$D$3:$D$601,"Broadleaf Evergreen")) &gt; 0,
            _xlfn.IFS($K614="Small",0.4,$K614="Small/Medium",0.8,$K614="Medium/Large",1.2,$K614="Large",1.6)
    ),
    ""
),
"")</f>
        <v/>
      </c>
      <c r="M614" s="476" t="str">
        <f t="shared" si="654"/>
        <v/>
      </c>
      <c r="N614" s="347" t="str" cm="1">
        <f t="array" aca="1" ref="N61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IF(AND(_xlpm.baseRow,ISNA(MATCH($C614,'Tree List'!$C$3:$C$601,0)),SUMPRODUCT(--ISNUMBER(SEARCH(Tables2!$C$677:$C$772,$O614)))&gt;0),
Error!$B$57,
IF(AND(_xlpm.hasDM,$F614="Remove",$H614&lt;&gt;"",OR($I614="On-site replacement",$I614="Off-site replacement",$I614="Payment In Lieu")),
Error!$B$56,
IF(AND(_xlpm.hasDM,$F614="Remove",$H614&lt;&gt;"",$I614="Relocation"),
Error!$B$66,
IF(AND(OR(_xlpm.hasCN,_xlpm.hasPH,_xlpm.hasGR),$H614&lt;&gt;"",COUNTIF(Tables!$B$132:$B$134,$H614)&gt;0,$I614="N/A (No replacement required)"),
Error!$B$62,
IF(AND(_xlpm.baseRow,$E614&lt;&gt;"",ISNA(MATCH($E614,Tables!$B$225:$B$232,0))),
Error!$B$2,
IF(AND(_xlpm.baseRow,$F614&lt;&gt;"",ISNA(MATCH($F614,Tables!$B$234:$B$235,0))),
Error!$B$24,
IF(AND(_xlpm.baseRow,_xlpm.ECA_H&gt;0,_xlpm.Shore_H&gt;0),
Error!$B$16,
IF(AND(_xlpm.baseRow,$E614&lt;&gt;"",$D614=""),
Error!$B$3,
IF(AND(_xlpm.baseRow,OR($E614="Tier 3",$E614="Tier 4"),$C614&lt;&gt;"",$D614&gt;=24,COUNTIF(Tables2!$B$166:$B$674,$C614)&gt;0),
Error!$B$44,
IF(AND(_xlpm.baseRow,OR($E614="Tier 3",$E614="Tier 4"),$C614&lt;&gt;"",$D614&lt;&gt;"",COUNTIF(Tables2!$B$73:$B$152,$C614)&gt;0,
$D614&gt;=IFERROR(INDEX(Tables2!$C$73:$C$152,MATCH($C614,Tables2!$B$73:$B$152,0)),-1)),
Error!$B$44,
IF(AND(_xlpm.baseRow,OR($E614="Tier 2",$E614="Tier 2 Grove"),$C614&lt;&gt;"",$D614&gt;=12,COUNTIF(Tables2!$B$153:$B$162,$C614)&gt;0),
Error!$B$45,
IF(AND(_xlpm.baseRow,$E614="Tier 2 Grove",$D614&lt;12),
Error!$B$41,
IF(AND(_xlpm.baseRow,$E614="Tier 2",$D614&lt;5.88),
Error!$B$40,
IF(AND(_xlpm.baseRow,OR($E614="Tier 2",$E614="Tier 2 Grove"),$C614&lt;&gt;"",$D614&lt;12,$D614&gt;=6,COUNTIF(Tables2!$B$153:$B$162,$C614)&gt;0),
Error!$B$54,
IF(AND(_xlpm.baseRow,$E614="Tier 2",COUNTIF(Tables2!$B$166:$B$674,$C614)&gt;0,$D614&lt;24),
Error!$B$54,
IF(AND(_xlpm.baseRow,$E614="Tier 3",ISNA(MATCH($C614,Tables2!$B$153:$B$162,0)),OR($D614&lt;12,$D614&gt;=24)),
Error!$B$9,
IF(AND(_xlpm.baseRow,$E614="Tier 3",COUNTIF(Tables2!$B$153:$B$162,$C614)&gt;0,$D614&lt;12),
Error!$B$46,
IF(AND(_xlpm.baseRow,$E614="Tier 4",OR($D614&lt;6,$D614&gt;=12)),
Error!$B$10,
IF(AND(_xlpm.baseRow,$E614="&lt;6in DSH for Tree Points",OR($D614&gt;=6,$D614="")),
Error!$B$8,
IF(AND(_xlpm.baseRow,$E614="Street Tree for Green Factor",$F614&lt;&gt;"",$F614&lt;&gt;"Retain"),
Error!$B$14,
IF(AND($E614="&lt;6in DSH for Tree Points",$F614="Retain",$H614&lt;&gt;"",ISNA(MATCH($H614,Tables!$B$174:$B$174,0))),
Error!$B$15,
IF(AND($E614="Street Tree for Green Factor",$F614="Retain",$H614&lt;&gt;"",$H614&lt;&gt;"Zoning: Green Factor"),
Error!$B$15,
IF(AND($E614="ECA / Shoreline Tree",$F614="Remove",$H614&lt;&gt;"",ISNA(MATCH($H614,Tables!$B$189:$B$190,0))),
Error!$B$15,
IF(AND($E614="ECA / Shoreline Tree",$F614="Retain",$H614&lt;&gt;"",ISNA(MATCH($H614,Tables!$B$184:$B$186,0))),
Error!$B$15,
IF(AND($E614="Tier 4",$F614="Remove",$H614&lt;&gt;"",ISNA(MATCH($H614,Tables!$B$171,0))),
Error!$B$15,
IF(AND($E614="Tier 4",$F614="Retain",$H614&lt;&gt;"",ISNA(MATCH($H614,Tables!$B$166:$B$168,0))),
Error!$B$15,
IF(AND($E614="Tier 3",$F614="Retain",$H614&lt;&gt;"",ISNA(MATCH($H614,Tables!$B$158:$B$160,0))),
Error!$B$15,
IF(AND($E614="Tier 3",$F614="Remove",$H614&lt;&gt;"",ISNA(MATCH($H614,Tables!$B$163,0))),
Error!$B$15,
IF(AND(OR($E614="Tier 2",$E614="Tier 2 Grove"),$F614="Remove",$H614&lt;&gt;"",ISNA(MATCH($H614,Tables!$B$153:$B$155,0))),
Error!$B$15,
IF(AND(OR($E614="Tier 2",$E614="Tier 2 Grove"),$F614="Retain",$H614&lt;&gt;"",ISNA(MATCH($H614,Tables!$B$147:$B$150,0))),
Error!$B$15,
IF(AND($E614="Tier 1",$F614="Remove",$H614&lt;&gt;"",ISNA(MATCH($H614,Tables!$B$143:$B$144,0))),
Error!$B$15,
IF(AND($E614="Tier 1",$F614="Retain",$H614&lt;&gt;"",ISNA(MATCH($H614,Tables!$B$137:$B$140,0))),
Error!$B$15,
IF(AND($E614&lt;&gt;"Tier 2",$E614&lt;&gt;"Tier 2 Grove",$E614&lt;&gt;"Tier 3",$E614&lt;&gt;"Tier 4",$H614="Zoning: Green Factor",OR($D614="",$D614&lt;6)),
Error!$B$11,
IF(AND(_xlpm.baseRow,$D614&lt;6,$E614="&lt;6in DSH for Tree Points",_xlpm.TreePoints_H=0),
Error!$B$21,
IF(AND(_xlpm.baseRow,$E614&lt;&gt;"",$D614&lt;&gt;"",$F614=""),
Error!$B$4,
IF(AND(_xlpm.baseRow,$F614="Remove",OR($E614="Tier 1",$E614="Tier 2",$E614="Tier 2 Grove"),COUNTBLANK(_xlpm.HRange)&lt;3,_xlpm.uniqueH&gt;=2),
Error!$B$48,
IF(AND(_xlpm.baseRow,$F614="Retain",OR($E614="Tier 1",$E614="Tier 2",$E614="Tier 2 Grove"),COUNTIF(_xlpm.HRange,"Tree Code: Required to Retain Tier 1-2 Tree")=0),
Error!$B$47,
IF(AND(_xlpm.baseRow,$E614&lt;&gt;"",$D614&lt;&gt;"",$F614&lt;&gt;"",COUNTBLANK(_xlpm.HRange)=4),
Error!$B$5,
IF(AND($F614="Remove",$H614&lt;&gt;"",$I614=""),
Error!$B$18,
IF(AND($E614="Tier 4",$F614="Remove",$H614="Tree Protection Code: Tier 3 or Tier 4 Allowance",$H614&lt;&gt;"",ISNA(MATCH($I614,Tables!$B$200,0))),
Error!$B$17,
IF(AND($E614="Tier 3",$F614="Remove",$H614&lt;&gt;"",$H614="Tree Protection Code: Tier 3 or Tier 4 Allowance",OR($I614="",ISNA(MATCH($I614,Tables!$B$193:$B$197,0)))),
Error!$B$17,
IF(AND(OR($E614="Tier 2",$E614="Tier 2 Grove"),$F614="Remove",$H614="Tree Protection Code: Other removal allowance or exemption",$I614&lt;&gt;"",ISNA(MATCH($I614,Tables!$B$215:$B$218,0))),
Error!$B$17,
IF(AND(OR($E614="Tier 2",$E614="Tier 2 Grove"),$F614="Remove",$H614="Tree Protection Code: Development Capacity",$I614&lt;&gt;"",ISNA(MATCH($I614,Tables!$B$193:$B$197,0))),
Error!$B$17,
IF(AND(OR($E614="Tier 2",$E614="Tier 2 Grove"),$F614="Remove",$H614="Tree Protection Code: Necessary for Construction",$I614&lt;&gt;"",ISNA(MATCH($I614,Tables!$B$193:$B$197,0))),
Error!$B$17,
IF(AND($E614="Tier 1",$F614="Remove",$H614="Tree Protection Code: Special Exception",$I614&lt;&gt;"",ISNA(MATCH($I614,Tables!$B$215:$B$218,0))),
Error!$B$17,
IF(AND($E614="Tier 1",$F614="Remove",$H614="Tree Protection Code: Other removal allowance or exemption",$I614&lt;&gt;"",ISNA(MATCH($I614,Tables!$B$215:$B$218,0))),
Error!$B$17,
IF(AND($E614="ECA / Shoreline Tree",$F614="Remove",$H614&lt;&gt;"",OR($H614="Shoreline",$H614="Environmental Critical Area (ECA)"),ISNA(MATCH($I614,Tables!$B$209:$B$212,0))),
Error!$B$17,
IF(AND(_xlpm.baseRow,$F614="Retain",$E614="ECA / Shoreline Tree",_xlpm.ECA_Short=0),
Error!$B$61,
IF(AND($F614="Remove",ISNUMBER(MATCH($E614,{"Tier 1","Tier 2","Tier 3","Tier 4","Tier 2 Grove"},0)),ISNUMBER(MATCH($I614,{"On-site replacement","Off-site replacement"},0)),$J614="",$H614&lt;&gt;""),
Error!$B$19,
IF(AND(_xlpm.baseRow,$E614&lt;&gt;"",$D614&lt;&gt;"",$F614&lt;&gt;"",COUNTBLANK($B614:$C614)&gt;0,COUNTBLANK(_xlpm.HRange)&lt;&gt;4),
Error!$B$22,
IF(AND($H614="Zoning: Tree Points",$K614&lt;&gt;"",ISNA(MATCH($K614,Tables!$B$242:$B$253,0))),
Error!$B$58,
IF(AND($H614="Zoning: Tree Points",$K614="Small",$L614&lt;&gt;"",ISNA(MATCH($L614,Tables!$C$243:$C$244,0))),
Error!$B$59,
IF(AND($H614="Zoning: Tree Points",$K614="Small/Medium",$L614&lt;&gt;"",ISNA(MATCH($L614,Tables!$C$246:$C$247,0))),
Error!$B$59,
IF(AND($H614="Zoning: Tree Points",$K614="Medium/Large",$L614&lt;&gt;"",ISNA(MATCH($L614,Tables!$C$249:$C$250,0))),
Error!$B$59,
IF(AND($H614="Zoning: Tree Points",$K614="Large",$L614&lt;&gt;"",ISNA(MATCH($L614,Tables!$C$252:$C$253,0))),
Error!$B$59,
IF(AND($F614="Retain",$H614="Zoning: Tree Points",$C614&lt;&gt;"",$D614&lt;&gt;"",OR($K614="",$L614="",$M614="")),
Error!$B$20,
""
)))))))))))))))))))))))))))))))))))))))))))))))))))))))),
Error!$B$23))</f>
        <v/>
      </c>
      <c r="O614" s="343" t="str" cm="1">
        <f t="array" aca="1" ref="O614" ca="1">IFERROR(_xlfn.LET(
    _xlpm.txt, $C614,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15" spans="1:15" ht="15" thickBot="1" x14ac:dyDescent="0.35">
      <c r="A615" s="311">
        <v>152</v>
      </c>
      <c r="B615" s="312"/>
      <c r="C615" s="313"/>
      <c r="D615" s="478"/>
      <c r="E615" s="314"/>
      <c r="F615" s="314"/>
      <c r="G615" s="315" t="str">
        <f>IF(Tree_Table1[[#This Row],[Tree Status  &amp;]]="Retain", Tables!$B$237, IF(Tree_Table1[[#This Row],[Tree Status  &amp;]]="Remove", Tables!$B$238, ""))</f>
        <v/>
      </c>
      <c r="H615" s="316"/>
      <c r="I615" s="317"/>
      <c r="J615" s="452"/>
      <c r="K615" s="318" t="str">
        <f>IFERROR(
    IF(
        AND($H615="Zoning: Tree Points", NOT(ISNUMBER(SEARCH("sp.", $C615)))),
        VLOOKUP($C615, 'Tree List'!$C$3:$F$601, 4, FALSE),
        ""
    ),
"")</f>
        <v/>
      </c>
      <c r="L615" s="319" t="str" cm="1">
        <f t="array" ref="L615">IFERROR(
IF(
    AND($H615="Zoning: Tree Points", NOT(ISNUMBER(SEARCH("sp.", $C615)))),
    _xlfn.IFS(
        (COUNTIFS('Tree List'!$C$3:$C$601,$C615,'Tree List'!$D$3:$D$601,"Coniferous")
        + COUNTIFS('Tree List'!$C$3:$C$601,$C615,'Tree List'!$D$3:$D$601,"Deciduous Conifer")) &gt; 0,
            _xlfn.IFS($K615="Small",0.5,$K615="Small/Medium",1,$K615="Medium/Large",1.4,$K615="Large",1.8),
        (COUNTIFS('Tree List'!$C$3:$C$601,$C615,'Tree List'!$D$3:$D$601,"Deciduous")
        + COUNTIFS('Tree List'!$C$3:$C$601,$C615,'Tree List'!$D$3:$D$601,"Broadleaf Evergreen")) &gt; 0,
            _xlfn.IFS($K615="Small",0.4,$K615="Small/Medium",0.8,$K615="Medium/Large",1.2,$K615="Large",1.6)
    ),
    ""
),
"")</f>
        <v/>
      </c>
      <c r="M615" s="474" t="str">
        <f t="shared" si="654"/>
        <v/>
      </c>
      <c r="N615" s="620" t="str" cm="1">
        <f t="array" aca="1" ref="N61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IF(AND(_xlpm.baseRow,ISNA(MATCH($C615,'Tree List'!$C$3:$C$601,0)),SUMPRODUCT(--ISNUMBER(SEARCH(Tables2!$C$677:$C$772,$O615)))&gt;0),
Error!$B$57,
IF(AND(_xlpm.hasDM,$F615="Remove",$H615&lt;&gt;"",OR($I615="On-site replacement",$I615="Off-site replacement",$I615="Payment In Lieu")),
Error!$B$56,
IF(AND(_xlpm.hasDM,$F615="Remove",$H615&lt;&gt;"",$I615="Relocation"),
Error!$B$66,
IF(AND(OR(_xlpm.hasCN,_xlpm.hasPH,_xlpm.hasGR),$H615&lt;&gt;"",COUNTIF(Tables!$B$132:$B$134,$H615)&gt;0,$I615="N/A (No replacement required)"),
Error!$B$62,
IF(AND(_xlpm.baseRow,$E615&lt;&gt;"",ISNA(MATCH($E615,Tables!$B$225:$B$232,0))),
Error!$B$2,
IF(AND(_xlpm.baseRow,$F615&lt;&gt;"",ISNA(MATCH($F615,Tables!$B$234:$B$235,0))),
Error!$B$24,
IF(AND(_xlpm.baseRow,_xlpm.ECA_H&gt;0,_xlpm.Shore_H&gt;0),
Error!$B$16,
IF(AND(_xlpm.baseRow,$E615&lt;&gt;"",$D615=""),
Error!$B$3,
IF(AND(_xlpm.baseRow,OR($E615="Tier 3",$E615="Tier 4"),$C615&lt;&gt;"",$D615&gt;=24,COUNTIF(Tables2!$B$166:$B$674,$C615)&gt;0),
Error!$B$44,
IF(AND(_xlpm.baseRow,OR($E615="Tier 3",$E615="Tier 4"),$C615&lt;&gt;"",$D615&lt;&gt;"",COUNTIF(Tables2!$B$73:$B$152,$C615)&gt;0,
$D615&gt;=IFERROR(INDEX(Tables2!$C$73:$C$152,MATCH($C615,Tables2!$B$73:$B$152,0)),-1)),
Error!$B$44,
IF(AND(_xlpm.baseRow,OR($E615="Tier 2",$E615="Tier 2 Grove"),$C615&lt;&gt;"",$D615&gt;=12,COUNTIF(Tables2!$B$153:$B$162,$C615)&gt;0),
Error!$B$45,
IF(AND(_xlpm.baseRow,$E615="Tier 2 Grove",$D615&lt;12),
Error!$B$41,
IF(AND(_xlpm.baseRow,$E615="Tier 2",$D615&lt;5.88),
Error!$B$40,
IF(AND(_xlpm.baseRow,OR($E615="Tier 2",$E615="Tier 2 Grove"),$C615&lt;&gt;"",$D615&lt;12,$D615&gt;=6,COUNTIF(Tables2!$B$153:$B$162,$C615)&gt;0),
Error!$B$54,
IF(AND(_xlpm.baseRow,$E615="Tier 2",COUNTIF(Tables2!$B$166:$B$674,$C615)&gt;0,$D615&lt;24),
Error!$B$54,
IF(AND(_xlpm.baseRow,$E615="Tier 3",ISNA(MATCH($C615,Tables2!$B$153:$B$162,0)),OR($D615&lt;12,$D615&gt;=24)),
Error!$B$9,
IF(AND(_xlpm.baseRow,$E615="Tier 3",COUNTIF(Tables2!$B$153:$B$162,$C615)&gt;0,$D615&lt;12),
Error!$B$46,
IF(AND(_xlpm.baseRow,$E615="Tier 4",OR($D615&lt;6,$D615&gt;=12)),
Error!$B$10,
IF(AND(_xlpm.baseRow,$E615="&lt;6in DSH for Tree Points",OR($D615&gt;=6,$D615="")),
Error!$B$8,
IF(AND(_xlpm.baseRow,$E615="Street Tree for Green Factor",$F615&lt;&gt;"",$F615&lt;&gt;"Retain"),
Error!$B$14,
IF(AND($E615="&lt;6in DSH for Tree Points",$F615="Retain",$H615&lt;&gt;"",ISNA(MATCH($H615,Tables!$B$174:$B$174,0))),
Error!$B$15,
IF(AND($E615="Street Tree for Green Factor",$F615="Retain",$H615&lt;&gt;"",$H615&lt;&gt;"Zoning: Green Factor"),
Error!$B$15,
IF(AND($E615="ECA / Shoreline Tree",$F615="Remove",$H615&lt;&gt;"",ISNA(MATCH($H615,Tables!$B$189:$B$190,0))),
Error!$B$15,
IF(AND($E615="ECA / Shoreline Tree",$F615="Retain",$H615&lt;&gt;"",ISNA(MATCH($H615,Tables!$B$184:$B$186,0))),
Error!$B$15,
IF(AND($E615="Tier 4",$F615="Remove",$H615&lt;&gt;"",ISNA(MATCH($H615,Tables!$B$171,0))),
Error!$B$15,
IF(AND($E615="Tier 4",$F615="Retain",$H615&lt;&gt;"",ISNA(MATCH($H615,Tables!$B$166:$B$168,0))),
Error!$B$15,
IF(AND($E615="Tier 3",$F615="Retain",$H615&lt;&gt;"",ISNA(MATCH($H615,Tables!$B$158:$B$160,0))),
Error!$B$15,
IF(AND($E615="Tier 3",$F615="Remove",$H615&lt;&gt;"",ISNA(MATCH($H615,Tables!$B$163,0))),
Error!$B$15,
IF(AND(OR($E615="Tier 2",$E615="Tier 2 Grove"),$F615="Remove",$H615&lt;&gt;"",ISNA(MATCH($H615,Tables!$B$153:$B$155,0))),
Error!$B$15,
IF(AND(OR($E615="Tier 2",$E615="Tier 2 Grove"),$F615="Retain",$H615&lt;&gt;"",ISNA(MATCH($H615,Tables!$B$147:$B$150,0))),
Error!$B$15,
IF(AND($E615="Tier 1",$F615="Remove",$H615&lt;&gt;"",ISNA(MATCH($H615,Tables!$B$143:$B$144,0))),
Error!$B$15,
IF(AND($E615="Tier 1",$F615="Retain",$H615&lt;&gt;"",ISNA(MATCH($H615,Tables!$B$137:$B$140,0))),
Error!$B$15,
IF(AND($E615&lt;&gt;"Tier 2",$E615&lt;&gt;"Tier 2 Grove",$E615&lt;&gt;"Tier 3",$E615&lt;&gt;"Tier 4",$H615="Zoning: Green Factor",OR($D615="",$D615&lt;6)),
Error!$B$11,
IF(AND(_xlpm.baseRow,$D615&lt;6,$E615="&lt;6in DSH for Tree Points",_xlpm.TreePoints_H=0),
Error!$B$21,
IF(AND(_xlpm.baseRow,$E615&lt;&gt;"",$D615&lt;&gt;"",$F615=""),
Error!$B$4,
IF(AND(_xlpm.baseRow,$F615="Remove",OR($E615="Tier 1",$E615="Tier 2",$E615="Tier 2 Grove"),COUNTBLANK(_xlpm.HRange)&lt;3,_xlpm.uniqueH&gt;=2),
Error!$B$48,
IF(AND(_xlpm.baseRow,$F615="Retain",OR($E615="Tier 1",$E615="Tier 2",$E615="Tier 2 Grove"),COUNTIF(_xlpm.HRange,"Tree Code: Required to Retain Tier 1-2 Tree")=0),
Error!$B$47,
IF(AND(_xlpm.baseRow,$E615&lt;&gt;"",$D615&lt;&gt;"",$F615&lt;&gt;"",COUNTBLANK(_xlpm.HRange)=4),
Error!$B$5,
IF(AND($F615="Remove",$H615&lt;&gt;"",$I615=""),
Error!$B$18,
IF(AND($E615="Tier 4",$F615="Remove",$H615="Tree Protection Code: Tier 3 or Tier 4 Allowance",$H615&lt;&gt;"",ISNA(MATCH($I615,Tables!$B$200,0))),
Error!$B$17,
IF(AND($E615="Tier 3",$F615="Remove",$H615&lt;&gt;"",$H615="Tree Protection Code: Tier 3 or Tier 4 Allowance",OR($I615="",ISNA(MATCH($I615,Tables!$B$193:$B$197,0)))),
Error!$B$17,
IF(AND(OR($E615="Tier 2",$E615="Tier 2 Grove"),$F615="Remove",$H615="Tree Protection Code: Other removal allowance or exemption",$I615&lt;&gt;"",ISNA(MATCH($I615,Tables!$B$215:$B$218,0))),
Error!$B$17,
IF(AND(OR($E615="Tier 2",$E615="Tier 2 Grove"),$F615="Remove",$H615="Tree Protection Code: Development Capacity",$I615&lt;&gt;"",ISNA(MATCH($I615,Tables!$B$193:$B$197,0))),
Error!$B$17,
IF(AND(OR($E615="Tier 2",$E615="Tier 2 Grove"),$F615="Remove",$H615="Tree Protection Code: Necessary for Construction",$I615&lt;&gt;"",ISNA(MATCH($I615,Tables!$B$193:$B$197,0))),
Error!$B$17,
IF(AND($E615="Tier 1",$F615="Remove",$H615="Tree Protection Code: Special Exception",$I615&lt;&gt;"",ISNA(MATCH($I615,Tables!$B$215:$B$218,0))),
Error!$B$17,
IF(AND($E615="Tier 1",$F615="Remove",$H615="Tree Protection Code: Other removal allowance or exemption",$I615&lt;&gt;"",ISNA(MATCH($I615,Tables!$B$215:$B$218,0))),
Error!$B$17,
IF(AND($E615="ECA / Shoreline Tree",$F615="Remove",$H615&lt;&gt;"",OR($H615="Shoreline",$H615="Environmental Critical Area (ECA)"),ISNA(MATCH($I615,Tables!$B$209:$B$212,0))),
Error!$B$17,
IF(AND(_xlpm.baseRow,$F615="Retain",$E615="ECA / Shoreline Tree",_xlpm.ECA_Short=0),
Error!$B$61,
IF(AND($F615="Remove",ISNUMBER(MATCH($E615,{"Tier 1","Tier 2","Tier 3","Tier 4","Tier 2 Grove"},0)),ISNUMBER(MATCH($I615,{"On-site replacement","Off-site replacement"},0)),$J615="",$H615&lt;&gt;""),
Error!$B$19,
IF(AND(_xlpm.baseRow,$E615&lt;&gt;"",$D615&lt;&gt;"",$F615&lt;&gt;"",COUNTBLANK($B615:$C615)&gt;0,COUNTBLANK(_xlpm.HRange)&lt;&gt;4),
Error!$B$22,
IF(AND($H615="Zoning: Tree Points",$K615&lt;&gt;"",ISNA(MATCH($K615,Tables!$B$242:$B$253,0))),
Error!$B$58,
IF(AND($H615="Zoning: Tree Points",$K615="Small",$L615&lt;&gt;"",ISNA(MATCH($L615,Tables!$C$243:$C$244,0))),
Error!$B$59,
IF(AND($H615="Zoning: Tree Points",$K615="Small/Medium",$L615&lt;&gt;"",ISNA(MATCH($L615,Tables!$C$246:$C$247,0))),
Error!$B$59,
IF(AND($H615="Zoning: Tree Points",$K615="Medium/Large",$L615&lt;&gt;"",ISNA(MATCH($L615,Tables!$C$249:$C$250,0))),
Error!$B$59,
IF(AND($H615="Zoning: Tree Points",$K615="Large",$L615&lt;&gt;"",ISNA(MATCH($L615,Tables!$C$252:$C$253,0))),
Error!$B$59,
IF(AND($F615="Retain",$H615="Zoning: Tree Points",$C615&lt;&gt;"",$D615&lt;&gt;"",OR($K615="",$L615="",$M615="")),
Error!$B$20,
""
)))))))))))))))))))))))))))))))))))))))))))))))))))))))),
Error!$B$23))</f>
        <v/>
      </c>
      <c r="O615" s="343" t="str" cm="1">
        <f t="array" aca="1" ref="O615" ca="1">IFERROR(_xlfn.LET(
    _xlpm.txt, $C615,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16" spans="1:15" x14ac:dyDescent="0.3">
      <c r="A616" s="320"/>
      <c r="B616" s="616" t="str">
        <f t="shared" ref="B616:B618" si="720">IF($B615="", "", $B615)</f>
        <v/>
      </c>
      <c r="C616" s="617" t="str">
        <f t="shared" ref="C616:C618" si="721">IF($C615="", "", $C615)</f>
        <v/>
      </c>
      <c r="D616" s="618" t="str">
        <f t="shared" ref="D616:D618" si="722">IF($D615="", "", $D615)</f>
        <v/>
      </c>
      <c r="E616" s="616" t="str">
        <f t="shared" ref="E616:E618" si="723">IF($E615="", "", $E615)</f>
        <v/>
      </c>
      <c r="F616" s="616" t="str">
        <f t="shared" ref="F616:F618" si="724">IF($F615="", "", $F615)</f>
        <v/>
      </c>
      <c r="G616" s="619" t="str">
        <f>IF(Tree_Table1[[#This Row],[Tree Status  &amp;]]="Retain", Tables!$B$237, IF(Tree_Table1[[#This Row],[Tree Status  &amp;]]="Remove", Tables!$B$238, ""))</f>
        <v/>
      </c>
      <c r="H616" s="321"/>
      <c r="I616" s="322"/>
      <c r="J616" s="453"/>
      <c r="K616" s="323" t="str">
        <f>IFERROR(
    IF(
        AND($H616="Zoning: Tree Points", NOT(ISNUMBER(SEARCH("sp.", $C616)))),
        VLOOKUP($C616, 'Tree List'!$C$3:$F$601, 4, FALSE),
        ""
    ),
"")</f>
        <v/>
      </c>
      <c r="L616" s="324" t="str" cm="1">
        <f t="array" ref="L616">IFERROR(
IF(
    AND($H616="Zoning: Tree Points", NOT(ISNUMBER(SEARCH("sp.", $C616)))),
    _xlfn.IFS(
        (COUNTIFS('Tree List'!$C$3:$C$601,$C616,'Tree List'!$D$3:$D$601,"Coniferous")
        + COUNTIFS('Tree List'!$C$3:$C$601,$C616,'Tree List'!$D$3:$D$601,"Deciduous Conifer")) &gt; 0,
            _xlfn.IFS($K616="Small",0.5,$K616="Small/Medium",1,$K616="Medium/Large",1.4,$K616="Large",1.8),
        (COUNTIFS('Tree List'!$C$3:$C$601,$C616,'Tree List'!$D$3:$D$601,"Deciduous")
        + COUNTIFS('Tree List'!$C$3:$C$601,$C616,'Tree List'!$D$3:$D$601,"Broadleaf Evergreen")) &gt; 0,
            _xlfn.IFS($K616="Small",0.4,$K616="Small/Medium",0.8,$K616="Medium/Large",1.2,$K616="Large",1.6)
    ),
    ""
),
"")</f>
        <v/>
      </c>
      <c r="M616" s="475" t="str">
        <f t="shared" si="654"/>
        <v/>
      </c>
      <c r="N616" s="346" t="str" cm="1">
        <f t="array" aca="1" ref="N61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IF(AND(_xlpm.baseRow,ISNA(MATCH($C616,'Tree List'!$C$3:$C$601,0)),SUMPRODUCT(--ISNUMBER(SEARCH(Tables2!$C$677:$C$772,$O616)))&gt;0),
Error!$B$57,
IF(AND(_xlpm.hasDM,$F616="Remove",$H616&lt;&gt;"",OR($I616="On-site replacement",$I616="Off-site replacement",$I616="Payment In Lieu")),
Error!$B$56,
IF(AND(_xlpm.hasDM,$F616="Remove",$H616&lt;&gt;"",$I616="Relocation"),
Error!$B$66,
IF(AND(OR(_xlpm.hasCN,_xlpm.hasPH,_xlpm.hasGR),$H616&lt;&gt;"",COUNTIF(Tables!$B$132:$B$134,$H616)&gt;0,$I616="N/A (No replacement required)"),
Error!$B$62,
IF(AND(_xlpm.baseRow,$E616&lt;&gt;"",ISNA(MATCH($E616,Tables!$B$225:$B$232,0))),
Error!$B$2,
IF(AND(_xlpm.baseRow,$F616&lt;&gt;"",ISNA(MATCH($F616,Tables!$B$234:$B$235,0))),
Error!$B$24,
IF(AND(_xlpm.baseRow,_xlpm.ECA_H&gt;0,_xlpm.Shore_H&gt;0),
Error!$B$16,
IF(AND(_xlpm.baseRow,$E616&lt;&gt;"",$D616=""),
Error!$B$3,
IF(AND(_xlpm.baseRow,OR($E616="Tier 3",$E616="Tier 4"),$C616&lt;&gt;"",$D616&gt;=24,COUNTIF(Tables2!$B$166:$B$674,$C616)&gt;0),
Error!$B$44,
IF(AND(_xlpm.baseRow,OR($E616="Tier 3",$E616="Tier 4"),$C616&lt;&gt;"",$D616&lt;&gt;"",COUNTIF(Tables2!$B$73:$B$152,$C616)&gt;0,
$D616&gt;=IFERROR(INDEX(Tables2!$C$73:$C$152,MATCH($C616,Tables2!$B$73:$B$152,0)),-1)),
Error!$B$44,
IF(AND(_xlpm.baseRow,OR($E616="Tier 2",$E616="Tier 2 Grove"),$C616&lt;&gt;"",$D616&gt;=12,COUNTIF(Tables2!$B$153:$B$162,$C616)&gt;0),
Error!$B$45,
IF(AND(_xlpm.baseRow,$E616="Tier 2 Grove",$D616&lt;12),
Error!$B$41,
IF(AND(_xlpm.baseRow,$E616="Tier 2",$D616&lt;5.88),
Error!$B$40,
IF(AND(_xlpm.baseRow,OR($E616="Tier 2",$E616="Tier 2 Grove"),$C616&lt;&gt;"",$D616&lt;12,$D616&gt;=6,COUNTIF(Tables2!$B$153:$B$162,$C616)&gt;0),
Error!$B$54,
IF(AND(_xlpm.baseRow,$E616="Tier 2",COUNTIF(Tables2!$B$166:$B$674,$C616)&gt;0,$D616&lt;24),
Error!$B$54,
IF(AND(_xlpm.baseRow,$E616="Tier 3",ISNA(MATCH($C616,Tables2!$B$153:$B$162,0)),OR($D616&lt;12,$D616&gt;=24)),
Error!$B$9,
IF(AND(_xlpm.baseRow,$E616="Tier 3",COUNTIF(Tables2!$B$153:$B$162,$C616)&gt;0,$D616&lt;12),
Error!$B$46,
IF(AND(_xlpm.baseRow,$E616="Tier 4",OR($D616&lt;6,$D616&gt;=12)),
Error!$B$10,
IF(AND(_xlpm.baseRow,$E616="&lt;6in DSH for Tree Points",OR($D616&gt;=6,$D616="")),
Error!$B$8,
IF(AND(_xlpm.baseRow,$E616="Street Tree for Green Factor",$F616&lt;&gt;"",$F616&lt;&gt;"Retain"),
Error!$B$14,
IF(AND($E616="&lt;6in DSH for Tree Points",$F616="Retain",$H616&lt;&gt;"",ISNA(MATCH($H616,Tables!$B$174:$B$174,0))),
Error!$B$15,
IF(AND($E616="Street Tree for Green Factor",$F616="Retain",$H616&lt;&gt;"",$H616&lt;&gt;"Zoning: Green Factor"),
Error!$B$15,
IF(AND($E616="ECA / Shoreline Tree",$F616="Remove",$H616&lt;&gt;"",ISNA(MATCH($H616,Tables!$B$189:$B$190,0))),
Error!$B$15,
IF(AND($E616="ECA / Shoreline Tree",$F616="Retain",$H616&lt;&gt;"",ISNA(MATCH($H616,Tables!$B$184:$B$186,0))),
Error!$B$15,
IF(AND($E616="Tier 4",$F616="Remove",$H616&lt;&gt;"",ISNA(MATCH($H616,Tables!$B$171,0))),
Error!$B$15,
IF(AND($E616="Tier 4",$F616="Retain",$H616&lt;&gt;"",ISNA(MATCH($H616,Tables!$B$166:$B$168,0))),
Error!$B$15,
IF(AND($E616="Tier 3",$F616="Retain",$H616&lt;&gt;"",ISNA(MATCH($H616,Tables!$B$158:$B$160,0))),
Error!$B$15,
IF(AND($E616="Tier 3",$F616="Remove",$H616&lt;&gt;"",ISNA(MATCH($H616,Tables!$B$163,0))),
Error!$B$15,
IF(AND(OR($E616="Tier 2",$E616="Tier 2 Grove"),$F616="Remove",$H616&lt;&gt;"",ISNA(MATCH($H616,Tables!$B$153:$B$155,0))),
Error!$B$15,
IF(AND(OR($E616="Tier 2",$E616="Tier 2 Grove"),$F616="Retain",$H616&lt;&gt;"",ISNA(MATCH($H616,Tables!$B$147:$B$150,0))),
Error!$B$15,
IF(AND($E616="Tier 1",$F616="Remove",$H616&lt;&gt;"",ISNA(MATCH($H616,Tables!$B$143:$B$144,0))),
Error!$B$15,
IF(AND($E616="Tier 1",$F616="Retain",$H616&lt;&gt;"",ISNA(MATCH($H616,Tables!$B$137:$B$140,0))),
Error!$B$15,
IF(AND($E616&lt;&gt;"Tier 2",$E616&lt;&gt;"Tier 2 Grove",$E616&lt;&gt;"Tier 3",$E616&lt;&gt;"Tier 4",$H616="Zoning: Green Factor",OR($D616="",$D616&lt;6)),
Error!$B$11,
IF(AND(_xlpm.baseRow,$D616&lt;6,$E616="&lt;6in DSH for Tree Points",_xlpm.TreePoints_H=0),
Error!$B$21,
IF(AND(_xlpm.baseRow,$E616&lt;&gt;"",$D616&lt;&gt;"",$F616=""),
Error!$B$4,
IF(AND(_xlpm.baseRow,$F616="Remove",OR($E616="Tier 1",$E616="Tier 2",$E616="Tier 2 Grove"),COUNTBLANK(_xlpm.HRange)&lt;3,_xlpm.uniqueH&gt;=2),
Error!$B$48,
IF(AND(_xlpm.baseRow,$F616="Retain",OR($E616="Tier 1",$E616="Tier 2",$E616="Tier 2 Grove"),COUNTIF(_xlpm.HRange,"Tree Code: Required to Retain Tier 1-2 Tree")=0),
Error!$B$47,
IF(AND(_xlpm.baseRow,$E616&lt;&gt;"",$D616&lt;&gt;"",$F616&lt;&gt;"",COUNTBLANK(_xlpm.HRange)=4),
Error!$B$5,
IF(AND($F616="Remove",$H616&lt;&gt;"",$I616=""),
Error!$B$18,
IF(AND($E616="Tier 4",$F616="Remove",$H616="Tree Protection Code: Tier 3 or Tier 4 Allowance",$H616&lt;&gt;"",ISNA(MATCH($I616,Tables!$B$200,0))),
Error!$B$17,
IF(AND($E616="Tier 3",$F616="Remove",$H616&lt;&gt;"",$H616="Tree Protection Code: Tier 3 or Tier 4 Allowance",OR($I616="",ISNA(MATCH($I616,Tables!$B$193:$B$197,0)))),
Error!$B$17,
IF(AND(OR($E616="Tier 2",$E616="Tier 2 Grove"),$F616="Remove",$H616="Tree Protection Code: Other removal allowance or exemption",$I616&lt;&gt;"",ISNA(MATCH($I616,Tables!$B$215:$B$218,0))),
Error!$B$17,
IF(AND(OR($E616="Tier 2",$E616="Tier 2 Grove"),$F616="Remove",$H616="Tree Protection Code: Development Capacity",$I616&lt;&gt;"",ISNA(MATCH($I616,Tables!$B$193:$B$197,0))),
Error!$B$17,
IF(AND(OR($E616="Tier 2",$E616="Tier 2 Grove"),$F616="Remove",$H616="Tree Protection Code: Necessary for Construction",$I616&lt;&gt;"",ISNA(MATCH($I616,Tables!$B$193:$B$197,0))),
Error!$B$17,
IF(AND($E616="Tier 1",$F616="Remove",$H616="Tree Protection Code: Special Exception",$I616&lt;&gt;"",ISNA(MATCH($I616,Tables!$B$215:$B$218,0))),
Error!$B$17,
IF(AND($E616="Tier 1",$F616="Remove",$H616="Tree Protection Code: Other removal allowance or exemption",$I616&lt;&gt;"",ISNA(MATCH($I616,Tables!$B$215:$B$218,0))),
Error!$B$17,
IF(AND($E616="ECA / Shoreline Tree",$F616="Remove",$H616&lt;&gt;"",OR($H616="Shoreline",$H616="Environmental Critical Area (ECA)"),ISNA(MATCH($I616,Tables!$B$209:$B$212,0))),
Error!$B$17,
IF(AND(_xlpm.baseRow,$F616="Retain",$E616="ECA / Shoreline Tree",_xlpm.ECA_Short=0),
Error!$B$61,
IF(AND($F616="Remove",ISNUMBER(MATCH($E616,{"Tier 1","Tier 2","Tier 3","Tier 4","Tier 2 Grove"},0)),ISNUMBER(MATCH($I616,{"On-site replacement","Off-site replacement"},0)),$J616="",$H616&lt;&gt;""),
Error!$B$19,
IF(AND(_xlpm.baseRow,$E616&lt;&gt;"",$D616&lt;&gt;"",$F616&lt;&gt;"",COUNTBLANK($B616:$C616)&gt;0,COUNTBLANK(_xlpm.HRange)&lt;&gt;4),
Error!$B$22,
IF(AND($H616="Zoning: Tree Points",$K616&lt;&gt;"",ISNA(MATCH($K616,Tables!$B$242:$B$253,0))),
Error!$B$58,
IF(AND($H616="Zoning: Tree Points",$K616="Small",$L616&lt;&gt;"",ISNA(MATCH($L616,Tables!$C$243:$C$244,0))),
Error!$B$59,
IF(AND($H616="Zoning: Tree Points",$K616="Small/Medium",$L616&lt;&gt;"",ISNA(MATCH($L616,Tables!$C$246:$C$247,0))),
Error!$B$59,
IF(AND($H616="Zoning: Tree Points",$K616="Medium/Large",$L616&lt;&gt;"",ISNA(MATCH($L616,Tables!$C$249:$C$250,0))),
Error!$B$59,
IF(AND($H616="Zoning: Tree Points",$K616="Large",$L616&lt;&gt;"",ISNA(MATCH($L616,Tables!$C$252:$C$253,0))),
Error!$B$59,
IF(AND($F616="Retain",$H616="Zoning: Tree Points",$C616&lt;&gt;"",$D616&lt;&gt;"",OR($K616="",$L616="",$M616="")),
Error!$B$20,
""
)))))))))))))))))))))))))))))))))))))))))))))))))))))))),
Error!$B$23))</f>
        <v/>
      </c>
      <c r="O616" s="343" t="str" cm="1">
        <f t="array" aca="1" ref="O616" ca="1">IFERROR(_xlfn.LET(
    _xlpm.txt, $C616,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17" spans="1:15" x14ac:dyDescent="0.3">
      <c r="A617" s="320"/>
      <c r="B617" s="616" t="str">
        <f t="shared" si="720"/>
        <v/>
      </c>
      <c r="C617" s="617" t="str">
        <f t="shared" si="721"/>
        <v/>
      </c>
      <c r="D617" s="618" t="str">
        <f t="shared" si="722"/>
        <v/>
      </c>
      <c r="E617" s="616" t="str">
        <f t="shared" si="723"/>
        <v/>
      </c>
      <c r="F617" s="616" t="str">
        <f t="shared" si="724"/>
        <v/>
      </c>
      <c r="G617" s="619" t="str">
        <f>IF(Tree_Table1[[#This Row],[Tree Status  &amp;]]="Retain", Tables!$B$237, IF(Tree_Table1[[#This Row],[Tree Status  &amp;]]="Remove", Tables!$B$238, ""))</f>
        <v/>
      </c>
      <c r="H617" s="321"/>
      <c r="I617" s="322"/>
      <c r="J617" s="453"/>
      <c r="K617" s="323" t="str">
        <f>IFERROR(
    IF(
        AND($H617="Zoning: Tree Points", NOT(ISNUMBER(SEARCH("sp.", $C617)))),
        VLOOKUP($C617, 'Tree List'!$C$3:$F$601, 4, FALSE),
        ""
    ),
"")</f>
        <v/>
      </c>
      <c r="L617" s="324" t="str" cm="1">
        <f t="array" ref="L617">IFERROR(
IF(
    AND($H617="Zoning: Tree Points", NOT(ISNUMBER(SEARCH("sp.", $C617)))),
    _xlfn.IFS(
        (COUNTIFS('Tree List'!$C$3:$C$601,$C617,'Tree List'!$D$3:$D$601,"Coniferous")
        + COUNTIFS('Tree List'!$C$3:$C$601,$C617,'Tree List'!$D$3:$D$601,"Deciduous Conifer")) &gt; 0,
            _xlfn.IFS($K617="Small",0.5,$K617="Small/Medium",1,$K617="Medium/Large",1.4,$K617="Large",1.8),
        (COUNTIFS('Tree List'!$C$3:$C$601,$C617,'Tree List'!$D$3:$D$601,"Deciduous")
        + COUNTIFS('Tree List'!$C$3:$C$601,$C617,'Tree List'!$D$3:$D$601,"Broadleaf Evergreen")) &gt; 0,
            _xlfn.IFS($K617="Small",0.4,$K617="Small/Medium",0.8,$K617="Medium/Large",1.2,$K617="Large",1.6)
    ),
    ""
),
"")</f>
        <v/>
      </c>
      <c r="M617" s="475" t="str">
        <f t="shared" si="654"/>
        <v/>
      </c>
      <c r="N617" s="346" t="str" cm="1">
        <f t="array" aca="1" ref="N61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IF(AND(_xlpm.baseRow,ISNA(MATCH($C617,'Tree List'!$C$3:$C$601,0)),SUMPRODUCT(--ISNUMBER(SEARCH(Tables2!$C$677:$C$772,$O617)))&gt;0),
Error!$B$57,
IF(AND(_xlpm.hasDM,$F617="Remove",$H617&lt;&gt;"",OR($I617="On-site replacement",$I617="Off-site replacement",$I617="Payment In Lieu")),
Error!$B$56,
IF(AND(_xlpm.hasDM,$F617="Remove",$H617&lt;&gt;"",$I617="Relocation"),
Error!$B$66,
IF(AND(OR(_xlpm.hasCN,_xlpm.hasPH,_xlpm.hasGR),$H617&lt;&gt;"",COUNTIF(Tables!$B$132:$B$134,$H617)&gt;0,$I617="N/A (No replacement required)"),
Error!$B$62,
IF(AND(_xlpm.baseRow,$E617&lt;&gt;"",ISNA(MATCH($E617,Tables!$B$225:$B$232,0))),
Error!$B$2,
IF(AND(_xlpm.baseRow,$F617&lt;&gt;"",ISNA(MATCH($F617,Tables!$B$234:$B$235,0))),
Error!$B$24,
IF(AND(_xlpm.baseRow,_xlpm.ECA_H&gt;0,_xlpm.Shore_H&gt;0),
Error!$B$16,
IF(AND(_xlpm.baseRow,$E617&lt;&gt;"",$D617=""),
Error!$B$3,
IF(AND(_xlpm.baseRow,OR($E617="Tier 3",$E617="Tier 4"),$C617&lt;&gt;"",$D617&gt;=24,COUNTIF(Tables2!$B$166:$B$674,$C617)&gt;0),
Error!$B$44,
IF(AND(_xlpm.baseRow,OR($E617="Tier 3",$E617="Tier 4"),$C617&lt;&gt;"",$D617&lt;&gt;"",COUNTIF(Tables2!$B$73:$B$152,$C617)&gt;0,
$D617&gt;=IFERROR(INDEX(Tables2!$C$73:$C$152,MATCH($C617,Tables2!$B$73:$B$152,0)),-1)),
Error!$B$44,
IF(AND(_xlpm.baseRow,OR($E617="Tier 2",$E617="Tier 2 Grove"),$C617&lt;&gt;"",$D617&gt;=12,COUNTIF(Tables2!$B$153:$B$162,$C617)&gt;0),
Error!$B$45,
IF(AND(_xlpm.baseRow,$E617="Tier 2 Grove",$D617&lt;12),
Error!$B$41,
IF(AND(_xlpm.baseRow,$E617="Tier 2",$D617&lt;5.88),
Error!$B$40,
IF(AND(_xlpm.baseRow,OR($E617="Tier 2",$E617="Tier 2 Grove"),$C617&lt;&gt;"",$D617&lt;12,$D617&gt;=6,COUNTIF(Tables2!$B$153:$B$162,$C617)&gt;0),
Error!$B$54,
IF(AND(_xlpm.baseRow,$E617="Tier 2",COUNTIF(Tables2!$B$166:$B$674,$C617)&gt;0,$D617&lt;24),
Error!$B$54,
IF(AND(_xlpm.baseRow,$E617="Tier 3",ISNA(MATCH($C617,Tables2!$B$153:$B$162,0)),OR($D617&lt;12,$D617&gt;=24)),
Error!$B$9,
IF(AND(_xlpm.baseRow,$E617="Tier 3",COUNTIF(Tables2!$B$153:$B$162,$C617)&gt;0,$D617&lt;12),
Error!$B$46,
IF(AND(_xlpm.baseRow,$E617="Tier 4",OR($D617&lt;6,$D617&gt;=12)),
Error!$B$10,
IF(AND(_xlpm.baseRow,$E617="&lt;6in DSH for Tree Points",OR($D617&gt;=6,$D617="")),
Error!$B$8,
IF(AND(_xlpm.baseRow,$E617="Street Tree for Green Factor",$F617&lt;&gt;"",$F617&lt;&gt;"Retain"),
Error!$B$14,
IF(AND($E617="&lt;6in DSH for Tree Points",$F617="Retain",$H617&lt;&gt;"",ISNA(MATCH($H617,Tables!$B$174:$B$174,0))),
Error!$B$15,
IF(AND($E617="Street Tree for Green Factor",$F617="Retain",$H617&lt;&gt;"",$H617&lt;&gt;"Zoning: Green Factor"),
Error!$B$15,
IF(AND($E617="ECA / Shoreline Tree",$F617="Remove",$H617&lt;&gt;"",ISNA(MATCH($H617,Tables!$B$189:$B$190,0))),
Error!$B$15,
IF(AND($E617="ECA / Shoreline Tree",$F617="Retain",$H617&lt;&gt;"",ISNA(MATCH($H617,Tables!$B$184:$B$186,0))),
Error!$B$15,
IF(AND($E617="Tier 4",$F617="Remove",$H617&lt;&gt;"",ISNA(MATCH($H617,Tables!$B$171,0))),
Error!$B$15,
IF(AND($E617="Tier 4",$F617="Retain",$H617&lt;&gt;"",ISNA(MATCH($H617,Tables!$B$166:$B$168,0))),
Error!$B$15,
IF(AND($E617="Tier 3",$F617="Retain",$H617&lt;&gt;"",ISNA(MATCH($H617,Tables!$B$158:$B$160,0))),
Error!$B$15,
IF(AND($E617="Tier 3",$F617="Remove",$H617&lt;&gt;"",ISNA(MATCH($H617,Tables!$B$163,0))),
Error!$B$15,
IF(AND(OR($E617="Tier 2",$E617="Tier 2 Grove"),$F617="Remove",$H617&lt;&gt;"",ISNA(MATCH($H617,Tables!$B$153:$B$155,0))),
Error!$B$15,
IF(AND(OR($E617="Tier 2",$E617="Tier 2 Grove"),$F617="Retain",$H617&lt;&gt;"",ISNA(MATCH($H617,Tables!$B$147:$B$150,0))),
Error!$B$15,
IF(AND($E617="Tier 1",$F617="Remove",$H617&lt;&gt;"",ISNA(MATCH($H617,Tables!$B$143:$B$144,0))),
Error!$B$15,
IF(AND($E617="Tier 1",$F617="Retain",$H617&lt;&gt;"",ISNA(MATCH($H617,Tables!$B$137:$B$140,0))),
Error!$B$15,
IF(AND($E617&lt;&gt;"Tier 2",$E617&lt;&gt;"Tier 2 Grove",$E617&lt;&gt;"Tier 3",$E617&lt;&gt;"Tier 4",$H617="Zoning: Green Factor",OR($D617="",$D617&lt;6)),
Error!$B$11,
IF(AND(_xlpm.baseRow,$D617&lt;6,$E617="&lt;6in DSH for Tree Points",_xlpm.TreePoints_H=0),
Error!$B$21,
IF(AND(_xlpm.baseRow,$E617&lt;&gt;"",$D617&lt;&gt;"",$F617=""),
Error!$B$4,
IF(AND(_xlpm.baseRow,$F617="Remove",OR($E617="Tier 1",$E617="Tier 2",$E617="Tier 2 Grove"),COUNTBLANK(_xlpm.HRange)&lt;3,_xlpm.uniqueH&gt;=2),
Error!$B$48,
IF(AND(_xlpm.baseRow,$F617="Retain",OR($E617="Tier 1",$E617="Tier 2",$E617="Tier 2 Grove"),COUNTIF(_xlpm.HRange,"Tree Code: Required to Retain Tier 1-2 Tree")=0),
Error!$B$47,
IF(AND(_xlpm.baseRow,$E617&lt;&gt;"",$D617&lt;&gt;"",$F617&lt;&gt;"",COUNTBLANK(_xlpm.HRange)=4),
Error!$B$5,
IF(AND($F617="Remove",$H617&lt;&gt;"",$I617=""),
Error!$B$18,
IF(AND($E617="Tier 4",$F617="Remove",$H617="Tree Protection Code: Tier 3 or Tier 4 Allowance",$H617&lt;&gt;"",ISNA(MATCH($I617,Tables!$B$200,0))),
Error!$B$17,
IF(AND($E617="Tier 3",$F617="Remove",$H617&lt;&gt;"",$H617="Tree Protection Code: Tier 3 or Tier 4 Allowance",OR($I617="",ISNA(MATCH($I617,Tables!$B$193:$B$197,0)))),
Error!$B$17,
IF(AND(OR($E617="Tier 2",$E617="Tier 2 Grove"),$F617="Remove",$H617="Tree Protection Code: Other removal allowance or exemption",$I617&lt;&gt;"",ISNA(MATCH($I617,Tables!$B$215:$B$218,0))),
Error!$B$17,
IF(AND(OR($E617="Tier 2",$E617="Tier 2 Grove"),$F617="Remove",$H617="Tree Protection Code: Development Capacity",$I617&lt;&gt;"",ISNA(MATCH($I617,Tables!$B$193:$B$197,0))),
Error!$B$17,
IF(AND(OR($E617="Tier 2",$E617="Tier 2 Grove"),$F617="Remove",$H617="Tree Protection Code: Necessary for Construction",$I617&lt;&gt;"",ISNA(MATCH($I617,Tables!$B$193:$B$197,0))),
Error!$B$17,
IF(AND($E617="Tier 1",$F617="Remove",$H617="Tree Protection Code: Special Exception",$I617&lt;&gt;"",ISNA(MATCH($I617,Tables!$B$215:$B$218,0))),
Error!$B$17,
IF(AND($E617="Tier 1",$F617="Remove",$H617="Tree Protection Code: Other removal allowance or exemption",$I617&lt;&gt;"",ISNA(MATCH($I617,Tables!$B$215:$B$218,0))),
Error!$B$17,
IF(AND($E617="ECA / Shoreline Tree",$F617="Remove",$H617&lt;&gt;"",OR($H617="Shoreline",$H617="Environmental Critical Area (ECA)"),ISNA(MATCH($I617,Tables!$B$209:$B$212,0))),
Error!$B$17,
IF(AND(_xlpm.baseRow,$F617="Retain",$E617="ECA / Shoreline Tree",_xlpm.ECA_Short=0),
Error!$B$61,
IF(AND($F617="Remove",ISNUMBER(MATCH($E617,{"Tier 1","Tier 2","Tier 3","Tier 4","Tier 2 Grove"},0)),ISNUMBER(MATCH($I617,{"On-site replacement","Off-site replacement"},0)),$J617="",$H617&lt;&gt;""),
Error!$B$19,
IF(AND(_xlpm.baseRow,$E617&lt;&gt;"",$D617&lt;&gt;"",$F617&lt;&gt;"",COUNTBLANK($B617:$C617)&gt;0,COUNTBLANK(_xlpm.HRange)&lt;&gt;4),
Error!$B$22,
IF(AND($H617="Zoning: Tree Points",$K617&lt;&gt;"",ISNA(MATCH($K617,Tables!$B$242:$B$253,0))),
Error!$B$58,
IF(AND($H617="Zoning: Tree Points",$K617="Small",$L617&lt;&gt;"",ISNA(MATCH($L617,Tables!$C$243:$C$244,0))),
Error!$B$59,
IF(AND($H617="Zoning: Tree Points",$K617="Small/Medium",$L617&lt;&gt;"",ISNA(MATCH($L617,Tables!$C$246:$C$247,0))),
Error!$B$59,
IF(AND($H617="Zoning: Tree Points",$K617="Medium/Large",$L617&lt;&gt;"",ISNA(MATCH($L617,Tables!$C$249:$C$250,0))),
Error!$B$59,
IF(AND($H617="Zoning: Tree Points",$K617="Large",$L617&lt;&gt;"",ISNA(MATCH($L617,Tables!$C$252:$C$253,0))),
Error!$B$59,
IF(AND($F617="Retain",$H617="Zoning: Tree Points",$C617&lt;&gt;"",$D617&lt;&gt;"",OR($K617="",$L617="",$M617="")),
Error!$B$20,
""
)))))))))))))))))))))))))))))))))))))))))))))))))))))))),
Error!$B$23))</f>
        <v/>
      </c>
      <c r="O617" s="343" t="str" cm="1">
        <f t="array" aca="1" ref="O617" ca="1">IFERROR(_xlfn.LET(
    _xlpm.txt, $C617,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18" spans="1:15" ht="15" thickBot="1" x14ac:dyDescent="0.35">
      <c r="A618" s="331"/>
      <c r="B618" s="616" t="str">
        <f t="shared" si="720"/>
        <v/>
      </c>
      <c r="C618" s="617" t="str">
        <f t="shared" si="721"/>
        <v/>
      </c>
      <c r="D618" s="618" t="str">
        <f t="shared" si="722"/>
        <v/>
      </c>
      <c r="E618" s="616" t="str">
        <f t="shared" si="723"/>
        <v/>
      </c>
      <c r="F618" s="616" t="str">
        <f t="shared" si="724"/>
        <v/>
      </c>
      <c r="G618" s="619" t="str">
        <f>IF(Tree_Table1[[#This Row],[Tree Status  &amp;]]="Retain", Tables!$B$237, IF(Tree_Table1[[#This Row],[Tree Status  &amp;]]="Remove", Tables!$B$238, ""))</f>
        <v/>
      </c>
      <c r="H618" s="329"/>
      <c r="I618" s="330"/>
      <c r="J618" s="455"/>
      <c r="K618" s="327" t="str">
        <f>IFERROR(
    IF(
        AND($H618="Zoning: Tree Points", NOT(ISNUMBER(SEARCH("sp.", $C618)))),
        VLOOKUP($C618, 'Tree List'!$C$3:$F$601, 4, FALSE),
        ""
    ),
"")</f>
        <v/>
      </c>
      <c r="L618" s="328" t="str" cm="1">
        <f t="array" ref="L618">IFERROR(
IF(
    AND($H618="Zoning: Tree Points", NOT(ISNUMBER(SEARCH("sp.", $C618)))),
    _xlfn.IFS(
        (COUNTIFS('Tree List'!$C$3:$C$601,$C618,'Tree List'!$D$3:$D$601,"Coniferous")
        + COUNTIFS('Tree List'!$C$3:$C$601,$C618,'Tree List'!$D$3:$D$601,"Deciduous Conifer")) &gt; 0,
            _xlfn.IFS($K618="Small",0.5,$K618="Small/Medium",1,$K618="Medium/Large",1.4,$K618="Large",1.8),
        (COUNTIFS('Tree List'!$C$3:$C$601,$C618,'Tree List'!$D$3:$D$601,"Deciduous")
        + COUNTIFS('Tree List'!$C$3:$C$601,$C618,'Tree List'!$D$3:$D$601,"Broadleaf Evergreen")) &gt; 0,
            _xlfn.IFS($K618="Small",0.4,$K618="Small/Medium",0.8,$K618="Medium/Large",1.2,$K618="Large",1.6)
    ),
    ""
),
"")</f>
        <v/>
      </c>
      <c r="M618" s="476" t="str">
        <f t="shared" si="654"/>
        <v/>
      </c>
      <c r="N618" s="347" t="str" cm="1">
        <f t="array" aca="1" ref="N61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IF(AND(_xlpm.baseRow,ISNA(MATCH($C618,'Tree List'!$C$3:$C$601,0)),SUMPRODUCT(--ISNUMBER(SEARCH(Tables2!$C$677:$C$772,$O618)))&gt;0),
Error!$B$57,
IF(AND(_xlpm.hasDM,$F618="Remove",$H618&lt;&gt;"",OR($I618="On-site replacement",$I618="Off-site replacement",$I618="Payment In Lieu")),
Error!$B$56,
IF(AND(_xlpm.hasDM,$F618="Remove",$H618&lt;&gt;"",$I618="Relocation"),
Error!$B$66,
IF(AND(OR(_xlpm.hasCN,_xlpm.hasPH,_xlpm.hasGR),$H618&lt;&gt;"",COUNTIF(Tables!$B$132:$B$134,$H618)&gt;0,$I618="N/A (No replacement required)"),
Error!$B$62,
IF(AND(_xlpm.baseRow,$E618&lt;&gt;"",ISNA(MATCH($E618,Tables!$B$225:$B$232,0))),
Error!$B$2,
IF(AND(_xlpm.baseRow,$F618&lt;&gt;"",ISNA(MATCH($F618,Tables!$B$234:$B$235,0))),
Error!$B$24,
IF(AND(_xlpm.baseRow,_xlpm.ECA_H&gt;0,_xlpm.Shore_H&gt;0),
Error!$B$16,
IF(AND(_xlpm.baseRow,$E618&lt;&gt;"",$D618=""),
Error!$B$3,
IF(AND(_xlpm.baseRow,OR($E618="Tier 3",$E618="Tier 4"),$C618&lt;&gt;"",$D618&gt;=24,COUNTIF(Tables2!$B$166:$B$674,$C618)&gt;0),
Error!$B$44,
IF(AND(_xlpm.baseRow,OR($E618="Tier 3",$E618="Tier 4"),$C618&lt;&gt;"",$D618&lt;&gt;"",COUNTIF(Tables2!$B$73:$B$152,$C618)&gt;0,
$D618&gt;=IFERROR(INDEX(Tables2!$C$73:$C$152,MATCH($C618,Tables2!$B$73:$B$152,0)),-1)),
Error!$B$44,
IF(AND(_xlpm.baseRow,OR($E618="Tier 2",$E618="Tier 2 Grove"),$C618&lt;&gt;"",$D618&gt;=12,COUNTIF(Tables2!$B$153:$B$162,$C618)&gt;0),
Error!$B$45,
IF(AND(_xlpm.baseRow,$E618="Tier 2 Grove",$D618&lt;12),
Error!$B$41,
IF(AND(_xlpm.baseRow,$E618="Tier 2",$D618&lt;5.88),
Error!$B$40,
IF(AND(_xlpm.baseRow,OR($E618="Tier 2",$E618="Tier 2 Grove"),$C618&lt;&gt;"",$D618&lt;12,$D618&gt;=6,COUNTIF(Tables2!$B$153:$B$162,$C618)&gt;0),
Error!$B$54,
IF(AND(_xlpm.baseRow,$E618="Tier 2",COUNTIF(Tables2!$B$166:$B$674,$C618)&gt;0,$D618&lt;24),
Error!$B$54,
IF(AND(_xlpm.baseRow,$E618="Tier 3",ISNA(MATCH($C618,Tables2!$B$153:$B$162,0)),OR($D618&lt;12,$D618&gt;=24)),
Error!$B$9,
IF(AND(_xlpm.baseRow,$E618="Tier 3",COUNTIF(Tables2!$B$153:$B$162,$C618)&gt;0,$D618&lt;12),
Error!$B$46,
IF(AND(_xlpm.baseRow,$E618="Tier 4",OR($D618&lt;6,$D618&gt;=12)),
Error!$B$10,
IF(AND(_xlpm.baseRow,$E618="&lt;6in DSH for Tree Points",OR($D618&gt;=6,$D618="")),
Error!$B$8,
IF(AND(_xlpm.baseRow,$E618="Street Tree for Green Factor",$F618&lt;&gt;"",$F618&lt;&gt;"Retain"),
Error!$B$14,
IF(AND($E618="&lt;6in DSH for Tree Points",$F618="Retain",$H618&lt;&gt;"",ISNA(MATCH($H618,Tables!$B$174:$B$174,0))),
Error!$B$15,
IF(AND($E618="Street Tree for Green Factor",$F618="Retain",$H618&lt;&gt;"",$H618&lt;&gt;"Zoning: Green Factor"),
Error!$B$15,
IF(AND($E618="ECA / Shoreline Tree",$F618="Remove",$H618&lt;&gt;"",ISNA(MATCH($H618,Tables!$B$189:$B$190,0))),
Error!$B$15,
IF(AND($E618="ECA / Shoreline Tree",$F618="Retain",$H618&lt;&gt;"",ISNA(MATCH($H618,Tables!$B$184:$B$186,0))),
Error!$B$15,
IF(AND($E618="Tier 4",$F618="Remove",$H618&lt;&gt;"",ISNA(MATCH($H618,Tables!$B$171,0))),
Error!$B$15,
IF(AND($E618="Tier 4",$F618="Retain",$H618&lt;&gt;"",ISNA(MATCH($H618,Tables!$B$166:$B$168,0))),
Error!$B$15,
IF(AND($E618="Tier 3",$F618="Retain",$H618&lt;&gt;"",ISNA(MATCH($H618,Tables!$B$158:$B$160,0))),
Error!$B$15,
IF(AND($E618="Tier 3",$F618="Remove",$H618&lt;&gt;"",ISNA(MATCH($H618,Tables!$B$163,0))),
Error!$B$15,
IF(AND(OR($E618="Tier 2",$E618="Tier 2 Grove"),$F618="Remove",$H618&lt;&gt;"",ISNA(MATCH($H618,Tables!$B$153:$B$155,0))),
Error!$B$15,
IF(AND(OR($E618="Tier 2",$E618="Tier 2 Grove"),$F618="Retain",$H618&lt;&gt;"",ISNA(MATCH($H618,Tables!$B$147:$B$150,0))),
Error!$B$15,
IF(AND($E618="Tier 1",$F618="Remove",$H618&lt;&gt;"",ISNA(MATCH($H618,Tables!$B$143:$B$144,0))),
Error!$B$15,
IF(AND($E618="Tier 1",$F618="Retain",$H618&lt;&gt;"",ISNA(MATCH($H618,Tables!$B$137:$B$140,0))),
Error!$B$15,
IF(AND($E618&lt;&gt;"Tier 2",$E618&lt;&gt;"Tier 2 Grove",$E618&lt;&gt;"Tier 3",$E618&lt;&gt;"Tier 4",$H618="Zoning: Green Factor",OR($D618="",$D618&lt;6)),
Error!$B$11,
IF(AND(_xlpm.baseRow,$D618&lt;6,$E618="&lt;6in DSH for Tree Points",_xlpm.TreePoints_H=0),
Error!$B$21,
IF(AND(_xlpm.baseRow,$E618&lt;&gt;"",$D618&lt;&gt;"",$F618=""),
Error!$B$4,
IF(AND(_xlpm.baseRow,$F618="Remove",OR($E618="Tier 1",$E618="Tier 2",$E618="Tier 2 Grove"),COUNTBLANK(_xlpm.HRange)&lt;3,_xlpm.uniqueH&gt;=2),
Error!$B$48,
IF(AND(_xlpm.baseRow,$F618="Retain",OR($E618="Tier 1",$E618="Tier 2",$E618="Tier 2 Grove"),COUNTIF(_xlpm.HRange,"Tree Code: Required to Retain Tier 1-2 Tree")=0),
Error!$B$47,
IF(AND(_xlpm.baseRow,$E618&lt;&gt;"",$D618&lt;&gt;"",$F618&lt;&gt;"",COUNTBLANK(_xlpm.HRange)=4),
Error!$B$5,
IF(AND($F618="Remove",$H618&lt;&gt;"",$I618=""),
Error!$B$18,
IF(AND($E618="Tier 4",$F618="Remove",$H618="Tree Protection Code: Tier 3 or Tier 4 Allowance",$H618&lt;&gt;"",ISNA(MATCH($I618,Tables!$B$200,0))),
Error!$B$17,
IF(AND($E618="Tier 3",$F618="Remove",$H618&lt;&gt;"",$H618="Tree Protection Code: Tier 3 or Tier 4 Allowance",OR($I618="",ISNA(MATCH($I618,Tables!$B$193:$B$197,0)))),
Error!$B$17,
IF(AND(OR($E618="Tier 2",$E618="Tier 2 Grove"),$F618="Remove",$H618="Tree Protection Code: Other removal allowance or exemption",$I618&lt;&gt;"",ISNA(MATCH($I618,Tables!$B$215:$B$218,0))),
Error!$B$17,
IF(AND(OR($E618="Tier 2",$E618="Tier 2 Grove"),$F618="Remove",$H618="Tree Protection Code: Development Capacity",$I618&lt;&gt;"",ISNA(MATCH($I618,Tables!$B$193:$B$197,0))),
Error!$B$17,
IF(AND(OR($E618="Tier 2",$E618="Tier 2 Grove"),$F618="Remove",$H618="Tree Protection Code: Necessary for Construction",$I618&lt;&gt;"",ISNA(MATCH($I618,Tables!$B$193:$B$197,0))),
Error!$B$17,
IF(AND($E618="Tier 1",$F618="Remove",$H618="Tree Protection Code: Special Exception",$I618&lt;&gt;"",ISNA(MATCH($I618,Tables!$B$215:$B$218,0))),
Error!$B$17,
IF(AND($E618="Tier 1",$F618="Remove",$H618="Tree Protection Code: Other removal allowance or exemption",$I618&lt;&gt;"",ISNA(MATCH($I618,Tables!$B$215:$B$218,0))),
Error!$B$17,
IF(AND($E618="ECA / Shoreline Tree",$F618="Remove",$H618&lt;&gt;"",OR($H618="Shoreline",$H618="Environmental Critical Area (ECA)"),ISNA(MATCH($I618,Tables!$B$209:$B$212,0))),
Error!$B$17,
IF(AND(_xlpm.baseRow,$F618="Retain",$E618="ECA / Shoreline Tree",_xlpm.ECA_Short=0),
Error!$B$61,
IF(AND($F618="Remove",ISNUMBER(MATCH($E618,{"Tier 1","Tier 2","Tier 3","Tier 4","Tier 2 Grove"},0)),ISNUMBER(MATCH($I618,{"On-site replacement","Off-site replacement"},0)),$J618="",$H618&lt;&gt;""),
Error!$B$19,
IF(AND(_xlpm.baseRow,$E618&lt;&gt;"",$D618&lt;&gt;"",$F618&lt;&gt;"",COUNTBLANK($B618:$C618)&gt;0,COUNTBLANK(_xlpm.HRange)&lt;&gt;4),
Error!$B$22,
IF(AND($H618="Zoning: Tree Points",$K618&lt;&gt;"",ISNA(MATCH($K618,Tables!$B$242:$B$253,0))),
Error!$B$58,
IF(AND($H618="Zoning: Tree Points",$K618="Small",$L618&lt;&gt;"",ISNA(MATCH($L618,Tables!$C$243:$C$244,0))),
Error!$B$59,
IF(AND($H618="Zoning: Tree Points",$K618="Small/Medium",$L618&lt;&gt;"",ISNA(MATCH($L618,Tables!$C$246:$C$247,0))),
Error!$B$59,
IF(AND($H618="Zoning: Tree Points",$K618="Medium/Large",$L618&lt;&gt;"",ISNA(MATCH($L618,Tables!$C$249:$C$250,0))),
Error!$B$59,
IF(AND($H618="Zoning: Tree Points",$K618="Large",$L618&lt;&gt;"",ISNA(MATCH($L618,Tables!$C$252:$C$253,0))),
Error!$B$59,
IF(AND($F618="Retain",$H618="Zoning: Tree Points",$C618&lt;&gt;"",$D618&lt;&gt;"",OR($K618="",$L618="",$M618="")),
Error!$B$20,
""
)))))))))))))))))))))))))))))))))))))))))))))))))))))))),
Error!$B$23))</f>
        <v/>
      </c>
      <c r="O618" s="343" t="str" cm="1">
        <f t="array" aca="1" ref="O618" ca="1">IFERROR(_xlfn.LET(
    _xlpm.txt, $C618,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19" spans="1:15" ht="15" thickBot="1" x14ac:dyDescent="0.35">
      <c r="A619" s="311">
        <v>153</v>
      </c>
      <c r="B619" s="312"/>
      <c r="C619" s="313"/>
      <c r="D619" s="478"/>
      <c r="E619" s="314"/>
      <c r="F619" s="314"/>
      <c r="G619" s="315" t="str">
        <f>IF(Tree_Table1[[#This Row],[Tree Status  &amp;]]="Retain", Tables!$B$237, IF(Tree_Table1[[#This Row],[Tree Status  &amp;]]="Remove", Tables!$B$238, ""))</f>
        <v/>
      </c>
      <c r="H619" s="316"/>
      <c r="I619" s="317"/>
      <c r="J619" s="452"/>
      <c r="K619" s="318" t="str">
        <f>IFERROR(
    IF(
        AND($H619="Zoning: Tree Points", NOT(ISNUMBER(SEARCH("sp.", $C619)))),
        VLOOKUP($C619, 'Tree List'!$C$3:$F$601, 4, FALSE),
        ""
    ),
"")</f>
        <v/>
      </c>
      <c r="L619" s="319" t="str" cm="1">
        <f t="array" ref="L619">IFERROR(
IF(
    AND($H619="Zoning: Tree Points", NOT(ISNUMBER(SEARCH("sp.", $C619)))),
    _xlfn.IFS(
        (COUNTIFS('Tree List'!$C$3:$C$601,$C619,'Tree List'!$D$3:$D$601,"Coniferous")
        + COUNTIFS('Tree List'!$C$3:$C$601,$C619,'Tree List'!$D$3:$D$601,"Deciduous Conifer")) &gt; 0,
            _xlfn.IFS($K619="Small",0.5,$K619="Small/Medium",1,$K619="Medium/Large",1.4,$K619="Large",1.8),
        (COUNTIFS('Tree List'!$C$3:$C$601,$C619,'Tree List'!$D$3:$D$601,"Deciduous")
        + COUNTIFS('Tree List'!$C$3:$C$601,$C619,'Tree List'!$D$3:$D$601,"Broadleaf Evergreen")) &gt; 0,
            _xlfn.IFS($K619="Small",0.4,$K619="Small/Medium",0.8,$K619="Medium/Large",1.2,$K619="Large",1.6)
    ),
    ""
),
"")</f>
        <v/>
      </c>
      <c r="M619" s="474" t="str">
        <f t="shared" si="654"/>
        <v/>
      </c>
      <c r="N619" s="620" t="str" cm="1">
        <f t="array" aca="1" ref="N61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IF(AND(_xlpm.baseRow,ISNA(MATCH($C619,'Tree List'!$C$3:$C$601,0)),SUMPRODUCT(--ISNUMBER(SEARCH(Tables2!$C$677:$C$772,$O619)))&gt;0),
Error!$B$57,
IF(AND(_xlpm.hasDM,$F619="Remove",$H619&lt;&gt;"",OR($I619="On-site replacement",$I619="Off-site replacement",$I619="Payment In Lieu")),
Error!$B$56,
IF(AND(_xlpm.hasDM,$F619="Remove",$H619&lt;&gt;"",$I619="Relocation"),
Error!$B$66,
IF(AND(OR(_xlpm.hasCN,_xlpm.hasPH,_xlpm.hasGR),$H619&lt;&gt;"",COUNTIF(Tables!$B$132:$B$134,$H619)&gt;0,$I619="N/A (No replacement required)"),
Error!$B$62,
IF(AND(_xlpm.baseRow,$E619&lt;&gt;"",ISNA(MATCH($E619,Tables!$B$225:$B$232,0))),
Error!$B$2,
IF(AND(_xlpm.baseRow,$F619&lt;&gt;"",ISNA(MATCH($F619,Tables!$B$234:$B$235,0))),
Error!$B$24,
IF(AND(_xlpm.baseRow,_xlpm.ECA_H&gt;0,_xlpm.Shore_H&gt;0),
Error!$B$16,
IF(AND(_xlpm.baseRow,$E619&lt;&gt;"",$D619=""),
Error!$B$3,
IF(AND(_xlpm.baseRow,OR($E619="Tier 3",$E619="Tier 4"),$C619&lt;&gt;"",$D619&gt;=24,COUNTIF(Tables2!$B$166:$B$674,$C619)&gt;0),
Error!$B$44,
IF(AND(_xlpm.baseRow,OR($E619="Tier 3",$E619="Tier 4"),$C619&lt;&gt;"",$D619&lt;&gt;"",COUNTIF(Tables2!$B$73:$B$152,$C619)&gt;0,
$D619&gt;=IFERROR(INDEX(Tables2!$C$73:$C$152,MATCH($C619,Tables2!$B$73:$B$152,0)),-1)),
Error!$B$44,
IF(AND(_xlpm.baseRow,OR($E619="Tier 2",$E619="Tier 2 Grove"),$C619&lt;&gt;"",$D619&gt;=12,COUNTIF(Tables2!$B$153:$B$162,$C619)&gt;0),
Error!$B$45,
IF(AND(_xlpm.baseRow,$E619="Tier 2 Grove",$D619&lt;12),
Error!$B$41,
IF(AND(_xlpm.baseRow,$E619="Tier 2",$D619&lt;5.88),
Error!$B$40,
IF(AND(_xlpm.baseRow,OR($E619="Tier 2",$E619="Tier 2 Grove"),$C619&lt;&gt;"",$D619&lt;12,$D619&gt;=6,COUNTIF(Tables2!$B$153:$B$162,$C619)&gt;0),
Error!$B$54,
IF(AND(_xlpm.baseRow,$E619="Tier 2",COUNTIF(Tables2!$B$166:$B$674,$C619)&gt;0,$D619&lt;24),
Error!$B$54,
IF(AND(_xlpm.baseRow,$E619="Tier 3",ISNA(MATCH($C619,Tables2!$B$153:$B$162,0)),OR($D619&lt;12,$D619&gt;=24)),
Error!$B$9,
IF(AND(_xlpm.baseRow,$E619="Tier 3",COUNTIF(Tables2!$B$153:$B$162,$C619)&gt;0,$D619&lt;12),
Error!$B$46,
IF(AND(_xlpm.baseRow,$E619="Tier 4",OR($D619&lt;6,$D619&gt;=12)),
Error!$B$10,
IF(AND(_xlpm.baseRow,$E619="&lt;6in DSH for Tree Points",OR($D619&gt;=6,$D619="")),
Error!$B$8,
IF(AND(_xlpm.baseRow,$E619="Street Tree for Green Factor",$F619&lt;&gt;"",$F619&lt;&gt;"Retain"),
Error!$B$14,
IF(AND($E619="&lt;6in DSH for Tree Points",$F619="Retain",$H619&lt;&gt;"",ISNA(MATCH($H619,Tables!$B$174:$B$174,0))),
Error!$B$15,
IF(AND($E619="Street Tree for Green Factor",$F619="Retain",$H619&lt;&gt;"",$H619&lt;&gt;"Zoning: Green Factor"),
Error!$B$15,
IF(AND($E619="ECA / Shoreline Tree",$F619="Remove",$H619&lt;&gt;"",ISNA(MATCH($H619,Tables!$B$189:$B$190,0))),
Error!$B$15,
IF(AND($E619="ECA / Shoreline Tree",$F619="Retain",$H619&lt;&gt;"",ISNA(MATCH($H619,Tables!$B$184:$B$186,0))),
Error!$B$15,
IF(AND($E619="Tier 4",$F619="Remove",$H619&lt;&gt;"",ISNA(MATCH($H619,Tables!$B$171,0))),
Error!$B$15,
IF(AND($E619="Tier 4",$F619="Retain",$H619&lt;&gt;"",ISNA(MATCH($H619,Tables!$B$166:$B$168,0))),
Error!$B$15,
IF(AND($E619="Tier 3",$F619="Retain",$H619&lt;&gt;"",ISNA(MATCH($H619,Tables!$B$158:$B$160,0))),
Error!$B$15,
IF(AND($E619="Tier 3",$F619="Remove",$H619&lt;&gt;"",ISNA(MATCH($H619,Tables!$B$163,0))),
Error!$B$15,
IF(AND(OR($E619="Tier 2",$E619="Tier 2 Grove"),$F619="Remove",$H619&lt;&gt;"",ISNA(MATCH($H619,Tables!$B$153:$B$155,0))),
Error!$B$15,
IF(AND(OR($E619="Tier 2",$E619="Tier 2 Grove"),$F619="Retain",$H619&lt;&gt;"",ISNA(MATCH($H619,Tables!$B$147:$B$150,0))),
Error!$B$15,
IF(AND($E619="Tier 1",$F619="Remove",$H619&lt;&gt;"",ISNA(MATCH($H619,Tables!$B$143:$B$144,0))),
Error!$B$15,
IF(AND($E619="Tier 1",$F619="Retain",$H619&lt;&gt;"",ISNA(MATCH($H619,Tables!$B$137:$B$140,0))),
Error!$B$15,
IF(AND($E619&lt;&gt;"Tier 2",$E619&lt;&gt;"Tier 2 Grove",$E619&lt;&gt;"Tier 3",$E619&lt;&gt;"Tier 4",$H619="Zoning: Green Factor",OR($D619="",$D619&lt;6)),
Error!$B$11,
IF(AND(_xlpm.baseRow,$D619&lt;6,$E619="&lt;6in DSH for Tree Points",_xlpm.TreePoints_H=0),
Error!$B$21,
IF(AND(_xlpm.baseRow,$E619&lt;&gt;"",$D619&lt;&gt;"",$F619=""),
Error!$B$4,
IF(AND(_xlpm.baseRow,$F619="Remove",OR($E619="Tier 1",$E619="Tier 2",$E619="Tier 2 Grove"),COUNTBLANK(_xlpm.HRange)&lt;3,_xlpm.uniqueH&gt;=2),
Error!$B$48,
IF(AND(_xlpm.baseRow,$F619="Retain",OR($E619="Tier 1",$E619="Tier 2",$E619="Tier 2 Grove"),COUNTIF(_xlpm.HRange,"Tree Code: Required to Retain Tier 1-2 Tree")=0),
Error!$B$47,
IF(AND(_xlpm.baseRow,$E619&lt;&gt;"",$D619&lt;&gt;"",$F619&lt;&gt;"",COUNTBLANK(_xlpm.HRange)=4),
Error!$B$5,
IF(AND($F619="Remove",$H619&lt;&gt;"",$I619=""),
Error!$B$18,
IF(AND($E619="Tier 4",$F619="Remove",$H619="Tree Protection Code: Tier 3 or Tier 4 Allowance",$H619&lt;&gt;"",ISNA(MATCH($I619,Tables!$B$200,0))),
Error!$B$17,
IF(AND($E619="Tier 3",$F619="Remove",$H619&lt;&gt;"",$H619="Tree Protection Code: Tier 3 or Tier 4 Allowance",OR($I619="",ISNA(MATCH($I619,Tables!$B$193:$B$197,0)))),
Error!$B$17,
IF(AND(OR($E619="Tier 2",$E619="Tier 2 Grove"),$F619="Remove",$H619="Tree Protection Code: Other removal allowance or exemption",$I619&lt;&gt;"",ISNA(MATCH($I619,Tables!$B$215:$B$218,0))),
Error!$B$17,
IF(AND(OR($E619="Tier 2",$E619="Tier 2 Grove"),$F619="Remove",$H619="Tree Protection Code: Development Capacity",$I619&lt;&gt;"",ISNA(MATCH($I619,Tables!$B$193:$B$197,0))),
Error!$B$17,
IF(AND(OR($E619="Tier 2",$E619="Tier 2 Grove"),$F619="Remove",$H619="Tree Protection Code: Necessary for Construction",$I619&lt;&gt;"",ISNA(MATCH($I619,Tables!$B$193:$B$197,0))),
Error!$B$17,
IF(AND($E619="Tier 1",$F619="Remove",$H619="Tree Protection Code: Special Exception",$I619&lt;&gt;"",ISNA(MATCH($I619,Tables!$B$215:$B$218,0))),
Error!$B$17,
IF(AND($E619="Tier 1",$F619="Remove",$H619="Tree Protection Code: Other removal allowance or exemption",$I619&lt;&gt;"",ISNA(MATCH($I619,Tables!$B$215:$B$218,0))),
Error!$B$17,
IF(AND($E619="ECA / Shoreline Tree",$F619="Remove",$H619&lt;&gt;"",OR($H619="Shoreline",$H619="Environmental Critical Area (ECA)"),ISNA(MATCH($I619,Tables!$B$209:$B$212,0))),
Error!$B$17,
IF(AND(_xlpm.baseRow,$F619="Retain",$E619="ECA / Shoreline Tree",_xlpm.ECA_Short=0),
Error!$B$61,
IF(AND($F619="Remove",ISNUMBER(MATCH($E619,{"Tier 1","Tier 2","Tier 3","Tier 4","Tier 2 Grove"},0)),ISNUMBER(MATCH($I619,{"On-site replacement","Off-site replacement"},0)),$J619="",$H619&lt;&gt;""),
Error!$B$19,
IF(AND(_xlpm.baseRow,$E619&lt;&gt;"",$D619&lt;&gt;"",$F619&lt;&gt;"",COUNTBLANK($B619:$C619)&gt;0,COUNTBLANK(_xlpm.HRange)&lt;&gt;4),
Error!$B$22,
IF(AND($H619="Zoning: Tree Points",$K619&lt;&gt;"",ISNA(MATCH($K619,Tables!$B$242:$B$253,0))),
Error!$B$58,
IF(AND($H619="Zoning: Tree Points",$K619="Small",$L619&lt;&gt;"",ISNA(MATCH($L619,Tables!$C$243:$C$244,0))),
Error!$B$59,
IF(AND($H619="Zoning: Tree Points",$K619="Small/Medium",$L619&lt;&gt;"",ISNA(MATCH($L619,Tables!$C$246:$C$247,0))),
Error!$B$59,
IF(AND($H619="Zoning: Tree Points",$K619="Medium/Large",$L619&lt;&gt;"",ISNA(MATCH($L619,Tables!$C$249:$C$250,0))),
Error!$B$59,
IF(AND($H619="Zoning: Tree Points",$K619="Large",$L619&lt;&gt;"",ISNA(MATCH($L619,Tables!$C$252:$C$253,0))),
Error!$B$59,
IF(AND($F619="Retain",$H619="Zoning: Tree Points",$C619&lt;&gt;"",$D619&lt;&gt;"",OR($K619="",$L619="",$M619="")),
Error!$B$20,
""
)))))))))))))))))))))))))))))))))))))))))))))))))))))))),
Error!$B$23))</f>
        <v/>
      </c>
      <c r="O619" s="343" t="str" cm="1">
        <f t="array" aca="1" ref="O619" ca="1">IFERROR(_xlfn.LET(
    _xlpm.txt, $C619,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20" spans="1:15" x14ac:dyDescent="0.3">
      <c r="A620" s="320"/>
      <c r="B620" s="616" t="str">
        <f t="shared" ref="B620:B622" si="725">IF($B619="", "", $B619)</f>
        <v/>
      </c>
      <c r="C620" s="617" t="str">
        <f t="shared" ref="C620:C622" si="726">IF($C619="", "", $C619)</f>
        <v/>
      </c>
      <c r="D620" s="618" t="str">
        <f t="shared" ref="D620:D622" si="727">IF($D619="", "", $D619)</f>
        <v/>
      </c>
      <c r="E620" s="616" t="str">
        <f t="shared" ref="E620:E622" si="728">IF($E619="", "", $E619)</f>
        <v/>
      </c>
      <c r="F620" s="616" t="str">
        <f t="shared" ref="F620:F622" si="729">IF($F619="", "", $F619)</f>
        <v/>
      </c>
      <c r="G620" s="619" t="str">
        <f>IF(Tree_Table1[[#This Row],[Tree Status  &amp;]]="Retain", Tables!$B$237, IF(Tree_Table1[[#This Row],[Tree Status  &amp;]]="Remove", Tables!$B$238, ""))</f>
        <v/>
      </c>
      <c r="H620" s="321"/>
      <c r="I620" s="322"/>
      <c r="J620" s="453"/>
      <c r="K620" s="323" t="str">
        <f>IFERROR(
    IF(
        AND($H620="Zoning: Tree Points", NOT(ISNUMBER(SEARCH("sp.", $C620)))),
        VLOOKUP($C620, 'Tree List'!$C$3:$F$601, 4, FALSE),
        ""
    ),
"")</f>
        <v/>
      </c>
      <c r="L620" s="324" t="str" cm="1">
        <f t="array" ref="L620">IFERROR(
IF(
    AND($H620="Zoning: Tree Points", NOT(ISNUMBER(SEARCH("sp.", $C620)))),
    _xlfn.IFS(
        (COUNTIFS('Tree List'!$C$3:$C$601,$C620,'Tree List'!$D$3:$D$601,"Coniferous")
        + COUNTIFS('Tree List'!$C$3:$C$601,$C620,'Tree List'!$D$3:$D$601,"Deciduous Conifer")) &gt; 0,
            _xlfn.IFS($K620="Small",0.5,$K620="Small/Medium",1,$K620="Medium/Large",1.4,$K620="Large",1.8),
        (COUNTIFS('Tree List'!$C$3:$C$601,$C620,'Tree List'!$D$3:$D$601,"Deciduous")
        + COUNTIFS('Tree List'!$C$3:$C$601,$C620,'Tree List'!$D$3:$D$601,"Broadleaf Evergreen")) &gt; 0,
            _xlfn.IFS($K620="Small",0.4,$K620="Small/Medium",0.8,$K620="Medium/Large",1.2,$K620="Large",1.6)
    ),
    ""
),
"")</f>
        <v/>
      </c>
      <c r="M620" s="475" t="str">
        <f t="shared" si="654"/>
        <v/>
      </c>
      <c r="N620" s="346" t="str" cm="1">
        <f t="array" aca="1" ref="N62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IF(AND(_xlpm.baseRow,ISNA(MATCH($C620,'Tree List'!$C$3:$C$601,0)),SUMPRODUCT(--ISNUMBER(SEARCH(Tables2!$C$677:$C$772,$O620)))&gt;0),
Error!$B$57,
IF(AND(_xlpm.hasDM,$F620="Remove",$H620&lt;&gt;"",OR($I620="On-site replacement",$I620="Off-site replacement",$I620="Payment In Lieu")),
Error!$B$56,
IF(AND(_xlpm.hasDM,$F620="Remove",$H620&lt;&gt;"",$I620="Relocation"),
Error!$B$66,
IF(AND(OR(_xlpm.hasCN,_xlpm.hasPH,_xlpm.hasGR),$H620&lt;&gt;"",COUNTIF(Tables!$B$132:$B$134,$H620)&gt;0,$I620="N/A (No replacement required)"),
Error!$B$62,
IF(AND(_xlpm.baseRow,$E620&lt;&gt;"",ISNA(MATCH($E620,Tables!$B$225:$B$232,0))),
Error!$B$2,
IF(AND(_xlpm.baseRow,$F620&lt;&gt;"",ISNA(MATCH($F620,Tables!$B$234:$B$235,0))),
Error!$B$24,
IF(AND(_xlpm.baseRow,_xlpm.ECA_H&gt;0,_xlpm.Shore_H&gt;0),
Error!$B$16,
IF(AND(_xlpm.baseRow,$E620&lt;&gt;"",$D620=""),
Error!$B$3,
IF(AND(_xlpm.baseRow,OR($E620="Tier 3",$E620="Tier 4"),$C620&lt;&gt;"",$D620&gt;=24,COUNTIF(Tables2!$B$166:$B$674,$C620)&gt;0),
Error!$B$44,
IF(AND(_xlpm.baseRow,OR($E620="Tier 3",$E620="Tier 4"),$C620&lt;&gt;"",$D620&lt;&gt;"",COUNTIF(Tables2!$B$73:$B$152,$C620)&gt;0,
$D620&gt;=IFERROR(INDEX(Tables2!$C$73:$C$152,MATCH($C620,Tables2!$B$73:$B$152,0)),-1)),
Error!$B$44,
IF(AND(_xlpm.baseRow,OR($E620="Tier 2",$E620="Tier 2 Grove"),$C620&lt;&gt;"",$D620&gt;=12,COUNTIF(Tables2!$B$153:$B$162,$C620)&gt;0),
Error!$B$45,
IF(AND(_xlpm.baseRow,$E620="Tier 2 Grove",$D620&lt;12),
Error!$B$41,
IF(AND(_xlpm.baseRow,$E620="Tier 2",$D620&lt;5.88),
Error!$B$40,
IF(AND(_xlpm.baseRow,OR($E620="Tier 2",$E620="Tier 2 Grove"),$C620&lt;&gt;"",$D620&lt;12,$D620&gt;=6,COUNTIF(Tables2!$B$153:$B$162,$C620)&gt;0),
Error!$B$54,
IF(AND(_xlpm.baseRow,$E620="Tier 2",COUNTIF(Tables2!$B$166:$B$674,$C620)&gt;0,$D620&lt;24),
Error!$B$54,
IF(AND(_xlpm.baseRow,$E620="Tier 3",ISNA(MATCH($C620,Tables2!$B$153:$B$162,0)),OR($D620&lt;12,$D620&gt;=24)),
Error!$B$9,
IF(AND(_xlpm.baseRow,$E620="Tier 3",COUNTIF(Tables2!$B$153:$B$162,$C620)&gt;0,$D620&lt;12),
Error!$B$46,
IF(AND(_xlpm.baseRow,$E620="Tier 4",OR($D620&lt;6,$D620&gt;=12)),
Error!$B$10,
IF(AND(_xlpm.baseRow,$E620="&lt;6in DSH for Tree Points",OR($D620&gt;=6,$D620="")),
Error!$B$8,
IF(AND(_xlpm.baseRow,$E620="Street Tree for Green Factor",$F620&lt;&gt;"",$F620&lt;&gt;"Retain"),
Error!$B$14,
IF(AND($E620="&lt;6in DSH for Tree Points",$F620="Retain",$H620&lt;&gt;"",ISNA(MATCH($H620,Tables!$B$174:$B$174,0))),
Error!$B$15,
IF(AND($E620="Street Tree for Green Factor",$F620="Retain",$H620&lt;&gt;"",$H620&lt;&gt;"Zoning: Green Factor"),
Error!$B$15,
IF(AND($E620="ECA / Shoreline Tree",$F620="Remove",$H620&lt;&gt;"",ISNA(MATCH($H620,Tables!$B$189:$B$190,0))),
Error!$B$15,
IF(AND($E620="ECA / Shoreline Tree",$F620="Retain",$H620&lt;&gt;"",ISNA(MATCH($H620,Tables!$B$184:$B$186,0))),
Error!$B$15,
IF(AND($E620="Tier 4",$F620="Remove",$H620&lt;&gt;"",ISNA(MATCH($H620,Tables!$B$171,0))),
Error!$B$15,
IF(AND($E620="Tier 4",$F620="Retain",$H620&lt;&gt;"",ISNA(MATCH($H620,Tables!$B$166:$B$168,0))),
Error!$B$15,
IF(AND($E620="Tier 3",$F620="Retain",$H620&lt;&gt;"",ISNA(MATCH($H620,Tables!$B$158:$B$160,0))),
Error!$B$15,
IF(AND($E620="Tier 3",$F620="Remove",$H620&lt;&gt;"",ISNA(MATCH($H620,Tables!$B$163,0))),
Error!$B$15,
IF(AND(OR($E620="Tier 2",$E620="Tier 2 Grove"),$F620="Remove",$H620&lt;&gt;"",ISNA(MATCH($H620,Tables!$B$153:$B$155,0))),
Error!$B$15,
IF(AND(OR($E620="Tier 2",$E620="Tier 2 Grove"),$F620="Retain",$H620&lt;&gt;"",ISNA(MATCH($H620,Tables!$B$147:$B$150,0))),
Error!$B$15,
IF(AND($E620="Tier 1",$F620="Remove",$H620&lt;&gt;"",ISNA(MATCH($H620,Tables!$B$143:$B$144,0))),
Error!$B$15,
IF(AND($E620="Tier 1",$F620="Retain",$H620&lt;&gt;"",ISNA(MATCH($H620,Tables!$B$137:$B$140,0))),
Error!$B$15,
IF(AND($E620&lt;&gt;"Tier 2",$E620&lt;&gt;"Tier 2 Grove",$E620&lt;&gt;"Tier 3",$E620&lt;&gt;"Tier 4",$H620="Zoning: Green Factor",OR($D620="",$D620&lt;6)),
Error!$B$11,
IF(AND(_xlpm.baseRow,$D620&lt;6,$E620="&lt;6in DSH for Tree Points",_xlpm.TreePoints_H=0),
Error!$B$21,
IF(AND(_xlpm.baseRow,$E620&lt;&gt;"",$D620&lt;&gt;"",$F620=""),
Error!$B$4,
IF(AND(_xlpm.baseRow,$F620="Remove",OR($E620="Tier 1",$E620="Tier 2",$E620="Tier 2 Grove"),COUNTBLANK(_xlpm.HRange)&lt;3,_xlpm.uniqueH&gt;=2),
Error!$B$48,
IF(AND(_xlpm.baseRow,$F620="Retain",OR($E620="Tier 1",$E620="Tier 2",$E620="Tier 2 Grove"),COUNTIF(_xlpm.HRange,"Tree Code: Required to Retain Tier 1-2 Tree")=0),
Error!$B$47,
IF(AND(_xlpm.baseRow,$E620&lt;&gt;"",$D620&lt;&gt;"",$F620&lt;&gt;"",COUNTBLANK(_xlpm.HRange)=4),
Error!$B$5,
IF(AND($F620="Remove",$H620&lt;&gt;"",$I620=""),
Error!$B$18,
IF(AND($E620="Tier 4",$F620="Remove",$H620="Tree Protection Code: Tier 3 or Tier 4 Allowance",$H620&lt;&gt;"",ISNA(MATCH($I620,Tables!$B$200,0))),
Error!$B$17,
IF(AND($E620="Tier 3",$F620="Remove",$H620&lt;&gt;"",$H620="Tree Protection Code: Tier 3 or Tier 4 Allowance",OR($I620="",ISNA(MATCH($I620,Tables!$B$193:$B$197,0)))),
Error!$B$17,
IF(AND(OR($E620="Tier 2",$E620="Tier 2 Grove"),$F620="Remove",$H620="Tree Protection Code: Other removal allowance or exemption",$I620&lt;&gt;"",ISNA(MATCH($I620,Tables!$B$215:$B$218,0))),
Error!$B$17,
IF(AND(OR($E620="Tier 2",$E620="Tier 2 Grove"),$F620="Remove",$H620="Tree Protection Code: Development Capacity",$I620&lt;&gt;"",ISNA(MATCH($I620,Tables!$B$193:$B$197,0))),
Error!$B$17,
IF(AND(OR($E620="Tier 2",$E620="Tier 2 Grove"),$F620="Remove",$H620="Tree Protection Code: Necessary for Construction",$I620&lt;&gt;"",ISNA(MATCH($I620,Tables!$B$193:$B$197,0))),
Error!$B$17,
IF(AND($E620="Tier 1",$F620="Remove",$H620="Tree Protection Code: Special Exception",$I620&lt;&gt;"",ISNA(MATCH($I620,Tables!$B$215:$B$218,0))),
Error!$B$17,
IF(AND($E620="Tier 1",$F620="Remove",$H620="Tree Protection Code: Other removal allowance or exemption",$I620&lt;&gt;"",ISNA(MATCH($I620,Tables!$B$215:$B$218,0))),
Error!$B$17,
IF(AND($E620="ECA / Shoreline Tree",$F620="Remove",$H620&lt;&gt;"",OR($H620="Shoreline",$H620="Environmental Critical Area (ECA)"),ISNA(MATCH($I620,Tables!$B$209:$B$212,0))),
Error!$B$17,
IF(AND(_xlpm.baseRow,$F620="Retain",$E620="ECA / Shoreline Tree",_xlpm.ECA_Short=0),
Error!$B$61,
IF(AND($F620="Remove",ISNUMBER(MATCH($E620,{"Tier 1","Tier 2","Tier 3","Tier 4","Tier 2 Grove"},0)),ISNUMBER(MATCH($I620,{"On-site replacement","Off-site replacement"},0)),$J620="",$H620&lt;&gt;""),
Error!$B$19,
IF(AND(_xlpm.baseRow,$E620&lt;&gt;"",$D620&lt;&gt;"",$F620&lt;&gt;"",COUNTBLANK($B620:$C620)&gt;0,COUNTBLANK(_xlpm.HRange)&lt;&gt;4),
Error!$B$22,
IF(AND($H620="Zoning: Tree Points",$K620&lt;&gt;"",ISNA(MATCH($K620,Tables!$B$242:$B$253,0))),
Error!$B$58,
IF(AND($H620="Zoning: Tree Points",$K620="Small",$L620&lt;&gt;"",ISNA(MATCH($L620,Tables!$C$243:$C$244,0))),
Error!$B$59,
IF(AND($H620="Zoning: Tree Points",$K620="Small/Medium",$L620&lt;&gt;"",ISNA(MATCH($L620,Tables!$C$246:$C$247,0))),
Error!$B$59,
IF(AND($H620="Zoning: Tree Points",$K620="Medium/Large",$L620&lt;&gt;"",ISNA(MATCH($L620,Tables!$C$249:$C$250,0))),
Error!$B$59,
IF(AND($H620="Zoning: Tree Points",$K620="Large",$L620&lt;&gt;"",ISNA(MATCH($L620,Tables!$C$252:$C$253,0))),
Error!$B$59,
IF(AND($F620="Retain",$H620="Zoning: Tree Points",$C620&lt;&gt;"",$D620&lt;&gt;"",OR($K620="",$L620="",$M620="")),
Error!$B$20,
""
)))))))))))))))))))))))))))))))))))))))))))))))))))))))),
Error!$B$23))</f>
        <v/>
      </c>
      <c r="O620" s="343" t="str" cm="1">
        <f t="array" aca="1" ref="O620" ca="1">IFERROR(_xlfn.LET(
    _xlpm.txt, $C620,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21" spans="1:15" x14ac:dyDescent="0.3">
      <c r="A621" s="320"/>
      <c r="B621" s="616" t="str">
        <f t="shared" si="725"/>
        <v/>
      </c>
      <c r="C621" s="617" t="str">
        <f t="shared" si="726"/>
        <v/>
      </c>
      <c r="D621" s="618" t="str">
        <f t="shared" si="727"/>
        <v/>
      </c>
      <c r="E621" s="616" t="str">
        <f t="shared" si="728"/>
        <v/>
      </c>
      <c r="F621" s="616" t="str">
        <f t="shared" si="729"/>
        <v/>
      </c>
      <c r="G621" s="619" t="str">
        <f>IF(Tree_Table1[[#This Row],[Tree Status  &amp;]]="Retain", Tables!$B$237, IF(Tree_Table1[[#This Row],[Tree Status  &amp;]]="Remove", Tables!$B$238, ""))</f>
        <v/>
      </c>
      <c r="H621" s="321"/>
      <c r="I621" s="322"/>
      <c r="J621" s="453"/>
      <c r="K621" s="323" t="str">
        <f>IFERROR(
    IF(
        AND($H621="Zoning: Tree Points", NOT(ISNUMBER(SEARCH("sp.", $C621)))),
        VLOOKUP($C621, 'Tree List'!$C$3:$F$601, 4, FALSE),
        ""
    ),
"")</f>
        <v/>
      </c>
      <c r="L621" s="324" t="str" cm="1">
        <f t="array" ref="L621">IFERROR(
IF(
    AND($H621="Zoning: Tree Points", NOT(ISNUMBER(SEARCH("sp.", $C621)))),
    _xlfn.IFS(
        (COUNTIFS('Tree List'!$C$3:$C$601,$C621,'Tree List'!$D$3:$D$601,"Coniferous")
        + COUNTIFS('Tree List'!$C$3:$C$601,$C621,'Tree List'!$D$3:$D$601,"Deciduous Conifer")) &gt; 0,
            _xlfn.IFS($K621="Small",0.5,$K621="Small/Medium",1,$K621="Medium/Large",1.4,$K621="Large",1.8),
        (COUNTIFS('Tree List'!$C$3:$C$601,$C621,'Tree List'!$D$3:$D$601,"Deciduous")
        + COUNTIFS('Tree List'!$C$3:$C$601,$C621,'Tree List'!$D$3:$D$601,"Broadleaf Evergreen")) &gt; 0,
            _xlfn.IFS($K621="Small",0.4,$K621="Small/Medium",0.8,$K621="Medium/Large",1.2,$K621="Large",1.6)
    ),
    ""
),
"")</f>
        <v/>
      </c>
      <c r="M621" s="475" t="str">
        <f t="shared" si="654"/>
        <v/>
      </c>
      <c r="N621" s="346" t="str" cm="1">
        <f t="array" aca="1" ref="N62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IF(AND(_xlpm.baseRow,ISNA(MATCH($C621,'Tree List'!$C$3:$C$601,0)),SUMPRODUCT(--ISNUMBER(SEARCH(Tables2!$C$677:$C$772,$O621)))&gt;0),
Error!$B$57,
IF(AND(_xlpm.hasDM,$F621="Remove",$H621&lt;&gt;"",OR($I621="On-site replacement",$I621="Off-site replacement",$I621="Payment In Lieu")),
Error!$B$56,
IF(AND(_xlpm.hasDM,$F621="Remove",$H621&lt;&gt;"",$I621="Relocation"),
Error!$B$66,
IF(AND(OR(_xlpm.hasCN,_xlpm.hasPH,_xlpm.hasGR),$H621&lt;&gt;"",COUNTIF(Tables!$B$132:$B$134,$H621)&gt;0,$I621="N/A (No replacement required)"),
Error!$B$62,
IF(AND(_xlpm.baseRow,$E621&lt;&gt;"",ISNA(MATCH($E621,Tables!$B$225:$B$232,0))),
Error!$B$2,
IF(AND(_xlpm.baseRow,$F621&lt;&gt;"",ISNA(MATCH($F621,Tables!$B$234:$B$235,0))),
Error!$B$24,
IF(AND(_xlpm.baseRow,_xlpm.ECA_H&gt;0,_xlpm.Shore_H&gt;0),
Error!$B$16,
IF(AND(_xlpm.baseRow,$E621&lt;&gt;"",$D621=""),
Error!$B$3,
IF(AND(_xlpm.baseRow,OR($E621="Tier 3",$E621="Tier 4"),$C621&lt;&gt;"",$D621&gt;=24,COUNTIF(Tables2!$B$166:$B$674,$C621)&gt;0),
Error!$B$44,
IF(AND(_xlpm.baseRow,OR($E621="Tier 3",$E621="Tier 4"),$C621&lt;&gt;"",$D621&lt;&gt;"",COUNTIF(Tables2!$B$73:$B$152,$C621)&gt;0,
$D621&gt;=IFERROR(INDEX(Tables2!$C$73:$C$152,MATCH($C621,Tables2!$B$73:$B$152,0)),-1)),
Error!$B$44,
IF(AND(_xlpm.baseRow,OR($E621="Tier 2",$E621="Tier 2 Grove"),$C621&lt;&gt;"",$D621&gt;=12,COUNTIF(Tables2!$B$153:$B$162,$C621)&gt;0),
Error!$B$45,
IF(AND(_xlpm.baseRow,$E621="Tier 2 Grove",$D621&lt;12),
Error!$B$41,
IF(AND(_xlpm.baseRow,$E621="Tier 2",$D621&lt;5.88),
Error!$B$40,
IF(AND(_xlpm.baseRow,OR($E621="Tier 2",$E621="Tier 2 Grove"),$C621&lt;&gt;"",$D621&lt;12,$D621&gt;=6,COUNTIF(Tables2!$B$153:$B$162,$C621)&gt;0),
Error!$B$54,
IF(AND(_xlpm.baseRow,$E621="Tier 2",COUNTIF(Tables2!$B$166:$B$674,$C621)&gt;0,$D621&lt;24),
Error!$B$54,
IF(AND(_xlpm.baseRow,$E621="Tier 3",ISNA(MATCH($C621,Tables2!$B$153:$B$162,0)),OR($D621&lt;12,$D621&gt;=24)),
Error!$B$9,
IF(AND(_xlpm.baseRow,$E621="Tier 3",COUNTIF(Tables2!$B$153:$B$162,$C621)&gt;0,$D621&lt;12),
Error!$B$46,
IF(AND(_xlpm.baseRow,$E621="Tier 4",OR($D621&lt;6,$D621&gt;=12)),
Error!$B$10,
IF(AND(_xlpm.baseRow,$E621="&lt;6in DSH for Tree Points",OR($D621&gt;=6,$D621="")),
Error!$B$8,
IF(AND(_xlpm.baseRow,$E621="Street Tree for Green Factor",$F621&lt;&gt;"",$F621&lt;&gt;"Retain"),
Error!$B$14,
IF(AND($E621="&lt;6in DSH for Tree Points",$F621="Retain",$H621&lt;&gt;"",ISNA(MATCH($H621,Tables!$B$174:$B$174,0))),
Error!$B$15,
IF(AND($E621="Street Tree for Green Factor",$F621="Retain",$H621&lt;&gt;"",$H621&lt;&gt;"Zoning: Green Factor"),
Error!$B$15,
IF(AND($E621="ECA / Shoreline Tree",$F621="Remove",$H621&lt;&gt;"",ISNA(MATCH($H621,Tables!$B$189:$B$190,0))),
Error!$B$15,
IF(AND($E621="ECA / Shoreline Tree",$F621="Retain",$H621&lt;&gt;"",ISNA(MATCH($H621,Tables!$B$184:$B$186,0))),
Error!$B$15,
IF(AND($E621="Tier 4",$F621="Remove",$H621&lt;&gt;"",ISNA(MATCH($H621,Tables!$B$171,0))),
Error!$B$15,
IF(AND($E621="Tier 4",$F621="Retain",$H621&lt;&gt;"",ISNA(MATCH($H621,Tables!$B$166:$B$168,0))),
Error!$B$15,
IF(AND($E621="Tier 3",$F621="Retain",$H621&lt;&gt;"",ISNA(MATCH($H621,Tables!$B$158:$B$160,0))),
Error!$B$15,
IF(AND($E621="Tier 3",$F621="Remove",$H621&lt;&gt;"",ISNA(MATCH($H621,Tables!$B$163,0))),
Error!$B$15,
IF(AND(OR($E621="Tier 2",$E621="Tier 2 Grove"),$F621="Remove",$H621&lt;&gt;"",ISNA(MATCH($H621,Tables!$B$153:$B$155,0))),
Error!$B$15,
IF(AND(OR($E621="Tier 2",$E621="Tier 2 Grove"),$F621="Retain",$H621&lt;&gt;"",ISNA(MATCH($H621,Tables!$B$147:$B$150,0))),
Error!$B$15,
IF(AND($E621="Tier 1",$F621="Remove",$H621&lt;&gt;"",ISNA(MATCH($H621,Tables!$B$143:$B$144,0))),
Error!$B$15,
IF(AND($E621="Tier 1",$F621="Retain",$H621&lt;&gt;"",ISNA(MATCH($H621,Tables!$B$137:$B$140,0))),
Error!$B$15,
IF(AND($E621&lt;&gt;"Tier 2",$E621&lt;&gt;"Tier 2 Grove",$E621&lt;&gt;"Tier 3",$E621&lt;&gt;"Tier 4",$H621="Zoning: Green Factor",OR($D621="",$D621&lt;6)),
Error!$B$11,
IF(AND(_xlpm.baseRow,$D621&lt;6,$E621="&lt;6in DSH for Tree Points",_xlpm.TreePoints_H=0),
Error!$B$21,
IF(AND(_xlpm.baseRow,$E621&lt;&gt;"",$D621&lt;&gt;"",$F621=""),
Error!$B$4,
IF(AND(_xlpm.baseRow,$F621="Remove",OR($E621="Tier 1",$E621="Tier 2",$E621="Tier 2 Grove"),COUNTBLANK(_xlpm.HRange)&lt;3,_xlpm.uniqueH&gt;=2),
Error!$B$48,
IF(AND(_xlpm.baseRow,$F621="Retain",OR($E621="Tier 1",$E621="Tier 2",$E621="Tier 2 Grove"),COUNTIF(_xlpm.HRange,"Tree Code: Required to Retain Tier 1-2 Tree")=0),
Error!$B$47,
IF(AND(_xlpm.baseRow,$E621&lt;&gt;"",$D621&lt;&gt;"",$F621&lt;&gt;"",COUNTBLANK(_xlpm.HRange)=4),
Error!$B$5,
IF(AND($F621="Remove",$H621&lt;&gt;"",$I621=""),
Error!$B$18,
IF(AND($E621="Tier 4",$F621="Remove",$H621="Tree Protection Code: Tier 3 or Tier 4 Allowance",$H621&lt;&gt;"",ISNA(MATCH($I621,Tables!$B$200,0))),
Error!$B$17,
IF(AND($E621="Tier 3",$F621="Remove",$H621&lt;&gt;"",$H621="Tree Protection Code: Tier 3 or Tier 4 Allowance",OR($I621="",ISNA(MATCH($I621,Tables!$B$193:$B$197,0)))),
Error!$B$17,
IF(AND(OR($E621="Tier 2",$E621="Tier 2 Grove"),$F621="Remove",$H621="Tree Protection Code: Other removal allowance or exemption",$I621&lt;&gt;"",ISNA(MATCH($I621,Tables!$B$215:$B$218,0))),
Error!$B$17,
IF(AND(OR($E621="Tier 2",$E621="Tier 2 Grove"),$F621="Remove",$H621="Tree Protection Code: Development Capacity",$I621&lt;&gt;"",ISNA(MATCH($I621,Tables!$B$193:$B$197,0))),
Error!$B$17,
IF(AND(OR($E621="Tier 2",$E621="Tier 2 Grove"),$F621="Remove",$H621="Tree Protection Code: Necessary for Construction",$I621&lt;&gt;"",ISNA(MATCH($I621,Tables!$B$193:$B$197,0))),
Error!$B$17,
IF(AND($E621="Tier 1",$F621="Remove",$H621="Tree Protection Code: Special Exception",$I621&lt;&gt;"",ISNA(MATCH($I621,Tables!$B$215:$B$218,0))),
Error!$B$17,
IF(AND($E621="Tier 1",$F621="Remove",$H621="Tree Protection Code: Other removal allowance or exemption",$I621&lt;&gt;"",ISNA(MATCH($I621,Tables!$B$215:$B$218,0))),
Error!$B$17,
IF(AND($E621="ECA / Shoreline Tree",$F621="Remove",$H621&lt;&gt;"",OR($H621="Shoreline",$H621="Environmental Critical Area (ECA)"),ISNA(MATCH($I621,Tables!$B$209:$B$212,0))),
Error!$B$17,
IF(AND(_xlpm.baseRow,$F621="Retain",$E621="ECA / Shoreline Tree",_xlpm.ECA_Short=0),
Error!$B$61,
IF(AND($F621="Remove",ISNUMBER(MATCH($E621,{"Tier 1","Tier 2","Tier 3","Tier 4","Tier 2 Grove"},0)),ISNUMBER(MATCH($I621,{"On-site replacement","Off-site replacement"},0)),$J621="",$H621&lt;&gt;""),
Error!$B$19,
IF(AND(_xlpm.baseRow,$E621&lt;&gt;"",$D621&lt;&gt;"",$F621&lt;&gt;"",COUNTBLANK($B621:$C621)&gt;0,COUNTBLANK(_xlpm.HRange)&lt;&gt;4),
Error!$B$22,
IF(AND($H621="Zoning: Tree Points",$K621&lt;&gt;"",ISNA(MATCH($K621,Tables!$B$242:$B$253,0))),
Error!$B$58,
IF(AND($H621="Zoning: Tree Points",$K621="Small",$L621&lt;&gt;"",ISNA(MATCH($L621,Tables!$C$243:$C$244,0))),
Error!$B$59,
IF(AND($H621="Zoning: Tree Points",$K621="Small/Medium",$L621&lt;&gt;"",ISNA(MATCH($L621,Tables!$C$246:$C$247,0))),
Error!$B$59,
IF(AND($H621="Zoning: Tree Points",$K621="Medium/Large",$L621&lt;&gt;"",ISNA(MATCH($L621,Tables!$C$249:$C$250,0))),
Error!$B$59,
IF(AND($H621="Zoning: Tree Points",$K621="Large",$L621&lt;&gt;"",ISNA(MATCH($L621,Tables!$C$252:$C$253,0))),
Error!$B$59,
IF(AND($F621="Retain",$H621="Zoning: Tree Points",$C621&lt;&gt;"",$D621&lt;&gt;"",OR($K621="",$L621="",$M621="")),
Error!$B$20,
""
)))))))))))))))))))))))))))))))))))))))))))))))))))))))),
Error!$B$23))</f>
        <v/>
      </c>
      <c r="O621" s="343" t="str" cm="1">
        <f t="array" aca="1" ref="O621" ca="1">IFERROR(_xlfn.LET(
    _xlpm.txt, $C621,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22" spans="1:15" ht="15" thickBot="1" x14ac:dyDescent="0.35">
      <c r="A622" s="331"/>
      <c r="B622" s="616" t="str">
        <f t="shared" si="725"/>
        <v/>
      </c>
      <c r="C622" s="617" t="str">
        <f t="shared" si="726"/>
        <v/>
      </c>
      <c r="D622" s="618" t="str">
        <f t="shared" si="727"/>
        <v/>
      </c>
      <c r="E622" s="616" t="str">
        <f t="shared" si="728"/>
        <v/>
      </c>
      <c r="F622" s="616" t="str">
        <f t="shared" si="729"/>
        <v/>
      </c>
      <c r="G622" s="619" t="str">
        <f>IF(Tree_Table1[[#This Row],[Tree Status  &amp;]]="Retain", Tables!$B$237, IF(Tree_Table1[[#This Row],[Tree Status  &amp;]]="Remove", Tables!$B$238, ""))</f>
        <v/>
      </c>
      <c r="H622" s="329"/>
      <c r="I622" s="330"/>
      <c r="J622" s="455"/>
      <c r="K622" s="327" t="str">
        <f>IFERROR(
    IF(
        AND($H622="Zoning: Tree Points", NOT(ISNUMBER(SEARCH("sp.", $C622)))),
        VLOOKUP($C622, 'Tree List'!$C$3:$F$601, 4, FALSE),
        ""
    ),
"")</f>
        <v/>
      </c>
      <c r="L622" s="328" t="str" cm="1">
        <f t="array" ref="L622">IFERROR(
IF(
    AND($H622="Zoning: Tree Points", NOT(ISNUMBER(SEARCH("sp.", $C622)))),
    _xlfn.IFS(
        (COUNTIFS('Tree List'!$C$3:$C$601,$C622,'Tree List'!$D$3:$D$601,"Coniferous")
        + COUNTIFS('Tree List'!$C$3:$C$601,$C622,'Tree List'!$D$3:$D$601,"Deciduous Conifer")) &gt; 0,
            _xlfn.IFS($K622="Small",0.5,$K622="Small/Medium",1,$K622="Medium/Large",1.4,$K622="Large",1.8),
        (COUNTIFS('Tree List'!$C$3:$C$601,$C622,'Tree List'!$D$3:$D$601,"Deciduous")
        + COUNTIFS('Tree List'!$C$3:$C$601,$C622,'Tree List'!$D$3:$D$601,"Broadleaf Evergreen")) &gt; 0,
            _xlfn.IFS($K622="Small",0.4,$K622="Small/Medium",0.8,$K622="Medium/Large",1.2,$K622="Large",1.6)
    ),
    ""
),
"")</f>
        <v/>
      </c>
      <c r="M622" s="476" t="str">
        <f t="shared" si="654"/>
        <v/>
      </c>
      <c r="N622" s="347" t="str" cm="1">
        <f t="array" aca="1" ref="N62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IF(AND(_xlpm.baseRow,ISNA(MATCH($C622,'Tree List'!$C$3:$C$601,0)),SUMPRODUCT(--ISNUMBER(SEARCH(Tables2!$C$677:$C$772,$O622)))&gt;0),
Error!$B$57,
IF(AND(_xlpm.hasDM,$F622="Remove",$H622&lt;&gt;"",OR($I622="On-site replacement",$I622="Off-site replacement",$I622="Payment In Lieu")),
Error!$B$56,
IF(AND(_xlpm.hasDM,$F622="Remove",$H622&lt;&gt;"",$I622="Relocation"),
Error!$B$66,
IF(AND(OR(_xlpm.hasCN,_xlpm.hasPH,_xlpm.hasGR),$H622&lt;&gt;"",COUNTIF(Tables!$B$132:$B$134,$H622)&gt;0,$I622="N/A (No replacement required)"),
Error!$B$62,
IF(AND(_xlpm.baseRow,$E622&lt;&gt;"",ISNA(MATCH($E622,Tables!$B$225:$B$232,0))),
Error!$B$2,
IF(AND(_xlpm.baseRow,$F622&lt;&gt;"",ISNA(MATCH($F622,Tables!$B$234:$B$235,0))),
Error!$B$24,
IF(AND(_xlpm.baseRow,_xlpm.ECA_H&gt;0,_xlpm.Shore_H&gt;0),
Error!$B$16,
IF(AND(_xlpm.baseRow,$E622&lt;&gt;"",$D622=""),
Error!$B$3,
IF(AND(_xlpm.baseRow,OR($E622="Tier 3",$E622="Tier 4"),$C622&lt;&gt;"",$D622&gt;=24,COUNTIF(Tables2!$B$166:$B$674,$C622)&gt;0),
Error!$B$44,
IF(AND(_xlpm.baseRow,OR($E622="Tier 3",$E622="Tier 4"),$C622&lt;&gt;"",$D622&lt;&gt;"",COUNTIF(Tables2!$B$73:$B$152,$C622)&gt;0,
$D622&gt;=IFERROR(INDEX(Tables2!$C$73:$C$152,MATCH($C622,Tables2!$B$73:$B$152,0)),-1)),
Error!$B$44,
IF(AND(_xlpm.baseRow,OR($E622="Tier 2",$E622="Tier 2 Grove"),$C622&lt;&gt;"",$D622&gt;=12,COUNTIF(Tables2!$B$153:$B$162,$C622)&gt;0),
Error!$B$45,
IF(AND(_xlpm.baseRow,$E622="Tier 2 Grove",$D622&lt;12),
Error!$B$41,
IF(AND(_xlpm.baseRow,$E622="Tier 2",$D622&lt;5.88),
Error!$B$40,
IF(AND(_xlpm.baseRow,OR($E622="Tier 2",$E622="Tier 2 Grove"),$C622&lt;&gt;"",$D622&lt;12,$D622&gt;=6,COUNTIF(Tables2!$B$153:$B$162,$C622)&gt;0),
Error!$B$54,
IF(AND(_xlpm.baseRow,$E622="Tier 2",COUNTIF(Tables2!$B$166:$B$674,$C622)&gt;0,$D622&lt;24),
Error!$B$54,
IF(AND(_xlpm.baseRow,$E622="Tier 3",ISNA(MATCH($C622,Tables2!$B$153:$B$162,0)),OR($D622&lt;12,$D622&gt;=24)),
Error!$B$9,
IF(AND(_xlpm.baseRow,$E622="Tier 3",COUNTIF(Tables2!$B$153:$B$162,$C622)&gt;0,$D622&lt;12),
Error!$B$46,
IF(AND(_xlpm.baseRow,$E622="Tier 4",OR($D622&lt;6,$D622&gt;=12)),
Error!$B$10,
IF(AND(_xlpm.baseRow,$E622="&lt;6in DSH for Tree Points",OR($D622&gt;=6,$D622="")),
Error!$B$8,
IF(AND(_xlpm.baseRow,$E622="Street Tree for Green Factor",$F622&lt;&gt;"",$F622&lt;&gt;"Retain"),
Error!$B$14,
IF(AND($E622="&lt;6in DSH for Tree Points",$F622="Retain",$H622&lt;&gt;"",ISNA(MATCH($H622,Tables!$B$174:$B$174,0))),
Error!$B$15,
IF(AND($E622="Street Tree for Green Factor",$F622="Retain",$H622&lt;&gt;"",$H622&lt;&gt;"Zoning: Green Factor"),
Error!$B$15,
IF(AND($E622="ECA / Shoreline Tree",$F622="Remove",$H622&lt;&gt;"",ISNA(MATCH($H622,Tables!$B$189:$B$190,0))),
Error!$B$15,
IF(AND($E622="ECA / Shoreline Tree",$F622="Retain",$H622&lt;&gt;"",ISNA(MATCH($H622,Tables!$B$184:$B$186,0))),
Error!$B$15,
IF(AND($E622="Tier 4",$F622="Remove",$H622&lt;&gt;"",ISNA(MATCH($H622,Tables!$B$171,0))),
Error!$B$15,
IF(AND($E622="Tier 4",$F622="Retain",$H622&lt;&gt;"",ISNA(MATCH($H622,Tables!$B$166:$B$168,0))),
Error!$B$15,
IF(AND($E622="Tier 3",$F622="Retain",$H622&lt;&gt;"",ISNA(MATCH($H622,Tables!$B$158:$B$160,0))),
Error!$B$15,
IF(AND($E622="Tier 3",$F622="Remove",$H622&lt;&gt;"",ISNA(MATCH($H622,Tables!$B$163,0))),
Error!$B$15,
IF(AND(OR($E622="Tier 2",$E622="Tier 2 Grove"),$F622="Remove",$H622&lt;&gt;"",ISNA(MATCH($H622,Tables!$B$153:$B$155,0))),
Error!$B$15,
IF(AND(OR($E622="Tier 2",$E622="Tier 2 Grove"),$F622="Retain",$H622&lt;&gt;"",ISNA(MATCH($H622,Tables!$B$147:$B$150,0))),
Error!$B$15,
IF(AND($E622="Tier 1",$F622="Remove",$H622&lt;&gt;"",ISNA(MATCH($H622,Tables!$B$143:$B$144,0))),
Error!$B$15,
IF(AND($E622="Tier 1",$F622="Retain",$H622&lt;&gt;"",ISNA(MATCH($H622,Tables!$B$137:$B$140,0))),
Error!$B$15,
IF(AND($E622&lt;&gt;"Tier 2",$E622&lt;&gt;"Tier 2 Grove",$E622&lt;&gt;"Tier 3",$E622&lt;&gt;"Tier 4",$H622="Zoning: Green Factor",OR($D622="",$D622&lt;6)),
Error!$B$11,
IF(AND(_xlpm.baseRow,$D622&lt;6,$E622="&lt;6in DSH for Tree Points",_xlpm.TreePoints_H=0),
Error!$B$21,
IF(AND(_xlpm.baseRow,$E622&lt;&gt;"",$D622&lt;&gt;"",$F622=""),
Error!$B$4,
IF(AND(_xlpm.baseRow,$F622="Remove",OR($E622="Tier 1",$E622="Tier 2",$E622="Tier 2 Grove"),COUNTBLANK(_xlpm.HRange)&lt;3,_xlpm.uniqueH&gt;=2),
Error!$B$48,
IF(AND(_xlpm.baseRow,$F622="Retain",OR($E622="Tier 1",$E622="Tier 2",$E622="Tier 2 Grove"),COUNTIF(_xlpm.HRange,"Tree Code: Required to Retain Tier 1-2 Tree")=0),
Error!$B$47,
IF(AND(_xlpm.baseRow,$E622&lt;&gt;"",$D622&lt;&gt;"",$F622&lt;&gt;"",COUNTBLANK(_xlpm.HRange)=4),
Error!$B$5,
IF(AND($F622="Remove",$H622&lt;&gt;"",$I622=""),
Error!$B$18,
IF(AND($E622="Tier 4",$F622="Remove",$H622="Tree Protection Code: Tier 3 or Tier 4 Allowance",$H622&lt;&gt;"",ISNA(MATCH($I622,Tables!$B$200,0))),
Error!$B$17,
IF(AND($E622="Tier 3",$F622="Remove",$H622&lt;&gt;"",$H622="Tree Protection Code: Tier 3 or Tier 4 Allowance",OR($I622="",ISNA(MATCH($I622,Tables!$B$193:$B$197,0)))),
Error!$B$17,
IF(AND(OR($E622="Tier 2",$E622="Tier 2 Grove"),$F622="Remove",$H622="Tree Protection Code: Other removal allowance or exemption",$I622&lt;&gt;"",ISNA(MATCH($I622,Tables!$B$215:$B$218,0))),
Error!$B$17,
IF(AND(OR($E622="Tier 2",$E622="Tier 2 Grove"),$F622="Remove",$H622="Tree Protection Code: Development Capacity",$I622&lt;&gt;"",ISNA(MATCH($I622,Tables!$B$193:$B$197,0))),
Error!$B$17,
IF(AND(OR($E622="Tier 2",$E622="Tier 2 Grove"),$F622="Remove",$H622="Tree Protection Code: Necessary for Construction",$I622&lt;&gt;"",ISNA(MATCH($I622,Tables!$B$193:$B$197,0))),
Error!$B$17,
IF(AND($E622="Tier 1",$F622="Remove",$H622="Tree Protection Code: Special Exception",$I622&lt;&gt;"",ISNA(MATCH($I622,Tables!$B$215:$B$218,0))),
Error!$B$17,
IF(AND($E622="Tier 1",$F622="Remove",$H622="Tree Protection Code: Other removal allowance or exemption",$I622&lt;&gt;"",ISNA(MATCH($I622,Tables!$B$215:$B$218,0))),
Error!$B$17,
IF(AND($E622="ECA / Shoreline Tree",$F622="Remove",$H622&lt;&gt;"",OR($H622="Shoreline",$H622="Environmental Critical Area (ECA)"),ISNA(MATCH($I622,Tables!$B$209:$B$212,0))),
Error!$B$17,
IF(AND(_xlpm.baseRow,$F622="Retain",$E622="ECA / Shoreline Tree",_xlpm.ECA_Short=0),
Error!$B$61,
IF(AND($F622="Remove",ISNUMBER(MATCH($E622,{"Tier 1","Tier 2","Tier 3","Tier 4","Tier 2 Grove"},0)),ISNUMBER(MATCH($I622,{"On-site replacement","Off-site replacement"},0)),$J622="",$H622&lt;&gt;""),
Error!$B$19,
IF(AND(_xlpm.baseRow,$E622&lt;&gt;"",$D622&lt;&gt;"",$F622&lt;&gt;"",COUNTBLANK($B622:$C622)&gt;0,COUNTBLANK(_xlpm.HRange)&lt;&gt;4),
Error!$B$22,
IF(AND($H622="Zoning: Tree Points",$K622&lt;&gt;"",ISNA(MATCH($K622,Tables!$B$242:$B$253,0))),
Error!$B$58,
IF(AND($H622="Zoning: Tree Points",$K622="Small",$L622&lt;&gt;"",ISNA(MATCH($L622,Tables!$C$243:$C$244,0))),
Error!$B$59,
IF(AND($H622="Zoning: Tree Points",$K622="Small/Medium",$L622&lt;&gt;"",ISNA(MATCH($L622,Tables!$C$246:$C$247,0))),
Error!$B$59,
IF(AND($H622="Zoning: Tree Points",$K622="Medium/Large",$L622&lt;&gt;"",ISNA(MATCH($L622,Tables!$C$249:$C$250,0))),
Error!$B$59,
IF(AND($H622="Zoning: Tree Points",$K622="Large",$L622&lt;&gt;"",ISNA(MATCH($L622,Tables!$C$252:$C$253,0))),
Error!$B$59,
IF(AND($F622="Retain",$H622="Zoning: Tree Points",$C622&lt;&gt;"",$D622&lt;&gt;"",OR($K622="",$L622="",$M622="")),
Error!$B$20,
""
)))))))))))))))))))))))))))))))))))))))))))))))))))))))),
Error!$B$23))</f>
        <v/>
      </c>
      <c r="O622" s="343" t="str" cm="1">
        <f t="array" aca="1" ref="O622" ca="1">IFERROR(_xlfn.LET(
    _xlpm.txt, $C622,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23" spans="1:15" ht="15" thickBot="1" x14ac:dyDescent="0.35">
      <c r="A623" s="311">
        <v>154</v>
      </c>
      <c r="B623" s="312"/>
      <c r="C623" s="313"/>
      <c r="D623" s="478"/>
      <c r="E623" s="314"/>
      <c r="F623" s="314"/>
      <c r="G623" s="315" t="str">
        <f>IF(Tree_Table1[[#This Row],[Tree Status  &amp;]]="Retain", Tables!$B$237, IF(Tree_Table1[[#This Row],[Tree Status  &amp;]]="Remove", Tables!$B$238, ""))</f>
        <v/>
      </c>
      <c r="H623" s="316"/>
      <c r="I623" s="317"/>
      <c r="J623" s="452"/>
      <c r="K623" s="318" t="str">
        <f>IFERROR(
    IF(
        AND($H623="Zoning: Tree Points", NOT(ISNUMBER(SEARCH("sp.", $C623)))),
        VLOOKUP($C623, 'Tree List'!$C$3:$F$601, 4, FALSE),
        ""
    ),
"")</f>
        <v/>
      </c>
      <c r="L623" s="319" t="str" cm="1">
        <f t="array" ref="L623">IFERROR(
IF(
    AND($H623="Zoning: Tree Points", NOT(ISNUMBER(SEARCH("sp.", $C623)))),
    _xlfn.IFS(
        (COUNTIFS('Tree List'!$C$3:$C$601,$C623,'Tree List'!$D$3:$D$601,"Coniferous")
        + COUNTIFS('Tree List'!$C$3:$C$601,$C623,'Tree List'!$D$3:$D$601,"Deciduous Conifer")) &gt; 0,
            _xlfn.IFS($K623="Small",0.5,$K623="Small/Medium",1,$K623="Medium/Large",1.4,$K623="Large",1.8),
        (COUNTIFS('Tree List'!$C$3:$C$601,$C623,'Tree List'!$D$3:$D$601,"Deciduous")
        + COUNTIFS('Tree List'!$C$3:$C$601,$C623,'Tree List'!$D$3:$D$601,"Broadleaf Evergreen")) &gt; 0,
            _xlfn.IFS($K623="Small",0.4,$K623="Small/Medium",0.8,$K623="Medium/Large",1.2,$K623="Large",1.6)
    ),
    ""
),
"")</f>
        <v/>
      </c>
      <c r="M623" s="474" t="str">
        <f t="shared" si="654"/>
        <v/>
      </c>
      <c r="N623" s="620" t="str" cm="1">
        <f t="array" aca="1" ref="N62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IF(AND(_xlpm.baseRow,ISNA(MATCH($C623,'Tree List'!$C$3:$C$601,0)),SUMPRODUCT(--ISNUMBER(SEARCH(Tables2!$C$677:$C$772,$O623)))&gt;0),
Error!$B$57,
IF(AND(_xlpm.hasDM,$F623="Remove",$H623&lt;&gt;"",OR($I623="On-site replacement",$I623="Off-site replacement",$I623="Payment In Lieu")),
Error!$B$56,
IF(AND(_xlpm.hasDM,$F623="Remove",$H623&lt;&gt;"",$I623="Relocation"),
Error!$B$66,
IF(AND(OR(_xlpm.hasCN,_xlpm.hasPH,_xlpm.hasGR),$H623&lt;&gt;"",COUNTIF(Tables!$B$132:$B$134,$H623)&gt;0,$I623="N/A (No replacement required)"),
Error!$B$62,
IF(AND(_xlpm.baseRow,$E623&lt;&gt;"",ISNA(MATCH($E623,Tables!$B$225:$B$232,0))),
Error!$B$2,
IF(AND(_xlpm.baseRow,$F623&lt;&gt;"",ISNA(MATCH($F623,Tables!$B$234:$B$235,0))),
Error!$B$24,
IF(AND(_xlpm.baseRow,_xlpm.ECA_H&gt;0,_xlpm.Shore_H&gt;0),
Error!$B$16,
IF(AND(_xlpm.baseRow,$E623&lt;&gt;"",$D623=""),
Error!$B$3,
IF(AND(_xlpm.baseRow,OR($E623="Tier 3",$E623="Tier 4"),$C623&lt;&gt;"",$D623&gt;=24,COUNTIF(Tables2!$B$166:$B$674,$C623)&gt;0),
Error!$B$44,
IF(AND(_xlpm.baseRow,OR($E623="Tier 3",$E623="Tier 4"),$C623&lt;&gt;"",$D623&lt;&gt;"",COUNTIF(Tables2!$B$73:$B$152,$C623)&gt;0,
$D623&gt;=IFERROR(INDEX(Tables2!$C$73:$C$152,MATCH($C623,Tables2!$B$73:$B$152,0)),-1)),
Error!$B$44,
IF(AND(_xlpm.baseRow,OR($E623="Tier 2",$E623="Tier 2 Grove"),$C623&lt;&gt;"",$D623&gt;=12,COUNTIF(Tables2!$B$153:$B$162,$C623)&gt;0),
Error!$B$45,
IF(AND(_xlpm.baseRow,$E623="Tier 2 Grove",$D623&lt;12),
Error!$B$41,
IF(AND(_xlpm.baseRow,$E623="Tier 2",$D623&lt;5.88),
Error!$B$40,
IF(AND(_xlpm.baseRow,OR($E623="Tier 2",$E623="Tier 2 Grove"),$C623&lt;&gt;"",$D623&lt;12,$D623&gt;=6,COUNTIF(Tables2!$B$153:$B$162,$C623)&gt;0),
Error!$B$54,
IF(AND(_xlpm.baseRow,$E623="Tier 2",COUNTIF(Tables2!$B$166:$B$674,$C623)&gt;0,$D623&lt;24),
Error!$B$54,
IF(AND(_xlpm.baseRow,$E623="Tier 3",ISNA(MATCH($C623,Tables2!$B$153:$B$162,0)),OR($D623&lt;12,$D623&gt;=24)),
Error!$B$9,
IF(AND(_xlpm.baseRow,$E623="Tier 3",COUNTIF(Tables2!$B$153:$B$162,$C623)&gt;0,$D623&lt;12),
Error!$B$46,
IF(AND(_xlpm.baseRow,$E623="Tier 4",OR($D623&lt;6,$D623&gt;=12)),
Error!$B$10,
IF(AND(_xlpm.baseRow,$E623="&lt;6in DSH for Tree Points",OR($D623&gt;=6,$D623="")),
Error!$B$8,
IF(AND(_xlpm.baseRow,$E623="Street Tree for Green Factor",$F623&lt;&gt;"",$F623&lt;&gt;"Retain"),
Error!$B$14,
IF(AND($E623="&lt;6in DSH for Tree Points",$F623="Retain",$H623&lt;&gt;"",ISNA(MATCH($H623,Tables!$B$174:$B$174,0))),
Error!$B$15,
IF(AND($E623="Street Tree for Green Factor",$F623="Retain",$H623&lt;&gt;"",$H623&lt;&gt;"Zoning: Green Factor"),
Error!$B$15,
IF(AND($E623="ECA / Shoreline Tree",$F623="Remove",$H623&lt;&gt;"",ISNA(MATCH($H623,Tables!$B$189:$B$190,0))),
Error!$B$15,
IF(AND($E623="ECA / Shoreline Tree",$F623="Retain",$H623&lt;&gt;"",ISNA(MATCH($H623,Tables!$B$184:$B$186,0))),
Error!$B$15,
IF(AND($E623="Tier 4",$F623="Remove",$H623&lt;&gt;"",ISNA(MATCH($H623,Tables!$B$171,0))),
Error!$B$15,
IF(AND($E623="Tier 4",$F623="Retain",$H623&lt;&gt;"",ISNA(MATCH($H623,Tables!$B$166:$B$168,0))),
Error!$B$15,
IF(AND($E623="Tier 3",$F623="Retain",$H623&lt;&gt;"",ISNA(MATCH($H623,Tables!$B$158:$B$160,0))),
Error!$B$15,
IF(AND($E623="Tier 3",$F623="Remove",$H623&lt;&gt;"",ISNA(MATCH($H623,Tables!$B$163,0))),
Error!$B$15,
IF(AND(OR($E623="Tier 2",$E623="Tier 2 Grove"),$F623="Remove",$H623&lt;&gt;"",ISNA(MATCH($H623,Tables!$B$153:$B$155,0))),
Error!$B$15,
IF(AND(OR($E623="Tier 2",$E623="Tier 2 Grove"),$F623="Retain",$H623&lt;&gt;"",ISNA(MATCH($H623,Tables!$B$147:$B$150,0))),
Error!$B$15,
IF(AND($E623="Tier 1",$F623="Remove",$H623&lt;&gt;"",ISNA(MATCH($H623,Tables!$B$143:$B$144,0))),
Error!$B$15,
IF(AND($E623="Tier 1",$F623="Retain",$H623&lt;&gt;"",ISNA(MATCH($H623,Tables!$B$137:$B$140,0))),
Error!$B$15,
IF(AND($E623&lt;&gt;"Tier 2",$E623&lt;&gt;"Tier 2 Grove",$E623&lt;&gt;"Tier 3",$E623&lt;&gt;"Tier 4",$H623="Zoning: Green Factor",OR($D623="",$D623&lt;6)),
Error!$B$11,
IF(AND(_xlpm.baseRow,$D623&lt;6,$E623="&lt;6in DSH for Tree Points",_xlpm.TreePoints_H=0),
Error!$B$21,
IF(AND(_xlpm.baseRow,$E623&lt;&gt;"",$D623&lt;&gt;"",$F623=""),
Error!$B$4,
IF(AND(_xlpm.baseRow,$F623="Remove",OR($E623="Tier 1",$E623="Tier 2",$E623="Tier 2 Grove"),COUNTBLANK(_xlpm.HRange)&lt;3,_xlpm.uniqueH&gt;=2),
Error!$B$48,
IF(AND(_xlpm.baseRow,$F623="Retain",OR($E623="Tier 1",$E623="Tier 2",$E623="Tier 2 Grove"),COUNTIF(_xlpm.HRange,"Tree Code: Required to Retain Tier 1-2 Tree")=0),
Error!$B$47,
IF(AND(_xlpm.baseRow,$E623&lt;&gt;"",$D623&lt;&gt;"",$F623&lt;&gt;"",COUNTBLANK(_xlpm.HRange)=4),
Error!$B$5,
IF(AND($F623="Remove",$H623&lt;&gt;"",$I623=""),
Error!$B$18,
IF(AND($E623="Tier 4",$F623="Remove",$H623="Tree Protection Code: Tier 3 or Tier 4 Allowance",$H623&lt;&gt;"",ISNA(MATCH($I623,Tables!$B$200,0))),
Error!$B$17,
IF(AND($E623="Tier 3",$F623="Remove",$H623&lt;&gt;"",$H623="Tree Protection Code: Tier 3 or Tier 4 Allowance",OR($I623="",ISNA(MATCH($I623,Tables!$B$193:$B$197,0)))),
Error!$B$17,
IF(AND(OR($E623="Tier 2",$E623="Tier 2 Grove"),$F623="Remove",$H623="Tree Protection Code: Other removal allowance or exemption",$I623&lt;&gt;"",ISNA(MATCH($I623,Tables!$B$215:$B$218,0))),
Error!$B$17,
IF(AND(OR($E623="Tier 2",$E623="Tier 2 Grove"),$F623="Remove",$H623="Tree Protection Code: Development Capacity",$I623&lt;&gt;"",ISNA(MATCH($I623,Tables!$B$193:$B$197,0))),
Error!$B$17,
IF(AND(OR($E623="Tier 2",$E623="Tier 2 Grove"),$F623="Remove",$H623="Tree Protection Code: Necessary for Construction",$I623&lt;&gt;"",ISNA(MATCH($I623,Tables!$B$193:$B$197,0))),
Error!$B$17,
IF(AND($E623="Tier 1",$F623="Remove",$H623="Tree Protection Code: Special Exception",$I623&lt;&gt;"",ISNA(MATCH($I623,Tables!$B$215:$B$218,0))),
Error!$B$17,
IF(AND($E623="Tier 1",$F623="Remove",$H623="Tree Protection Code: Other removal allowance or exemption",$I623&lt;&gt;"",ISNA(MATCH($I623,Tables!$B$215:$B$218,0))),
Error!$B$17,
IF(AND($E623="ECA / Shoreline Tree",$F623="Remove",$H623&lt;&gt;"",OR($H623="Shoreline",$H623="Environmental Critical Area (ECA)"),ISNA(MATCH($I623,Tables!$B$209:$B$212,0))),
Error!$B$17,
IF(AND(_xlpm.baseRow,$F623="Retain",$E623="ECA / Shoreline Tree",_xlpm.ECA_Short=0),
Error!$B$61,
IF(AND($F623="Remove",ISNUMBER(MATCH($E623,{"Tier 1","Tier 2","Tier 3","Tier 4","Tier 2 Grove"},0)),ISNUMBER(MATCH($I623,{"On-site replacement","Off-site replacement"},0)),$J623="",$H623&lt;&gt;""),
Error!$B$19,
IF(AND(_xlpm.baseRow,$E623&lt;&gt;"",$D623&lt;&gt;"",$F623&lt;&gt;"",COUNTBLANK($B623:$C623)&gt;0,COUNTBLANK(_xlpm.HRange)&lt;&gt;4),
Error!$B$22,
IF(AND($H623="Zoning: Tree Points",$K623&lt;&gt;"",ISNA(MATCH($K623,Tables!$B$242:$B$253,0))),
Error!$B$58,
IF(AND($H623="Zoning: Tree Points",$K623="Small",$L623&lt;&gt;"",ISNA(MATCH($L623,Tables!$C$243:$C$244,0))),
Error!$B$59,
IF(AND($H623="Zoning: Tree Points",$K623="Small/Medium",$L623&lt;&gt;"",ISNA(MATCH($L623,Tables!$C$246:$C$247,0))),
Error!$B$59,
IF(AND($H623="Zoning: Tree Points",$K623="Medium/Large",$L623&lt;&gt;"",ISNA(MATCH($L623,Tables!$C$249:$C$250,0))),
Error!$B$59,
IF(AND($H623="Zoning: Tree Points",$K623="Large",$L623&lt;&gt;"",ISNA(MATCH($L623,Tables!$C$252:$C$253,0))),
Error!$B$59,
IF(AND($F623="Retain",$H623="Zoning: Tree Points",$C623&lt;&gt;"",$D623&lt;&gt;"",OR($K623="",$L623="",$M623="")),
Error!$B$20,
""
)))))))))))))))))))))))))))))))))))))))))))))))))))))))),
Error!$B$23))</f>
        <v/>
      </c>
      <c r="O623" s="343" t="str" cm="1">
        <f t="array" aca="1" ref="O623" ca="1">IFERROR(_xlfn.LET(
    _xlpm.txt, $C623,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24" spans="1:15" x14ac:dyDescent="0.3">
      <c r="A624" s="320"/>
      <c r="B624" s="616" t="str">
        <f t="shared" ref="B624:B626" si="730">IF($B623="", "", $B623)</f>
        <v/>
      </c>
      <c r="C624" s="617" t="str">
        <f t="shared" ref="C624:C626" si="731">IF($C623="", "", $C623)</f>
        <v/>
      </c>
      <c r="D624" s="618" t="str">
        <f t="shared" ref="D624:D626" si="732">IF($D623="", "", $D623)</f>
        <v/>
      </c>
      <c r="E624" s="616" t="str">
        <f t="shared" ref="E624:E626" si="733">IF($E623="", "", $E623)</f>
        <v/>
      </c>
      <c r="F624" s="616" t="str">
        <f t="shared" ref="F624:F626" si="734">IF($F623="", "", $F623)</f>
        <v/>
      </c>
      <c r="G624" s="619" t="str">
        <f>IF(Tree_Table1[[#This Row],[Tree Status  &amp;]]="Retain", Tables!$B$237, IF(Tree_Table1[[#This Row],[Tree Status  &amp;]]="Remove", Tables!$B$238, ""))</f>
        <v/>
      </c>
      <c r="H624" s="321"/>
      <c r="I624" s="322"/>
      <c r="J624" s="453"/>
      <c r="K624" s="323" t="str">
        <f>IFERROR(
    IF(
        AND($H624="Zoning: Tree Points", NOT(ISNUMBER(SEARCH("sp.", $C624)))),
        VLOOKUP($C624, 'Tree List'!$C$3:$F$601, 4, FALSE),
        ""
    ),
"")</f>
        <v/>
      </c>
      <c r="L624" s="324" t="str" cm="1">
        <f t="array" ref="L624">IFERROR(
IF(
    AND($H624="Zoning: Tree Points", NOT(ISNUMBER(SEARCH("sp.", $C624)))),
    _xlfn.IFS(
        (COUNTIFS('Tree List'!$C$3:$C$601,$C624,'Tree List'!$D$3:$D$601,"Coniferous")
        + COUNTIFS('Tree List'!$C$3:$C$601,$C624,'Tree List'!$D$3:$D$601,"Deciduous Conifer")) &gt; 0,
            _xlfn.IFS($K624="Small",0.5,$K624="Small/Medium",1,$K624="Medium/Large",1.4,$K624="Large",1.8),
        (COUNTIFS('Tree List'!$C$3:$C$601,$C624,'Tree List'!$D$3:$D$601,"Deciduous")
        + COUNTIFS('Tree List'!$C$3:$C$601,$C624,'Tree List'!$D$3:$D$601,"Broadleaf Evergreen")) &gt; 0,
            _xlfn.IFS($K624="Small",0.4,$K624="Small/Medium",0.8,$K624="Medium/Large",1.2,$K624="Large",1.6)
    ),
    ""
),
"")</f>
        <v/>
      </c>
      <c r="M624" s="475" t="str">
        <f t="shared" si="654"/>
        <v/>
      </c>
      <c r="N624" s="346" t="str" cm="1">
        <f t="array" aca="1" ref="N62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IF(AND(_xlpm.baseRow,ISNA(MATCH($C624,'Tree List'!$C$3:$C$601,0)),SUMPRODUCT(--ISNUMBER(SEARCH(Tables2!$C$677:$C$772,$O624)))&gt;0),
Error!$B$57,
IF(AND(_xlpm.hasDM,$F624="Remove",$H624&lt;&gt;"",OR($I624="On-site replacement",$I624="Off-site replacement",$I624="Payment In Lieu")),
Error!$B$56,
IF(AND(_xlpm.hasDM,$F624="Remove",$H624&lt;&gt;"",$I624="Relocation"),
Error!$B$66,
IF(AND(OR(_xlpm.hasCN,_xlpm.hasPH,_xlpm.hasGR),$H624&lt;&gt;"",COUNTIF(Tables!$B$132:$B$134,$H624)&gt;0,$I624="N/A (No replacement required)"),
Error!$B$62,
IF(AND(_xlpm.baseRow,$E624&lt;&gt;"",ISNA(MATCH($E624,Tables!$B$225:$B$232,0))),
Error!$B$2,
IF(AND(_xlpm.baseRow,$F624&lt;&gt;"",ISNA(MATCH($F624,Tables!$B$234:$B$235,0))),
Error!$B$24,
IF(AND(_xlpm.baseRow,_xlpm.ECA_H&gt;0,_xlpm.Shore_H&gt;0),
Error!$B$16,
IF(AND(_xlpm.baseRow,$E624&lt;&gt;"",$D624=""),
Error!$B$3,
IF(AND(_xlpm.baseRow,OR($E624="Tier 3",$E624="Tier 4"),$C624&lt;&gt;"",$D624&gt;=24,COUNTIF(Tables2!$B$166:$B$674,$C624)&gt;0),
Error!$B$44,
IF(AND(_xlpm.baseRow,OR($E624="Tier 3",$E624="Tier 4"),$C624&lt;&gt;"",$D624&lt;&gt;"",COUNTIF(Tables2!$B$73:$B$152,$C624)&gt;0,
$D624&gt;=IFERROR(INDEX(Tables2!$C$73:$C$152,MATCH($C624,Tables2!$B$73:$B$152,0)),-1)),
Error!$B$44,
IF(AND(_xlpm.baseRow,OR($E624="Tier 2",$E624="Tier 2 Grove"),$C624&lt;&gt;"",$D624&gt;=12,COUNTIF(Tables2!$B$153:$B$162,$C624)&gt;0),
Error!$B$45,
IF(AND(_xlpm.baseRow,$E624="Tier 2 Grove",$D624&lt;12),
Error!$B$41,
IF(AND(_xlpm.baseRow,$E624="Tier 2",$D624&lt;5.88),
Error!$B$40,
IF(AND(_xlpm.baseRow,OR($E624="Tier 2",$E624="Tier 2 Grove"),$C624&lt;&gt;"",$D624&lt;12,$D624&gt;=6,COUNTIF(Tables2!$B$153:$B$162,$C624)&gt;0),
Error!$B$54,
IF(AND(_xlpm.baseRow,$E624="Tier 2",COUNTIF(Tables2!$B$166:$B$674,$C624)&gt;0,$D624&lt;24),
Error!$B$54,
IF(AND(_xlpm.baseRow,$E624="Tier 3",ISNA(MATCH($C624,Tables2!$B$153:$B$162,0)),OR($D624&lt;12,$D624&gt;=24)),
Error!$B$9,
IF(AND(_xlpm.baseRow,$E624="Tier 3",COUNTIF(Tables2!$B$153:$B$162,$C624)&gt;0,$D624&lt;12),
Error!$B$46,
IF(AND(_xlpm.baseRow,$E624="Tier 4",OR($D624&lt;6,$D624&gt;=12)),
Error!$B$10,
IF(AND(_xlpm.baseRow,$E624="&lt;6in DSH for Tree Points",OR($D624&gt;=6,$D624="")),
Error!$B$8,
IF(AND(_xlpm.baseRow,$E624="Street Tree for Green Factor",$F624&lt;&gt;"",$F624&lt;&gt;"Retain"),
Error!$B$14,
IF(AND($E624="&lt;6in DSH for Tree Points",$F624="Retain",$H624&lt;&gt;"",ISNA(MATCH($H624,Tables!$B$174:$B$174,0))),
Error!$B$15,
IF(AND($E624="Street Tree for Green Factor",$F624="Retain",$H624&lt;&gt;"",$H624&lt;&gt;"Zoning: Green Factor"),
Error!$B$15,
IF(AND($E624="ECA / Shoreline Tree",$F624="Remove",$H624&lt;&gt;"",ISNA(MATCH($H624,Tables!$B$189:$B$190,0))),
Error!$B$15,
IF(AND($E624="ECA / Shoreline Tree",$F624="Retain",$H624&lt;&gt;"",ISNA(MATCH($H624,Tables!$B$184:$B$186,0))),
Error!$B$15,
IF(AND($E624="Tier 4",$F624="Remove",$H624&lt;&gt;"",ISNA(MATCH($H624,Tables!$B$171,0))),
Error!$B$15,
IF(AND($E624="Tier 4",$F624="Retain",$H624&lt;&gt;"",ISNA(MATCH($H624,Tables!$B$166:$B$168,0))),
Error!$B$15,
IF(AND($E624="Tier 3",$F624="Retain",$H624&lt;&gt;"",ISNA(MATCH($H624,Tables!$B$158:$B$160,0))),
Error!$B$15,
IF(AND($E624="Tier 3",$F624="Remove",$H624&lt;&gt;"",ISNA(MATCH($H624,Tables!$B$163,0))),
Error!$B$15,
IF(AND(OR($E624="Tier 2",$E624="Tier 2 Grove"),$F624="Remove",$H624&lt;&gt;"",ISNA(MATCH($H624,Tables!$B$153:$B$155,0))),
Error!$B$15,
IF(AND(OR($E624="Tier 2",$E624="Tier 2 Grove"),$F624="Retain",$H624&lt;&gt;"",ISNA(MATCH($H624,Tables!$B$147:$B$150,0))),
Error!$B$15,
IF(AND($E624="Tier 1",$F624="Remove",$H624&lt;&gt;"",ISNA(MATCH($H624,Tables!$B$143:$B$144,0))),
Error!$B$15,
IF(AND($E624="Tier 1",$F624="Retain",$H624&lt;&gt;"",ISNA(MATCH($H624,Tables!$B$137:$B$140,0))),
Error!$B$15,
IF(AND($E624&lt;&gt;"Tier 2",$E624&lt;&gt;"Tier 2 Grove",$E624&lt;&gt;"Tier 3",$E624&lt;&gt;"Tier 4",$H624="Zoning: Green Factor",OR($D624="",$D624&lt;6)),
Error!$B$11,
IF(AND(_xlpm.baseRow,$D624&lt;6,$E624="&lt;6in DSH for Tree Points",_xlpm.TreePoints_H=0),
Error!$B$21,
IF(AND(_xlpm.baseRow,$E624&lt;&gt;"",$D624&lt;&gt;"",$F624=""),
Error!$B$4,
IF(AND(_xlpm.baseRow,$F624="Remove",OR($E624="Tier 1",$E624="Tier 2",$E624="Tier 2 Grove"),COUNTBLANK(_xlpm.HRange)&lt;3,_xlpm.uniqueH&gt;=2),
Error!$B$48,
IF(AND(_xlpm.baseRow,$F624="Retain",OR($E624="Tier 1",$E624="Tier 2",$E624="Tier 2 Grove"),COUNTIF(_xlpm.HRange,"Tree Code: Required to Retain Tier 1-2 Tree")=0),
Error!$B$47,
IF(AND(_xlpm.baseRow,$E624&lt;&gt;"",$D624&lt;&gt;"",$F624&lt;&gt;"",COUNTBLANK(_xlpm.HRange)=4),
Error!$B$5,
IF(AND($F624="Remove",$H624&lt;&gt;"",$I624=""),
Error!$B$18,
IF(AND($E624="Tier 4",$F624="Remove",$H624="Tree Protection Code: Tier 3 or Tier 4 Allowance",$H624&lt;&gt;"",ISNA(MATCH($I624,Tables!$B$200,0))),
Error!$B$17,
IF(AND($E624="Tier 3",$F624="Remove",$H624&lt;&gt;"",$H624="Tree Protection Code: Tier 3 or Tier 4 Allowance",OR($I624="",ISNA(MATCH($I624,Tables!$B$193:$B$197,0)))),
Error!$B$17,
IF(AND(OR($E624="Tier 2",$E624="Tier 2 Grove"),$F624="Remove",$H624="Tree Protection Code: Other removal allowance or exemption",$I624&lt;&gt;"",ISNA(MATCH($I624,Tables!$B$215:$B$218,0))),
Error!$B$17,
IF(AND(OR($E624="Tier 2",$E624="Tier 2 Grove"),$F624="Remove",$H624="Tree Protection Code: Development Capacity",$I624&lt;&gt;"",ISNA(MATCH($I624,Tables!$B$193:$B$197,0))),
Error!$B$17,
IF(AND(OR($E624="Tier 2",$E624="Tier 2 Grove"),$F624="Remove",$H624="Tree Protection Code: Necessary for Construction",$I624&lt;&gt;"",ISNA(MATCH($I624,Tables!$B$193:$B$197,0))),
Error!$B$17,
IF(AND($E624="Tier 1",$F624="Remove",$H624="Tree Protection Code: Special Exception",$I624&lt;&gt;"",ISNA(MATCH($I624,Tables!$B$215:$B$218,0))),
Error!$B$17,
IF(AND($E624="Tier 1",$F624="Remove",$H624="Tree Protection Code: Other removal allowance or exemption",$I624&lt;&gt;"",ISNA(MATCH($I624,Tables!$B$215:$B$218,0))),
Error!$B$17,
IF(AND($E624="ECA / Shoreline Tree",$F624="Remove",$H624&lt;&gt;"",OR($H624="Shoreline",$H624="Environmental Critical Area (ECA)"),ISNA(MATCH($I624,Tables!$B$209:$B$212,0))),
Error!$B$17,
IF(AND(_xlpm.baseRow,$F624="Retain",$E624="ECA / Shoreline Tree",_xlpm.ECA_Short=0),
Error!$B$61,
IF(AND($F624="Remove",ISNUMBER(MATCH($E624,{"Tier 1","Tier 2","Tier 3","Tier 4","Tier 2 Grove"},0)),ISNUMBER(MATCH($I624,{"On-site replacement","Off-site replacement"},0)),$J624="",$H624&lt;&gt;""),
Error!$B$19,
IF(AND(_xlpm.baseRow,$E624&lt;&gt;"",$D624&lt;&gt;"",$F624&lt;&gt;"",COUNTBLANK($B624:$C624)&gt;0,COUNTBLANK(_xlpm.HRange)&lt;&gt;4),
Error!$B$22,
IF(AND($H624="Zoning: Tree Points",$K624&lt;&gt;"",ISNA(MATCH($K624,Tables!$B$242:$B$253,0))),
Error!$B$58,
IF(AND($H624="Zoning: Tree Points",$K624="Small",$L624&lt;&gt;"",ISNA(MATCH($L624,Tables!$C$243:$C$244,0))),
Error!$B$59,
IF(AND($H624="Zoning: Tree Points",$K624="Small/Medium",$L624&lt;&gt;"",ISNA(MATCH($L624,Tables!$C$246:$C$247,0))),
Error!$B$59,
IF(AND($H624="Zoning: Tree Points",$K624="Medium/Large",$L624&lt;&gt;"",ISNA(MATCH($L624,Tables!$C$249:$C$250,0))),
Error!$B$59,
IF(AND($H624="Zoning: Tree Points",$K624="Large",$L624&lt;&gt;"",ISNA(MATCH($L624,Tables!$C$252:$C$253,0))),
Error!$B$59,
IF(AND($F624="Retain",$H624="Zoning: Tree Points",$C624&lt;&gt;"",$D624&lt;&gt;"",OR($K624="",$L624="",$M624="")),
Error!$B$20,
""
)))))))))))))))))))))))))))))))))))))))))))))))))))))))),
Error!$B$23))</f>
        <v/>
      </c>
      <c r="O624" s="343" t="str" cm="1">
        <f t="array" aca="1" ref="O624" ca="1">IFERROR(_xlfn.LET(
    _xlpm.txt, $C624,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25" spans="1:15" x14ac:dyDescent="0.3">
      <c r="A625" s="320"/>
      <c r="B625" s="616" t="str">
        <f t="shared" si="730"/>
        <v/>
      </c>
      <c r="C625" s="617" t="str">
        <f t="shared" si="731"/>
        <v/>
      </c>
      <c r="D625" s="618" t="str">
        <f t="shared" si="732"/>
        <v/>
      </c>
      <c r="E625" s="616" t="str">
        <f t="shared" si="733"/>
        <v/>
      </c>
      <c r="F625" s="616" t="str">
        <f t="shared" si="734"/>
        <v/>
      </c>
      <c r="G625" s="619" t="str">
        <f>IF(Tree_Table1[[#This Row],[Tree Status  &amp;]]="Retain", Tables!$B$237, IF(Tree_Table1[[#This Row],[Tree Status  &amp;]]="Remove", Tables!$B$238, ""))</f>
        <v/>
      </c>
      <c r="H625" s="321"/>
      <c r="I625" s="322"/>
      <c r="J625" s="453"/>
      <c r="K625" s="323" t="str">
        <f>IFERROR(
    IF(
        AND($H625="Zoning: Tree Points", NOT(ISNUMBER(SEARCH("sp.", $C625)))),
        VLOOKUP($C625, 'Tree List'!$C$3:$F$601, 4, FALSE),
        ""
    ),
"")</f>
        <v/>
      </c>
      <c r="L625" s="324" t="str" cm="1">
        <f t="array" ref="L625">IFERROR(
IF(
    AND($H625="Zoning: Tree Points", NOT(ISNUMBER(SEARCH("sp.", $C625)))),
    _xlfn.IFS(
        (COUNTIFS('Tree List'!$C$3:$C$601,$C625,'Tree List'!$D$3:$D$601,"Coniferous")
        + COUNTIFS('Tree List'!$C$3:$C$601,$C625,'Tree List'!$D$3:$D$601,"Deciduous Conifer")) &gt; 0,
            _xlfn.IFS($K625="Small",0.5,$K625="Small/Medium",1,$K625="Medium/Large",1.4,$K625="Large",1.8),
        (COUNTIFS('Tree List'!$C$3:$C$601,$C625,'Tree List'!$D$3:$D$601,"Deciduous")
        + COUNTIFS('Tree List'!$C$3:$C$601,$C625,'Tree List'!$D$3:$D$601,"Broadleaf Evergreen")) &gt; 0,
            _xlfn.IFS($K625="Small",0.4,$K625="Small/Medium",0.8,$K625="Medium/Large",1.2,$K625="Large",1.6)
    ),
    ""
),
"")</f>
        <v/>
      </c>
      <c r="M625" s="475" t="str">
        <f t="shared" si="654"/>
        <v/>
      </c>
      <c r="N625" s="346" t="str" cm="1">
        <f t="array" aca="1" ref="N62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IF(AND(_xlpm.baseRow,ISNA(MATCH($C625,'Tree List'!$C$3:$C$601,0)),SUMPRODUCT(--ISNUMBER(SEARCH(Tables2!$C$677:$C$772,$O625)))&gt;0),
Error!$B$57,
IF(AND(_xlpm.hasDM,$F625="Remove",$H625&lt;&gt;"",OR($I625="On-site replacement",$I625="Off-site replacement",$I625="Payment In Lieu")),
Error!$B$56,
IF(AND(_xlpm.hasDM,$F625="Remove",$H625&lt;&gt;"",$I625="Relocation"),
Error!$B$66,
IF(AND(OR(_xlpm.hasCN,_xlpm.hasPH,_xlpm.hasGR),$H625&lt;&gt;"",COUNTIF(Tables!$B$132:$B$134,$H625)&gt;0,$I625="N/A (No replacement required)"),
Error!$B$62,
IF(AND(_xlpm.baseRow,$E625&lt;&gt;"",ISNA(MATCH($E625,Tables!$B$225:$B$232,0))),
Error!$B$2,
IF(AND(_xlpm.baseRow,$F625&lt;&gt;"",ISNA(MATCH($F625,Tables!$B$234:$B$235,0))),
Error!$B$24,
IF(AND(_xlpm.baseRow,_xlpm.ECA_H&gt;0,_xlpm.Shore_H&gt;0),
Error!$B$16,
IF(AND(_xlpm.baseRow,$E625&lt;&gt;"",$D625=""),
Error!$B$3,
IF(AND(_xlpm.baseRow,OR($E625="Tier 3",$E625="Tier 4"),$C625&lt;&gt;"",$D625&gt;=24,COUNTIF(Tables2!$B$166:$B$674,$C625)&gt;0),
Error!$B$44,
IF(AND(_xlpm.baseRow,OR($E625="Tier 3",$E625="Tier 4"),$C625&lt;&gt;"",$D625&lt;&gt;"",COUNTIF(Tables2!$B$73:$B$152,$C625)&gt;0,
$D625&gt;=IFERROR(INDEX(Tables2!$C$73:$C$152,MATCH($C625,Tables2!$B$73:$B$152,0)),-1)),
Error!$B$44,
IF(AND(_xlpm.baseRow,OR($E625="Tier 2",$E625="Tier 2 Grove"),$C625&lt;&gt;"",$D625&gt;=12,COUNTIF(Tables2!$B$153:$B$162,$C625)&gt;0),
Error!$B$45,
IF(AND(_xlpm.baseRow,$E625="Tier 2 Grove",$D625&lt;12),
Error!$B$41,
IF(AND(_xlpm.baseRow,$E625="Tier 2",$D625&lt;5.88),
Error!$B$40,
IF(AND(_xlpm.baseRow,OR($E625="Tier 2",$E625="Tier 2 Grove"),$C625&lt;&gt;"",$D625&lt;12,$D625&gt;=6,COUNTIF(Tables2!$B$153:$B$162,$C625)&gt;0),
Error!$B$54,
IF(AND(_xlpm.baseRow,$E625="Tier 2",COUNTIF(Tables2!$B$166:$B$674,$C625)&gt;0,$D625&lt;24),
Error!$B$54,
IF(AND(_xlpm.baseRow,$E625="Tier 3",ISNA(MATCH($C625,Tables2!$B$153:$B$162,0)),OR($D625&lt;12,$D625&gt;=24)),
Error!$B$9,
IF(AND(_xlpm.baseRow,$E625="Tier 3",COUNTIF(Tables2!$B$153:$B$162,$C625)&gt;0,$D625&lt;12),
Error!$B$46,
IF(AND(_xlpm.baseRow,$E625="Tier 4",OR($D625&lt;6,$D625&gt;=12)),
Error!$B$10,
IF(AND(_xlpm.baseRow,$E625="&lt;6in DSH for Tree Points",OR($D625&gt;=6,$D625="")),
Error!$B$8,
IF(AND(_xlpm.baseRow,$E625="Street Tree for Green Factor",$F625&lt;&gt;"",$F625&lt;&gt;"Retain"),
Error!$B$14,
IF(AND($E625="&lt;6in DSH for Tree Points",$F625="Retain",$H625&lt;&gt;"",ISNA(MATCH($H625,Tables!$B$174:$B$174,0))),
Error!$B$15,
IF(AND($E625="Street Tree for Green Factor",$F625="Retain",$H625&lt;&gt;"",$H625&lt;&gt;"Zoning: Green Factor"),
Error!$B$15,
IF(AND($E625="ECA / Shoreline Tree",$F625="Remove",$H625&lt;&gt;"",ISNA(MATCH($H625,Tables!$B$189:$B$190,0))),
Error!$B$15,
IF(AND($E625="ECA / Shoreline Tree",$F625="Retain",$H625&lt;&gt;"",ISNA(MATCH($H625,Tables!$B$184:$B$186,0))),
Error!$B$15,
IF(AND($E625="Tier 4",$F625="Remove",$H625&lt;&gt;"",ISNA(MATCH($H625,Tables!$B$171,0))),
Error!$B$15,
IF(AND($E625="Tier 4",$F625="Retain",$H625&lt;&gt;"",ISNA(MATCH($H625,Tables!$B$166:$B$168,0))),
Error!$B$15,
IF(AND($E625="Tier 3",$F625="Retain",$H625&lt;&gt;"",ISNA(MATCH($H625,Tables!$B$158:$B$160,0))),
Error!$B$15,
IF(AND($E625="Tier 3",$F625="Remove",$H625&lt;&gt;"",ISNA(MATCH($H625,Tables!$B$163,0))),
Error!$B$15,
IF(AND(OR($E625="Tier 2",$E625="Tier 2 Grove"),$F625="Remove",$H625&lt;&gt;"",ISNA(MATCH($H625,Tables!$B$153:$B$155,0))),
Error!$B$15,
IF(AND(OR($E625="Tier 2",$E625="Tier 2 Grove"),$F625="Retain",$H625&lt;&gt;"",ISNA(MATCH($H625,Tables!$B$147:$B$150,0))),
Error!$B$15,
IF(AND($E625="Tier 1",$F625="Remove",$H625&lt;&gt;"",ISNA(MATCH($H625,Tables!$B$143:$B$144,0))),
Error!$B$15,
IF(AND($E625="Tier 1",$F625="Retain",$H625&lt;&gt;"",ISNA(MATCH($H625,Tables!$B$137:$B$140,0))),
Error!$B$15,
IF(AND($E625&lt;&gt;"Tier 2",$E625&lt;&gt;"Tier 2 Grove",$E625&lt;&gt;"Tier 3",$E625&lt;&gt;"Tier 4",$H625="Zoning: Green Factor",OR($D625="",$D625&lt;6)),
Error!$B$11,
IF(AND(_xlpm.baseRow,$D625&lt;6,$E625="&lt;6in DSH for Tree Points",_xlpm.TreePoints_H=0),
Error!$B$21,
IF(AND(_xlpm.baseRow,$E625&lt;&gt;"",$D625&lt;&gt;"",$F625=""),
Error!$B$4,
IF(AND(_xlpm.baseRow,$F625="Remove",OR($E625="Tier 1",$E625="Tier 2",$E625="Tier 2 Grove"),COUNTBLANK(_xlpm.HRange)&lt;3,_xlpm.uniqueH&gt;=2),
Error!$B$48,
IF(AND(_xlpm.baseRow,$F625="Retain",OR($E625="Tier 1",$E625="Tier 2",$E625="Tier 2 Grove"),COUNTIF(_xlpm.HRange,"Tree Code: Required to Retain Tier 1-2 Tree")=0),
Error!$B$47,
IF(AND(_xlpm.baseRow,$E625&lt;&gt;"",$D625&lt;&gt;"",$F625&lt;&gt;"",COUNTBLANK(_xlpm.HRange)=4),
Error!$B$5,
IF(AND($F625="Remove",$H625&lt;&gt;"",$I625=""),
Error!$B$18,
IF(AND($E625="Tier 4",$F625="Remove",$H625="Tree Protection Code: Tier 3 or Tier 4 Allowance",$H625&lt;&gt;"",ISNA(MATCH($I625,Tables!$B$200,0))),
Error!$B$17,
IF(AND($E625="Tier 3",$F625="Remove",$H625&lt;&gt;"",$H625="Tree Protection Code: Tier 3 or Tier 4 Allowance",OR($I625="",ISNA(MATCH($I625,Tables!$B$193:$B$197,0)))),
Error!$B$17,
IF(AND(OR($E625="Tier 2",$E625="Tier 2 Grove"),$F625="Remove",$H625="Tree Protection Code: Other removal allowance or exemption",$I625&lt;&gt;"",ISNA(MATCH($I625,Tables!$B$215:$B$218,0))),
Error!$B$17,
IF(AND(OR($E625="Tier 2",$E625="Tier 2 Grove"),$F625="Remove",$H625="Tree Protection Code: Development Capacity",$I625&lt;&gt;"",ISNA(MATCH($I625,Tables!$B$193:$B$197,0))),
Error!$B$17,
IF(AND(OR($E625="Tier 2",$E625="Tier 2 Grove"),$F625="Remove",$H625="Tree Protection Code: Necessary for Construction",$I625&lt;&gt;"",ISNA(MATCH($I625,Tables!$B$193:$B$197,0))),
Error!$B$17,
IF(AND($E625="Tier 1",$F625="Remove",$H625="Tree Protection Code: Special Exception",$I625&lt;&gt;"",ISNA(MATCH($I625,Tables!$B$215:$B$218,0))),
Error!$B$17,
IF(AND($E625="Tier 1",$F625="Remove",$H625="Tree Protection Code: Other removal allowance or exemption",$I625&lt;&gt;"",ISNA(MATCH($I625,Tables!$B$215:$B$218,0))),
Error!$B$17,
IF(AND($E625="ECA / Shoreline Tree",$F625="Remove",$H625&lt;&gt;"",OR($H625="Shoreline",$H625="Environmental Critical Area (ECA)"),ISNA(MATCH($I625,Tables!$B$209:$B$212,0))),
Error!$B$17,
IF(AND(_xlpm.baseRow,$F625="Retain",$E625="ECA / Shoreline Tree",_xlpm.ECA_Short=0),
Error!$B$61,
IF(AND($F625="Remove",ISNUMBER(MATCH($E625,{"Tier 1","Tier 2","Tier 3","Tier 4","Tier 2 Grove"},0)),ISNUMBER(MATCH($I625,{"On-site replacement","Off-site replacement"},0)),$J625="",$H625&lt;&gt;""),
Error!$B$19,
IF(AND(_xlpm.baseRow,$E625&lt;&gt;"",$D625&lt;&gt;"",$F625&lt;&gt;"",COUNTBLANK($B625:$C625)&gt;0,COUNTBLANK(_xlpm.HRange)&lt;&gt;4),
Error!$B$22,
IF(AND($H625="Zoning: Tree Points",$K625&lt;&gt;"",ISNA(MATCH($K625,Tables!$B$242:$B$253,0))),
Error!$B$58,
IF(AND($H625="Zoning: Tree Points",$K625="Small",$L625&lt;&gt;"",ISNA(MATCH($L625,Tables!$C$243:$C$244,0))),
Error!$B$59,
IF(AND($H625="Zoning: Tree Points",$K625="Small/Medium",$L625&lt;&gt;"",ISNA(MATCH($L625,Tables!$C$246:$C$247,0))),
Error!$B$59,
IF(AND($H625="Zoning: Tree Points",$K625="Medium/Large",$L625&lt;&gt;"",ISNA(MATCH($L625,Tables!$C$249:$C$250,0))),
Error!$B$59,
IF(AND($H625="Zoning: Tree Points",$K625="Large",$L625&lt;&gt;"",ISNA(MATCH($L625,Tables!$C$252:$C$253,0))),
Error!$B$59,
IF(AND($F625="Retain",$H625="Zoning: Tree Points",$C625&lt;&gt;"",$D625&lt;&gt;"",OR($K625="",$L625="",$M625="")),
Error!$B$20,
""
)))))))))))))))))))))))))))))))))))))))))))))))))))))))),
Error!$B$23))</f>
        <v/>
      </c>
      <c r="O625" s="343" t="str" cm="1">
        <f t="array" aca="1" ref="O625" ca="1">IFERROR(_xlfn.LET(
    _xlpm.txt, $C625,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26" spans="1:15" ht="15" thickBot="1" x14ac:dyDescent="0.35">
      <c r="A626" s="331"/>
      <c r="B626" s="616" t="str">
        <f t="shared" si="730"/>
        <v/>
      </c>
      <c r="C626" s="617" t="str">
        <f t="shared" si="731"/>
        <v/>
      </c>
      <c r="D626" s="618" t="str">
        <f t="shared" si="732"/>
        <v/>
      </c>
      <c r="E626" s="616" t="str">
        <f t="shared" si="733"/>
        <v/>
      </c>
      <c r="F626" s="616" t="str">
        <f t="shared" si="734"/>
        <v/>
      </c>
      <c r="G626" s="619" t="str">
        <f>IF(Tree_Table1[[#This Row],[Tree Status  &amp;]]="Retain", Tables!$B$237, IF(Tree_Table1[[#This Row],[Tree Status  &amp;]]="Remove", Tables!$B$238, ""))</f>
        <v/>
      </c>
      <c r="H626" s="329"/>
      <c r="I626" s="330"/>
      <c r="J626" s="455"/>
      <c r="K626" s="327" t="str">
        <f>IFERROR(
    IF(
        AND($H626="Zoning: Tree Points", NOT(ISNUMBER(SEARCH("sp.", $C626)))),
        VLOOKUP($C626, 'Tree List'!$C$3:$F$601, 4, FALSE),
        ""
    ),
"")</f>
        <v/>
      </c>
      <c r="L626" s="328" t="str" cm="1">
        <f t="array" ref="L626">IFERROR(
IF(
    AND($H626="Zoning: Tree Points", NOT(ISNUMBER(SEARCH("sp.", $C626)))),
    _xlfn.IFS(
        (COUNTIFS('Tree List'!$C$3:$C$601,$C626,'Tree List'!$D$3:$D$601,"Coniferous")
        + COUNTIFS('Tree List'!$C$3:$C$601,$C626,'Tree List'!$D$3:$D$601,"Deciduous Conifer")) &gt; 0,
            _xlfn.IFS($K626="Small",0.5,$K626="Small/Medium",1,$K626="Medium/Large",1.4,$K626="Large",1.8),
        (COUNTIFS('Tree List'!$C$3:$C$601,$C626,'Tree List'!$D$3:$D$601,"Deciduous")
        + COUNTIFS('Tree List'!$C$3:$C$601,$C626,'Tree List'!$D$3:$D$601,"Broadleaf Evergreen")) &gt; 0,
            _xlfn.IFS($K626="Small",0.4,$K626="Small/Medium",0.8,$K626="Medium/Large",1.2,$K626="Large",1.6)
    ),
    ""
),
"")</f>
        <v/>
      </c>
      <c r="M626" s="476" t="str">
        <f t="shared" si="654"/>
        <v/>
      </c>
      <c r="N626" s="347" t="str" cm="1">
        <f t="array" aca="1" ref="N62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IF(AND(_xlpm.baseRow,ISNA(MATCH($C626,'Tree List'!$C$3:$C$601,0)),SUMPRODUCT(--ISNUMBER(SEARCH(Tables2!$C$677:$C$772,$O626)))&gt;0),
Error!$B$57,
IF(AND(_xlpm.hasDM,$F626="Remove",$H626&lt;&gt;"",OR($I626="On-site replacement",$I626="Off-site replacement",$I626="Payment In Lieu")),
Error!$B$56,
IF(AND(_xlpm.hasDM,$F626="Remove",$H626&lt;&gt;"",$I626="Relocation"),
Error!$B$66,
IF(AND(OR(_xlpm.hasCN,_xlpm.hasPH,_xlpm.hasGR),$H626&lt;&gt;"",COUNTIF(Tables!$B$132:$B$134,$H626)&gt;0,$I626="N/A (No replacement required)"),
Error!$B$62,
IF(AND(_xlpm.baseRow,$E626&lt;&gt;"",ISNA(MATCH($E626,Tables!$B$225:$B$232,0))),
Error!$B$2,
IF(AND(_xlpm.baseRow,$F626&lt;&gt;"",ISNA(MATCH($F626,Tables!$B$234:$B$235,0))),
Error!$B$24,
IF(AND(_xlpm.baseRow,_xlpm.ECA_H&gt;0,_xlpm.Shore_H&gt;0),
Error!$B$16,
IF(AND(_xlpm.baseRow,$E626&lt;&gt;"",$D626=""),
Error!$B$3,
IF(AND(_xlpm.baseRow,OR($E626="Tier 3",$E626="Tier 4"),$C626&lt;&gt;"",$D626&gt;=24,COUNTIF(Tables2!$B$166:$B$674,$C626)&gt;0),
Error!$B$44,
IF(AND(_xlpm.baseRow,OR($E626="Tier 3",$E626="Tier 4"),$C626&lt;&gt;"",$D626&lt;&gt;"",COUNTIF(Tables2!$B$73:$B$152,$C626)&gt;0,
$D626&gt;=IFERROR(INDEX(Tables2!$C$73:$C$152,MATCH($C626,Tables2!$B$73:$B$152,0)),-1)),
Error!$B$44,
IF(AND(_xlpm.baseRow,OR($E626="Tier 2",$E626="Tier 2 Grove"),$C626&lt;&gt;"",$D626&gt;=12,COUNTIF(Tables2!$B$153:$B$162,$C626)&gt;0),
Error!$B$45,
IF(AND(_xlpm.baseRow,$E626="Tier 2 Grove",$D626&lt;12),
Error!$B$41,
IF(AND(_xlpm.baseRow,$E626="Tier 2",$D626&lt;5.88),
Error!$B$40,
IF(AND(_xlpm.baseRow,OR($E626="Tier 2",$E626="Tier 2 Grove"),$C626&lt;&gt;"",$D626&lt;12,$D626&gt;=6,COUNTIF(Tables2!$B$153:$B$162,$C626)&gt;0),
Error!$B$54,
IF(AND(_xlpm.baseRow,$E626="Tier 2",COUNTIF(Tables2!$B$166:$B$674,$C626)&gt;0,$D626&lt;24),
Error!$B$54,
IF(AND(_xlpm.baseRow,$E626="Tier 3",ISNA(MATCH($C626,Tables2!$B$153:$B$162,0)),OR($D626&lt;12,$D626&gt;=24)),
Error!$B$9,
IF(AND(_xlpm.baseRow,$E626="Tier 3",COUNTIF(Tables2!$B$153:$B$162,$C626)&gt;0,$D626&lt;12),
Error!$B$46,
IF(AND(_xlpm.baseRow,$E626="Tier 4",OR($D626&lt;6,$D626&gt;=12)),
Error!$B$10,
IF(AND(_xlpm.baseRow,$E626="&lt;6in DSH for Tree Points",OR($D626&gt;=6,$D626="")),
Error!$B$8,
IF(AND(_xlpm.baseRow,$E626="Street Tree for Green Factor",$F626&lt;&gt;"",$F626&lt;&gt;"Retain"),
Error!$B$14,
IF(AND($E626="&lt;6in DSH for Tree Points",$F626="Retain",$H626&lt;&gt;"",ISNA(MATCH($H626,Tables!$B$174:$B$174,0))),
Error!$B$15,
IF(AND($E626="Street Tree for Green Factor",$F626="Retain",$H626&lt;&gt;"",$H626&lt;&gt;"Zoning: Green Factor"),
Error!$B$15,
IF(AND($E626="ECA / Shoreline Tree",$F626="Remove",$H626&lt;&gt;"",ISNA(MATCH($H626,Tables!$B$189:$B$190,0))),
Error!$B$15,
IF(AND($E626="ECA / Shoreline Tree",$F626="Retain",$H626&lt;&gt;"",ISNA(MATCH($H626,Tables!$B$184:$B$186,0))),
Error!$B$15,
IF(AND($E626="Tier 4",$F626="Remove",$H626&lt;&gt;"",ISNA(MATCH($H626,Tables!$B$171,0))),
Error!$B$15,
IF(AND($E626="Tier 4",$F626="Retain",$H626&lt;&gt;"",ISNA(MATCH($H626,Tables!$B$166:$B$168,0))),
Error!$B$15,
IF(AND($E626="Tier 3",$F626="Retain",$H626&lt;&gt;"",ISNA(MATCH($H626,Tables!$B$158:$B$160,0))),
Error!$B$15,
IF(AND($E626="Tier 3",$F626="Remove",$H626&lt;&gt;"",ISNA(MATCH($H626,Tables!$B$163,0))),
Error!$B$15,
IF(AND(OR($E626="Tier 2",$E626="Tier 2 Grove"),$F626="Remove",$H626&lt;&gt;"",ISNA(MATCH($H626,Tables!$B$153:$B$155,0))),
Error!$B$15,
IF(AND(OR($E626="Tier 2",$E626="Tier 2 Grove"),$F626="Retain",$H626&lt;&gt;"",ISNA(MATCH($H626,Tables!$B$147:$B$150,0))),
Error!$B$15,
IF(AND($E626="Tier 1",$F626="Remove",$H626&lt;&gt;"",ISNA(MATCH($H626,Tables!$B$143:$B$144,0))),
Error!$B$15,
IF(AND($E626="Tier 1",$F626="Retain",$H626&lt;&gt;"",ISNA(MATCH($H626,Tables!$B$137:$B$140,0))),
Error!$B$15,
IF(AND($E626&lt;&gt;"Tier 2",$E626&lt;&gt;"Tier 2 Grove",$E626&lt;&gt;"Tier 3",$E626&lt;&gt;"Tier 4",$H626="Zoning: Green Factor",OR($D626="",$D626&lt;6)),
Error!$B$11,
IF(AND(_xlpm.baseRow,$D626&lt;6,$E626="&lt;6in DSH for Tree Points",_xlpm.TreePoints_H=0),
Error!$B$21,
IF(AND(_xlpm.baseRow,$E626&lt;&gt;"",$D626&lt;&gt;"",$F626=""),
Error!$B$4,
IF(AND(_xlpm.baseRow,$F626="Remove",OR($E626="Tier 1",$E626="Tier 2",$E626="Tier 2 Grove"),COUNTBLANK(_xlpm.HRange)&lt;3,_xlpm.uniqueH&gt;=2),
Error!$B$48,
IF(AND(_xlpm.baseRow,$F626="Retain",OR($E626="Tier 1",$E626="Tier 2",$E626="Tier 2 Grove"),COUNTIF(_xlpm.HRange,"Tree Code: Required to Retain Tier 1-2 Tree")=0),
Error!$B$47,
IF(AND(_xlpm.baseRow,$E626&lt;&gt;"",$D626&lt;&gt;"",$F626&lt;&gt;"",COUNTBLANK(_xlpm.HRange)=4),
Error!$B$5,
IF(AND($F626="Remove",$H626&lt;&gt;"",$I626=""),
Error!$B$18,
IF(AND($E626="Tier 4",$F626="Remove",$H626="Tree Protection Code: Tier 3 or Tier 4 Allowance",$H626&lt;&gt;"",ISNA(MATCH($I626,Tables!$B$200,0))),
Error!$B$17,
IF(AND($E626="Tier 3",$F626="Remove",$H626&lt;&gt;"",$H626="Tree Protection Code: Tier 3 or Tier 4 Allowance",OR($I626="",ISNA(MATCH($I626,Tables!$B$193:$B$197,0)))),
Error!$B$17,
IF(AND(OR($E626="Tier 2",$E626="Tier 2 Grove"),$F626="Remove",$H626="Tree Protection Code: Other removal allowance or exemption",$I626&lt;&gt;"",ISNA(MATCH($I626,Tables!$B$215:$B$218,0))),
Error!$B$17,
IF(AND(OR($E626="Tier 2",$E626="Tier 2 Grove"),$F626="Remove",$H626="Tree Protection Code: Development Capacity",$I626&lt;&gt;"",ISNA(MATCH($I626,Tables!$B$193:$B$197,0))),
Error!$B$17,
IF(AND(OR($E626="Tier 2",$E626="Tier 2 Grove"),$F626="Remove",$H626="Tree Protection Code: Necessary for Construction",$I626&lt;&gt;"",ISNA(MATCH($I626,Tables!$B$193:$B$197,0))),
Error!$B$17,
IF(AND($E626="Tier 1",$F626="Remove",$H626="Tree Protection Code: Special Exception",$I626&lt;&gt;"",ISNA(MATCH($I626,Tables!$B$215:$B$218,0))),
Error!$B$17,
IF(AND($E626="Tier 1",$F626="Remove",$H626="Tree Protection Code: Other removal allowance or exemption",$I626&lt;&gt;"",ISNA(MATCH($I626,Tables!$B$215:$B$218,0))),
Error!$B$17,
IF(AND($E626="ECA / Shoreline Tree",$F626="Remove",$H626&lt;&gt;"",OR($H626="Shoreline",$H626="Environmental Critical Area (ECA)"),ISNA(MATCH($I626,Tables!$B$209:$B$212,0))),
Error!$B$17,
IF(AND(_xlpm.baseRow,$F626="Retain",$E626="ECA / Shoreline Tree",_xlpm.ECA_Short=0),
Error!$B$61,
IF(AND($F626="Remove",ISNUMBER(MATCH($E626,{"Tier 1","Tier 2","Tier 3","Tier 4","Tier 2 Grove"},0)),ISNUMBER(MATCH($I626,{"On-site replacement","Off-site replacement"},0)),$J626="",$H626&lt;&gt;""),
Error!$B$19,
IF(AND(_xlpm.baseRow,$E626&lt;&gt;"",$D626&lt;&gt;"",$F626&lt;&gt;"",COUNTBLANK($B626:$C626)&gt;0,COUNTBLANK(_xlpm.HRange)&lt;&gt;4),
Error!$B$22,
IF(AND($H626="Zoning: Tree Points",$K626&lt;&gt;"",ISNA(MATCH($K626,Tables!$B$242:$B$253,0))),
Error!$B$58,
IF(AND($H626="Zoning: Tree Points",$K626="Small",$L626&lt;&gt;"",ISNA(MATCH($L626,Tables!$C$243:$C$244,0))),
Error!$B$59,
IF(AND($H626="Zoning: Tree Points",$K626="Small/Medium",$L626&lt;&gt;"",ISNA(MATCH($L626,Tables!$C$246:$C$247,0))),
Error!$B$59,
IF(AND($H626="Zoning: Tree Points",$K626="Medium/Large",$L626&lt;&gt;"",ISNA(MATCH($L626,Tables!$C$249:$C$250,0))),
Error!$B$59,
IF(AND($H626="Zoning: Tree Points",$K626="Large",$L626&lt;&gt;"",ISNA(MATCH($L626,Tables!$C$252:$C$253,0))),
Error!$B$59,
IF(AND($F626="Retain",$H626="Zoning: Tree Points",$C626&lt;&gt;"",$D626&lt;&gt;"",OR($K626="",$L626="",$M626="")),
Error!$B$20,
""
)))))))))))))))))))))))))))))))))))))))))))))))))))))))),
Error!$B$23))</f>
        <v/>
      </c>
      <c r="O626" s="343" t="str" cm="1">
        <f t="array" aca="1" ref="O626" ca="1">IFERROR(_xlfn.LET(
    _xlpm.txt, $C626,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27" spans="1:15" ht="15" thickBot="1" x14ac:dyDescent="0.35">
      <c r="A627" s="311">
        <v>155</v>
      </c>
      <c r="B627" s="312"/>
      <c r="C627" s="313"/>
      <c r="D627" s="478"/>
      <c r="E627" s="314"/>
      <c r="F627" s="314"/>
      <c r="G627" s="315" t="str">
        <f>IF(Tree_Table1[[#This Row],[Tree Status  &amp;]]="Retain", Tables!$B$237, IF(Tree_Table1[[#This Row],[Tree Status  &amp;]]="Remove", Tables!$B$238, ""))</f>
        <v/>
      </c>
      <c r="H627" s="316"/>
      <c r="I627" s="317"/>
      <c r="J627" s="452"/>
      <c r="K627" s="318" t="str">
        <f>IFERROR(
    IF(
        AND($H627="Zoning: Tree Points", NOT(ISNUMBER(SEARCH("sp.", $C627)))),
        VLOOKUP($C627, 'Tree List'!$C$3:$F$601, 4, FALSE),
        ""
    ),
"")</f>
        <v/>
      </c>
      <c r="L627" s="319" t="str" cm="1">
        <f t="array" ref="L627">IFERROR(
IF(
    AND($H627="Zoning: Tree Points", NOT(ISNUMBER(SEARCH("sp.", $C627)))),
    _xlfn.IFS(
        (COUNTIFS('Tree List'!$C$3:$C$601,$C627,'Tree List'!$D$3:$D$601,"Coniferous")
        + COUNTIFS('Tree List'!$C$3:$C$601,$C627,'Tree List'!$D$3:$D$601,"Deciduous Conifer")) &gt; 0,
            _xlfn.IFS($K627="Small",0.5,$K627="Small/Medium",1,$K627="Medium/Large",1.4,$K627="Large",1.8),
        (COUNTIFS('Tree List'!$C$3:$C$601,$C627,'Tree List'!$D$3:$D$601,"Deciduous")
        + COUNTIFS('Tree List'!$C$3:$C$601,$C627,'Tree List'!$D$3:$D$601,"Broadleaf Evergreen")) &gt; 0,
            _xlfn.IFS($K627="Small",0.4,$K627="Small/Medium",0.8,$K627="Medium/Large",1.2,$K627="Large",1.6)
    ),
    ""
),
"")</f>
        <v/>
      </c>
      <c r="M627" s="474" t="str">
        <f t="shared" ref="M627:M690" si="735">IFERROR($D627*$L627,"")</f>
        <v/>
      </c>
      <c r="N627" s="620" t="str" cm="1">
        <f t="array" aca="1" ref="N62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IF(AND(_xlpm.baseRow,ISNA(MATCH($C627,'Tree List'!$C$3:$C$601,0)),SUMPRODUCT(--ISNUMBER(SEARCH(Tables2!$C$677:$C$772,$O627)))&gt;0),
Error!$B$57,
IF(AND(_xlpm.hasDM,$F627="Remove",$H627&lt;&gt;"",OR($I627="On-site replacement",$I627="Off-site replacement",$I627="Payment In Lieu")),
Error!$B$56,
IF(AND(_xlpm.hasDM,$F627="Remove",$H627&lt;&gt;"",$I627="Relocation"),
Error!$B$66,
IF(AND(OR(_xlpm.hasCN,_xlpm.hasPH,_xlpm.hasGR),$H627&lt;&gt;"",COUNTIF(Tables!$B$132:$B$134,$H627)&gt;0,$I627="N/A (No replacement required)"),
Error!$B$62,
IF(AND(_xlpm.baseRow,$E627&lt;&gt;"",ISNA(MATCH($E627,Tables!$B$225:$B$232,0))),
Error!$B$2,
IF(AND(_xlpm.baseRow,$F627&lt;&gt;"",ISNA(MATCH($F627,Tables!$B$234:$B$235,0))),
Error!$B$24,
IF(AND(_xlpm.baseRow,_xlpm.ECA_H&gt;0,_xlpm.Shore_H&gt;0),
Error!$B$16,
IF(AND(_xlpm.baseRow,$E627&lt;&gt;"",$D627=""),
Error!$B$3,
IF(AND(_xlpm.baseRow,OR($E627="Tier 3",$E627="Tier 4"),$C627&lt;&gt;"",$D627&gt;=24,COUNTIF(Tables2!$B$166:$B$674,$C627)&gt;0),
Error!$B$44,
IF(AND(_xlpm.baseRow,OR($E627="Tier 3",$E627="Tier 4"),$C627&lt;&gt;"",$D627&lt;&gt;"",COUNTIF(Tables2!$B$73:$B$152,$C627)&gt;0,
$D627&gt;=IFERROR(INDEX(Tables2!$C$73:$C$152,MATCH($C627,Tables2!$B$73:$B$152,0)),-1)),
Error!$B$44,
IF(AND(_xlpm.baseRow,OR($E627="Tier 2",$E627="Tier 2 Grove"),$C627&lt;&gt;"",$D627&gt;=12,COUNTIF(Tables2!$B$153:$B$162,$C627)&gt;0),
Error!$B$45,
IF(AND(_xlpm.baseRow,$E627="Tier 2 Grove",$D627&lt;12),
Error!$B$41,
IF(AND(_xlpm.baseRow,$E627="Tier 2",$D627&lt;5.88),
Error!$B$40,
IF(AND(_xlpm.baseRow,OR($E627="Tier 2",$E627="Tier 2 Grove"),$C627&lt;&gt;"",$D627&lt;12,$D627&gt;=6,COUNTIF(Tables2!$B$153:$B$162,$C627)&gt;0),
Error!$B$54,
IF(AND(_xlpm.baseRow,$E627="Tier 2",COUNTIF(Tables2!$B$166:$B$674,$C627)&gt;0,$D627&lt;24),
Error!$B$54,
IF(AND(_xlpm.baseRow,$E627="Tier 3",ISNA(MATCH($C627,Tables2!$B$153:$B$162,0)),OR($D627&lt;12,$D627&gt;=24)),
Error!$B$9,
IF(AND(_xlpm.baseRow,$E627="Tier 3",COUNTIF(Tables2!$B$153:$B$162,$C627)&gt;0,$D627&lt;12),
Error!$B$46,
IF(AND(_xlpm.baseRow,$E627="Tier 4",OR($D627&lt;6,$D627&gt;=12)),
Error!$B$10,
IF(AND(_xlpm.baseRow,$E627="&lt;6in DSH for Tree Points",OR($D627&gt;=6,$D627="")),
Error!$B$8,
IF(AND(_xlpm.baseRow,$E627="Street Tree for Green Factor",$F627&lt;&gt;"",$F627&lt;&gt;"Retain"),
Error!$B$14,
IF(AND($E627="&lt;6in DSH for Tree Points",$F627="Retain",$H627&lt;&gt;"",ISNA(MATCH($H627,Tables!$B$174:$B$174,0))),
Error!$B$15,
IF(AND($E627="Street Tree for Green Factor",$F627="Retain",$H627&lt;&gt;"",$H627&lt;&gt;"Zoning: Green Factor"),
Error!$B$15,
IF(AND($E627="ECA / Shoreline Tree",$F627="Remove",$H627&lt;&gt;"",ISNA(MATCH($H627,Tables!$B$189:$B$190,0))),
Error!$B$15,
IF(AND($E627="ECA / Shoreline Tree",$F627="Retain",$H627&lt;&gt;"",ISNA(MATCH($H627,Tables!$B$184:$B$186,0))),
Error!$B$15,
IF(AND($E627="Tier 4",$F627="Remove",$H627&lt;&gt;"",ISNA(MATCH($H627,Tables!$B$171,0))),
Error!$B$15,
IF(AND($E627="Tier 4",$F627="Retain",$H627&lt;&gt;"",ISNA(MATCH($H627,Tables!$B$166:$B$168,0))),
Error!$B$15,
IF(AND($E627="Tier 3",$F627="Retain",$H627&lt;&gt;"",ISNA(MATCH($H627,Tables!$B$158:$B$160,0))),
Error!$B$15,
IF(AND($E627="Tier 3",$F627="Remove",$H627&lt;&gt;"",ISNA(MATCH($H627,Tables!$B$163,0))),
Error!$B$15,
IF(AND(OR($E627="Tier 2",$E627="Tier 2 Grove"),$F627="Remove",$H627&lt;&gt;"",ISNA(MATCH($H627,Tables!$B$153:$B$155,0))),
Error!$B$15,
IF(AND(OR($E627="Tier 2",$E627="Tier 2 Grove"),$F627="Retain",$H627&lt;&gt;"",ISNA(MATCH($H627,Tables!$B$147:$B$150,0))),
Error!$B$15,
IF(AND($E627="Tier 1",$F627="Remove",$H627&lt;&gt;"",ISNA(MATCH($H627,Tables!$B$143:$B$144,0))),
Error!$B$15,
IF(AND($E627="Tier 1",$F627="Retain",$H627&lt;&gt;"",ISNA(MATCH($H627,Tables!$B$137:$B$140,0))),
Error!$B$15,
IF(AND($E627&lt;&gt;"Tier 2",$E627&lt;&gt;"Tier 2 Grove",$E627&lt;&gt;"Tier 3",$E627&lt;&gt;"Tier 4",$H627="Zoning: Green Factor",OR($D627="",$D627&lt;6)),
Error!$B$11,
IF(AND(_xlpm.baseRow,$D627&lt;6,$E627="&lt;6in DSH for Tree Points",_xlpm.TreePoints_H=0),
Error!$B$21,
IF(AND(_xlpm.baseRow,$E627&lt;&gt;"",$D627&lt;&gt;"",$F627=""),
Error!$B$4,
IF(AND(_xlpm.baseRow,$F627="Remove",OR($E627="Tier 1",$E627="Tier 2",$E627="Tier 2 Grove"),COUNTBLANK(_xlpm.HRange)&lt;3,_xlpm.uniqueH&gt;=2),
Error!$B$48,
IF(AND(_xlpm.baseRow,$F627="Retain",OR($E627="Tier 1",$E627="Tier 2",$E627="Tier 2 Grove"),COUNTIF(_xlpm.HRange,"Tree Code: Required to Retain Tier 1-2 Tree")=0),
Error!$B$47,
IF(AND(_xlpm.baseRow,$E627&lt;&gt;"",$D627&lt;&gt;"",$F627&lt;&gt;"",COUNTBLANK(_xlpm.HRange)=4),
Error!$B$5,
IF(AND($F627="Remove",$H627&lt;&gt;"",$I627=""),
Error!$B$18,
IF(AND($E627="Tier 4",$F627="Remove",$H627="Tree Protection Code: Tier 3 or Tier 4 Allowance",$H627&lt;&gt;"",ISNA(MATCH($I627,Tables!$B$200,0))),
Error!$B$17,
IF(AND($E627="Tier 3",$F627="Remove",$H627&lt;&gt;"",$H627="Tree Protection Code: Tier 3 or Tier 4 Allowance",OR($I627="",ISNA(MATCH($I627,Tables!$B$193:$B$197,0)))),
Error!$B$17,
IF(AND(OR($E627="Tier 2",$E627="Tier 2 Grove"),$F627="Remove",$H627="Tree Protection Code: Other removal allowance or exemption",$I627&lt;&gt;"",ISNA(MATCH($I627,Tables!$B$215:$B$218,0))),
Error!$B$17,
IF(AND(OR($E627="Tier 2",$E627="Tier 2 Grove"),$F627="Remove",$H627="Tree Protection Code: Development Capacity",$I627&lt;&gt;"",ISNA(MATCH($I627,Tables!$B$193:$B$197,0))),
Error!$B$17,
IF(AND(OR($E627="Tier 2",$E627="Tier 2 Grove"),$F627="Remove",$H627="Tree Protection Code: Necessary for Construction",$I627&lt;&gt;"",ISNA(MATCH($I627,Tables!$B$193:$B$197,0))),
Error!$B$17,
IF(AND($E627="Tier 1",$F627="Remove",$H627="Tree Protection Code: Special Exception",$I627&lt;&gt;"",ISNA(MATCH($I627,Tables!$B$215:$B$218,0))),
Error!$B$17,
IF(AND($E627="Tier 1",$F627="Remove",$H627="Tree Protection Code: Other removal allowance or exemption",$I627&lt;&gt;"",ISNA(MATCH($I627,Tables!$B$215:$B$218,0))),
Error!$B$17,
IF(AND($E627="ECA / Shoreline Tree",$F627="Remove",$H627&lt;&gt;"",OR($H627="Shoreline",$H627="Environmental Critical Area (ECA)"),ISNA(MATCH($I627,Tables!$B$209:$B$212,0))),
Error!$B$17,
IF(AND(_xlpm.baseRow,$F627="Retain",$E627="ECA / Shoreline Tree",_xlpm.ECA_Short=0),
Error!$B$61,
IF(AND($F627="Remove",ISNUMBER(MATCH($E627,{"Tier 1","Tier 2","Tier 3","Tier 4","Tier 2 Grove"},0)),ISNUMBER(MATCH($I627,{"On-site replacement","Off-site replacement"},0)),$J627="",$H627&lt;&gt;""),
Error!$B$19,
IF(AND(_xlpm.baseRow,$E627&lt;&gt;"",$D627&lt;&gt;"",$F627&lt;&gt;"",COUNTBLANK($B627:$C627)&gt;0,COUNTBLANK(_xlpm.HRange)&lt;&gt;4),
Error!$B$22,
IF(AND($H627="Zoning: Tree Points",$K627&lt;&gt;"",ISNA(MATCH($K627,Tables!$B$242:$B$253,0))),
Error!$B$58,
IF(AND($H627="Zoning: Tree Points",$K627="Small",$L627&lt;&gt;"",ISNA(MATCH($L627,Tables!$C$243:$C$244,0))),
Error!$B$59,
IF(AND($H627="Zoning: Tree Points",$K627="Small/Medium",$L627&lt;&gt;"",ISNA(MATCH($L627,Tables!$C$246:$C$247,0))),
Error!$B$59,
IF(AND($H627="Zoning: Tree Points",$K627="Medium/Large",$L627&lt;&gt;"",ISNA(MATCH($L627,Tables!$C$249:$C$250,0))),
Error!$B$59,
IF(AND($H627="Zoning: Tree Points",$K627="Large",$L627&lt;&gt;"",ISNA(MATCH($L627,Tables!$C$252:$C$253,0))),
Error!$B$59,
IF(AND($F627="Retain",$H627="Zoning: Tree Points",$C627&lt;&gt;"",$D627&lt;&gt;"",OR($K627="",$L627="",$M627="")),
Error!$B$20,
""
)))))))))))))))))))))))))))))))))))))))))))))))))))))))),
Error!$B$23))</f>
        <v/>
      </c>
      <c r="O627" s="343" t="str" cm="1">
        <f t="array" aca="1" ref="O627" ca="1">IFERROR(_xlfn.LET(
    _xlpm.txt, $C627,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28" spans="1:15" x14ac:dyDescent="0.3">
      <c r="A628" s="320"/>
      <c r="B628" s="616" t="str">
        <f t="shared" ref="B628:B630" si="736">IF($B627="", "", $B627)</f>
        <v/>
      </c>
      <c r="C628" s="617" t="str">
        <f t="shared" ref="C628:C630" si="737">IF($C627="", "", $C627)</f>
        <v/>
      </c>
      <c r="D628" s="618" t="str">
        <f t="shared" ref="D628:D630" si="738">IF($D627="", "", $D627)</f>
        <v/>
      </c>
      <c r="E628" s="616" t="str">
        <f t="shared" ref="E628:E630" si="739">IF($E627="", "", $E627)</f>
        <v/>
      </c>
      <c r="F628" s="616" t="str">
        <f t="shared" ref="F628:F630" si="740">IF($F627="", "", $F627)</f>
        <v/>
      </c>
      <c r="G628" s="619" t="str">
        <f>IF(Tree_Table1[[#This Row],[Tree Status  &amp;]]="Retain", Tables!$B$237, IF(Tree_Table1[[#This Row],[Tree Status  &amp;]]="Remove", Tables!$B$238, ""))</f>
        <v/>
      </c>
      <c r="H628" s="321"/>
      <c r="I628" s="322"/>
      <c r="J628" s="453"/>
      <c r="K628" s="323" t="str">
        <f>IFERROR(
    IF(
        AND($H628="Zoning: Tree Points", NOT(ISNUMBER(SEARCH("sp.", $C628)))),
        VLOOKUP($C628, 'Tree List'!$C$3:$F$601, 4, FALSE),
        ""
    ),
"")</f>
        <v/>
      </c>
      <c r="L628" s="324" t="str" cm="1">
        <f t="array" ref="L628">IFERROR(
IF(
    AND($H628="Zoning: Tree Points", NOT(ISNUMBER(SEARCH("sp.", $C628)))),
    _xlfn.IFS(
        (COUNTIFS('Tree List'!$C$3:$C$601,$C628,'Tree List'!$D$3:$D$601,"Coniferous")
        + COUNTIFS('Tree List'!$C$3:$C$601,$C628,'Tree List'!$D$3:$D$601,"Deciduous Conifer")) &gt; 0,
            _xlfn.IFS($K628="Small",0.5,$K628="Small/Medium",1,$K628="Medium/Large",1.4,$K628="Large",1.8),
        (COUNTIFS('Tree List'!$C$3:$C$601,$C628,'Tree List'!$D$3:$D$601,"Deciduous")
        + COUNTIFS('Tree List'!$C$3:$C$601,$C628,'Tree List'!$D$3:$D$601,"Broadleaf Evergreen")) &gt; 0,
            _xlfn.IFS($K628="Small",0.4,$K628="Small/Medium",0.8,$K628="Medium/Large",1.2,$K628="Large",1.6)
    ),
    ""
),
"")</f>
        <v/>
      </c>
      <c r="M628" s="475" t="str">
        <f t="shared" si="735"/>
        <v/>
      </c>
      <c r="N628" s="346" t="str" cm="1">
        <f t="array" aca="1" ref="N62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IF(AND(_xlpm.baseRow,ISNA(MATCH($C628,'Tree List'!$C$3:$C$601,0)),SUMPRODUCT(--ISNUMBER(SEARCH(Tables2!$C$677:$C$772,$O628)))&gt;0),
Error!$B$57,
IF(AND(_xlpm.hasDM,$F628="Remove",$H628&lt;&gt;"",OR($I628="On-site replacement",$I628="Off-site replacement",$I628="Payment In Lieu")),
Error!$B$56,
IF(AND(_xlpm.hasDM,$F628="Remove",$H628&lt;&gt;"",$I628="Relocation"),
Error!$B$66,
IF(AND(OR(_xlpm.hasCN,_xlpm.hasPH,_xlpm.hasGR),$H628&lt;&gt;"",COUNTIF(Tables!$B$132:$B$134,$H628)&gt;0,$I628="N/A (No replacement required)"),
Error!$B$62,
IF(AND(_xlpm.baseRow,$E628&lt;&gt;"",ISNA(MATCH($E628,Tables!$B$225:$B$232,0))),
Error!$B$2,
IF(AND(_xlpm.baseRow,$F628&lt;&gt;"",ISNA(MATCH($F628,Tables!$B$234:$B$235,0))),
Error!$B$24,
IF(AND(_xlpm.baseRow,_xlpm.ECA_H&gt;0,_xlpm.Shore_H&gt;0),
Error!$B$16,
IF(AND(_xlpm.baseRow,$E628&lt;&gt;"",$D628=""),
Error!$B$3,
IF(AND(_xlpm.baseRow,OR($E628="Tier 3",$E628="Tier 4"),$C628&lt;&gt;"",$D628&gt;=24,COUNTIF(Tables2!$B$166:$B$674,$C628)&gt;0),
Error!$B$44,
IF(AND(_xlpm.baseRow,OR($E628="Tier 3",$E628="Tier 4"),$C628&lt;&gt;"",$D628&lt;&gt;"",COUNTIF(Tables2!$B$73:$B$152,$C628)&gt;0,
$D628&gt;=IFERROR(INDEX(Tables2!$C$73:$C$152,MATCH($C628,Tables2!$B$73:$B$152,0)),-1)),
Error!$B$44,
IF(AND(_xlpm.baseRow,OR($E628="Tier 2",$E628="Tier 2 Grove"),$C628&lt;&gt;"",$D628&gt;=12,COUNTIF(Tables2!$B$153:$B$162,$C628)&gt;0),
Error!$B$45,
IF(AND(_xlpm.baseRow,$E628="Tier 2 Grove",$D628&lt;12),
Error!$B$41,
IF(AND(_xlpm.baseRow,$E628="Tier 2",$D628&lt;5.88),
Error!$B$40,
IF(AND(_xlpm.baseRow,OR($E628="Tier 2",$E628="Tier 2 Grove"),$C628&lt;&gt;"",$D628&lt;12,$D628&gt;=6,COUNTIF(Tables2!$B$153:$B$162,$C628)&gt;0),
Error!$B$54,
IF(AND(_xlpm.baseRow,$E628="Tier 2",COUNTIF(Tables2!$B$166:$B$674,$C628)&gt;0,$D628&lt;24),
Error!$B$54,
IF(AND(_xlpm.baseRow,$E628="Tier 3",ISNA(MATCH($C628,Tables2!$B$153:$B$162,0)),OR($D628&lt;12,$D628&gt;=24)),
Error!$B$9,
IF(AND(_xlpm.baseRow,$E628="Tier 3",COUNTIF(Tables2!$B$153:$B$162,$C628)&gt;0,$D628&lt;12),
Error!$B$46,
IF(AND(_xlpm.baseRow,$E628="Tier 4",OR($D628&lt;6,$D628&gt;=12)),
Error!$B$10,
IF(AND(_xlpm.baseRow,$E628="&lt;6in DSH for Tree Points",OR($D628&gt;=6,$D628="")),
Error!$B$8,
IF(AND(_xlpm.baseRow,$E628="Street Tree for Green Factor",$F628&lt;&gt;"",$F628&lt;&gt;"Retain"),
Error!$B$14,
IF(AND($E628="&lt;6in DSH for Tree Points",$F628="Retain",$H628&lt;&gt;"",ISNA(MATCH($H628,Tables!$B$174:$B$174,0))),
Error!$B$15,
IF(AND($E628="Street Tree for Green Factor",$F628="Retain",$H628&lt;&gt;"",$H628&lt;&gt;"Zoning: Green Factor"),
Error!$B$15,
IF(AND($E628="ECA / Shoreline Tree",$F628="Remove",$H628&lt;&gt;"",ISNA(MATCH($H628,Tables!$B$189:$B$190,0))),
Error!$B$15,
IF(AND($E628="ECA / Shoreline Tree",$F628="Retain",$H628&lt;&gt;"",ISNA(MATCH($H628,Tables!$B$184:$B$186,0))),
Error!$B$15,
IF(AND($E628="Tier 4",$F628="Remove",$H628&lt;&gt;"",ISNA(MATCH($H628,Tables!$B$171,0))),
Error!$B$15,
IF(AND($E628="Tier 4",$F628="Retain",$H628&lt;&gt;"",ISNA(MATCH($H628,Tables!$B$166:$B$168,0))),
Error!$B$15,
IF(AND($E628="Tier 3",$F628="Retain",$H628&lt;&gt;"",ISNA(MATCH($H628,Tables!$B$158:$B$160,0))),
Error!$B$15,
IF(AND($E628="Tier 3",$F628="Remove",$H628&lt;&gt;"",ISNA(MATCH($H628,Tables!$B$163,0))),
Error!$B$15,
IF(AND(OR($E628="Tier 2",$E628="Tier 2 Grove"),$F628="Remove",$H628&lt;&gt;"",ISNA(MATCH($H628,Tables!$B$153:$B$155,0))),
Error!$B$15,
IF(AND(OR($E628="Tier 2",$E628="Tier 2 Grove"),$F628="Retain",$H628&lt;&gt;"",ISNA(MATCH($H628,Tables!$B$147:$B$150,0))),
Error!$B$15,
IF(AND($E628="Tier 1",$F628="Remove",$H628&lt;&gt;"",ISNA(MATCH($H628,Tables!$B$143:$B$144,0))),
Error!$B$15,
IF(AND($E628="Tier 1",$F628="Retain",$H628&lt;&gt;"",ISNA(MATCH($H628,Tables!$B$137:$B$140,0))),
Error!$B$15,
IF(AND($E628&lt;&gt;"Tier 2",$E628&lt;&gt;"Tier 2 Grove",$E628&lt;&gt;"Tier 3",$E628&lt;&gt;"Tier 4",$H628="Zoning: Green Factor",OR($D628="",$D628&lt;6)),
Error!$B$11,
IF(AND(_xlpm.baseRow,$D628&lt;6,$E628="&lt;6in DSH for Tree Points",_xlpm.TreePoints_H=0),
Error!$B$21,
IF(AND(_xlpm.baseRow,$E628&lt;&gt;"",$D628&lt;&gt;"",$F628=""),
Error!$B$4,
IF(AND(_xlpm.baseRow,$F628="Remove",OR($E628="Tier 1",$E628="Tier 2",$E628="Tier 2 Grove"),COUNTBLANK(_xlpm.HRange)&lt;3,_xlpm.uniqueH&gt;=2),
Error!$B$48,
IF(AND(_xlpm.baseRow,$F628="Retain",OR($E628="Tier 1",$E628="Tier 2",$E628="Tier 2 Grove"),COUNTIF(_xlpm.HRange,"Tree Code: Required to Retain Tier 1-2 Tree")=0),
Error!$B$47,
IF(AND(_xlpm.baseRow,$E628&lt;&gt;"",$D628&lt;&gt;"",$F628&lt;&gt;"",COUNTBLANK(_xlpm.HRange)=4),
Error!$B$5,
IF(AND($F628="Remove",$H628&lt;&gt;"",$I628=""),
Error!$B$18,
IF(AND($E628="Tier 4",$F628="Remove",$H628="Tree Protection Code: Tier 3 or Tier 4 Allowance",$H628&lt;&gt;"",ISNA(MATCH($I628,Tables!$B$200,0))),
Error!$B$17,
IF(AND($E628="Tier 3",$F628="Remove",$H628&lt;&gt;"",$H628="Tree Protection Code: Tier 3 or Tier 4 Allowance",OR($I628="",ISNA(MATCH($I628,Tables!$B$193:$B$197,0)))),
Error!$B$17,
IF(AND(OR($E628="Tier 2",$E628="Tier 2 Grove"),$F628="Remove",$H628="Tree Protection Code: Other removal allowance or exemption",$I628&lt;&gt;"",ISNA(MATCH($I628,Tables!$B$215:$B$218,0))),
Error!$B$17,
IF(AND(OR($E628="Tier 2",$E628="Tier 2 Grove"),$F628="Remove",$H628="Tree Protection Code: Development Capacity",$I628&lt;&gt;"",ISNA(MATCH($I628,Tables!$B$193:$B$197,0))),
Error!$B$17,
IF(AND(OR($E628="Tier 2",$E628="Tier 2 Grove"),$F628="Remove",$H628="Tree Protection Code: Necessary for Construction",$I628&lt;&gt;"",ISNA(MATCH($I628,Tables!$B$193:$B$197,0))),
Error!$B$17,
IF(AND($E628="Tier 1",$F628="Remove",$H628="Tree Protection Code: Special Exception",$I628&lt;&gt;"",ISNA(MATCH($I628,Tables!$B$215:$B$218,0))),
Error!$B$17,
IF(AND($E628="Tier 1",$F628="Remove",$H628="Tree Protection Code: Other removal allowance or exemption",$I628&lt;&gt;"",ISNA(MATCH($I628,Tables!$B$215:$B$218,0))),
Error!$B$17,
IF(AND($E628="ECA / Shoreline Tree",$F628="Remove",$H628&lt;&gt;"",OR($H628="Shoreline",$H628="Environmental Critical Area (ECA)"),ISNA(MATCH($I628,Tables!$B$209:$B$212,0))),
Error!$B$17,
IF(AND(_xlpm.baseRow,$F628="Retain",$E628="ECA / Shoreline Tree",_xlpm.ECA_Short=0),
Error!$B$61,
IF(AND($F628="Remove",ISNUMBER(MATCH($E628,{"Tier 1","Tier 2","Tier 3","Tier 4","Tier 2 Grove"},0)),ISNUMBER(MATCH($I628,{"On-site replacement","Off-site replacement"},0)),$J628="",$H628&lt;&gt;""),
Error!$B$19,
IF(AND(_xlpm.baseRow,$E628&lt;&gt;"",$D628&lt;&gt;"",$F628&lt;&gt;"",COUNTBLANK($B628:$C628)&gt;0,COUNTBLANK(_xlpm.HRange)&lt;&gt;4),
Error!$B$22,
IF(AND($H628="Zoning: Tree Points",$K628&lt;&gt;"",ISNA(MATCH($K628,Tables!$B$242:$B$253,0))),
Error!$B$58,
IF(AND($H628="Zoning: Tree Points",$K628="Small",$L628&lt;&gt;"",ISNA(MATCH($L628,Tables!$C$243:$C$244,0))),
Error!$B$59,
IF(AND($H628="Zoning: Tree Points",$K628="Small/Medium",$L628&lt;&gt;"",ISNA(MATCH($L628,Tables!$C$246:$C$247,0))),
Error!$B$59,
IF(AND($H628="Zoning: Tree Points",$K628="Medium/Large",$L628&lt;&gt;"",ISNA(MATCH($L628,Tables!$C$249:$C$250,0))),
Error!$B$59,
IF(AND($H628="Zoning: Tree Points",$K628="Large",$L628&lt;&gt;"",ISNA(MATCH($L628,Tables!$C$252:$C$253,0))),
Error!$B$59,
IF(AND($F628="Retain",$H628="Zoning: Tree Points",$C628&lt;&gt;"",$D628&lt;&gt;"",OR($K628="",$L628="",$M628="")),
Error!$B$20,
""
)))))))))))))))))))))))))))))))))))))))))))))))))))))))),
Error!$B$23))</f>
        <v/>
      </c>
      <c r="O628" s="343" t="str" cm="1">
        <f t="array" aca="1" ref="O628" ca="1">IFERROR(_xlfn.LET(
    _xlpm.txt, $C628,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29" spans="1:15" x14ac:dyDescent="0.3">
      <c r="A629" s="320"/>
      <c r="B629" s="616" t="str">
        <f t="shared" si="736"/>
        <v/>
      </c>
      <c r="C629" s="617" t="str">
        <f t="shared" si="737"/>
        <v/>
      </c>
      <c r="D629" s="618" t="str">
        <f t="shared" si="738"/>
        <v/>
      </c>
      <c r="E629" s="616" t="str">
        <f t="shared" si="739"/>
        <v/>
      </c>
      <c r="F629" s="616" t="str">
        <f t="shared" si="740"/>
        <v/>
      </c>
      <c r="G629" s="619" t="str">
        <f>IF(Tree_Table1[[#This Row],[Tree Status  &amp;]]="Retain", Tables!$B$237, IF(Tree_Table1[[#This Row],[Tree Status  &amp;]]="Remove", Tables!$B$238, ""))</f>
        <v/>
      </c>
      <c r="H629" s="321"/>
      <c r="I629" s="322"/>
      <c r="J629" s="453"/>
      <c r="K629" s="323" t="str">
        <f>IFERROR(
    IF(
        AND($H629="Zoning: Tree Points", NOT(ISNUMBER(SEARCH("sp.", $C629)))),
        VLOOKUP($C629, 'Tree List'!$C$3:$F$601, 4, FALSE),
        ""
    ),
"")</f>
        <v/>
      </c>
      <c r="L629" s="324" t="str" cm="1">
        <f t="array" ref="L629">IFERROR(
IF(
    AND($H629="Zoning: Tree Points", NOT(ISNUMBER(SEARCH("sp.", $C629)))),
    _xlfn.IFS(
        (COUNTIFS('Tree List'!$C$3:$C$601,$C629,'Tree List'!$D$3:$D$601,"Coniferous")
        + COUNTIFS('Tree List'!$C$3:$C$601,$C629,'Tree List'!$D$3:$D$601,"Deciduous Conifer")) &gt; 0,
            _xlfn.IFS($K629="Small",0.5,$K629="Small/Medium",1,$K629="Medium/Large",1.4,$K629="Large",1.8),
        (COUNTIFS('Tree List'!$C$3:$C$601,$C629,'Tree List'!$D$3:$D$601,"Deciduous")
        + COUNTIFS('Tree List'!$C$3:$C$601,$C629,'Tree List'!$D$3:$D$601,"Broadleaf Evergreen")) &gt; 0,
            _xlfn.IFS($K629="Small",0.4,$K629="Small/Medium",0.8,$K629="Medium/Large",1.2,$K629="Large",1.6)
    ),
    ""
),
"")</f>
        <v/>
      </c>
      <c r="M629" s="475" t="str">
        <f t="shared" si="735"/>
        <v/>
      </c>
      <c r="N629" s="346" t="str" cm="1">
        <f t="array" aca="1" ref="N62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IF(AND(_xlpm.baseRow,ISNA(MATCH($C629,'Tree List'!$C$3:$C$601,0)),SUMPRODUCT(--ISNUMBER(SEARCH(Tables2!$C$677:$C$772,$O629)))&gt;0),
Error!$B$57,
IF(AND(_xlpm.hasDM,$F629="Remove",$H629&lt;&gt;"",OR($I629="On-site replacement",$I629="Off-site replacement",$I629="Payment In Lieu")),
Error!$B$56,
IF(AND(_xlpm.hasDM,$F629="Remove",$H629&lt;&gt;"",$I629="Relocation"),
Error!$B$66,
IF(AND(OR(_xlpm.hasCN,_xlpm.hasPH,_xlpm.hasGR),$H629&lt;&gt;"",COUNTIF(Tables!$B$132:$B$134,$H629)&gt;0,$I629="N/A (No replacement required)"),
Error!$B$62,
IF(AND(_xlpm.baseRow,$E629&lt;&gt;"",ISNA(MATCH($E629,Tables!$B$225:$B$232,0))),
Error!$B$2,
IF(AND(_xlpm.baseRow,$F629&lt;&gt;"",ISNA(MATCH($F629,Tables!$B$234:$B$235,0))),
Error!$B$24,
IF(AND(_xlpm.baseRow,_xlpm.ECA_H&gt;0,_xlpm.Shore_H&gt;0),
Error!$B$16,
IF(AND(_xlpm.baseRow,$E629&lt;&gt;"",$D629=""),
Error!$B$3,
IF(AND(_xlpm.baseRow,OR($E629="Tier 3",$E629="Tier 4"),$C629&lt;&gt;"",$D629&gt;=24,COUNTIF(Tables2!$B$166:$B$674,$C629)&gt;0),
Error!$B$44,
IF(AND(_xlpm.baseRow,OR($E629="Tier 3",$E629="Tier 4"),$C629&lt;&gt;"",$D629&lt;&gt;"",COUNTIF(Tables2!$B$73:$B$152,$C629)&gt;0,
$D629&gt;=IFERROR(INDEX(Tables2!$C$73:$C$152,MATCH($C629,Tables2!$B$73:$B$152,0)),-1)),
Error!$B$44,
IF(AND(_xlpm.baseRow,OR($E629="Tier 2",$E629="Tier 2 Grove"),$C629&lt;&gt;"",$D629&gt;=12,COUNTIF(Tables2!$B$153:$B$162,$C629)&gt;0),
Error!$B$45,
IF(AND(_xlpm.baseRow,$E629="Tier 2 Grove",$D629&lt;12),
Error!$B$41,
IF(AND(_xlpm.baseRow,$E629="Tier 2",$D629&lt;5.88),
Error!$B$40,
IF(AND(_xlpm.baseRow,OR($E629="Tier 2",$E629="Tier 2 Grove"),$C629&lt;&gt;"",$D629&lt;12,$D629&gt;=6,COUNTIF(Tables2!$B$153:$B$162,$C629)&gt;0),
Error!$B$54,
IF(AND(_xlpm.baseRow,$E629="Tier 2",COUNTIF(Tables2!$B$166:$B$674,$C629)&gt;0,$D629&lt;24),
Error!$B$54,
IF(AND(_xlpm.baseRow,$E629="Tier 3",ISNA(MATCH($C629,Tables2!$B$153:$B$162,0)),OR($D629&lt;12,$D629&gt;=24)),
Error!$B$9,
IF(AND(_xlpm.baseRow,$E629="Tier 3",COUNTIF(Tables2!$B$153:$B$162,$C629)&gt;0,$D629&lt;12),
Error!$B$46,
IF(AND(_xlpm.baseRow,$E629="Tier 4",OR($D629&lt;6,$D629&gt;=12)),
Error!$B$10,
IF(AND(_xlpm.baseRow,$E629="&lt;6in DSH for Tree Points",OR($D629&gt;=6,$D629="")),
Error!$B$8,
IF(AND(_xlpm.baseRow,$E629="Street Tree for Green Factor",$F629&lt;&gt;"",$F629&lt;&gt;"Retain"),
Error!$B$14,
IF(AND($E629="&lt;6in DSH for Tree Points",$F629="Retain",$H629&lt;&gt;"",ISNA(MATCH($H629,Tables!$B$174:$B$174,0))),
Error!$B$15,
IF(AND($E629="Street Tree for Green Factor",$F629="Retain",$H629&lt;&gt;"",$H629&lt;&gt;"Zoning: Green Factor"),
Error!$B$15,
IF(AND($E629="ECA / Shoreline Tree",$F629="Remove",$H629&lt;&gt;"",ISNA(MATCH($H629,Tables!$B$189:$B$190,0))),
Error!$B$15,
IF(AND($E629="ECA / Shoreline Tree",$F629="Retain",$H629&lt;&gt;"",ISNA(MATCH($H629,Tables!$B$184:$B$186,0))),
Error!$B$15,
IF(AND($E629="Tier 4",$F629="Remove",$H629&lt;&gt;"",ISNA(MATCH($H629,Tables!$B$171,0))),
Error!$B$15,
IF(AND($E629="Tier 4",$F629="Retain",$H629&lt;&gt;"",ISNA(MATCH($H629,Tables!$B$166:$B$168,0))),
Error!$B$15,
IF(AND($E629="Tier 3",$F629="Retain",$H629&lt;&gt;"",ISNA(MATCH($H629,Tables!$B$158:$B$160,0))),
Error!$B$15,
IF(AND($E629="Tier 3",$F629="Remove",$H629&lt;&gt;"",ISNA(MATCH($H629,Tables!$B$163,0))),
Error!$B$15,
IF(AND(OR($E629="Tier 2",$E629="Tier 2 Grove"),$F629="Remove",$H629&lt;&gt;"",ISNA(MATCH($H629,Tables!$B$153:$B$155,0))),
Error!$B$15,
IF(AND(OR($E629="Tier 2",$E629="Tier 2 Grove"),$F629="Retain",$H629&lt;&gt;"",ISNA(MATCH($H629,Tables!$B$147:$B$150,0))),
Error!$B$15,
IF(AND($E629="Tier 1",$F629="Remove",$H629&lt;&gt;"",ISNA(MATCH($H629,Tables!$B$143:$B$144,0))),
Error!$B$15,
IF(AND($E629="Tier 1",$F629="Retain",$H629&lt;&gt;"",ISNA(MATCH($H629,Tables!$B$137:$B$140,0))),
Error!$B$15,
IF(AND($E629&lt;&gt;"Tier 2",$E629&lt;&gt;"Tier 2 Grove",$E629&lt;&gt;"Tier 3",$E629&lt;&gt;"Tier 4",$H629="Zoning: Green Factor",OR($D629="",$D629&lt;6)),
Error!$B$11,
IF(AND(_xlpm.baseRow,$D629&lt;6,$E629="&lt;6in DSH for Tree Points",_xlpm.TreePoints_H=0),
Error!$B$21,
IF(AND(_xlpm.baseRow,$E629&lt;&gt;"",$D629&lt;&gt;"",$F629=""),
Error!$B$4,
IF(AND(_xlpm.baseRow,$F629="Remove",OR($E629="Tier 1",$E629="Tier 2",$E629="Tier 2 Grove"),COUNTBLANK(_xlpm.HRange)&lt;3,_xlpm.uniqueH&gt;=2),
Error!$B$48,
IF(AND(_xlpm.baseRow,$F629="Retain",OR($E629="Tier 1",$E629="Tier 2",$E629="Tier 2 Grove"),COUNTIF(_xlpm.HRange,"Tree Code: Required to Retain Tier 1-2 Tree")=0),
Error!$B$47,
IF(AND(_xlpm.baseRow,$E629&lt;&gt;"",$D629&lt;&gt;"",$F629&lt;&gt;"",COUNTBLANK(_xlpm.HRange)=4),
Error!$B$5,
IF(AND($F629="Remove",$H629&lt;&gt;"",$I629=""),
Error!$B$18,
IF(AND($E629="Tier 4",$F629="Remove",$H629="Tree Protection Code: Tier 3 or Tier 4 Allowance",$H629&lt;&gt;"",ISNA(MATCH($I629,Tables!$B$200,0))),
Error!$B$17,
IF(AND($E629="Tier 3",$F629="Remove",$H629&lt;&gt;"",$H629="Tree Protection Code: Tier 3 or Tier 4 Allowance",OR($I629="",ISNA(MATCH($I629,Tables!$B$193:$B$197,0)))),
Error!$B$17,
IF(AND(OR($E629="Tier 2",$E629="Tier 2 Grove"),$F629="Remove",$H629="Tree Protection Code: Other removal allowance or exemption",$I629&lt;&gt;"",ISNA(MATCH($I629,Tables!$B$215:$B$218,0))),
Error!$B$17,
IF(AND(OR($E629="Tier 2",$E629="Tier 2 Grove"),$F629="Remove",$H629="Tree Protection Code: Development Capacity",$I629&lt;&gt;"",ISNA(MATCH($I629,Tables!$B$193:$B$197,0))),
Error!$B$17,
IF(AND(OR($E629="Tier 2",$E629="Tier 2 Grove"),$F629="Remove",$H629="Tree Protection Code: Necessary for Construction",$I629&lt;&gt;"",ISNA(MATCH($I629,Tables!$B$193:$B$197,0))),
Error!$B$17,
IF(AND($E629="Tier 1",$F629="Remove",$H629="Tree Protection Code: Special Exception",$I629&lt;&gt;"",ISNA(MATCH($I629,Tables!$B$215:$B$218,0))),
Error!$B$17,
IF(AND($E629="Tier 1",$F629="Remove",$H629="Tree Protection Code: Other removal allowance or exemption",$I629&lt;&gt;"",ISNA(MATCH($I629,Tables!$B$215:$B$218,0))),
Error!$B$17,
IF(AND($E629="ECA / Shoreline Tree",$F629="Remove",$H629&lt;&gt;"",OR($H629="Shoreline",$H629="Environmental Critical Area (ECA)"),ISNA(MATCH($I629,Tables!$B$209:$B$212,0))),
Error!$B$17,
IF(AND(_xlpm.baseRow,$F629="Retain",$E629="ECA / Shoreline Tree",_xlpm.ECA_Short=0),
Error!$B$61,
IF(AND($F629="Remove",ISNUMBER(MATCH($E629,{"Tier 1","Tier 2","Tier 3","Tier 4","Tier 2 Grove"},0)),ISNUMBER(MATCH($I629,{"On-site replacement","Off-site replacement"},0)),$J629="",$H629&lt;&gt;""),
Error!$B$19,
IF(AND(_xlpm.baseRow,$E629&lt;&gt;"",$D629&lt;&gt;"",$F629&lt;&gt;"",COUNTBLANK($B629:$C629)&gt;0,COUNTBLANK(_xlpm.HRange)&lt;&gt;4),
Error!$B$22,
IF(AND($H629="Zoning: Tree Points",$K629&lt;&gt;"",ISNA(MATCH($K629,Tables!$B$242:$B$253,0))),
Error!$B$58,
IF(AND($H629="Zoning: Tree Points",$K629="Small",$L629&lt;&gt;"",ISNA(MATCH($L629,Tables!$C$243:$C$244,0))),
Error!$B$59,
IF(AND($H629="Zoning: Tree Points",$K629="Small/Medium",$L629&lt;&gt;"",ISNA(MATCH($L629,Tables!$C$246:$C$247,0))),
Error!$B$59,
IF(AND($H629="Zoning: Tree Points",$K629="Medium/Large",$L629&lt;&gt;"",ISNA(MATCH($L629,Tables!$C$249:$C$250,0))),
Error!$B$59,
IF(AND($H629="Zoning: Tree Points",$K629="Large",$L629&lt;&gt;"",ISNA(MATCH($L629,Tables!$C$252:$C$253,0))),
Error!$B$59,
IF(AND($F629="Retain",$H629="Zoning: Tree Points",$C629&lt;&gt;"",$D629&lt;&gt;"",OR($K629="",$L629="",$M629="")),
Error!$B$20,
""
)))))))))))))))))))))))))))))))))))))))))))))))))))))))),
Error!$B$23))</f>
        <v/>
      </c>
      <c r="O629" s="343" t="str" cm="1">
        <f t="array" aca="1" ref="O629" ca="1">IFERROR(_xlfn.LET(
    _xlpm.txt, $C629,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30" spans="1:15" ht="15" thickBot="1" x14ac:dyDescent="0.35">
      <c r="A630" s="331"/>
      <c r="B630" s="616" t="str">
        <f t="shared" si="736"/>
        <v/>
      </c>
      <c r="C630" s="617" t="str">
        <f t="shared" si="737"/>
        <v/>
      </c>
      <c r="D630" s="618" t="str">
        <f t="shared" si="738"/>
        <v/>
      </c>
      <c r="E630" s="616" t="str">
        <f t="shared" si="739"/>
        <v/>
      </c>
      <c r="F630" s="616" t="str">
        <f t="shared" si="740"/>
        <v/>
      </c>
      <c r="G630" s="619" t="str">
        <f>IF(Tree_Table1[[#This Row],[Tree Status  &amp;]]="Retain", Tables!$B$237, IF(Tree_Table1[[#This Row],[Tree Status  &amp;]]="Remove", Tables!$B$238, ""))</f>
        <v/>
      </c>
      <c r="H630" s="329"/>
      <c r="I630" s="330"/>
      <c r="J630" s="455"/>
      <c r="K630" s="327" t="str">
        <f>IFERROR(
    IF(
        AND($H630="Zoning: Tree Points", NOT(ISNUMBER(SEARCH("sp.", $C630)))),
        VLOOKUP($C630, 'Tree List'!$C$3:$F$601, 4, FALSE),
        ""
    ),
"")</f>
        <v/>
      </c>
      <c r="L630" s="328" t="str" cm="1">
        <f t="array" ref="L630">IFERROR(
IF(
    AND($H630="Zoning: Tree Points", NOT(ISNUMBER(SEARCH("sp.", $C630)))),
    _xlfn.IFS(
        (COUNTIFS('Tree List'!$C$3:$C$601,$C630,'Tree List'!$D$3:$D$601,"Coniferous")
        + COUNTIFS('Tree List'!$C$3:$C$601,$C630,'Tree List'!$D$3:$D$601,"Deciduous Conifer")) &gt; 0,
            _xlfn.IFS($K630="Small",0.5,$K630="Small/Medium",1,$K630="Medium/Large",1.4,$K630="Large",1.8),
        (COUNTIFS('Tree List'!$C$3:$C$601,$C630,'Tree List'!$D$3:$D$601,"Deciduous")
        + COUNTIFS('Tree List'!$C$3:$C$601,$C630,'Tree List'!$D$3:$D$601,"Broadleaf Evergreen")) &gt; 0,
            _xlfn.IFS($K630="Small",0.4,$K630="Small/Medium",0.8,$K630="Medium/Large",1.2,$K630="Large",1.6)
    ),
    ""
),
"")</f>
        <v/>
      </c>
      <c r="M630" s="476" t="str">
        <f t="shared" si="735"/>
        <v/>
      </c>
      <c r="N630" s="347" t="str" cm="1">
        <f t="array" aca="1" ref="N63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IF(AND(_xlpm.baseRow,ISNA(MATCH($C630,'Tree List'!$C$3:$C$601,0)),SUMPRODUCT(--ISNUMBER(SEARCH(Tables2!$C$677:$C$772,$O630)))&gt;0),
Error!$B$57,
IF(AND(_xlpm.hasDM,$F630="Remove",$H630&lt;&gt;"",OR($I630="On-site replacement",$I630="Off-site replacement",$I630="Payment In Lieu")),
Error!$B$56,
IF(AND(_xlpm.hasDM,$F630="Remove",$H630&lt;&gt;"",$I630="Relocation"),
Error!$B$66,
IF(AND(OR(_xlpm.hasCN,_xlpm.hasPH,_xlpm.hasGR),$H630&lt;&gt;"",COUNTIF(Tables!$B$132:$B$134,$H630)&gt;0,$I630="N/A (No replacement required)"),
Error!$B$62,
IF(AND(_xlpm.baseRow,$E630&lt;&gt;"",ISNA(MATCH($E630,Tables!$B$225:$B$232,0))),
Error!$B$2,
IF(AND(_xlpm.baseRow,$F630&lt;&gt;"",ISNA(MATCH($F630,Tables!$B$234:$B$235,0))),
Error!$B$24,
IF(AND(_xlpm.baseRow,_xlpm.ECA_H&gt;0,_xlpm.Shore_H&gt;0),
Error!$B$16,
IF(AND(_xlpm.baseRow,$E630&lt;&gt;"",$D630=""),
Error!$B$3,
IF(AND(_xlpm.baseRow,OR($E630="Tier 3",$E630="Tier 4"),$C630&lt;&gt;"",$D630&gt;=24,COUNTIF(Tables2!$B$166:$B$674,$C630)&gt;0),
Error!$B$44,
IF(AND(_xlpm.baseRow,OR($E630="Tier 3",$E630="Tier 4"),$C630&lt;&gt;"",$D630&lt;&gt;"",COUNTIF(Tables2!$B$73:$B$152,$C630)&gt;0,
$D630&gt;=IFERROR(INDEX(Tables2!$C$73:$C$152,MATCH($C630,Tables2!$B$73:$B$152,0)),-1)),
Error!$B$44,
IF(AND(_xlpm.baseRow,OR($E630="Tier 2",$E630="Tier 2 Grove"),$C630&lt;&gt;"",$D630&gt;=12,COUNTIF(Tables2!$B$153:$B$162,$C630)&gt;0),
Error!$B$45,
IF(AND(_xlpm.baseRow,$E630="Tier 2 Grove",$D630&lt;12),
Error!$B$41,
IF(AND(_xlpm.baseRow,$E630="Tier 2",$D630&lt;5.88),
Error!$B$40,
IF(AND(_xlpm.baseRow,OR($E630="Tier 2",$E630="Tier 2 Grove"),$C630&lt;&gt;"",$D630&lt;12,$D630&gt;=6,COUNTIF(Tables2!$B$153:$B$162,$C630)&gt;0),
Error!$B$54,
IF(AND(_xlpm.baseRow,$E630="Tier 2",COUNTIF(Tables2!$B$166:$B$674,$C630)&gt;0,$D630&lt;24),
Error!$B$54,
IF(AND(_xlpm.baseRow,$E630="Tier 3",ISNA(MATCH($C630,Tables2!$B$153:$B$162,0)),OR($D630&lt;12,$D630&gt;=24)),
Error!$B$9,
IF(AND(_xlpm.baseRow,$E630="Tier 3",COUNTIF(Tables2!$B$153:$B$162,$C630)&gt;0,$D630&lt;12),
Error!$B$46,
IF(AND(_xlpm.baseRow,$E630="Tier 4",OR($D630&lt;6,$D630&gt;=12)),
Error!$B$10,
IF(AND(_xlpm.baseRow,$E630="&lt;6in DSH for Tree Points",OR($D630&gt;=6,$D630="")),
Error!$B$8,
IF(AND(_xlpm.baseRow,$E630="Street Tree for Green Factor",$F630&lt;&gt;"",$F630&lt;&gt;"Retain"),
Error!$B$14,
IF(AND($E630="&lt;6in DSH for Tree Points",$F630="Retain",$H630&lt;&gt;"",ISNA(MATCH($H630,Tables!$B$174:$B$174,0))),
Error!$B$15,
IF(AND($E630="Street Tree for Green Factor",$F630="Retain",$H630&lt;&gt;"",$H630&lt;&gt;"Zoning: Green Factor"),
Error!$B$15,
IF(AND($E630="ECA / Shoreline Tree",$F630="Remove",$H630&lt;&gt;"",ISNA(MATCH($H630,Tables!$B$189:$B$190,0))),
Error!$B$15,
IF(AND($E630="ECA / Shoreline Tree",$F630="Retain",$H630&lt;&gt;"",ISNA(MATCH($H630,Tables!$B$184:$B$186,0))),
Error!$B$15,
IF(AND($E630="Tier 4",$F630="Remove",$H630&lt;&gt;"",ISNA(MATCH($H630,Tables!$B$171,0))),
Error!$B$15,
IF(AND($E630="Tier 4",$F630="Retain",$H630&lt;&gt;"",ISNA(MATCH($H630,Tables!$B$166:$B$168,0))),
Error!$B$15,
IF(AND($E630="Tier 3",$F630="Retain",$H630&lt;&gt;"",ISNA(MATCH($H630,Tables!$B$158:$B$160,0))),
Error!$B$15,
IF(AND($E630="Tier 3",$F630="Remove",$H630&lt;&gt;"",ISNA(MATCH($H630,Tables!$B$163,0))),
Error!$B$15,
IF(AND(OR($E630="Tier 2",$E630="Tier 2 Grove"),$F630="Remove",$H630&lt;&gt;"",ISNA(MATCH($H630,Tables!$B$153:$B$155,0))),
Error!$B$15,
IF(AND(OR($E630="Tier 2",$E630="Tier 2 Grove"),$F630="Retain",$H630&lt;&gt;"",ISNA(MATCH($H630,Tables!$B$147:$B$150,0))),
Error!$B$15,
IF(AND($E630="Tier 1",$F630="Remove",$H630&lt;&gt;"",ISNA(MATCH($H630,Tables!$B$143:$B$144,0))),
Error!$B$15,
IF(AND($E630="Tier 1",$F630="Retain",$H630&lt;&gt;"",ISNA(MATCH($H630,Tables!$B$137:$B$140,0))),
Error!$B$15,
IF(AND($E630&lt;&gt;"Tier 2",$E630&lt;&gt;"Tier 2 Grove",$E630&lt;&gt;"Tier 3",$E630&lt;&gt;"Tier 4",$H630="Zoning: Green Factor",OR($D630="",$D630&lt;6)),
Error!$B$11,
IF(AND(_xlpm.baseRow,$D630&lt;6,$E630="&lt;6in DSH for Tree Points",_xlpm.TreePoints_H=0),
Error!$B$21,
IF(AND(_xlpm.baseRow,$E630&lt;&gt;"",$D630&lt;&gt;"",$F630=""),
Error!$B$4,
IF(AND(_xlpm.baseRow,$F630="Remove",OR($E630="Tier 1",$E630="Tier 2",$E630="Tier 2 Grove"),COUNTBLANK(_xlpm.HRange)&lt;3,_xlpm.uniqueH&gt;=2),
Error!$B$48,
IF(AND(_xlpm.baseRow,$F630="Retain",OR($E630="Tier 1",$E630="Tier 2",$E630="Tier 2 Grove"),COUNTIF(_xlpm.HRange,"Tree Code: Required to Retain Tier 1-2 Tree")=0),
Error!$B$47,
IF(AND(_xlpm.baseRow,$E630&lt;&gt;"",$D630&lt;&gt;"",$F630&lt;&gt;"",COUNTBLANK(_xlpm.HRange)=4),
Error!$B$5,
IF(AND($F630="Remove",$H630&lt;&gt;"",$I630=""),
Error!$B$18,
IF(AND($E630="Tier 4",$F630="Remove",$H630="Tree Protection Code: Tier 3 or Tier 4 Allowance",$H630&lt;&gt;"",ISNA(MATCH($I630,Tables!$B$200,0))),
Error!$B$17,
IF(AND($E630="Tier 3",$F630="Remove",$H630&lt;&gt;"",$H630="Tree Protection Code: Tier 3 or Tier 4 Allowance",OR($I630="",ISNA(MATCH($I630,Tables!$B$193:$B$197,0)))),
Error!$B$17,
IF(AND(OR($E630="Tier 2",$E630="Tier 2 Grove"),$F630="Remove",$H630="Tree Protection Code: Other removal allowance or exemption",$I630&lt;&gt;"",ISNA(MATCH($I630,Tables!$B$215:$B$218,0))),
Error!$B$17,
IF(AND(OR($E630="Tier 2",$E630="Tier 2 Grove"),$F630="Remove",$H630="Tree Protection Code: Development Capacity",$I630&lt;&gt;"",ISNA(MATCH($I630,Tables!$B$193:$B$197,0))),
Error!$B$17,
IF(AND(OR($E630="Tier 2",$E630="Tier 2 Grove"),$F630="Remove",$H630="Tree Protection Code: Necessary for Construction",$I630&lt;&gt;"",ISNA(MATCH($I630,Tables!$B$193:$B$197,0))),
Error!$B$17,
IF(AND($E630="Tier 1",$F630="Remove",$H630="Tree Protection Code: Special Exception",$I630&lt;&gt;"",ISNA(MATCH($I630,Tables!$B$215:$B$218,0))),
Error!$B$17,
IF(AND($E630="Tier 1",$F630="Remove",$H630="Tree Protection Code: Other removal allowance or exemption",$I630&lt;&gt;"",ISNA(MATCH($I630,Tables!$B$215:$B$218,0))),
Error!$B$17,
IF(AND($E630="ECA / Shoreline Tree",$F630="Remove",$H630&lt;&gt;"",OR($H630="Shoreline",$H630="Environmental Critical Area (ECA)"),ISNA(MATCH($I630,Tables!$B$209:$B$212,0))),
Error!$B$17,
IF(AND(_xlpm.baseRow,$F630="Retain",$E630="ECA / Shoreline Tree",_xlpm.ECA_Short=0),
Error!$B$61,
IF(AND($F630="Remove",ISNUMBER(MATCH($E630,{"Tier 1","Tier 2","Tier 3","Tier 4","Tier 2 Grove"},0)),ISNUMBER(MATCH($I630,{"On-site replacement","Off-site replacement"},0)),$J630="",$H630&lt;&gt;""),
Error!$B$19,
IF(AND(_xlpm.baseRow,$E630&lt;&gt;"",$D630&lt;&gt;"",$F630&lt;&gt;"",COUNTBLANK($B630:$C630)&gt;0,COUNTBLANK(_xlpm.HRange)&lt;&gt;4),
Error!$B$22,
IF(AND($H630="Zoning: Tree Points",$K630&lt;&gt;"",ISNA(MATCH($K630,Tables!$B$242:$B$253,0))),
Error!$B$58,
IF(AND($H630="Zoning: Tree Points",$K630="Small",$L630&lt;&gt;"",ISNA(MATCH($L630,Tables!$C$243:$C$244,0))),
Error!$B$59,
IF(AND($H630="Zoning: Tree Points",$K630="Small/Medium",$L630&lt;&gt;"",ISNA(MATCH($L630,Tables!$C$246:$C$247,0))),
Error!$B$59,
IF(AND($H630="Zoning: Tree Points",$K630="Medium/Large",$L630&lt;&gt;"",ISNA(MATCH($L630,Tables!$C$249:$C$250,0))),
Error!$B$59,
IF(AND($H630="Zoning: Tree Points",$K630="Large",$L630&lt;&gt;"",ISNA(MATCH($L630,Tables!$C$252:$C$253,0))),
Error!$B$59,
IF(AND($F630="Retain",$H630="Zoning: Tree Points",$C630&lt;&gt;"",$D630&lt;&gt;"",OR($K630="",$L630="",$M630="")),
Error!$B$20,
""
)))))))))))))))))))))))))))))))))))))))))))))))))))))))),
Error!$B$23))</f>
        <v/>
      </c>
      <c r="O630" s="343" t="str" cm="1">
        <f t="array" aca="1" ref="O630" ca="1">IFERROR(_xlfn.LET(
    _xlpm.txt, $C630,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31" spans="1:15" ht="15" thickBot="1" x14ac:dyDescent="0.35">
      <c r="A631" s="311">
        <v>156</v>
      </c>
      <c r="B631" s="312"/>
      <c r="C631" s="313"/>
      <c r="D631" s="478"/>
      <c r="E631" s="314"/>
      <c r="F631" s="314"/>
      <c r="G631" s="315" t="str">
        <f>IF(Tree_Table1[[#This Row],[Tree Status  &amp;]]="Retain", Tables!$B$237, IF(Tree_Table1[[#This Row],[Tree Status  &amp;]]="Remove", Tables!$B$238, ""))</f>
        <v/>
      </c>
      <c r="H631" s="316"/>
      <c r="I631" s="317"/>
      <c r="J631" s="452"/>
      <c r="K631" s="318" t="str">
        <f>IFERROR(
    IF(
        AND($H631="Zoning: Tree Points", NOT(ISNUMBER(SEARCH("sp.", $C631)))),
        VLOOKUP($C631, 'Tree List'!$C$3:$F$601, 4, FALSE),
        ""
    ),
"")</f>
        <v/>
      </c>
      <c r="L631" s="319" t="str" cm="1">
        <f t="array" ref="L631">IFERROR(
IF(
    AND($H631="Zoning: Tree Points", NOT(ISNUMBER(SEARCH("sp.", $C631)))),
    _xlfn.IFS(
        (COUNTIFS('Tree List'!$C$3:$C$601,$C631,'Tree List'!$D$3:$D$601,"Coniferous")
        + COUNTIFS('Tree List'!$C$3:$C$601,$C631,'Tree List'!$D$3:$D$601,"Deciduous Conifer")) &gt; 0,
            _xlfn.IFS($K631="Small",0.5,$K631="Small/Medium",1,$K631="Medium/Large",1.4,$K631="Large",1.8),
        (COUNTIFS('Tree List'!$C$3:$C$601,$C631,'Tree List'!$D$3:$D$601,"Deciduous")
        + COUNTIFS('Tree List'!$C$3:$C$601,$C631,'Tree List'!$D$3:$D$601,"Broadleaf Evergreen")) &gt; 0,
            _xlfn.IFS($K631="Small",0.4,$K631="Small/Medium",0.8,$K631="Medium/Large",1.2,$K631="Large",1.6)
    ),
    ""
),
"")</f>
        <v/>
      </c>
      <c r="M631" s="474" t="str">
        <f t="shared" si="735"/>
        <v/>
      </c>
      <c r="N631" s="620" t="str" cm="1">
        <f t="array" aca="1" ref="N63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IF(AND(_xlpm.baseRow,ISNA(MATCH($C631,'Tree List'!$C$3:$C$601,0)),SUMPRODUCT(--ISNUMBER(SEARCH(Tables2!$C$677:$C$772,$O631)))&gt;0),
Error!$B$57,
IF(AND(_xlpm.hasDM,$F631="Remove",$H631&lt;&gt;"",OR($I631="On-site replacement",$I631="Off-site replacement",$I631="Payment In Lieu")),
Error!$B$56,
IF(AND(_xlpm.hasDM,$F631="Remove",$H631&lt;&gt;"",$I631="Relocation"),
Error!$B$66,
IF(AND(OR(_xlpm.hasCN,_xlpm.hasPH,_xlpm.hasGR),$H631&lt;&gt;"",COUNTIF(Tables!$B$132:$B$134,$H631)&gt;0,$I631="N/A (No replacement required)"),
Error!$B$62,
IF(AND(_xlpm.baseRow,$E631&lt;&gt;"",ISNA(MATCH($E631,Tables!$B$225:$B$232,0))),
Error!$B$2,
IF(AND(_xlpm.baseRow,$F631&lt;&gt;"",ISNA(MATCH($F631,Tables!$B$234:$B$235,0))),
Error!$B$24,
IF(AND(_xlpm.baseRow,_xlpm.ECA_H&gt;0,_xlpm.Shore_H&gt;0),
Error!$B$16,
IF(AND(_xlpm.baseRow,$E631&lt;&gt;"",$D631=""),
Error!$B$3,
IF(AND(_xlpm.baseRow,OR($E631="Tier 3",$E631="Tier 4"),$C631&lt;&gt;"",$D631&gt;=24,COUNTIF(Tables2!$B$166:$B$674,$C631)&gt;0),
Error!$B$44,
IF(AND(_xlpm.baseRow,OR($E631="Tier 3",$E631="Tier 4"),$C631&lt;&gt;"",$D631&lt;&gt;"",COUNTIF(Tables2!$B$73:$B$152,$C631)&gt;0,
$D631&gt;=IFERROR(INDEX(Tables2!$C$73:$C$152,MATCH($C631,Tables2!$B$73:$B$152,0)),-1)),
Error!$B$44,
IF(AND(_xlpm.baseRow,OR($E631="Tier 2",$E631="Tier 2 Grove"),$C631&lt;&gt;"",$D631&gt;=12,COUNTIF(Tables2!$B$153:$B$162,$C631)&gt;0),
Error!$B$45,
IF(AND(_xlpm.baseRow,$E631="Tier 2 Grove",$D631&lt;12),
Error!$B$41,
IF(AND(_xlpm.baseRow,$E631="Tier 2",$D631&lt;5.88),
Error!$B$40,
IF(AND(_xlpm.baseRow,OR($E631="Tier 2",$E631="Tier 2 Grove"),$C631&lt;&gt;"",$D631&lt;12,$D631&gt;=6,COUNTIF(Tables2!$B$153:$B$162,$C631)&gt;0),
Error!$B$54,
IF(AND(_xlpm.baseRow,$E631="Tier 2",COUNTIF(Tables2!$B$166:$B$674,$C631)&gt;0,$D631&lt;24),
Error!$B$54,
IF(AND(_xlpm.baseRow,$E631="Tier 3",ISNA(MATCH($C631,Tables2!$B$153:$B$162,0)),OR($D631&lt;12,$D631&gt;=24)),
Error!$B$9,
IF(AND(_xlpm.baseRow,$E631="Tier 3",COUNTIF(Tables2!$B$153:$B$162,$C631)&gt;0,$D631&lt;12),
Error!$B$46,
IF(AND(_xlpm.baseRow,$E631="Tier 4",OR($D631&lt;6,$D631&gt;=12)),
Error!$B$10,
IF(AND(_xlpm.baseRow,$E631="&lt;6in DSH for Tree Points",OR($D631&gt;=6,$D631="")),
Error!$B$8,
IF(AND(_xlpm.baseRow,$E631="Street Tree for Green Factor",$F631&lt;&gt;"",$F631&lt;&gt;"Retain"),
Error!$B$14,
IF(AND($E631="&lt;6in DSH for Tree Points",$F631="Retain",$H631&lt;&gt;"",ISNA(MATCH($H631,Tables!$B$174:$B$174,0))),
Error!$B$15,
IF(AND($E631="Street Tree for Green Factor",$F631="Retain",$H631&lt;&gt;"",$H631&lt;&gt;"Zoning: Green Factor"),
Error!$B$15,
IF(AND($E631="ECA / Shoreline Tree",$F631="Remove",$H631&lt;&gt;"",ISNA(MATCH($H631,Tables!$B$189:$B$190,0))),
Error!$B$15,
IF(AND($E631="ECA / Shoreline Tree",$F631="Retain",$H631&lt;&gt;"",ISNA(MATCH($H631,Tables!$B$184:$B$186,0))),
Error!$B$15,
IF(AND($E631="Tier 4",$F631="Remove",$H631&lt;&gt;"",ISNA(MATCH($H631,Tables!$B$171,0))),
Error!$B$15,
IF(AND($E631="Tier 4",$F631="Retain",$H631&lt;&gt;"",ISNA(MATCH($H631,Tables!$B$166:$B$168,0))),
Error!$B$15,
IF(AND($E631="Tier 3",$F631="Retain",$H631&lt;&gt;"",ISNA(MATCH($H631,Tables!$B$158:$B$160,0))),
Error!$B$15,
IF(AND($E631="Tier 3",$F631="Remove",$H631&lt;&gt;"",ISNA(MATCH($H631,Tables!$B$163,0))),
Error!$B$15,
IF(AND(OR($E631="Tier 2",$E631="Tier 2 Grove"),$F631="Remove",$H631&lt;&gt;"",ISNA(MATCH($H631,Tables!$B$153:$B$155,0))),
Error!$B$15,
IF(AND(OR($E631="Tier 2",$E631="Tier 2 Grove"),$F631="Retain",$H631&lt;&gt;"",ISNA(MATCH($H631,Tables!$B$147:$B$150,0))),
Error!$B$15,
IF(AND($E631="Tier 1",$F631="Remove",$H631&lt;&gt;"",ISNA(MATCH($H631,Tables!$B$143:$B$144,0))),
Error!$B$15,
IF(AND($E631="Tier 1",$F631="Retain",$H631&lt;&gt;"",ISNA(MATCH($H631,Tables!$B$137:$B$140,0))),
Error!$B$15,
IF(AND($E631&lt;&gt;"Tier 2",$E631&lt;&gt;"Tier 2 Grove",$E631&lt;&gt;"Tier 3",$E631&lt;&gt;"Tier 4",$H631="Zoning: Green Factor",OR($D631="",$D631&lt;6)),
Error!$B$11,
IF(AND(_xlpm.baseRow,$D631&lt;6,$E631="&lt;6in DSH for Tree Points",_xlpm.TreePoints_H=0),
Error!$B$21,
IF(AND(_xlpm.baseRow,$E631&lt;&gt;"",$D631&lt;&gt;"",$F631=""),
Error!$B$4,
IF(AND(_xlpm.baseRow,$F631="Remove",OR($E631="Tier 1",$E631="Tier 2",$E631="Tier 2 Grove"),COUNTBLANK(_xlpm.HRange)&lt;3,_xlpm.uniqueH&gt;=2),
Error!$B$48,
IF(AND(_xlpm.baseRow,$F631="Retain",OR($E631="Tier 1",$E631="Tier 2",$E631="Tier 2 Grove"),COUNTIF(_xlpm.HRange,"Tree Code: Required to Retain Tier 1-2 Tree")=0),
Error!$B$47,
IF(AND(_xlpm.baseRow,$E631&lt;&gt;"",$D631&lt;&gt;"",$F631&lt;&gt;"",COUNTBLANK(_xlpm.HRange)=4),
Error!$B$5,
IF(AND($F631="Remove",$H631&lt;&gt;"",$I631=""),
Error!$B$18,
IF(AND($E631="Tier 4",$F631="Remove",$H631="Tree Protection Code: Tier 3 or Tier 4 Allowance",$H631&lt;&gt;"",ISNA(MATCH($I631,Tables!$B$200,0))),
Error!$B$17,
IF(AND($E631="Tier 3",$F631="Remove",$H631&lt;&gt;"",$H631="Tree Protection Code: Tier 3 or Tier 4 Allowance",OR($I631="",ISNA(MATCH($I631,Tables!$B$193:$B$197,0)))),
Error!$B$17,
IF(AND(OR($E631="Tier 2",$E631="Tier 2 Grove"),$F631="Remove",$H631="Tree Protection Code: Other removal allowance or exemption",$I631&lt;&gt;"",ISNA(MATCH($I631,Tables!$B$215:$B$218,0))),
Error!$B$17,
IF(AND(OR($E631="Tier 2",$E631="Tier 2 Grove"),$F631="Remove",$H631="Tree Protection Code: Development Capacity",$I631&lt;&gt;"",ISNA(MATCH($I631,Tables!$B$193:$B$197,0))),
Error!$B$17,
IF(AND(OR($E631="Tier 2",$E631="Tier 2 Grove"),$F631="Remove",$H631="Tree Protection Code: Necessary for Construction",$I631&lt;&gt;"",ISNA(MATCH($I631,Tables!$B$193:$B$197,0))),
Error!$B$17,
IF(AND($E631="Tier 1",$F631="Remove",$H631="Tree Protection Code: Special Exception",$I631&lt;&gt;"",ISNA(MATCH($I631,Tables!$B$215:$B$218,0))),
Error!$B$17,
IF(AND($E631="Tier 1",$F631="Remove",$H631="Tree Protection Code: Other removal allowance or exemption",$I631&lt;&gt;"",ISNA(MATCH($I631,Tables!$B$215:$B$218,0))),
Error!$B$17,
IF(AND($E631="ECA / Shoreline Tree",$F631="Remove",$H631&lt;&gt;"",OR($H631="Shoreline",$H631="Environmental Critical Area (ECA)"),ISNA(MATCH($I631,Tables!$B$209:$B$212,0))),
Error!$B$17,
IF(AND(_xlpm.baseRow,$F631="Retain",$E631="ECA / Shoreline Tree",_xlpm.ECA_Short=0),
Error!$B$61,
IF(AND($F631="Remove",ISNUMBER(MATCH($E631,{"Tier 1","Tier 2","Tier 3","Tier 4","Tier 2 Grove"},0)),ISNUMBER(MATCH($I631,{"On-site replacement","Off-site replacement"},0)),$J631="",$H631&lt;&gt;""),
Error!$B$19,
IF(AND(_xlpm.baseRow,$E631&lt;&gt;"",$D631&lt;&gt;"",$F631&lt;&gt;"",COUNTBLANK($B631:$C631)&gt;0,COUNTBLANK(_xlpm.HRange)&lt;&gt;4),
Error!$B$22,
IF(AND($H631="Zoning: Tree Points",$K631&lt;&gt;"",ISNA(MATCH($K631,Tables!$B$242:$B$253,0))),
Error!$B$58,
IF(AND($H631="Zoning: Tree Points",$K631="Small",$L631&lt;&gt;"",ISNA(MATCH($L631,Tables!$C$243:$C$244,0))),
Error!$B$59,
IF(AND($H631="Zoning: Tree Points",$K631="Small/Medium",$L631&lt;&gt;"",ISNA(MATCH($L631,Tables!$C$246:$C$247,0))),
Error!$B$59,
IF(AND($H631="Zoning: Tree Points",$K631="Medium/Large",$L631&lt;&gt;"",ISNA(MATCH($L631,Tables!$C$249:$C$250,0))),
Error!$B$59,
IF(AND($H631="Zoning: Tree Points",$K631="Large",$L631&lt;&gt;"",ISNA(MATCH($L631,Tables!$C$252:$C$253,0))),
Error!$B$59,
IF(AND($F631="Retain",$H631="Zoning: Tree Points",$C631&lt;&gt;"",$D631&lt;&gt;"",OR($K631="",$L631="",$M631="")),
Error!$B$20,
""
)))))))))))))))))))))))))))))))))))))))))))))))))))))))),
Error!$B$23))</f>
        <v/>
      </c>
      <c r="O631" s="343" t="str" cm="1">
        <f t="array" aca="1" ref="O631" ca="1">IFERROR(_xlfn.LET(
    _xlpm.txt, $C631,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32" spans="1:15" x14ac:dyDescent="0.3">
      <c r="A632" s="320"/>
      <c r="B632" s="616" t="str">
        <f t="shared" ref="B632:B634" si="741">IF($B631="", "", $B631)</f>
        <v/>
      </c>
      <c r="C632" s="617" t="str">
        <f t="shared" ref="C632:C634" si="742">IF($C631="", "", $C631)</f>
        <v/>
      </c>
      <c r="D632" s="618" t="str">
        <f t="shared" ref="D632:D634" si="743">IF($D631="", "", $D631)</f>
        <v/>
      </c>
      <c r="E632" s="616" t="str">
        <f t="shared" ref="E632:E634" si="744">IF($E631="", "", $E631)</f>
        <v/>
      </c>
      <c r="F632" s="616" t="str">
        <f t="shared" ref="F632:F634" si="745">IF($F631="", "", $F631)</f>
        <v/>
      </c>
      <c r="G632" s="619" t="str">
        <f>IF(Tree_Table1[[#This Row],[Tree Status  &amp;]]="Retain", Tables!$B$237, IF(Tree_Table1[[#This Row],[Tree Status  &amp;]]="Remove", Tables!$B$238, ""))</f>
        <v/>
      </c>
      <c r="H632" s="321"/>
      <c r="I632" s="322"/>
      <c r="J632" s="453"/>
      <c r="K632" s="323" t="str">
        <f>IFERROR(
    IF(
        AND($H632="Zoning: Tree Points", NOT(ISNUMBER(SEARCH("sp.", $C632)))),
        VLOOKUP($C632, 'Tree List'!$C$3:$F$601, 4, FALSE),
        ""
    ),
"")</f>
        <v/>
      </c>
      <c r="L632" s="324" t="str" cm="1">
        <f t="array" ref="L632">IFERROR(
IF(
    AND($H632="Zoning: Tree Points", NOT(ISNUMBER(SEARCH("sp.", $C632)))),
    _xlfn.IFS(
        (COUNTIFS('Tree List'!$C$3:$C$601,$C632,'Tree List'!$D$3:$D$601,"Coniferous")
        + COUNTIFS('Tree List'!$C$3:$C$601,$C632,'Tree List'!$D$3:$D$601,"Deciduous Conifer")) &gt; 0,
            _xlfn.IFS($K632="Small",0.5,$K632="Small/Medium",1,$K632="Medium/Large",1.4,$K632="Large",1.8),
        (COUNTIFS('Tree List'!$C$3:$C$601,$C632,'Tree List'!$D$3:$D$601,"Deciduous")
        + COUNTIFS('Tree List'!$C$3:$C$601,$C632,'Tree List'!$D$3:$D$601,"Broadleaf Evergreen")) &gt; 0,
            _xlfn.IFS($K632="Small",0.4,$K632="Small/Medium",0.8,$K632="Medium/Large",1.2,$K632="Large",1.6)
    ),
    ""
),
"")</f>
        <v/>
      </c>
      <c r="M632" s="475" t="str">
        <f t="shared" si="735"/>
        <v/>
      </c>
      <c r="N632" s="346" t="str" cm="1">
        <f t="array" aca="1" ref="N63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IF(AND(_xlpm.baseRow,ISNA(MATCH($C632,'Tree List'!$C$3:$C$601,0)),SUMPRODUCT(--ISNUMBER(SEARCH(Tables2!$C$677:$C$772,$O632)))&gt;0),
Error!$B$57,
IF(AND(_xlpm.hasDM,$F632="Remove",$H632&lt;&gt;"",OR($I632="On-site replacement",$I632="Off-site replacement",$I632="Payment In Lieu")),
Error!$B$56,
IF(AND(_xlpm.hasDM,$F632="Remove",$H632&lt;&gt;"",$I632="Relocation"),
Error!$B$66,
IF(AND(OR(_xlpm.hasCN,_xlpm.hasPH,_xlpm.hasGR),$H632&lt;&gt;"",COUNTIF(Tables!$B$132:$B$134,$H632)&gt;0,$I632="N/A (No replacement required)"),
Error!$B$62,
IF(AND(_xlpm.baseRow,$E632&lt;&gt;"",ISNA(MATCH($E632,Tables!$B$225:$B$232,0))),
Error!$B$2,
IF(AND(_xlpm.baseRow,$F632&lt;&gt;"",ISNA(MATCH($F632,Tables!$B$234:$B$235,0))),
Error!$B$24,
IF(AND(_xlpm.baseRow,_xlpm.ECA_H&gt;0,_xlpm.Shore_H&gt;0),
Error!$B$16,
IF(AND(_xlpm.baseRow,$E632&lt;&gt;"",$D632=""),
Error!$B$3,
IF(AND(_xlpm.baseRow,OR($E632="Tier 3",$E632="Tier 4"),$C632&lt;&gt;"",$D632&gt;=24,COUNTIF(Tables2!$B$166:$B$674,$C632)&gt;0),
Error!$B$44,
IF(AND(_xlpm.baseRow,OR($E632="Tier 3",$E632="Tier 4"),$C632&lt;&gt;"",$D632&lt;&gt;"",COUNTIF(Tables2!$B$73:$B$152,$C632)&gt;0,
$D632&gt;=IFERROR(INDEX(Tables2!$C$73:$C$152,MATCH($C632,Tables2!$B$73:$B$152,0)),-1)),
Error!$B$44,
IF(AND(_xlpm.baseRow,OR($E632="Tier 2",$E632="Tier 2 Grove"),$C632&lt;&gt;"",$D632&gt;=12,COUNTIF(Tables2!$B$153:$B$162,$C632)&gt;0),
Error!$B$45,
IF(AND(_xlpm.baseRow,$E632="Tier 2 Grove",$D632&lt;12),
Error!$B$41,
IF(AND(_xlpm.baseRow,$E632="Tier 2",$D632&lt;5.88),
Error!$B$40,
IF(AND(_xlpm.baseRow,OR($E632="Tier 2",$E632="Tier 2 Grove"),$C632&lt;&gt;"",$D632&lt;12,$D632&gt;=6,COUNTIF(Tables2!$B$153:$B$162,$C632)&gt;0),
Error!$B$54,
IF(AND(_xlpm.baseRow,$E632="Tier 2",COUNTIF(Tables2!$B$166:$B$674,$C632)&gt;0,$D632&lt;24),
Error!$B$54,
IF(AND(_xlpm.baseRow,$E632="Tier 3",ISNA(MATCH($C632,Tables2!$B$153:$B$162,0)),OR($D632&lt;12,$D632&gt;=24)),
Error!$B$9,
IF(AND(_xlpm.baseRow,$E632="Tier 3",COUNTIF(Tables2!$B$153:$B$162,$C632)&gt;0,$D632&lt;12),
Error!$B$46,
IF(AND(_xlpm.baseRow,$E632="Tier 4",OR($D632&lt;6,$D632&gt;=12)),
Error!$B$10,
IF(AND(_xlpm.baseRow,$E632="&lt;6in DSH for Tree Points",OR($D632&gt;=6,$D632="")),
Error!$B$8,
IF(AND(_xlpm.baseRow,$E632="Street Tree for Green Factor",$F632&lt;&gt;"",$F632&lt;&gt;"Retain"),
Error!$B$14,
IF(AND($E632="&lt;6in DSH for Tree Points",$F632="Retain",$H632&lt;&gt;"",ISNA(MATCH($H632,Tables!$B$174:$B$174,0))),
Error!$B$15,
IF(AND($E632="Street Tree for Green Factor",$F632="Retain",$H632&lt;&gt;"",$H632&lt;&gt;"Zoning: Green Factor"),
Error!$B$15,
IF(AND($E632="ECA / Shoreline Tree",$F632="Remove",$H632&lt;&gt;"",ISNA(MATCH($H632,Tables!$B$189:$B$190,0))),
Error!$B$15,
IF(AND($E632="ECA / Shoreline Tree",$F632="Retain",$H632&lt;&gt;"",ISNA(MATCH($H632,Tables!$B$184:$B$186,0))),
Error!$B$15,
IF(AND($E632="Tier 4",$F632="Remove",$H632&lt;&gt;"",ISNA(MATCH($H632,Tables!$B$171,0))),
Error!$B$15,
IF(AND($E632="Tier 4",$F632="Retain",$H632&lt;&gt;"",ISNA(MATCH($H632,Tables!$B$166:$B$168,0))),
Error!$B$15,
IF(AND($E632="Tier 3",$F632="Retain",$H632&lt;&gt;"",ISNA(MATCH($H632,Tables!$B$158:$B$160,0))),
Error!$B$15,
IF(AND($E632="Tier 3",$F632="Remove",$H632&lt;&gt;"",ISNA(MATCH($H632,Tables!$B$163,0))),
Error!$B$15,
IF(AND(OR($E632="Tier 2",$E632="Tier 2 Grove"),$F632="Remove",$H632&lt;&gt;"",ISNA(MATCH($H632,Tables!$B$153:$B$155,0))),
Error!$B$15,
IF(AND(OR($E632="Tier 2",$E632="Tier 2 Grove"),$F632="Retain",$H632&lt;&gt;"",ISNA(MATCH($H632,Tables!$B$147:$B$150,0))),
Error!$B$15,
IF(AND($E632="Tier 1",$F632="Remove",$H632&lt;&gt;"",ISNA(MATCH($H632,Tables!$B$143:$B$144,0))),
Error!$B$15,
IF(AND($E632="Tier 1",$F632="Retain",$H632&lt;&gt;"",ISNA(MATCH($H632,Tables!$B$137:$B$140,0))),
Error!$B$15,
IF(AND($E632&lt;&gt;"Tier 2",$E632&lt;&gt;"Tier 2 Grove",$E632&lt;&gt;"Tier 3",$E632&lt;&gt;"Tier 4",$H632="Zoning: Green Factor",OR($D632="",$D632&lt;6)),
Error!$B$11,
IF(AND(_xlpm.baseRow,$D632&lt;6,$E632="&lt;6in DSH for Tree Points",_xlpm.TreePoints_H=0),
Error!$B$21,
IF(AND(_xlpm.baseRow,$E632&lt;&gt;"",$D632&lt;&gt;"",$F632=""),
Error!$B$4,
IF(AND(_xlpm.baseRow,$F632="Remove",OR($E632="Tier 1",$E632="Tier 2",$E632="Tier 2 Grove"),COUNTBLANK(_xlpm.HRange)&lt;3,_xlpm.uniqueH&gt;=2),
Error!$B$48,
IF(AND(_xlpm.baseRow,$F632="Retain",OR($E632="Tier 1",$E632="Tier 2",$E632="Tier 2 Grove"),COUNTIF(_xlpm.HRange,"Tree Code: Required to Retain Tier 1-2 Tree")=0),
Error!$B$47,
IF(AND(_xlpm.baseRow,$E632&lt;&gt;"",$D632&lt;&gt;"",$F632&lt;&gt;"",COUNTBLANK(_xlpm.HRange)=4),
Error!$B$5,
IF(AND($F632="Remove",$H632&lt;&gt;"",$I632=""),
Error!$B$18,
IF(AND($E632="Tier 4",$F632="Remove",$H632="Tree Protection Code: Tier 3 or Tier 4 Allowance",$H632&lt;&gt;"",ISNA(MATCH($I632,Tables!$B$200,0))),
Error!$B$17,
IF(AND($E632="Tier 3",$F632="Remove",$H632&lt;&gt;"",$H632="Tree Protection Code: Tier 3 or Tier 4 Allowance",OR($I632="",ISNA(MATCH($I632,Tables!$B$193:$B$197,0)))),
Error!$B$17,
IF(AND(OR($E632="Tier 2",$E632="Tier 2 Grove"),$F632="Remove",$H632="Tree Protection Code: Other removal allowance or exemption",$I632&lt;&gt;"",ISNA(MATCH($I632,Tables!$B$215:$B$218,0))),
Error!$B$17,
IF(AND(OR($E632="Tier 2",$E632="Tier 2 Grove"),$F632="Remove",$H632="Tree Protection Code: Development Capacity",$I632&lt;&gt;"",ISNA(MATCH($I632,Tables!$B$193:$B$197,0))),
Error!$B$17,
IF(AND(OR($E632="Tier 2",$E632="Tier 2 Grove"),$F632="Remove",$H632="Tree Protection Code: Necessary for Construction",$I632&lt;&gt;"",ISNA(MATCH($I632,Tables!$B$193:$B$197,0))),
Error!$B$17,
IF(AND($E632="Tier 1",$F632="Remove",$H632="Tree Protection Code: Special Exception",$I632&lt;&gt;"",ISNA(MATCH($I632,Tables!$B$215:$B$218,0))),
Error!$B$17,
IF(AND($E632="Tier 1",$F632="Remove",$H632="Tree Protection Code: Other removal allowance or exemption",$I632&lt;&gt;"",ISNA(MATCH($I632,Tables!$B$215:$B$218,0))),
Error!$B$17,
IF(AND($E632="ECA / Shoreline Tree",$F632="Remove",$H632&lt;&gt;"",OR($H632="Shoreline",$H632="Environmental Critical Area (ECA)"),ISNA(MATCH($I632,Tables!$B$209:$B$212,0))),
Error!$B$17,
IF(AND(_xlpm.baseRow,$F632="Retain",$E632="ECA / Shoreline Tree",_xlpm.ECA_Short=0),
Error!$B$61,
IF(AND($F632="Remove",ISNUMBER(MATCH($E632,{"Tier 1","Tier 2","Tier 3","Tier 4","Tier 2 Grove"},0)),ISNUMBER(MATCH($I632,{"On-site replacement","Off-site replacement"},0)),$J632="",$H632&lt;&gt;""),
Error!$B$19,
IF(AND(_xlpm.baseRow,$E632&lt;&gt;"",$D632&lt;&gt;"",$F632&lt;&gt;"",COUNTBLANK($B632:$C632)&gt;0,COUNTBLANK(_xlpm.HRange)&lt;&gt;4),
Error!$B$22,
IF(AND($H632="Zoning: Tree Points",$K632&lt;&gt;"",ISNA(MATCH($K632,Tables!$B$242:$B$253,0))),
Error!$B$58,
IF(AND($H632="Zoning: Tree Points",$K632="Small",$L632&lt;&gt;"",ISNA(MATCH($L632,Tables!$C$243:$C$244,0))),
Error!$B$59,
IF(AND($H632="Zoning: Tree Points",$K632="Small/Medium",$L632&lt;&gt;"",ISNA(MATCH($L632,Tables!$C$246:$C$247,0))),
Error!$B$59,
IF(AND($H632="Zoning: Tree Points",$K632="Medium/Large",$L632&lt;&gt;"",ISNA(MATCH($L632,Tables!$C$249:$C$250,0))),
Error!$B$59,
IF(AND($H632="Zoning: Tree Points",$K632="Large",$L632&lt;&gt;"",ISNA(MATCH($L632,Tables!$C$252:$C$253,0))),
Error!$B$59,
IF(AND($F632="Retain",$H632="Zoning: Tree Points",$C632&lt;&gt;"",$D632&lt;&gt;"",OR($K632="",$L632="",$M632="")),
Error!$B$20,
""
)))))))))))))))))))))))))))))))))))))))))))))))))))))))),
Error!$B$23))</f>
        <v/>
      </c>
      <c r="O632" s="343" t="str" cm="1">
        <f t="array" aca="1" ref="O632" ca="1">IFERROR(_xlfn.LET(
    _xlpm.txt, $C632,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33" spans="1:15" x14ac:dyDescent="0.3">
      <c r="A633" s="320"/>
      <c r="B633" s="616" t="str">
        <f t="shared" si="741"/>
        <v/>
      </c>
      <c r="C633" s="617" t="str">
        <f t="shared" si="742"/>
        <v/>
      </c>
      <c r="D633" s="618" t="str">
        <f t="shared" si="743"/>
        <v/>
      </c>
      <c r="E633" s="616" t="str">
        <f t="shared" si="744"/>
        <v/>
      </c>
      <c r="F633" s="616" t="str">
        <f t="shared" si="745"/>
        <v/>
      </c>
      <c r="G633" s="619" t="str">
        <f>IF(Tree_Table1[[#This Row],[Tree Status  &amp;]]="Retain", Tables!$B$237, IF(Tree_Table1[[#This Row],[Tree Status  &amp;]]="Remove", Tables!$B$238, ""))</f>
        <v/>
      </c>
      <c r="H633" s="321"/>
      <c r="I633" s="322"/>
      <c r="J633" s="453"/>
      <c r="K633" s="323" t="str">
        <f>IFERROR(
    IF(
        AND($H633="Zoning: Tree Points", NOT(ISNUMBER(SEARCH("sp.", $C633)))),
        VLOOKUP($C633, 'Tree List'!$C$3:$F$601, 4, FALSE),
        ""
    ),
"")</f>
        <v/>
      </c>
      <c r="L633" s="324" t="str" cm="1">
        <f t="array" ref="L633">IFERROR(
IF(
    AND($H633="Zoning: Tree Points", NOT(ISNUMBER(SEARCH("sp.", $C633)))),
    _xlfn.IFS(
        (COUNTIFS('Tree List'!$C$3:$C$601,$C633,'Tree List'!$D$3:$D$601,"Coniferous")
        + COUNTIFS('Tree List'!$C$3:$C$601,$C633,'Tree List'!$D$3:$D$601,"Deciduous Conifer")) &gt; 0,
            _xlfn.IFS($K633="Small",0.5,$K633="Small/Medium",1,$K633="Medium/Large",1.4,$K633="Large",1.8),
        (COUNTIFS('Tree List'!$C$3:$C$601,$C633,'Tree List'!$D$3:$D$601,"Deciduous")
        + COUNTIFS('Tree List'!$C$3:$C$601,$C633,'Tree List'!$D$3:$D$601,"Broadleaf Evergreen")) &gt; 0,
            _xlfn.IFS($K633="Small",0.4,$K633="Small/Medium",0.8,$K633="Medium/Large",1.2,$K633="Large",1.6)
    ),
    ""
),
"")</f>
        <v/>
      </c>
      <c r="M633" s="475" t="str">
        <f t="shared" si="735"/>
        <v/>
      </c>
      <c r="N633" s="346" t="str" cm="1">
        <f t="array" aca="1" ref="N63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IF(AND(_xlpm.baseRow,ISNA(MATCH($C633,'Tree List'!$C$3:$C$601,0)),SUMPRODUCT(--ISNUMBER(SEARCH(Tables2!$C$677:$C$772,$O633)))&gt;0),
Error!$B$57,
IF(AND(_xlpm.hasDM,$F633="Remove",$H633&lt;&gt;"",OR($I633="On-site replacement",$I633="Off-site replacement",$I633="Payment In Lieu")),
Error!$B$56,
IF(AND(_xlpm.hasDM,$F633="Remove",$H633&lt;&gt;"",$I633="Relocation"),
Error!$B$66,
IF(AND(OR(_xlpm.hasCN,_xlpm.hasPH,_xlpm.hasGR),$H633&lt;&gt;"",COUNTIF(Tables!$B$132:$B$134,$H633)&gt;0,$I633="N/A (No replacement required)"),
Error!$B$62,
IF(AND(_xlpm.baseRow,$E633&lt;&gt;"",ISNA(MATCH($E633,Tables!$B$225:$B$232,0))),
Error!$B$2,
IF(AND(_xlpm.baseRow,$F633&lt;&gt;"",ISNA(MATCH($F633,Tables!$B$234:$B$235,0))),
Error!$B$24,
IF(AND(_xlpm.baseRow,_xlpm.ECA_H&gt;0,_xlpm.Shore_H&gt;0),
Error!$B$16,
IF(AND(_xlpm.baseRow,$E633&lt;&gt;"",$D633=""),
Error!$B$3,
IF(AND(_xlpm.baseRow,OR($E633="Tier 3",$E633="Tier 4"),$C633&lt;&gt;"",$D633&gt;=24,COUNTIF(Tables2!$B$166:$B$674,$C633)&gt;0),
Error!$B$44,
IF(AND(_xlpm.baseRow,OR($E633="Tier 3",$E633="Tier 4"),$C633&lt;&gt;"",$D633&lt;&gt;"",COUNTIF(Tables2!$B$73:$B$152,$C633)&gt;0,
$D633&gt;=IFERROR(INDEX(Tables2!$C$73:$C$152,MATCH($C633,Tables2!$B$73:$B$152,0)),-1)),
Error!$B$44,
IF(AND(_xlpm.baseRow,OR($E633="Tier 2",$E633="Tier 2 Grove"),$C633&lt;&gt;"",$D633&gt;=12,COUNTIF(Tables2!$B$153:$B$162,$C633)&gt;0),
Error!$B$45,
IF(AND(_xlpm.baseRow,$E633="Tier 2 Grove",$D633&lt;12),
Error!$B$41,
IF(AND(_xlpm.baseRow,$E633="Tier 2",$D633&lt;5.88),
Error!$B$40,
IF(AND(_xlpm.baseRow,OR($E633="Tier 2",$E633="Tier 2 Grove"),$C633&lt;&gt;"",$D633&lt;12,$D633&gt;=6,COUNTIF(Tables2!$B$153:$B$162,$C633)&gt;0),
Error!$B$54,
IF(AND(_xlpm.baseRow,$E633="Tier 2",COUNTIF(Tables2!$B$166:$B$674,$C633)&gt;0,$D633&lt;24),
Error!$B$54,
IF(AND(_xlpm.baseRow,$E633="Tier 3",ISNA(MATCH($C633,Tables2!$B$153:$B$162,0)),OR($D633&lt;12,$D633&gt;=24)),
Error!$B$9,
IF(AND(_xlpm.baseRow,$E633="Tier 3",COUNTIF(Tables2!$B$153:$B$162,$C633)&gt;0,$D633&lt;12),
Error!$B$46,
IF(AND(_xlpm.baseRow,$E633="Tier 4",OR($D633&lt;6,$D633&gt;=12)),
Error!$B$10,
IF(AND(_xlpm.baseRow,$E633="&lt;6in DSH for Tree Points",OR($D633&gt;=6,$D633="")),
Error!$B$8,
IF(AND(_xlpm.baseRow,$E633="Street Tree for Green Factor",$F633&lt;&gt;"",$F633&lt;&gt;"Retain"),
Error!$B$14,
IF(AND($E633="&lt;6in DSH for Tree Points",$F633="Retain",$H633&lt;&gt;"",ISNA(MATCH($H633,Tables!$B$174:$B$174,0))),
Error!$B$15,
IF(AND($E633="Street Tree for Green Factor",$F633="Retain",$H633&lt;&gt;"",$H633&lt;&gt;"Zoning: Green Factor"),
Error!$B$15,
IF(AND($E633="ECA / Shoreline Tree",$F633="Remove",$H633&lt;&gt;"",ISNA(MATCH($H633,Tables!$B$189:$B$190,0))),
Error!$B$15,
IF(AND($E633="ECA / Shoreline Tree",$F633="Retain",$H633&lt;&gt;"",ISNA(MATCH($H633,Tables!$B$184:$B$186,0))),
Error!$B$15,
IF(AND($E633="Tier 4",$F633="Remove",$H633&lt;&gt;"",ISNA(MATCH($H633,Tables!$B$171,0))),
Error!$B$15,
IF(AND($E633="Tier 4",$F633="Retain",$H633&lt;&gt;"",ISNA(MATCH($H633,Tables!$B$166:$B$168,0))),
Error!$B$15,
IF(AND($E633="Tier 3",$F633="Retain",$H633&lt;&gt;"",ISNA(MATCH($H633,Tables!$B$158:$B$160,0))),
Error!$B$15,
IF(AND($E633="Tier 3",$F633="Remove",$H633&lt;&gt;"",ISNA(MATCH($H633,Tables!$B$163,0))),
Error!$B$15,
IF(AND(OR($E633="Tier 2",$E633="Tier 2 Grove"),$F633="Remove",$H633&lt;&gt;"",ISNA(MATCH($H633,Tables!$B$153:$B$155,0))),
Error!$B$15,
IF(AND(OR($E633="Tier 2",$E633="Tier 2 Grove"),$F633="Retain",$H633&lt;&gt;"",ISNA(MATCH($H633,Tables!$B$147:$B$150,0))),
Error!$B$15,
IF(AND($E633="Tier 1",$F633="Remove",$H633&lt;&gt;"",ISNA(MATCH($H633,Tables!$B$143:$B$144,0))),
Error!$B$15,
IF(AND($E633="Tier 1",$F633="Retain",$H633&lt;&gt;"",ISNA(MATCH($H633,Tables!$B$137:$B$140,0))),
Error!$B$15,
IF(AND($E633&lt;&gt;"Tier 2",$E633&lt;&gt;"Tier 2 Grove",$E633&lt;&gt;"Tier 3",$E633&lt;&gt;"Tier 4",$H633="Zoning: Green Factor",OR($D633="",$D633&lt;6)),
Error!$B$11,
IF(AND(_xlpm.baseRow,$D633&lt;6,$E633="&lt;6in DSH for Tree Points",_xlpm.TreePoints_H=0),
Error!$B$21,
IF(AND(_xlpm.baseRow,$E633&lt;&gt;"",$D633&lt;&gt;"",$F633=""),
Error!$B$4,
IF(AND(_xlpm.baseRow,$F633="Remove",OR($E633="Tier 1",$E633="Tier 2",$E633="Tier 2 Grove"),COUNTBLANK(_xlpm.HRange)&lt;3,_xlpm.uniqueH&gt;=2),
Error!$B$48,
IF(AND(_xlpm.baseRow,$F633="Retain",OR($E633="Tier 1",$E633="Tier 2",$E633="Tier 2 Grove"),COUNTIF(_xlpm.HRange,"Tree Code: Required to Retain Tier 1-2 Tree")=0),
Error!$B$47,
IF(AND(_xlpm.baseRow,$E633&lt;&gt;"",$D633&lt;&gt;"",$F633&lt;&gt;"",COUNTBLANK(_xlpm.HRange)=4),
Error!$B$5,
IF(AND($F633="Remove",$H633&lt;&gt;"",$I633=""),
Error!$B$18,
IF(AND($E633="Tier 4",$F633="Remove",$H633="Tree Protection Code: Tier 3 or Tier 4 Allowance",$H633&lt;&gt;"",ISNA(MATCH($I633,Tables!$B$200,0))),
Error!$B$17,
IF(AND($E633="Tier 3",$F633="Remove",$H633&lt;&gt;"",$H633="Tree Protection Code: Tier 3 or Tier 4 Allowance",OR($I633="",ISNA(MATCH($I633,Tables!$B$193:$B$197,0)))),
Error!$B$17,
IF(AND(OR($E633="Tier 2",$E633="Tier 2 Grove"),$F633="Remove",$H633="Tree Protection Code: Other removal allowance or exemption",$I633&lt;&gt;"",ISNA(MATCH($I633,Tables!$B$215:$B$218,0))),
Error!$B$17,
IF(AND(OR($E633="Tier 2",$E633="Tier 2 Grove"),$F633="Remove",$H633="Tree Protection Code: Development Capacity",$I633&lt;&gt;"",ISNA(MATCH($I633,Tables!$B$193:$B$197,0))),
Error!$B$17,
IF(AND(OR($E633="Tier 2",$E633="Tier 2 Grove"),$F633="Remove",$H633="Tree Protection Code: Necessary for Construction",$I633&lt;&gt;"",ISNA(MATCH($I633,Tables!$B$193:$B$197,0))),
Error!$B$17,
IF(AND($E633="Tier 1",$F633="Remove",$H633="Tree Protection Code: Special Exception",$I633&lt;&gt;"",ISNA(MATCH($I633,Tables!$B$215:$B$218,0))),
Error!$B$17,
IF(AND($E633="Tier 1",$F633="Remove",$H633="Tree Protection Code: Other removal allowance or exemption",$I633&lt;&gt;"",ISNA(MATCH($I633,Tables!$B$215:$B$218,0))),
Error!$B$17,
IF(AND($E633="ECA / Shoreline Tree",$F633="Remove",$H633&lt;&gt;"",OR($H633="Shoreline",$H633="Environmental Critical Area (ECA)"),ISNA(MATCH($I633,Tables!$B$209:$B$212,0))),
Error!$B$17,
IF(AND(_xlpm.baseRow,$F633="Retain",$E633="ECA / Shoreline Tree",_xlpm.ECA_Short=0),
Error!$B$61,
IF(AND($F633="Remove",ISNUMBER(MATCH($E633,{"Tier 1","Tier 2","Tier 3","Tier 4","Tier 2 Grove"},0)),ISNUMBER(MATCH($I633,{"On-site replacement","Off-site replacement"},0)),$J633="",$H633&lt;&gt;""),
Error!$B$19,
IF(AND(_xlpm.baseRow,$E633&lt;&gt;"",$D633&lt;&gt;"",$F633&lt;&gt;"",COUNTBLANK($B633:$C633)&gt;0,COUNTBLANK(_xlpm.HRange)&lt;&gt;4),
Error!$B$22,
IF(AND($H633="Zoning: Tree Points",$K633&lt;&gt;"",ISNA(MATCH($K633,Tables!$B$242:$B$253,0))),
Error!$B$58,
IF(AND($H633="Zoning: Tree Points",$K633="Small",$L633&lt;&gt;"",ISNA(MATCH($L633,Tables!$C$243:$C$244,0))),
Error!$B$59,
IF(AND($H633="Zoning: Tree Points",$K633="Small/Medium",$L633&lt;&gt;"",ISNA(MATCH($L633,Tables!$C$246:$C$247,0))),
Error!$B$59,
IF(AND($H633="Zoning: Tree Points",$K633="Medium/Large",$L633&lt;&gt;"",ISNA(MATCH($L633,Tables!$C$249:$C$250,0))),
Error!$B$59,
IF(AND($H633="Zoning: Tree Points",$K633="Large",$L633&lt;&gt;"",ISNA(MATCH($L633,Tables!$C$252:$C$253,0))),
Error!$B$59,
IF(AND($F633="Retain",$H633="Zoning: Tree Points",$C633&lt;&gt;"",$D633&lt;&gt;"",OR($K633="",$L633="",$M633="")),
Error!$B$20,
""
)))))))))))))))))))))))))))))))))))))))))))))))))))))))),
Error!$B$23))</f>
        <v/>
      </c>
      <c r="O633" s="343" t="str" cm="1">
        <f t="array" aca="1" ref="O633" ca="1">IFERROR(_xlfn.LET(
    _xlpm.txt, $C633,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34" spans="1:15" ht="15" thickBot="1" x14ac:dyDescent="0.35">
      <c r="A634" s="331"/>
      <c r="B634" s="616" t="str">
        <f t="shared" si="741"/>
        <v/>
      </c>
      <c r="C634" s="617" t="str">
        <f t="shared" si="742"/>
        <v/>
      </c>
      <c r="D634" s="618" t="str">
        <f t="shared" si="743"/>
        <v/>
      </c>
      <c r="E634" s="616" t="str">
        <f t="shared" si="744"/>
        <v/>
      </c>
      <c r="F634" s="616" t="str">
        <f t="shared" si="745"/>
        <v/>
      </c>
      <c r="G634" s="619" t="str">
        <f>IF(Tree_Table1[[#This Row],[Tree Status  &amp;]]="Retain", Tables!$B$237, IF(Tree_Table1[[#This Row],[Tree Status  &amp;]]="Remove", Tables!$B$238, ""))</f>
        <v/>
      </c>
      <c r="H634" s="329"/>
      <c r="I634" s="330"/>
      <c r="J634" s="455"/>
      <c r="K634" s="327" t="str">
        <f>IFERROR(
    IF(
        AND($H634="Zoning: Tree Points", NOT(ISNUMBER(SEARCH("sp.", $C634)))),
        VLOOKUP($C634, 'Tree List'!$C$3:$F$601, 4, FALSE),
        ""
    ),
"")</f>
        <v/>
      </c>
      <c r="L634" s="328" t="str" cm="1">
        <f t="array" ref="L634">IFERROR(
IF(
    AND($H634="Zoning: Tree Points", NOT(ISNUMBER(SEARCH("sp.", $C634)))),
    _xlfn.IFS(
        (COUNTIFS('Tree List'!$C$3:$C$601,$C634,'Tree List'!$D$3:$D$601,"Coniferous")
        + COUNTIFS('Tree List'!$C$3:$C$601,$C634,'Tree List'!$D$3:$D$601,"Deciduous Conifer")) &gt; 0,
            _xlfn.IFS($K634="Small",0.5,$K634="Small/Medium",1,$K634="Medium/Large",1.4,$K634="Large",1.8),
        (COUNTIFS('Tree List'!$C$3:$C$601,$C634,'Tree List'!$D$3:$D$601,"Deciduous")
        + COUNTIFS('Tree List'!$C$3:$C$601,$C634,'Tree List'!$D$3:$D$601,"Broadleaf Evergreen")) &gt; 0,
            _xlfn.IFS($K634="Small",0.4,$K634="Small/Medium",0.8,$K634="Medium/Large",1.2,$K634="Large",1.6)
    ),
    ""
),
"")</f>
        <v/>
      </c>
      <c r="M634" s="476" t="str">
        <f t="shared" si="735"/>
        <v/>
      </c>
      <c r="N634" s="347" t="str" cm="1">
        <f t="array" aca="1" ref="N63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IF(AND(_xlpm.baseRow,ISNA(MATCH($C634,'Tree List'!$C$3:$C$601,0)),SUMPRODUCT(--ISNUMBER(SEARCH(Tables2!$C$677:$C$772,$O634)))&gt;0),
Error!$B$57,
IF(AND(_xlpm.hasDM,$F634="Remove",$H634&lt;&gt;"",OR($I634="On-site replacement",$I634="Off-site replacement",$I634="Payment In Lieu")),
Error!$B$56,
IF(AND(_xlpm.hasDM,$F634="Remove",$H634&lt;&gt;"",$I634="Relocation"),
Error!$B$66,
IF(AND(OR(_xlpm.hasCN,_xlpm.hasPH,_xlpm.hasGR),$H634&lt;&gt;"",COUNTIF(Tables!$B$132:$B$134,$H634)&gt;0,$I634="N/A (No replacement required)"),
Error!$B$62,
IF(AND(_xlpm.baseRow,$E634&lt;&gt;"",ISNA(MATCH($E634,Tables!$B$225:$B$232,0))),
Error!$B$2,
IF(AND(_xlpm.baseRow,$F634&lt;&gt;"",ISNA(MATCH($F634,Tables!$B$234:$B$235,0))),
Error!$B$24,
IF(AND(_xlpm.baseRow,_xlpm.ECA_H&gt;0,_xlpm.Shore_H&gt;0),
Error!$B$16,
IF(AND(_xlpm.baseRow,$E634&lt;&gt;"",$D634=""),
Error!$B$3,
IF(AND(_xlpm.baseRow,OR($E634="Tier 3",$E634="Tier 4"),$C634&lt;&gt;"",$D634&gt;=24,COUNTIF(Tables2!$B$166:$B$674,$C634)&gt;0),
Error!$B$44,
IF(AND(_xlpm.baseRow,OR($E634="Tier 3",$E634="Tier 4"),$C634&lt;&gt;"",$D634&lt;&gt;"",COUNTIF(Tables2!$B$73:$B$152,$C634)&gt;0,
$D634&gt;=IFERROR(INDEX(Tables2!$C$73:$C$152,MATCH($C634,Tables2!$B$73:$B$152,0)),-1)),
Error!$B$44,
IF(AND(_xlpm.baseRow,OR($E634="Tier 2",$E634="Tier 2 Grove"),$C634&lt;&gt;"",$D634&gt;=12,COUNTIF(Tables2!$B$153:$B$162,$C634)&gt;0),
Error!$B$45,
IF(AND(_xlpm.baseRow,$E634="Tier 2 Grove",$D634&lt;12),
Error!$B$41,
IF(AND(_xlpm.baseRow,$E634="Tier 2",$D634&lt;5.88),
Error!$B$40,
IF(AND(_xlpm.baseRow,OR($E634="Tier 2",$E634="Tier 2 Grove"),$C634&lt;&gt;"",$D634&lt;12,$D634&gt;=6,COUNTIF(Tables2!$B$153:$B$162,$C634)&gt;0),
Error!$B$54,
IF(AND(_xlpm.baseRow,$E634="Tier 2",COUNTIF(Tables2!$B$166:$B$674,$C634)&gt;0,$D634&lt;24),
Error!$B$54,
IF(AND(_xlpm.baseRow,$E634="Tier 3",ISNA(MATCH($C634,Tables2!$B$153:$B$162,0)),OR($D634&lt;12,$D634&gt;=24)),
Error!$B$9,
IF(AND(_xlpm.baseRow,$E634="Tier 3",COUNTIF(Tables2!$B$153:$B$162,$C634)&gt;0,$D634&lt;12),
Error!$B$46,
IF(AND(_xlpm.baseRow,$E634="Tier 4",OR($D634&lt;6,$D634&gt;=12)),
Error!$B$10,
IF(AND(_xlpm.baseRow,$E634="&lt;6in DSH for Tree Points",OR($D634&gt;=6,$D634="")),
Error!$B$8,
IF(AND(_xlpm.baseRow,$E634="Street Tree for Green Factor",$F634&lt;&gt;"",$F634&lt;&gt;"Retain"),
Error!$B$14,
IF(AND($E634="&lt;6in DSH for Tree Points",$F634="Retain",$H634&lt;&gt;"",ISNA(MATCH($H634,Tables!$B$174:$B$174,0))),
Error!$B$15,
IF(AND($E634="Street Tree for Green Factor",$F634="Retain",$H634&lt;&gt;"",$H634&lt;&gt;"Zoning: Green Factor"),
Error!$B$15,
IF(AND($E634="ECA / Shoreline Tree",$F634="Remove",$H634&lt;&gt;"",ISNA(MATCH($H634,Tables!$B$189:$B$190,0))),
Error!$B$15,
IF(AND($E634="ECA / Shoreline Tree",$F634="Retain",$H634&lt;&gt;"",ISNA(MATCH($H634,Tables!$B$184:$B$186,0))),
Error!$B$15,
IF(AND($E634="Tier 4",$F634="Remove",$H634&lt;&gt;"",ISNA(MATCH($H634,Tables!$B$171,0))),
Error!$B$15,
IF(AND($E634="Tier 4",$F634="Retain",$H634&lt;&gt;"",ISNA(MATCH($H634,Tables!$B$166:$B$168,0))),
Error!$B$15,
IF(AND($E634="Tier 3",$F634="Retain",$H634&lt;&gt;"",ISNA(MATCH($H634,Tables!$B$158:$B$160,0))),
Error!$B$15,
IF(AND($E634="Tier 3",$F634="Remove",$H634&lt;&gt;"",ISNA(MATCH($H634,Tables!$B$163,0))),
Error!$B$15,
IF(AND(OR($E634="Tier 2",$E634="Tier 2 Grove"),$F634="Remove",$H634&lt;&gt;"",ISNA(MATCH($H634,Tables!$B$153:$B$155,0))),
Error!$B$15,
IF(AND(OR($E634="Tier 2",$E634="Tier 2 Grove"),$F634="Retain",$H634&lt;&gt;"",ISNA(MATCH($H634,Tables!$B$147:$B$150,0))),
Error!$B$15,
IF(AND($E634="Tier 1",$F634="Remove",$H634&lt;&gt;"",ISNA(MATCH($H634,Tables!$B$143:$B$144,0))),
Error!$B$15,
IF(AND($E634="Tier 1",$F634="Retain",$H634&lt;&gt;"",ISNA(MATCH($H634,Tables!$B$137:$B$140,0))),
Error!$B$15,
IF(AND($E634&lt;&gt;"Tier 2",$E634&lt;&gt;"Tier 2 Grove",$E634&lt;&gt;"Tier 3",$E634&lt;&gt;"Tier 4",$H634="Zoning: Green Factor",OR($D634="",$D634&lt;6)),
Error!$B$11,
IF(AND(_xlpm.baseRow,$D634&lt;6,$E634="&lt;6in DSH for Tree Points",_xlpm.TreePoints_H=0),
Error!$B$21,
IF(AND(_xlpm.baseRow,$E634&lt;&gt;"",$D634&lt;&gt;"",$F634=""),
Error!$B$4,
IF(AND(_xlpm.baseRow,$F634="Remove",OR($E634="Tier 1",$E634="Tier 2",$E634="Tier 2 Grove"),COUNTBLANK(_xlpm.HRange)&lt;3,_xlpm.uniqueH&gt;=2),
Error!$B$48,
IF(AND(_xlpm.baseRow,$F634="Retain",OR($E634="Tier 1",$E634="Tier 2",$E634="Tier 2 Grove"),COUNTIF(_xlpm.HRange,"Tree Code: Required to Retain Tier 1-2 Tree")=0),
Error!$B$47,
IF(AND(_xlpm.baseRow,$E634&lt;&gt;"",$D634&lt;&gt;"",$F634&lt;&gt;"",COUNTBLANK(_xlpm.HRange)=4),
Error!$B$5,
IF(AND($F634="Remove",$H634&lt;&gt;"",$I634=""),
Error!$B$18,
IF(AND($E634="Tier 4",$F634="Remove",$H634="Tree Protection Code: Tier 3 or Tier 4 Allowance",$H634&lt;&gt;"",ISNA(MATCH($I634,Tables!$B$200,0))),
Error!$B$17,
IF(AND($E634="Tier 3",$F634="Remove",$H634&lt;&gt;"",$H634="Tree Protection Code: Tier 3 or Tier 4 Allowance",OR($I634="",ISNA(MATCH($I634,Tables!$B$193:$B$197,0)))),
Error!$B$17,
IF(AND(OR($E634="Tier 2",$E634="Tier 2 Grove"),$F634="Remove",$H634="Tree Protection Code: Other removal allowance or exemption",$I634&lt;&gt;"",ISNA(MATCH($I634,Tables!$B$215:$B$218,0))),
Error!$B$17,
IF(AND(OR($E634="Tier 2",$E634="Tier 2 Grove"),$F634="Remove",$H634="Tree Protection Code: Development Capacity",$I634&lt;&gt;"",ISNA(MATCH($I634,Tables!$B$193:$B$197,0))),
Error!$B$17,
IF(AND(OR($E634="Tier 2",$E634="Tier 2 Grove"),$F634="Remove",$H634="Tree Protection Code: Necessary for Construction",$I634&lt;&gt;"",ISNA(MATCH($I634,Tables!$B$193:$B$197,0))),
Error!$B$17,
IF(AND($E634="Tier 1",$F634="Remove",$H634="Tree Protection Code: Special Exception",$I634&lt;&gt;"",ISNA(MATCH($I634,Tables!$B$215:$B$218,0))),
Error!$B$17,
IF(AND($E634="Tier 1",$F634="Remove",$H634="Tree Protection Code: Other removal allowance or exemption",$I634&lt;&gt;"",ISNA(MATCH($I634,Tables!$B$215:$B$218,0))),
Error!$B$17,
IF(AND($E634="ECA / Shoreline Tree",$F634="Remove",$H634&lt;&gt;"",OR($H634="Shoreline",$H634="Environmental Critical Area (ECA)"),ISNA(MATCH($I634,Tables!$B$209:$B$212,0))),
Error!$B$17,
IF(AND(_xlpm.baseRow,$F634="Retain",$E634="ECA / Shoreline Tree",_xlpm.ECA_Short=0),
Error!$B$61,
IF(AND($F634="Remove",ISNUMBER(MATCH($E634,{"Tier 1","Tier 2","Tier 3","Tier 4","Tier 2 Grove"},0)),ISNUMBER(MATCH($I634,{"On-site replacement","Off-site replacement"},0)),$J634="",$H634&lt;&gt;""),
Error!$B$19,
IF(AND(_xlpm.baseRow,$E634&lt;&gt;"",$D634&lt;&gt;"",$F634&lt;&gt;"",COUNTBLANK($B634:$C634)&gt;0,COUNTBLANK(_xlpm.HRange)&lt;&gt;4),
Error!$B$22,
IF(AND($H634="Zoning: Tree Points",$K634&lt;&gt;"",ISNA(MATCH($K634,Tables!$B$242:$B$253,0))),
Error!$B$58,
IF(AND($H634="Zoning: Tree Points",$K634="Small",$L634&lt;&gt;"",ISNA(MATCH($L634,Tables!$C$243:$C$244,0))),
Error!$B$59,
IF(AND($H634="Zoning: Tree Points",$K634="Small/Medium",$L634&lt;&gt;"",ISNA(MATCH($L634,Tables!$C$246:$C$247,0))),
Error!$B$59,
IF(AND($H634="Zoning: Tree Points",$K634="Medium/Large",$L634&lt;&gt;"",ISNA(MATCH($L634,Tables!$C$249:$C$250,0))),
Error!$B$59,
IF(AND($H634="Zoning: Tree Points",$K634="Large",$L634&lt;&gt;"",ISNA(MATCH($L634,Tables!$C$252:$C$253,0))),
Error!$B$59,
IF(AND($F634="Retain",$H634="Zoning: Tree Points",$C634&lt;&gt;"",$D634&lt;&gt;"",OR($K634="",$L634="",$M634="")),
Error!$B$20,
""
)))))))))))))))))))))))))))))))))))))))))))))))))))))))),
Error!$B$23))</f>
        <v/>
      </c>
      <c r="O634" s="343" t="str" cm="1">
        <f t="array" aca="1" ref="O634" ca="1">IFERROR(_xlfn.LET(
    _xlpm.txt, $C634,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35" spans="1:15" ht="15" thickBot="1" x14ac:dyDescent="0.35">
      <c r="A635" s="311">
        <v>157</v>
      </c>
      <c r="B635" s="312"/>
      <c r="C635" s="313"/>
      <c r="D635" s="478"/>
      <c r="E635" s="314"/>
      <c r="F635" s="314"/>
      <c r="G635" s="315" t="str">
        <f>IF(Tree_Table1[[#This Row],[Tree Status  &amp;]]="Retain", Tables!$B$237, IF(Tree_Table1[[#This Row],[Tree Status  &amp;]]="Remove", Tables!$B$238, ""))</f>
        <v/>
      </c>
      <c r="H635" s="316"/>
      <c r="I635" s="317"/>
      <c r="J635" s="452"/>
      <c r="K635" s="318" t="str">
        <f>IFERROR(
    IF(
        AND($H635="Zoning: Tree Points", NOT(ISNUMBER(SEARCH("sp.", $C635)))),
        VLOOKUP($C635, 'Tree List'!$C$3:$F$601, 4, FALSE),
        ""
    ),
"")</f>
        <v/>
      </c>
      <c r="L635" s="319" t="str" cm="1">
        <f t="array" ref="L635">IFERROR(
IF(
    AND($H635="Zoning: Tree Points", NOT(ISNUMBER(SEARCH("sp.", $C635)))),
    _xlfn.IFS(
        (COUNTIFS('Tree List'!$C$3:$C$601,$C635,'Tree List'!$D$3:$D$601,"Coniferous")
        + COUNTIFS('Tree List'!$C$3:$C$601,$C635,'Tree List'!$D$3:$D$601,"Deciduous Conifer")) &gt; 0,
            _xlfn.IFS($K635="Small",0.5,$K635="Small/Medium",1,$K635="Medium/Large",1.4,$K635="Large",1.8),
        (COUNTIFS('Tree List'!$C$3:$C$601,$C635,'Tree List'!$D$3:$D$601,"Deciduous")
        + COUNTIFS('Tree List'!$C$3:$C$601,$C635,'Tree List'!$D$3:$D$601,"Broadleaf Evergreen")) &gt; 0,
            _xlfn.IFS($K635="Small",0.4,$K635="Small/Medium",0.8,$K635="Medium/Large",1.2,$K635="Large",1.6)
    ),
    ""
),
"")</f>
        <v/>
      </c>
      <c r="M635" s="474" t="str">
        <f t="shared" si="735"/>
        <v/>
      </c>
      <c r="N635" s="620" t="str" cm="1">
        <f t="array" aca="1" ref="N63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IF(AND(_xlpm.baseRow,ISNA(MATCH($C635,'Tree List'!$C$3:$C$601,0)),SUMPRODUCT(--ISNUMBER(SEARCH(Tables2!$C$677:$C$772,$O635)))&gt;0),
Error!$B$57,
IF(AND(_xlpm.hasDM,$F635="Remove",$H635&lt;&gt;"",OR($I635="On-site replacement",$I635="Off-site replacement",$I635="Payment In Lieu")),
Error!$B$56,
IF(AND(_xlpm.hasDM,$F635="Remove",$H635&lt;&gt;"",$I635="Relocation"),
Error!$B$66,
IF(AND(OR(_xlpm.hasCN,_xlpm.hasPH,_xlpm.hasGR),$H635&lt;&gt;"",COUNTIF(Tables!$B$132:$B$134,$H635)&gt;0,$I635="N/A (No replacement required)"),
Error!$B$62,
IF(AND(_xlpm.baseRow,$E635&lt;&gt;"",ISNA(MATCH($E635,Tables!$B$225:$B$232,0))),
Error!$B$2,
IF(AND(_xlpm.baseRow,$F635&lt;&gt;"",ISNA(MATCH($F635,Tables!$B$234:$B$235,0))),
Error!$B$24,
IF(AND(_xlpm.baseRow,_xlpm.ECA_H&gt;0,_xlpm.Shore_H&gt;0),
Error!$B$16,
IF(AND(_xlpm.baseRow,$E635&lt;&gt;"",$D635=""),
Error!$B$3,
IF(AND(_xlpm.baseRow,OR($E635="Tier 3",$E635="Tier 4"),$C635&lt;&gt;"",$D635&gt;=24,COUNTIF(Tables2!$B$166:$B$674,$C635)&gt;0),
Error!$B$44,
IF(AND(_xlpm.baseRow,OR($E635="Tier 3",$E635="Tier 4"),$C635&lt;&gt;"",$D635&lt;&gt;"",COUNTIF(Tables2!$B$73:$B$152,$C635)&gt;0,
$D635&gt;=IFERROR(INDEX(Tables2!$C$73:$C$152,MATCH($C635,Tables2!$B$73:$B$152,0)),-1)),
Error!$B$44,
IF(AND(_xlpm.baseRow,OR($E635="Tier 2",$E635="Tier 2 Grove"),$C635&lt;&gt;"",$D635&gt;=12,COUNTIF(Tables2!$B$153:$B$162,$C635)&gt;0),
Error!$B$45,
IF(AND(_xlpm.baseRow,$E635="Tier 2 Grove",$D635&lt;12),
Error!$B$41,
IF(AND(_xlpm.baseRow,$E635="Tier 2",$D635&lt;5.88),
Error!$B$40,
IF(AND(_xlpm.baseRow,OR($E635="Tier 2",$E635="Tier 2 Grove"),$C635&lt;&gt;"",$D635&lt;12,$D635&gt;=6,COUNTIF(Tables2!$B$153:$B$162,$C635)&gt;0),
Error!$B$54,
IF(AND(_xlpm.baseRow,$E635="Tier 2",COUNTIF(Tables2!$B$166:$B$674,$C635)&gt;0,$D635&lt;24),
Error!$B$54,
IF(AND(_xlpm.baseRow,$E635="Tier 3",ISNA(MATCH($C635,Tables2!$B$153:$B$162,0)),OR($D635&lt;12,$D635&gt;=24)),
Error!$B$9,
IF(AND(_xlpm.baseRow,$E635="Tier 3",COUNTIF(Tables2!$B$153:$B$162,$C635)&gt;0,$D635&lt;12),
Error!$B$46,
IF(AND(_xlpm.baseRow,$E635="Tier 4",OR($D635&lt;6,$D635&gt;=12)),
Error!$B$10,
IF(AND(_xlpm.baseRow,$E635="&lt;6in DSH for Tree Points",OR($D635&gt;=6,$D635="")),
Error!$B$8,
IF(AND(_xlpm.baseRow,$E635="Street Tree for Green Factor",$F635&lt;&gt;"",$F635&lt;&gt;"Retain"),
Error!$B$14,
IF(AND($E635="&lt;6in DSH for Tree Points",$F635="Retain",$H635&lt;&gt;"",ISNA(MATCH($H635,Tables!$B$174:$B$174,0))),
Error!$B$15,
IF(AND($E635="Street Tree for Green Factor",$F635="Retain",$H635&lt;&gt;"",$H635&lt;&gt;"Zoning: Green Factor"),
Error!$B$15,
IF(AND($E635="ECA / Shoreline Tree",$F635="Remove",$H635&lt;&gt;"",ISNA(MATCH($H635,Tables!$B$189:$B$190,0))),
Error!$B$15,
IF(AND($E635="ECA / Shoreline Tree",$F635="Retain",$H635&lt;&gt;"",ISNA(MATCH($H635,Tables!$B$184:$B$186,0))),
Error!$B$15,
IF(AND($E635="Tier 4",$F635="Remove",$H635&lt;&gt;"",ISNA(MATCH($H635,Tables!$B$171,0))),
Error!$B$15,
IF(AND($E635="Tier 4",$F635="Retain",$H635&lt;&gt;"",ISNA(MATCH($H635,Tables!$B$166:$B$168,0))),
Error!$B$15,
IF(AND($E635="Tier 3",$F635="Retain",$H635&lt;&gt;"",ISNA(MATCH($H635,Tables!$B$158:$B$160,0))),
Error!$B$15,
IF(AND($E635="Tier 3",$F635="Remove",$H635&lt;&gt;"",ISNA(MATCH($H635,Tables!$B$163,0))),
Error!$B$15,
IF(AND(OR($E635="Tier 2",$E635="Tier 2 Grove"),$F635="Remove",$H635&lt;&gt;"",ISNA(MATCH($H635,Tables!$B$153:$B$155,0))),
Error!$B$15,
IF(AND(OR($E635="Tier 2",$E635="Tier 2 Grove"),$F635="Retain",$H635&lt;&gt;"",ISNA(MATCH($H635,Tables!$B$147:$B$150,0))),
Error!$B$15,
IF(AND($E635="Tier 1",$F635="Remove",$H635&lt;&gt;"",ISNA(MATCH($H635,Tables!$B$143:$B$144,0))),
Error!$B$15,
IF(AND($E635="Tier 1",$F635="Retain",$H635&lt;&gt;"",ISNA(MATCH($H635,Tables!$B$137:$B$140,0))),
Error!$B$15,
IF(AND($E635&lt;&gt;"Tier 2",$E635&lt;&gt;"Tier 2 Grove",$E635&lt;&gt;"Tier 3",$E635&lt;&gt;"Tier 4",$H635="Zoning: Green Factor",OR($D635="",$D635&lt;6)),
Error!$B$11,
IF(AND(_xlpm.baseRow,$D635&lt;6,$E635="&lt;6in DSH for Tree Points",_xlpm.TreePoints_H=0),
Error!$B$21,
IF(AND(_xlpm.baseRow,$E635&lt;&gt;"",$D635&lt;&gt;"",$F635=""),
Error!$B$4,
IF(AND(_xlpm.baseRow,$F635="Remove",OR($E635="Tier 1",$E635="Tier 2",$E635="Tier 2 Grove"),COUNTBLANK(_xlpm.HRange)&lt;3,_xlpm.uniqueH&gt;=2),
Error!$B$48,
IF(AND(_xlpm.baseRow,$F635="Retain",OR($E635="Tier 1",$E635="Tier 2",$E635="Tier 2 Grove"),COUNTIF(_xlpm.HRange,"Tree Code: Required to Retain Tier 1-2 Tree")=0),
Error!$B$47,
IF(AND(_xlpm.baseRow,$E635&lt;&gt;"",$D635&lt;&gt;"",$F635&lt;&gt;"",COUNTBLANK(_xlpm.HRange)=4),
Error!$B$5,
IF(AND($F635="Remove",$H635&lt;&gt;"",$I635=""),
Error!$B$18,
IF(AND($E635="Tier 4",$F635="Remove",$H635="Tree Protection Code: Tier 3 or Tier 4 Allowance",$H635&lt;&gt;"",ISNA(MATCH($I635,Tables!$B$200,0))),
Error!$B$17,
IF(AND($E635="Tier 3",$F635="Remove",$H635&lt;&gt;"",$H635="Tree Protection Code: Tier 3 or Tier 4 Allowance",OR($I635="",ISNA(MATCH($I635,Tables!$B$193:$B$197,0)))),
Error!$B$17,
IF(AND(OR($E635="Tier 2",$E635="Tier 2 Grove"),$F635="Remove",$H635="Tree Protection Code: Other removal allowance or exemption",$I635&lt;&gt;"",ISNA(MATCH($I635,Tables!$B$215:$B$218,0))),
Error!$B$17,
IF(AND(OR($E635="Tier 2",$E635="Tier 2 Grove"),$F635="Remove",$H635="Tree Protection Code: Development Capacity",$I635&lt;&gt;"",ISNA(MATCH($I635,Tables!$B$193:$B$197,0))),
Error!$B$17,
IF(AND(OR($E635="Tier 2",$E635="Tier 2 Grove"),$F635="Remove",$H635="Tree Protection Code: Necessary for Construction",$I635&lt;&gt;"",ISNA(MATCH($I635,Tables!$B$193:$B$197,0))),
Error!$B$17,
IF(AND($E635="Tier 1",$F635="Remove",$H635="Tree Protection Code: Special Exception",$I635&lt;&gt;"",ISNA(MATCH($I635,Tables!$B$215:$B$218,0))),
Error!$B$17,
IF(AND($E635="Tier 1",$F635="Remove",$H635="Tree Protection Code: Other removal allowance or exemption",$I635&lt;&gt;"",ISNA(MATCH($I635,Tables!$B$215:$B$218,0))),
Error!$B$17,
IF(AND($E635="ECA / Shoreline Tree",$F635="Remove",$H635&lt;&gt;"",OR($H635="Shoreline",$H635="Environmental Critical Area (ECA)"),ISNA(MATCH($I635,Tables!$B$209:$B$212,0))),
Error!$B$17,
IF(AND(_xlpm.baseRow,$F635="Retain",$E635="ECA / Shoreline Tree",_xlpm.ECA_Short=0),
Error!$B$61,
IF(AND($F635="Remove",ISNUMBER(MATCH($E635,{"Tier 1","Tier 2","Tier 3","Tier 4","Tier 2 Grove"},0)),ISNUMBER(MATCH($I635,{"On-site replacement","Off-site replacement"},0)),$J635="",$H635&lt;&gt;""),
Error!$B$19,
IF(AND(_xlpm.baseRow,$E635&lt;&gt;"",$D635&lt;&gt;"",$F635&lt;&gt;"",COUNTBLANK($B635:$C635)&gt;0,COUNTBLANK(_xlpm.HRange)&lt;&gt;4),
Error!$B$22,
IF(AND($H635="Zoning: Tree Points",$K635&lt;&gt;"",ISNA(MATCH($K635,Tables!$B$242:$B$253,0))),
Error!$B$58,
IF(AND($H635="Zoning: Tree Points",$K635="Small",$L635&lt;&gt;"",ISNA(MATCH($L635,Tables!$C$243:$C$244,0))),
Error!$B$59,
IF(AND($H635="Zoning: Tree Points",$K635="Small/Medium",$L635&lt;&gt;"",ISNA(MATCH($L635,Tables!$C$246:$C$247,0))),
Error!$B$59,
IF(AND($H635="Zoning: Tree Points",$K635="Medium/Large",$L635&lt;&gt;"",ISNA(MATCH($L635,Tables!$C$249:$C$250,0))),
Error!$B$59,
IF(AND($H635="Zoning: Tree Points",$K635="Large",$L635&lt;&gt;"",ISNA(MATCH($L635,Tables!$C$252:$C$253,0))),
Error!$B$59,
IF(AND($F635="Retain",$H635="Zoning: Tree Points",$C635&lt;&gt;"",$D635&lt;&gt;"",OR($K635="",$L635="",$M635="")),
Error!$B$20,
""
)))))))))))))))))))))))))))))))))))))))))))))))))))))))),
Error!$B$23))</f>
        <v/>
      </c>
      <c r="O635" s="343" t="str" cm="1">
        <f t="array" aca="1" ref="O635" ca="1">IFERROR(_xlfn.LET(
    _xlpm.txt, $C635,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36" spans="1:15" x14ac:dyDescent="0.3">
      <c r="A636" s="320"/>
      <c r="B636" s="616" t="str">
        <f t="shared" ref="B636:B638" si="746">IF($B635="", "", $B635)</f>
        <v/>
      </c>
      <c r="C636" s="617" t="str">
        <f t="shared" ref="C636:C638" si="747">IF($C635="", "", $C635)</f>
        <v/>
      </c>
      <c r="D636" s="618" t="str">
        <f t="shared" ref="D636:D638" si="748">IF($D635="", "", $D635)</f>
        <v/>
      </c>
      <c r="E636" s="616" t="str">
        <f t="shared" ref="E636:E638" si="749">IF($E635="", "", $E635)</f>
        <v/>
      </c>
      <c r="F636" s="616" t="str">
        <f t="shared" ref="F636:F638" si="750">IF($F635="", "", $F635)</f>
        <v/>
      </c>
      <c r="G636" s="619" t="str">
        <f>IF(Tree_Table1[[#This Row],[Tree Status  &amp;]]="Retain", Tables!$B$237, IF(Tree_Table1[[#This Row],[Tree Status  &amp;]]="Remove", Tables!$B$238, ""))</f>
        <v/>
      </c>
      <c r="H636" s="321"/>
      <c r="I636" s="322"/>
      <c r="J636" s="453"/>
      <c r="K636" s="323" t="str">
        <f>IFERROR(
    IF(
        AND($H636="Zoning: Tree Points", NOT(ISNUMBER(SEARCH("sp.", $C636)))),
        VLOOKUP($C636, 'Tree List'!$C$3:$F$601, 4, FALSE),
        ""
    ),
"")</f>
        <v/>
      </c>
      <c r="L636" s="324" t="str" cm="1">
        <f t="array" ref="L636">IFERROR(
IF(
    AND($H636="Zoning: Tree Points", NOT(ISNUMBER(SEARCH("sp.", $C636)))),
    _xlfn.IFS(
        (COUNTIFS('Tree List'!$C$3:$C$601,$C636,'Tree List'!$D$3:$D$601,"Coniferous")
        + COUNTIFS('Tree List'!$C$3:$C$601,$C636,'Tree List'!$D$3:$D$601,"Deciduous Conifer")) &gt; 0,
            _xlfn.IFS($K636="Small",0.5,$K636="Small/Medium",1,$K636="Medium/Large",1.4,$K636="Large",1.8),
        (COUNTIFS('Tree List'!$C$3:$C$601,$C636,'Tree List'!$D$3:$D$601,"Deciduous")
        + COUNTIFS('Tree List'!$C$3:$C$601,$C636,'Tree List'!$D$3:$D$601,"Broadleaf Evergreen")) &gt; 0,
            _xlfn.IFS($K636="Small",0.4,$K636="Small/Medium",0.8,$K636="Medium/Large",1.2,$K636="Large",1.6)
    ),
    ""
),
"")</f>
        <v/>
      </c>
      <c r="M636" s="475" t="str">
        <f t="shared" si="735"/>
        <v/>
      </c>
      <c r="N636" s="346" t="str" cm="1">
        <f t="array" aca="1" ref="N63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IF(AND(_xlpm.baseRow,ISNA(MATCH($C636,'Tree List'!$C$3:$C$601,0)),SUMPRODUCT(--ISNUMBER(SEARCH(Tables2!$C$677:$C$772,$O636)))&gt;0),
Error!$B$57,
IF(AND(_xlpm.hasDM,$F636="Remove",$H636&lt;&gt;"",OR($I636="On-site replacement",$I636="Off-site replacement",$I636="Payment In Lieu")),
Error!$B$56,
IF(AND(_xlpm.hasDM,$F636="Remove",$H636&lt;&gt;"",$I636="Relocation"),
Error!$B$66,
IF(AND(OR(_xlpm.hasCN,_xlpm.hasPH,_xlpm.hasGR),$H636&lt;&gt;"",COUNTIF(Tables!$B$132:$B$134,$H636)&gt;0,$I636="N/A (No replacement required)"),
Error!$B$62,
IF(AND(_xlpm.baseRow,$E636&lt;&gt;"",ISNA(MATCH($E636,Tables!$B$225:$B$232,0))),
Error!$B$2,
IF(AND(_xlpm.baseRow,$F636&lt;&gt;"",ISNA(MATCH($F636,Tables!$B$234:$B$235,0))),
Error!$B$24,
IF(AND(_xlpm.baseRow,_xlpm.ECA_H&gt;0,_xlpm.Shore_H&gt;0),
Error!$B$16,
IF(AND(_xlpm.baseRow,$E636&lt;&gt;"",$D636=""),
Error!$B$3,
IF(AND(_xlpm.baseRow,OR($E636="Tier 3",$E636="Tier 4"),$C636&lt;&gt;"",$D636&gt;=24,COUNTIF(Tables2!$B$166:$B$674,$C636)&gt;0),
Error!$B$44,
IF(AND(_xlpm.baseRow,OR($E636="Tier 3",$E636="Tier 4"),$C636&lt;&gt;"",$D636&lt;&gt;"",COUNTIF(Tables2!$B$73:$B$152,$C636)&gt;0,
$D636&gt;=IFERROR(INDEX(Tables2!$C$73:$C$152,MATCH($C636,Tables2!$B$73:$B$152,0)),-1)),
Error!$B$44,
IF(AND(_xlpm.baseRow,OR($E636="Tier 2",$E636="Tier 2 Grove"),$C636&lt;&gt;"",$D636&gt;=12,COUNTIF(Tables2!$B$153:$B$162,$C636)&gt;0),
Error!$B$45,
IF(AND(_xlpm.baseRow,$E636="Tier 2 Grove",$D636&lt;12),
Error!$B$41,
IF(AND(_xlpm.baseRow,$E636="Tier 2",$D636&lt;5.88),
Error!$B$40,
IF(AND(_xlpm.baseRow,OR($E636="Tier 2",$E636="Tier 2 Grove"),$C636&lt;&gt;"",$D636&lt;12,$D636&gt;=6,COUNTIF(Tables2!$B$153:$B$162,$C636)&gt;0),
Error!$B$54,
IF(AND(_xlpm.baseRow,$E636="Tier 2",COUNTIF(Tables2!$B$166:$B$674,$C636)&gt;0,$D636&lt;24),
Error!$B$54,
IF(AND(_xlpm.baseRow,$E636="Tier 3",ISNA(MATCH($C636,Tables2!$B$153:$B$162,0)),OR($D636&lt;12,$D636&gt;=24)),
Error!$B$9,
IF(AND(_xlpm.baseRow,$E636="Tier 3",COUNTIF(Tables2!$B$153:$B$162,$C636)&gt;0,$D636&lt;12),
Error!$B$46,
IF(AND(_xlpm.baseRow,$E636="Tier 4",OR($D636&lt;6,$D636&gt;=12)),
Error!$B$10,
IF(AND(_xlpm.baseRow,$E636="&lt;6in DSH for Tree Points",OR($D636&gt;=6,$D636="")),
Error!$B$8,
IF(AND(_xlpm.baseRow,$E636="Street Tree for Green Factor",$F636&lt;&gt;"",$F636&lt;&gt;"Retain"),
Error!$B$14,
IF(AND($E636="&lt;6in DSH for Tree Points",$F636="Retain",$H636&lt;&gt;"",ISNA(MATCH($H636,Tables!$B$174:$B$174,0))),
Error!$B$15,
IF(AND($E636="Street Tree for Green Factor",$F636="Retain",$H636&lt;&gt;"",$H636&lt;&gt;"Zoning: Green Factor"),
Error!$B$15,
IF(AND($E636="ECA / Shoreline Tree",$F636="Remove",$H636&lt;&gt;"",ISNA(MATCH($H636,Tables!$B$189:$B$190,0))),
Error!$B$15,
IF(AND($E636="ECA / Shoreline Tree",$F636="Retain",$H636&lt;&gt;"",ISNA(MATCH($H636,Tables!$B$184:$B$186,0))),
Error!$B$15,
IF(AND($E636="Tier 4",$F636="Remove",$H636&lt;&gt;"",ISNA(MATCH($H636,Tables!$B$171,0))),
Error!$B$15,
IF(AND($E636="Tier 4",$F636="Retain",$H636&lt;&gt;"",ISNA(MATCH($H636,Tables!$B$166:$B$168,0))),
Error!$B$15,
IF(AND($E636="Tier 3",$F636="Retain",$H636&lt;&gt;"",ISNA(MATCH($H636,Tables!$B$158:$B$160,0))),
Error!$B$15,
IF(AND($E636="Tier 3",$F636="Remove",$H636&lt;&gt;"",ISNA(MATCH($H636,Tables!$B$163,0))),
Error!$B$15,
IF(AND(OR($E636="Tier 2",$E636="Tier 2 Grove"),$F636="Remove",$H636&lt;&gt;"",ISNA(MATCH($H636,Tables!$B$153:$B$155,0))),
Error!$B$15,
IF(AND(OR($E636="Tier 2",$E636="Tier 2 Grove"),$F636="Retain",$H636&lt;&gt;"",ISNA(MATCH($H636,Tables!$B$147:$B$150,0))),
Error!$B$15,
IF(AND($E636="Tier 1",$F636="Remove",$H636&lt;&gt;"",ISNA(MATCH($H636,Tables!$B$143:$B$144,0))),
Error!$B$15,
IF(AND($E636="Tier 1",$F636="Retain",$H636&lt;&gt;"",ISNA(MATCH($H636,Tables!$B$137:$B$140,0))),
Error!$B$15,
IF(AND($E636&lt;&gt;"Tier 2",$E636&lt;&gt;"Tier 2 Grove",$E636&lt;&gt;"Tier 3",$E636&lt;&gt;"Tier 4",$H636="Zoning: Green Factor",OR($D636="",$D636&lt;6)),
Error!$B$11,
IF(AND(_xlpm.baseRow,$D636&lt;6,$E636="&lt;6in DSH for Tree Points",_xlpm.TreePoints_H=0),
Error!$B$21,
IF(AND(_xlpm.baseRow,$E636&lt;&gt;"",$D636&lt;&gt;"",$F636=""),
Error!$B$4,
IF(AND(_xlpm.baseRow,$F636="Remove",OR($E636="Tier 1",$E636="Tier 2",$E636="Tier 2 Grove"),COUNTBLANK(_xlpm.HRange)&lt;3,_xlpm.uniqueH&gt;=2),
Error!$B$48,
IF(AND(_xlpm.baseRow,$F636="Retain",OR($E636="Tier 1",$E636="Tier 2",$E636="Tier 2 Grove"),COUNTIF(_xlpm.HRange,"Tree Code: Required to Retain Tier 1-2 Tree")=0),
Error!$B$47,
IF(AND(_xlpm.baseRow,$E636&lt;&gt;"",$D636&lt;&gt;"",$F636&lt;&gt;"",COUNTBLANK(_xlpm.HRange)=4),
Error!$B$5,
IF(AND($F636="Remove",$H636&lt;&gt;"",$I636=""),
Error!$B$18,
IF(AND($E636="Tier 4",$F636="Remove",$H636="Tree Protection Code: Tier 3 or Tier 4 Allowance",$H636&lt;&gt;"",ISNA(MATCH($I636,Tables!$B$200,0))),
Error!$B$17,
IF(AND($E636="Tier 3",$F636="Remove",$H636&lt;&gt;"",$H636="Tree Protection Code: Tier 3 or Tier 4 Allowance",OR($I636="",ISNA(MATCH($I636,Tables!$B$193:$B$197,0)))),
Error!$B$17,
IF(AND(OR($E636="Tier 2",$E636="Tier 2 Grove"),$F636="Remove",$H636="Tree Protection Code: Other removal allowance or exemption",$I636&lt;&gt;"",ISNA(MATCH($I636,Tables!$B$215:$B$218,0))),
Error!$B$17,
IF(AND(OR($E636="Tier 2",$E636="Tier 2 Grove"),$F636="Remove",$H636="Tree Protection Code: Development Capacity",$I636&lt;&gt;"",ISNA(MATCH($I636,Tables!$B$193:$B$197,0))),
Error!$B$17,
IF(AND(OR($E636="Tier 2",$E636="Tier 2 Grove"),$F636="Remove",$H636="Tree Protection Code: Necessary for Construction",$I636&lt;&gt;"",ISNA(MATCH($I636,Tables!$B$193:$B$197,0))),
Error!$B$17,
IF(AND($E636="Tier 1",$F636="Remove",$H636="Tree Protection Code: Special Exception",$I636&lt;&gt;"",ISNA(MATCH($I636,Tables!$B$215:$B$218,0))),
Error!$B$17,
IF(AND($E636="Tier 1",$F636="Remove",$H636="Tree Protection Code: Other removal allowance or exemption",$I636&lt;&gt;"",ISNA(MATCH($I636,Tables!$B$215:$B$218,0))),
Error!$B$17,
IF(AND($E636="ECA / Shoreline Tree",$F636="Remove",$H636&lt;&gt;"",OR($H636="Shoreline",$H636="Environmental Critical Area (ECA)"),ISNA(MATCH($I636,Tables!$B$209:$B$212,0))),
Error!$B$17,
IF(AND(_xlpm.baseRow,$F636="Retain",$E636="ECA / Shoreline Tree",_xlpm.ECA_Short=0),
Error!$B$61,
IF(AND($F636="Remove",ISNUMBER(MATCH($E636,{"Tier 1","Tier 2","Tier 3","Tier 4","Tier 2 Grove"},0)),ISNUMBER(MATCH($I636,{"On-site replacement","Off-site replacement"},0)),$J636="",$H636&lt;&gt;""),
Error!$B$19,
IF(AND(_xlpm.baseRow,$E636&lt;&gt;"",$D636&lt;&gt;"",$F636&lt;&gt;"",COUNTBLANK($B636:$C636)&gt;0,COUNTBLANK(_xlpm.HRange)&lt;&gt;4),
Error!$B$22,
IF(AND($H636="Zoning: Tree Points",$K636&lt;&gt;"",ISNA(MATCH($K636,Tables!$B$242:$B$253,0))),
Error!$B$58,
IF(AND($H636="Zoning: Tree Points",$K636="Small",$L636&lt;&gt;"",ISNA(MATCH($L636,Tables!$C$243:$C$244,0))),
Error!$B$59,
IF(AND($H636="Zoning: Tree Points",$K636="Small/Medium",$L636&lt;&gt;"",ISNA(MATCH($L636,Tables!$C$246:$C$247,0))),
Error!$B$59,
IF(AND($H636="Zoning: Tree Points",$K636="Medium/Large",$L636&lt;&gt;"",ISNA(MATCH($L636,Tables!$C$249:$C$250,0))),
Error!$B$59,
IF(AND($H636="Zoning: Tree Points",$K636="Large",$L636&lt;&gt;"",ISNA(MATCH($L636,Tables!$C$252:$C$253,0))),
Error!$B$59,
IF(AND($F636="Retain",$H636="Zoning: Tree Points",$C636&lt;&gt;"",$D636&lt;&gt;"",OR($K636="",$L636="",$M636="")),
Error!$B$20,
""
)))))))))))))))))))))))))))))))))))))))))))))))))))))))),
Error!$B$23))</f>
        <v/>
      </c>
      <c r="O636" s="343" t="str" cm="1">
        <f t="array" aca="1" ref="O636" ca="1">IFERROR(_xlfn.LET(
    _xlpm.txt, $C636,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37" spans="1:15" x14ac:dyDescent="0.3">
      <c r="A637" s="320"/>
      <c r="B637" s="616" t="str">
        <f t="shared" si="746"/>
        <v/>
      </c>
      <c r="C637" s="617" t="str">
        <f t="shared" si="747"/>
        <v/>
      </c>
      <c r="D637" s="618" t="str">
        <f t="shared" si="748"/>
        <v/>
      </c>
      <c r="E637" s="616" t="str">
        <f t="shared" si="749"/>
        <v/>
      </c>
      <c r="F637" s="616" t="str">
        <f t="shared" si="750"/>
        <v/>
      </c>
      <c r="G637" s="619" t="str">
        <f>IF(Tree_Table1[[#This Row],[Tree Status  &amp;]]="Retain", Tables!$B$237, IF(Tree_Table1[[#This Row],[Tree Status  &amp;]]="Remove", Tables!$B$238, ""))</f>
        <v/>
      </c>
      <c r="H637" s="321"/>
      <c r="I637" s="322"/>
      <c r="J637" s="453"/>
      <c r="K637" s="323" t="str">
        <f>IFERROR(
    IF(
        AND($H637="Zoning: Tree Points", NOT(ISNUMBER(SEARCH("sp.", $C637)))),
        VLOOKUP($C637, 'Tree List'!$C$3:$F$601, 4, FALSE),
        ""
    ),
"")</f>
        <v/>
      </c>
      <c r="L637" s="324" t="str" cm="1">
        <f t="array" ref="L637">IFERROR(
IF(
    AND($H637="Zoning: Tree Points", NOT(ISNUMBER(SEARCH("sp.", $C637)))),
    _xlfn.IFS(
        (COUNTIFS('Tree List'!$C$3:$C$601,$C637,'Tree List'!$D$3:$D$601,"Coniferous")
        + COUNTIFS('Tree List'!$C$3:$C$601,$C637,'Tree List'!$D$3:$D$601,"Deciduous Conifer")) &gt; 0,
            _xlfn.IFS($K637="Small",0.5,$K637="Small/Medium",1,$K637="Medium/Large",1.4,$K637="Large",1.8),
        (COUNTIFS('Tree List'!$C$3:$C$601,$C637,'Tree List'!$D$3:$D$601,"Deciduous")
        + COUNTIFS('Tree List'!$C$3:$C$601,$C637,'Tree List'!$D$3:$D$601,"Broadleaf Evergreen")) &gt; 0,
            _xlfn.IFS($K637="Small",0.4,$K637="Small/Medium",0.8,$K637="Medium/Large",1.2,$K637="Large",1.6)
    ),
    ""
),
"")</f>
        <v/>
      </c>
      <c r="M637" s="475" t="str">
        <f t="shared" si="735"/>
        <v/>
      </c>
      <c r="N637" s="346" t="str" cm="1">
        <f t="array" aca="1" ref="N63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IF(AND(_xlpm.baseRow,ISNA(MATCH($C637,'Tree List'!$C$3:$C$601,0)),SUMPRODUCT(--ISNUMBER(SEARCH(Tables2!$C$677:$C$772,$O637)))&gt;0),
Error!$B$57,
IF(AND(_xlpm.hasDM,$F637="Remove",$H637&lt;&gt;"",OR($I637="On-site replacement",$I637="Off-site replacement",$I637="Payment In Lieu")),
Error!$B$56,
IF(AND(_xlpm.hasDM,$F637="Remove",$H637&lt;&gt;"",$I637="Relocation"),
Error!$B$66,
IF(AND(OR(_xlpm.hasCN,_xlpm.hasPH,_xlpm.hasGR),$H637&lt;&gt;"",COUNTIF(Tables!$B$132:$B$134,$H637)&gt;0,$I637="N/A (No replacement required)"),
Error!$B$62,
IF(AND(_xlpm.baseRow,$E637&lt;&gt;"",ISNA(MATCH($E637,Tables!$B$225:$B$232,0))),
Error!$B$2,
IF(AND(_xlpm.baseRow,$F637&lt;&gt;"",ISNA(MATCH($F637,Tables!$B$234:$B$235,0))),
Error!$B$24,
IF(AND(_xlpm.baseRow,_xlpm.ECA_H&gt;0,_xlpm.Shore_H&gt;0),
Error!$B$16,
IF(AND(_xlpm.baseRow,$E637&lt;&gt;"",$D637=""),
Error!$B$3,
IF(AND(_xlpm.baseRow,OR($E637="Tier 3",$E637="Tier 4"),$C637&lt;&gt;"",$D637&gt;=24,COUNTIF(Tables2!$B$166:$B$674,$C637)&gt;0),
Error!$B$44,
IF(AND(_xlpm.baseRow,OR($E637="Tier 3",$E637="Tier 4"),$C637&lt;&gt;"",$D637&lt;&gt;"",COUNTIF(Tables2!$B$73:$B$152,$C637)&gt;0,
$D637&gt;=IFERROR(INDEX(Tables2!$C$73:$C$152,MATCH($C637,Tables2!$B$73:$B$152,0)),-1)),
Error!$B$44,
IF(AND(_xlpm.baseRow,OR($E637="Tier 2",$E637="Tier 2 Grove"),$C637&lt;&gt;"",$D637&gt;=12,COUNTIF(Tables2!$B$153:$B$162,$C637)&gt;0),
Error!$B$45,
IF(AND(_xlpm.baseRow,$E637="Tier 2 Grove",$D637&lt;12),
Error!$B$41,
IF(AND(_xlpm.baseRow,$E637="Tier 2",$D637&lt;5.88),
Error!$B$40,
IF(AND(_xlpm.baseRow,OR($E637="Tier 2",$E637="Tier 2 Grove"),$C637&lt;&gt;"",$D637&lt;12,$D637&gt;=6,COUNTIF(Tables2!$B$153:$B$162,$C637)&gt;0),
Error!$B$54,
IF(AND(_xlpm.baseRow,$E637="Tier 2",COUNTIF(Tables2!$B$166:$B$674,$C637)&gt;0,$D637&lt;24),
Error!$B$54,
IF(AND(_xlpm.baseRow,$E637="Tier 3",ISNA(MATCH($C637,Tables2!$B$153:$B$162,0)),OR($D637&lt;12,$D637&gt;=24)),
Error!$B$9,
IF(AND(_xlpm.baseRow,$E637="Tier 3",COUNTIF(Tables2!$B$153:$B$162,$C637)&gt;0,$D637&lt;12),
Error!$B$46,
IF(AND(_xlpm.baseRow,$E637="Tier 4",OR($D637&lt;6,$D637&gt;=12)),
Error!$B$10,
IF(AND(_xlpm.baseRow,$E637="&lt;6in DSH for Tree Points",OR($D637&gt;=6,$D637="")),
Error!$B$8,
IF(AND(_xlpm.baseRow,$E637="Street Tree for Green Factor",$F637&lt;&gt;"",$F637&lt;&gt;"Retain"),
Error!$B$14,
IF(AND($E637="&lt;6in DSH for Tree Points",$F637="Retain",$H637&lt;&gt;"",ISNA(MATCH($H637,Tables!$B$174:$B$174,0))),
Error!$B$15,
IF(AND($E637="Street Tree for Green Factor",$F637="Retain",$H637&lt;&gt;"",$H637&lt;&gt;"Zoning: Green Factor"),
Error!$B$15,
IF(AND($E637="ECA / Shoreline Tree",$F637="Remove",$H637&lt;&gt;"",ISNA(MATCH($H637,Tables!$B$189:$B$190,0))),
Error!$B$15,
IF(AND($E637="ECA / Shoreline Tree",$F637="Retain",$H637&lt;&gt;"",ISNA(MATCH($H637,Tables!$B$184:$B$186,0))),
Error!$B$15,
IF(AND($E637="Tier 4",$F637="Remove",$H637&lt;&gt;"",ISNA(MATCH($H637,Tables!$B$171,0))),
Error!$B$15,
IF(AND($E637="Tier 4",$F637="Retain",$H637&lt;&gt;"",ISNA(MATCH($H637,Tables!$B$166:$B$168,0))),
Error!$B$15,
IF(AND($E637="Tier 3",$F637="Retain",$H637&lt;&gt;"",ISNA(MATCH($H637,Tables!$B$158:$B$160,0))),
Error!$B$15,
IF(AND($E637="Tier 3",$F637="Remove",$H637&lt;&gt;"",ISNA(MATCH($H637,Tables!$B$163,0))),
Error!$B$15,
IF(AND(OR($E637="Tier 2",$E637="Tier 2 Grove"),$F637="Remove",$H637&lt;&gt;"",ISNA(MATCH($H637,Tables!$B$153:$B$155,0))),
Error!$B$15,
IF(AND(OR($E637="Tier 2",$E637="Tier 2 Grove"),$F637="Retain",$H637&lt;&gt;"",ISNA(MATCH($H637,Tables!$B$147:$B$150,0))),
Error!$B$15,
IF(AND($E637="Tier 1",$F637="Remove",$H637&lt;&gt;"",ISNA(MATCH($H637,Tables!$B$143:$B$144,0))),
Error!$B$15,
IF(AND($E637="Tier 1",$F637="Retain",$H637&lt;&gt;"",ISNA(MATCH($H637,Tables!$B$137:$B$140,0))),
Error!$B$15,
IF(AND($E637&lt;&gt;"Tier 2",$E637&lt;&gt;"Tier 2 Grove",$E637&lt;&gt;"Tier 3",$E637&lt;&gt;"Tier 4",$H637="Zoning: Green Factor",OR($D637="",$D637&lt;6)),
Error!$B$11,
IF(AND(_xlpm.baseRow,$D637&lt;6,$E637="&lt;6in DSH for Tree Points",_xlpm.TreePoints_H=0),
Error!$B$21,
IF(AND(_xlpm.baseRow,$E637&lt;&gt;"",$D637&lt;&gt;"",$F637=""),
Error!$B$4,
IF(AND(_xlpm.baseRow,$F637="Remove",OR($E637="Tier 1",$E637="Tier 2",$E637="Tier 2 Grove"),COUNTBLANK(_xlpm.HRange)&lt;3,_xlpm.uniqueH&gt;=2),
Error!$B$48,
IF(AND(_xlpm.baseRow,$F637="Retain",OR($E637="Tier 1",$E637="Tier 2",$E637="Tier 2 Grove"),COUNTIF(_xlpm.HRange,"Tree Code: Required to Retain Tier 1-2 Tree")=0),
Error!$B$47,
IF(AND(_xlpm.baseRow,$E637&lt;&gt;"",$D637&lt;&gt;"",$F637&lt;&gt;"",COUNTBLANK(_xlpm.HRange)=4),
Error!$B$5,
IF(AND($F637="Remove",$H637&lt;&gt;"",$I637=""),
Error!$B$18,
IF(AND($E637="Tier 4",$F637="Remove",$H637="Tree Protection Code: Tier 3 or Tier 4 Allowance",$H637&lt;&gt;"",ISNA(MATCH($I637,Tables!$B$200,0))),
Error!$B$17,
IF(AND($E637="Tier 3",$F637="Remove",$H637&lt;&gt;"",$H637="Tree Protection Code: Tier 3 or Tier 4 Allowance",OR($I637="",ISNA(MATCH($I637,Tables!$B$193:$B$197,0)))),
Error!$B$17,
IF(AND(OR($E637="Tier 2",$E637="Tier 2 Grove"),$F637="Remove",$H637="Tree Protection Code: Other removal allowance or exemption",$I637&lt;&gt;"",ISNA(MATCH($I637,Tables!$B$215:$B$218,0))),
Error!$B$17,
IF(AND(OR($E637="Tier 2",$E637="Tier 2 Grove"),$F637="Remove",$H637="Tree Protection Code: Development Capacity",$I637&lt;&gt;"",ISNA(MATCH($I637,Tables!$B$193:$B$197,0))),
Error!$B$17,
IF(AND(OR($E637="Tier 2",$E637="Tier 2 Grove"),$F637="Remove",$H637="Tree Protection Code: Necessary for Construction",$I637&lt;&gt;"",ISNA(MATCH($I637,Tables!$B$193:$B$197,0))),
Error!$B$17,
IF(AND($E637="Tier 1",$F637="Remove",$H637="Tree Protection Code: Special Exception",$I637&lt;&gt;"",ISNA(MATCH($I637,Tables!$B$215:$B$218,0))),
Error!$B$17,
IF(AND($E637="Tier 1",$F637="Remove",$H637="Tree Protection Code: Other removal allowance or exemption",$I637&lt;&gt;"",ISNA(MATCH($I637,Tables!$B$215:$B$218,0))),
Error!$B$17,
IF(AND($E637="ECA / Shoreline Tree",$F637="Remove",$H637&lt;&gt;"",OR($H637="Shoreline",$H637="Environmental Critical Area (ECA)"),ISNA(MATCH($I637,Tables!$B$209:$B$212,0))),
Error!$B$17,
IF(AND(_xlpm.baseRow,$F637="Retain",$E637="ECA / Shoreline Tree",_xlpm.ECA_Short=0),
Error!$B$61,
IF(AND($F637="Remove",ISNUMBER(MATCH($E637,{"Tier 1","Tier 2","Tier 3","Tier 4","Tier 2 Grove"},0)),ISNUMBER(MATCH($I637,{"On-site replacement","Off-site replacement"},0)),$J637="",$H637&lt;&gt;""),
Error!$B$19,
IF(AND(_xlpm.baseRow,$E637&lt;&gt;"",$D637&lt;&gt;"",$F637&lt;&gt;"",COUNTBLANK($B637:$C637)&gt;0,COUNTBLANK(_xlpm.HRange)&lt;&gt;4),
Error!$B$22,
IF(AND($H637="Zoning: Tree Points",$K637&lt;&gt;"",ISNA(MATCH($K637,Tables!$B$242:$B$253,0))),
Error!$B$58,
IF(AND($H637="Zoning: Tree Points",$K637="Small",$L637&lt;&gt;"",ISNA(MATCH($L637,Tables!$C$243:$C$244,0))),
Error!$B$59,
IF(AND($H637="Zoning: Tree Points",$K637="Small/Medium",$L637&lt;&gt;"",ISNA(MATCH($L637,Tables!$C$246:$C$247,0))),
Error!$B$59,
IF(AND($H637="Zoning: Tree Points",$K637="Medium/Large",$L637&lt;&gt;"",ISNA(MATCH($L637,Tables!$C$249:$C$250,0))),
Error!$B$59,
IF(AND($H637="Zoning: Tree Points",$K637="Large",$L637&lt;&gt;"",ISNA(MATCH($L637,Tables!$C$252:$C$253,0))),
Error!$B$59,
IF(AND($F637="Retain",$H637="Zoning: Tree Points",$C637&lt;&gt;"",$D637&lt;&gt;"",OR($K637="",$L637="",$M637="")),
Error!$B$20,
""
)))))))))))))))))))))))))))))))))))))))))))))))))))))))),
Error!$B$23))</f>
        <v/>
      </c>
      <c r="O637" s="343" t="str" cm="1">
        <f t="array" aca="1" ref="O637" ca="1">IFERROR(_xlfn.LET(
    _xlpm.txt, $C637,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38" spans="1:15" ht="15" thickBot="1" x14ac:dyDescent="0.35">
      <c r="A638" s="331"/>
      <c r="B638" s="616" t="str">
        <f t="shared" si="746"/>
        <v/>
      </c>
      <c r="C638" s="617" t="str">
        <f t="shared" si="747"/>
        <v/>
      </c>
      <c r="D638" s="618" t="str">
        <f t="shared" si="748"/>
        <v/>
      </c>
      <c r="E638" s="616" t="str">
        <f t="shared" si="749"/>
        <v/>
      </c>
      <c r="F638" s="616" t="str">
        <f t="shared" si="750"/>
        <v/>
      </c>
      <c r="G638" s="619" t="str">
        <f>IF(Tree_Table1[[#This Row],[Tree Status  &amp;]]="Retain", Tables!$B$237, IF(Tree_Table1[[#This Row],[Tree Status  &amp;]]="Remove", Tables!$B$238, ""))</f>
        <v/>
      </c>
      <c r="H638" s="329"/>
      <c r="I638" s="330"/>
      <c r="J638" s="455"/>
      <c r="K638" s="327" t="str">
        <f>IFERROR(
    IF(
        AND($H638="Zoning: Tree Points", NOT(ISNUMBER(SEARCH("sp.", $C638)))),
        VLOOKUP($C638, 'Tree List'!$C$3:$F$601, 4, FALSE),
        ""
    ),
"")</f>
        <v/>
      </c>
      <c r="L638" s="328" t="str" cm="1">
        <f t="array" ref="L638">IFERROR(
IF(
    AND($H638="Zoning: Tree Points", NOT(ISNUMBER(SEARCH("sp.", $C638)))),
    _xlfn.IFS(
        (COUNTIFS('Tree List'!$C$3:$C$601,$C638,'Tree List'!$D$3:$D$601,"Coniferous")
        + COUNTIFS('Tree List'!$C$3:$C$601,$C638,'Tree List'!$D$3:$D$601,"Deciduous Conifer")) &gt; 0,
            _xlfn.IFS($K638="Small",0.5,$K638="Small/Medium",1,$K638="Medium/Large",1.4,$K638="Large",1.8),
        (COUNTIFS('Tree List'!$C$3:$C$601,$C638,'Tree List'!$D$3:$D$601,"Deciduous")
        + COUNTIFS('Tree List'!$C$3:$C$601,$C638,'Tree List'!$D$3:$D$601,"Broadleaf Evergreen")) &gt; 0,
            _xlfn.IFS($K638="Small",0.4,$K638="Small/Medium",0.8,$K638="Medium/Large",1.2,$K638="Large",1.6)
    ),
    ""
),
"")</f>
        <v/>
      </c>
      <c r="M638" s="476" t="str">
        <f t="shared" si="735"/>
        <v/>
      </c>
      <c r="N638" s="347" t="str" cm="1">
        <f t="array" aca="1" ref="N63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IF(AND(_xlpm.baseRow,ISNA(MATCH($C638,'Tree List'!$C$3:$C$601,0)),SUMPRODUCT(--ISNUMBER(SEARCH(Tables2!$C$677:$C$772,$O638)))&gt;0),
Error!$B$57,
IF(AND(_xlpm.hasDM,$F638="Remove",$H638&lt;&gt;"",OR($I638="On-site replacement",$I638="Off-site replacement",$I638="Payment In Lieu")),
Error!$B$56,
IF(AND(_xlpm.hasDM,$F638="Remove",$H638&lt;&gt;"",$I638="Relocation"),
Error!$B$66,
IF(AND(OR(_xlpm.hasCN,_xlpm.hasPH,_xlpm.hasGR),$H638&lt;&gt;"",COUNTIF(Tables!$B$132:$B$134,$H638)&gt;0,$I638="N/A (No replacement required)"),
Error!$B$62,
IF(AND(_xlpm.baseRow,$E638&lt;&gt;"",ISNA(MATCH($E638,Tables!$B$225:$B$232,0))),
Error!$B$2,
IF(AND(_xlpm.baseRow,$F638&lt;&gt;"",ISNA(MATCH($F638,Tables!$B$234:$B$235,0))),
Error!$B$24,
IF(AND(_xlpm.baseRow,_xlpm.ECA_H&gt;0,_xlpm.Shore_H&gt;0),
Error!$B$16,
IF(AND(_xlpm.baseRow,$E638&lt;&gt;"",$D638=""),
Error!$B$3,
IF(AND(_xlpm.baseRow,OR($E638="Tier 3",$E638="Tier 4"),$C638&lt;&gt;"",$D638&gt;=24,COUNTIF(Tables2!$B$166:$B$674,$C638)&gt;0),
Error!$B$44,
IF(AND(_xlpm.baseRow,OR($E638="Tier 3",$E638="Tier 4"),$C638&lt;&gt;"",$D638&lt;&gt;"",COUNTIF(Tables2!$B$73:$B$152,$C638)&gt;0,
$D638&gt;=IFERROR(INDEX(Tables2!$C$73:$C$152,MATCH($C638,Tables2!$B$73:$B$152,0)),-1)),
Error!$B$44,
IF(AND(_xlpm.baseRow,OR($E638="Tier 2",$E638="Tier 2 Grove"),$C638&lt;&gt;"",$D638&gt;=12,COUNTIF(Tables2!$B$153:$B$162,$C638)&gt;0),
Error!$B$45,
IF(AND(_xlpm.baseRow,$E638="Tier 2 Grove",$D638&lt;12),
Error!$B$41,
IF(AND(_xlpm.baseRow,$E638="Tier 2",$D638&lt;5.88),
Error!$B$40,
IF(AND(_xlpm.baseRow,OR($E638="Tier 2",$E638="Tier 2 Grove"),$C638&lt;&gt;"",$D638&lt;12,$D638&gt;=6,COUNTIF(Tables2!$B$153:$B$162,$C638)&gt;0),
Error!$B$54,
IF(AND(_xlpm.baseRow,$E638="Tier 2",COUNTIF(Tables2!$B$166:$B$674,$C638)&gt;0,$D638&lt;24),
Error!$B$54,
IF(AND(_xlpm.baseRow,$E638="Tier 3",ISNA(MATCH($C638,Tables2!$B$153:$B$162,0)),OR($D638&lt;12,$D638&gt;=24)),
Error!$B$9,
IF(AND(_xlpm.baseRow,$E638="Tier 3",COUNTIF(Tables2!$B$153:$B$162,$C638)&gt;0,$D638&lt;12),
Error!$B$46,
IF(AND(_xlpm.baseRow,$E638="Tier 4",OR($D638&lt;6,$D638&gt;=12)),
Error!$B$10,
IF(AND(_xlpm.baseRow,$E638="&lt;6in DSH for Tree Points",OR($D638&gt;=6,$D638="")),
Error!$B$8,
IF(AND(_xlpm.baseRow,$E638="Street Tree for Green Factor",$F638&lt;&gt;"",$F638&lt;&gt;"Retain"),
Error!$B$14,
IF(AND($E638="&lt;6in DSH for Tree Points",$F638="Retain",$H638&lt;&gt;"",ISNA(MATCH($H638,Tables!$B$174:$B$174,0))),
Error!$B$15,
IF(AND($E638="Street Tree for Green Factor",$F638="Retain",$H638&lt;&gt;"",$H638&lt;&gt;"Zoning: Green Factor"),
Error!$B$15,
IF(AND($E638="ECA / Shoreline Tree",$F638="Remove",$H638&lt;&gt;"",ISNA(MATCH($H638,Tables!$B$189:$B$190,0))),
Error!$B$15,
IF(AND($E638="ECA / Shoreline Tree",$F638="Retain",$H638&lt;&gt;"",ISNA(MATCH($H638,Tables!$B$184:$B$186,0))),
Error!$B$15,
IF(AND($E638="Tier 4",$F638="Remove",$H638&lt;&gt;"",ISNA(MATCH($H638,Tables!$B$171,0))),
Error!$B$15,
IF(AND($E638="Tier 4",$F638="Retain",$H638&lt;&gt;"",ISNA(MATCH($H638,Tables!$B$166:$B$168,0))),
Error!$B$15,
IF(AND($E638="Tier 3",$F638="Retain",$H638&lt;&gt;"",ISNA(MATCH($H638,Tables!$B$158:$B$160,0))),
Error!$B$15,
IF(AND($E638="Tier 3",$F638="Remove",$H638&lt;&gt;"",ISNA(MATCH($H638,Tables!$B$163,0))),
Error!$B$15,
IF(AND(OR($E638="Tier 2",$E638="Tier 2 Grove"),$F638="Remove",$H638&lt;&gt;"",ISNA(MATCH($H638,Tables!$B$153:$B$155,0))),
Error!$B$15,
IF(AND(OR($E638="Tier 2",$E638="Tier 2 Grove"),$F638="Retain",$H638&lt;&gt;"",ISNA(MATCH($H638,Tables!$B$147:$B$150,0))),
Error!$B$15,
IF(AND($E638="Tier 1",$F638="Remove",$H638&lt;&gt;"",ISNA(MATCH($H638,Tables!$B$143:$B$144,0))),
Error!$B$15,
IF(AND($E638="Tier 1",$F638="Retain",$H638&lt;&gt;"",ISNA(MATCH($H638,Tables!$B$137:$B$140,0))),
Error!$B$15,
IF(AND($E638&lt;&gt;"Tier 2",$E638&lt;&gt;"Tier 2 Grove",$E638&lt;&gt;"Tier 3",$E638&lt;&gt;"Tier 4",$H638="Zoning: Green Factor",OR($D638="",$D638&lt;6)),
Error!$B$11,
IF(AND(_xlpm.baseRow,$D638&lt;6,$E638="&lt;6in DSH for Tree Points",_xlpm.TreePoints_H=0),
Error!$B$21,
IF(AND(_xlpm.baseRow,$E638&lt;&gt;"",$D638&lt;&gt;"",$F638=""),
Error!$B$4,
IF(AND(_xlpm.baseRow,$F638="Remove",OR($E638="Tier 1",$E638="Tier 2",$E638="Tier 2 Grove"),COUNTBLANK(_xlpm.HRange)&lt;3,_xlpm.uniqueH&gt;=2),
Error!$B$48,
IF(AND(_xlpm.baseRow,$F638="Retain",OR($E638="Tier 1",$E638="Tier 2",$E638="Tier 2 Grove"),COUNTIF(_xlpm.HRange,"Tree Code: Required to Retain Tier 1-2 Tree")=0),
Error!$B$47,
IF(AND(_xlpm.baseRow,$E638&lt;&gt;"",$D638&lt;&gt;"",$F638&lt;&gt;"",COUNTBLANK(_xlpm.HRange)=4),
Error!$B$5,
IF(AND($F638="Remove",$H638&lt;&gt;"",$I638=""),
Error!$B$18,
IF(AND($E638="Tier 4",$F638="Remove",$H638="Tree Protection Code: Tier 3 or Tier 4 Allowance",$H638&lt;&gt;"",ISNA(MATCH($I638,Tables!$B$200,0))),
Error!$B$17,
IF(AND($E638="Tier 3",$F638="Remove",$H638&lt;&gt;"",$H638="Tree Protection Code: Tier 3 or Tier 4 Allowance",OR($I638="",ISNA(MATCH($I638,Tables!$B$193:$B$197,0)))),
Error!$B$17,
IF(AND(OR($E638="Tier 2",$E638="Tier 2 Grove"),$F638="Remove",$H638="Tree Protection Code: Other removal allowance or exemption",$I638&lt;&gt;"",ISNA(MATCH($I638,Tables!$B$215:$B$218,0))),
Error!$B$17,
IF(AND(OR($E638="Tier 2",$E638="Tier 2 Grove"),$F638="Remove",$H638="Tree Protection Code: Development Capacity",$I638&lt;&gt;"",ISNA(MATCH($I638,Tables!$B$193:$B$197,0))),
Error!$B$17,
IF(AND(OR($E638="Tier 2",$E638="Tier 2 Grove"),$F638="Remove",$H638="Tree Protection Code: Necessary for Construction",$I638&lt;&gt;"",ISNA(MATCH($I638,Tables!$B$193:$B$197,0))),
Error!$B$17,
IF(AND($E638="Tier 1",$F638="Remove",$H638="Tree Protection Code: Special Exception",$I638&lt;&gt;"",ISNA(MATCH($I638,Tables!$B$215:$B$218,0))),
Error!$B$17,
IF(AND($E638="Tier 1",$F638="Remove",$H638="Tree Protection Code: Other removal allowance or exemption",$I638&lt;&gt;"",ISNA(MATCH($I638,Tables!$B$215:$B$218,0))),
Error!$B$17,
IF(AND($E638="ECA / Shoreline Tree",$F638="Remove",$H638&lt;&gt;"",OR($H638="Shoreline",$H638="Environmental Critical Area (ECA)"),ISNA(MATCH($I638,Tables!$B$209:$B$212,0))),
Error!$B$17,
IF(AND(_xlpm.baseRow,$F638="Retain",$E638="ECA / Shoreline Tree",_xlpm.ECA_Short=0),
Error!$B$61,
IF(AND($F638="Remove",ISNUMBER(MATCH($E638,{"Tier 1","Tier 2","Tier 3","Tier 4","Tier 2 Grove"},0)),ISNUMBER(MATCH($I638,{"On-site replacement","Off-site replacement"},0)),$J638="",$H638&lt;&gt;""),
Error!$B$19,
IF(AND(_xlpm.baseRow,$E638&lt;&gt;"",$D638&lt;&gt;"",$F638&lt;&gt;"",COUNTBLANK($B638:$C638)&gt;0,COUNTBLANK(_xlpm.HRange)&lt;&gt;4),
Error!$B$22,
IF(AND($H638="Zoning: Tree Points",$K638&lt;&gt;"",ISNA(MATCH($K638,Tables!$B$242:$B$253,0))),
Error!$B$58,
IF(AND($H638="Zoning: Tree Points",$K638="Small",$L638&lt;&gt;"",ISNA(MATCH($L638,Tables!$C$243:$C$244,0))),
Error!$B$59,
IF(AND($H638="Zoning: Tree Points",$K638="Small/Medium",$L638&lt;&gt;"",ISNA(MATCH($L638,Tables!$C$246:$C$247,0))),
Error!$B$59,
IF(AND($H638="Zoning: Tree Points",$K638="Medium/Large",$L638&lt;&gt;"",ISNA(MATCH($L638,Tables!$C$249:$C$250,0))),
Error!$B$59,
IF(AND($H638="Zoning: Tree Points",$K638="Large",$L638&lt;&gt;"",ISNA(MATCH($L638,Tables!$C$252:$C$253,0))),
Error!$B$59,
IF(AND($F638="Retain",$H638="Zoning: Tree Points",$C638&lt;&gt;"",$D638&lt;&gt;"",OR($K638="",$L638="",$M638="")),
Error!$B$20,
""
)))))))))))))))))))))))))))))))))))))))))))))))))))))))),
Error!$B$23))</f>
        <v/>
      </c>
      <c r="O638" s="343" t="str" cm="1">
        <f t="array" aca="1" ref="O638" ca="1">IFERROR(_xlfn.LET(
    _xlpm.txt, $C638,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39" spans="1:15" ht="15" thickBot="1" x14ac:dyDescent="0.35">
      <c r="A639" s="311">
        <v>158</v>
      </c>
      <c r="B639" s="312"/>
      <c r="C639" s="313"/>
      <c r="D639" s="478"/>
      <c r="E639" s="314"/>
      <c r="F639" s="314"/>
      <c r="G639" s="315" t="str">
        <f>IF(Tree_Table1[[#This Row],[Tree Status  &amp;]]="Retain", Tables!$B$237, IF(Tree_Table1[[#This Row],[Tree Status  &amp;]]="Remove", Tables!$B$238, ""))</f>
        <v/>
      </c>
      <c r="H639" s="316"/>
      <c r="I639" s="317"/>
      <c r="J639" s="452"/>
      <c r="K639" s="318" t="str">
        <f>IFERROR(
    IF(
        AND($H639="Zoning: Tree Points", NOT(ISNUMBER(SEARCH("sp.", $C639)))),
        VLOOKUP($C639, 'Tree List'!$C$3:$F$601, 4, FALSE),
        ""
    ),
"")</f>
        <v/>
      </c>
      <c r="L639" s="319" t="str" cm="1">
        <f t="array" ref="L639">IFERROR(
IF(
    AND($H639="Zoning: Tree Points", NOT(ISNUMBER(SEARCH("sp.", $C639)))),
    _xlfn.IFS(
        (COUNTIFS('Tree List'!$C$3:$C$601,$C639,'Tree List'!$D$3:$D$601,"Coniferous")
        + COUNTIFS('Tree List'!$C$3:$C$601,$C639,'Tree List'!$D$3:$D$601,"Deciduous Conifer")) &gt; 0,
            _xlfn.IFS($K639="Small",0.5,$K639="Small/Medium",1,$K639="Medium/Large",1.4,$K639="Large",1.8),
        (COUNTIFS('Tree List'!$C$3:$C$601,$C639,'Tree List'!$D$3:$D$601,"Deciduous")
        + COUNTIFS('Tree List'!$C$3:$C$601,$C639,'Tree List'!$D$3:$D$601,"Broadleaf Evergreen")) &gt; 0,
            _xlfn.IFS($K639="Small",0.4,$K639="Small/Medium",0.8,$K639="Medium/Large",1.2,$K639="Large",1.6)
    ),
    ""
),
"")</f>
        <v/>
      </c>
      <c r="M639" s="474" t="str">
        <f t="shared" si="735"/>
        <v/>
      </c>
      <c r="N639" s="620" t="str" cm="1">
        <f t="array" aca="1" ref="N63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IF(AND(_xlpm.baseRow,ISNA(MATCH($C639,'Tree List'!$C$3:$C$601,0)),SUMPRODUCT(--ISNUMBER(SEARCH(Tables2!$C$677:$C$772,$O639)))&gt;0),
Error!$B$57,
IF(AND(_xlpm.hasDM,$F639="Remove",$H639&lt;&gt;"",OR($I639="On-site replacement",$I639="Off-site replacement",$I639="Payment In Lieu")),
Error!$B$56,
IF(AND(_xlpm.hasDM,$F639="Remove",$H639&lt;&gt;"",$I639="Relocation"),
Error!$B$66,
IF(AND(OR(_xlpm.hasCN,_xlpm.hasPH,_xlpm.hasGR),$H639&lt;&gt;"",COUNTIF(Tables!$B$132:$B$134,$H639)&gt;0,$I639="N/A (No replacement required)"),
Error!$B$62,
IF(AND(_xlpm.baseRow,$E639&lt;&gt;"",ISNA(MATCH($E639,Tables!$B$225:$B$232,0))),
Error!$B$2,
IF(AND(_xlpm.baseRow,$F639&lt;&gt;"",ISNA(MATCH($F639,Tables!$B$234:$B$235,0))),
Error!$B$24,
IF(AND(_xlpm.baseRow,_xlpm.ECA_H&gt;0,_xlpm.Shore_H&gt;0),
Error!$B$16,
IF(AND(_xlpm.baseRow,$E639&lt;&gt;"",$D639=""),
Error!$B$3,
IF(AND(_xlpm.baseRow,OR($E639="Tier 3",$E639="Tier 4"),$C639&lt;&gt;"",$D639&gt;=24,COUNTIF(Tables2!$B$166:$B$674,$C639)&gt;0),
Error!$B$44,
IF(AND(_xlpm.baseRow,OR($E639="Tier 3",$E639="Tier 4"),$C639&lt;&gt;"",$D639&lt;&gt;"",COUNTIF(Tables2!$B$73:$B$152,$C639)&gt;0,
$D639&gt;=IFERROR(INDEX(Tables2!$C$73:$C$152,MATCH($C639,Tables2!$B$73:$B$152,0)),-1)),
Error!$B$44,
IF(AND(_xlpm.baseRow,OR($E639="Tier 2",$E639="Tier 2 Grove"),$C639&lt;&gt;"",$D639&gt;=12,COUNTIF(Tables2!$B$153:$B$162,$C639)&gt;0),
Error!$B$45,
IF(AND(_xlpm.baseRow,$E639="Tier 2 Grove",$D639&lt;12),
Error!$B$41,
IF(AND(_xlpm.baseRow,$E639="Tier 2",$D639&lt;5.88),
Error!$B$40,
IF(AND(_xlpm.baseRow,OR($E639="Tier 2",$E639="Tier 2 Grove"),$C639&lt;&gt;"",$D639&lt;12,$D639&gt;=6,COUNTIF(Tables2!$B$153:$B$162,$C639)&gt;0),
Error!$B$54,
IF(AND(_xlpm.baseRow,$E639="Tier 2",COUNTIF(Tables2!$B$166:$B$674,$C639)&gt;0,$D639&lt;24),
Error!$B$54,
IF(AND(_xlpm.baseRow,$E639="Tier 3",ISNA(MATCH($C639,Tables2!$B$153:$B$162,0)),OR($D639&lt;12,$D639&gt;=24)),
Error!$B$9,
IF(AND(_xlpm.baseRow,$E639="Tier 3",COUNTIF(Tables2!$B$153:$B$162,$C639)&gt;0,$D639&lt;12),
Error!$B$46,
IF(AND(_xlpm.baseRow,$E639="Tier 4",OR($D639&lt;6,$D639&gt;=12)),
Error!$B$10,
IF(AND(_xlpm.baseRow,$E639="&lt;6in DSH for Tree Points",OR($D639&gt;=6,$D639="")),
Error!$B$8,
IF(AND(_xlpm.baseRow,$E639="Street Tree for Green Factor",$F639&lt;&gt;"",$F639&lt;&gt;"Retain"),
Error!$B$14,
IF(AND($E639="&lt;6in DSH for Tree Points",$F639="Retain",$H639&lt;&gt;"",ISNA(MATCH($H639,Tables!$B$174:$B$174,0))),
Error!$B$15,
IF(AND($E639="Street Tree for Green Factor",$F639="Retain",$H639&lt;&gt;"",$H639&lt;&gt;"Zoning: Green Factor"),
Error!$B$15,
IF(AND($E639="ECA / Shoreline Tree",$F639="Remove",$H639&lt;&gt;"",ISNA(MATCH($H639,Tables!$B$189:$B$190,0))),
Error!$B$15,
IF(AND($E639="ECA / Shoreline Tree",$F639="Retain",$H639&lt;&gt;"",ISNA(MATCH($H639,Tables!$B$184:$B$186,0))),
Error!$B$15,
IF(AND($E639="Tier 4",$F639="Remove",$H639&lt;&gt;"",ISNA(MATCH($H639,Tables!$B$171,0))),
Error!$B$15,
IF(AND($E639="Tier 4",$F639="Retain",$H639&lt;&gt;"",ISNA(MATCH($H639,Tables!$B$166:$B$168,0))),
Error!$B$15,
IF(AND($E639="Tier 3",$F639="Retain",$H639&lt;&gt;"",ISNA(MATCH($H639,Tables!$B$158:$B$160,0))),
Error!$B$15,
IF(AND($E639="Tier 3",$F639="Remove",$H639&lt;&gt;"",ISNA(MATCH($H639,Tables!$B$163,0))),
Error!$B$15,
IF(AND(OR($E639="Tier 2",$E639="Tier 2 Grove"),$F639="Remove",$H639&lt;&gt;"",ISNA(MATCH($H639,Tables!$B$153:$B$155,0))),
Error!$B$15,
IF(AND(OR($E639="Tier 2",$E639="Tier 2 Grove"),$F639="Retain",$H639&lt;&gt;"",ISNA(MATCH($H639,Tables!$B$147:$B$150,0))),
Error!$B$15,
IF(AND($E639="Tier 1",$F639="Remove",$H639&lt;&gt;"",ISNA(MATCH($H639,Tables!$B$143:$B$144,0))),
Error!$B$15,
IF(AND($E639="Tier 1",$F639="Retain",$H639&lt;&gt;"",ISNA(MATCH($H639,Tables!$B$137:$B$140,0))),
Error!$B$15,
IF(AND($E639&lt;&gt;"Tier 2",$E639&lt;&gt;"Tier 2 Grove",$E639&lt;&gt;"Tier 3",$E639&lt;&gt;"Tier 4",$H639="Zoning: Green Factor",OR($D639="",$D639&lt;6)),
Error!$B$11,
IF(AND(_xlpm.baseRow,$D639&lt;6,$E639="&lt;6in DSH for Tree Points",_xlpm.TreePoints_H=0),
Error!$B$21,
IF(AND(_xlpm.baseRow,$E639&lt;&gt;"",$D639&lt;&gt;"",$F639=""),
Error!$B$4,
IF(AND(_xlpm.baseRow,$F639="Remove",OR($E639="Tier 1",$E639="Tier 2",$E639="Tier 2 Grove"),COUNTBLANK(_xlpm.HRange)&lt;3,_xlpm.uniqueH&gt;=2),
Error!$B$48,
IF(AND(_xlpm.baseRow,$F639="Retain",OR($E639="Tier 1",$E639="Tier 2",$E639="Tier 2 Grove"),COUNTIF(_xlpm.HRange,"Tree Code: Required to Retain Tier 1-2 Tree")=0),
Error!$B$47,
IF(AND(_xlpm.baseRow,$E639&lt;&gt;"",$D639&lt;&gt;"",$F639&lt;&gt;"",COUNTBLANK(_xlpm.HRange)=4),
Error!$B$5,
IF(AND($F639="Remove",$H639&lt;&gt;"",$I639=""),
Error!$B$18,
IF(AND($E639="Tier 4",$F639="Remove",$H639="Tree Protection Code: Tier 3 or Tier 4 Allowance",$H639&lt;&gt;"",ISNA(MATCH($I639,Tables!$B$200,0))),
Error!$B$17,
IF(AND($E639="Tier 3",$F639="Remove",$H639&lt;&gt;"",$H639="Tree Protection Code: Tier 3 or Tier 4 Allowance",OR($I639="",ISNA(MATCH($I639,Tables!$B$193:$B$197,0)))),
Error!$B$17,
IF(AND(OR($E639="Tier 2",$E639="Tier 2 Grove"),$F639="Remove",$H639="Tree Protection Code: Other removal allowance or exemption",$I639&lt;&gt;"",ISNA(MATCH($I639,Tables!$B$215:$B$218,0))),
Error!$B$17,
IF(AND(OR($E639="Tier 2",$E639="Tier 2 Grove"),$F639="Remove",$H639="Tree Protection Code: Development Capacity",$I639&lt;&gt;"",ISNA(MATCH($I639,Tables!$B$193:$B$197,0))),
Error!$B$17,
IF(AND(OR($E639="Tier 2",$E639="Tier 2 Grove"),$F639="Remove",$H639="Tree Protection Code: Necessary for Construction",$I639&lt;&gt;"",ISNA(MATCH($I639,Tables!$B$193:$B$197,0))),
Error!$B$17,
IF(AND($E639="Tier 1",$F639="Remove",$H639="Tree Protection Code: Special Exception",$I639&lt;&gt;"",ISNA(MATCH($I639,Tables!$B$215:$B$218,0))),
Error!$B$17,
IF(AND($E639="Tier 1",$F639="Remove",$H639="Tree Protection Code: Other removal allowance or exemption",$I639&lt;&gt;"",ISNA(MATCH($I639,Tables!$B$215:$B$218,0))),
Error!$B$17,
IF(AND($E639="ECA / Shoreline Tree",$F639="Remove",$H639&lt;&gt;"",OR($H639="Shoreline",$H639="Environmental Critical Area (ECA)"),ISNA(MATCH($I639,Tables!$B$209:$B$212,0))),
Error!$B$17,
IF(AND(_xlpm.baseRow,$F639="Retain",$E639="ECA / Shoreline Tree",_xlpm.ECA_Short=0),
Error!$B$61,
IF(AND($F639="Remove",ISNUMBER(MATCH($E639,{"Tier 1","Tier 2","Tier 3","Tier 4","Tier 2 Grove"},0)),ISNUMBER(MATCH($I639,{"On-site replacement","Off-site replacement"},0)),$J639="",$H639&lt;&gt;""),
Error!$B$19,
IF(AND(_xlpm.baseRow,$E639&lt;&gt;"",$D639&lt;&gt;"",$F639&lt;&gt;"",COUNTBLANK($B639:$C639)&gt;0,COUNTBLANK(_xlpm.HRange)&lt;&gt;4),
Error!$B$22,
IF(AND($H639="Zoning: Tree Points",$K639&lt;&gt;"",ISNA(MATCH($K639,Tables!$B$242:$B$253,0))),
Error!$B$58,
IF(AND($H639="Zoning: Tree Points",$K639="Small",$L639&lt;&gt;"",ISNA(MATCH($L639,Tables!$C$243:$C$244,0))),
Error!$B$59,
IF(AND($H639="Zoning: Tree Points",$K639="Small/Medium",$L639&lt;&gt;"",ISNA(MATCH($L639,Tables!$C$246:$C$247,0))),
Error!$B$59,
IF(AND($H639="Zoning: Tree Points",$K639="Medium/Large",$L639&lt;&gt;"",ISNA(MATCH($L639,Tables!$C$249:$C$250,0))),
Error!$B$59,
IF(AND($H639="Zoning: Tree Points",$K639="Large",$L639&lt;&gt;"",ISNA(MATCH($L639,Tables!$C$252:$C$253,0))),
Error!$B$59,
IF(AND($F639="Retain",$H639="Zoning: Tree Points",$C639&lt;&gt;"",$D639&lt;&gt;"",OR($K639="",$L639="",$M639="")),
Error!$B$20,
""
)))))))))))))))))))))))))))))))))))))))))))))))))))))))),
Error!$B$23))</f>
        <v/>
      </c>
      <c r="O639" s="343" t="str" cm="1">
        <f t="array" aca="1" ref="O639" ca="1">IFERROR(_xlfn.LET(
    _xlpm.txt, $C639,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40" spans="1:15" x14ac:dyDescent="0.3">
      <c r="A640" s="320"/>
      <c r="B640" s="616" t="str">
        <f t="shared" ref="B640:B642" si="751">IF($B639="", "", $B639)</f>
        <v/>
      </c>
      <c r="C640" s="617" t="str">
        <f t="shared" ref="C640:C642" si="752">IF($C639="", "", $C639)</f>
        <v/>
      </c>
      <c r="D640" s="618" t="str">
        <f t="shared" ref="D640:D642" si="753">IF($D639="", "", $D639)</f>
        <v/>
      </c>
      <c r="E640" s="616" t="str">
        <f t="shared" ref="E640:E642" si="754">IF($E639="", "", $E639)</f>
        <v/>
      </c>
      <c r="F640" s="616" t="str">
        <f t="shared" ref="F640:F642" si="755">IF($F639="", "", $F639)</f>
        <v/>
      </c>
      <c r="G640" s="619" t="str">
        <f>IF(Tree_Table1[[#This Row],[Tree Status  &amp;]]="Retain", Tables!$B$237, IF(Tree_Table1[[#This Row],[Tree Status  &amp;]]="Remove", Tables!$B$238, ""))</f>
        <v/>
      </c>
      <c r="H640" s="321"/>
      <c r="I640" s="322"/>
      <c r="J640" s="453"/>
      <c r="K640" s="323" t="str">
        <f>IFERROR(
    IF(
        AND($H640="Zoning: Tree Points", NOT(ISNUMBER(SEARCH("sp.", $C640)))),
        VLOOKUP($C640, 'Tree List'!$C$3:$F$601, 4, FALSE),
        ""
    ),
"")</f>
        <v/>
      </c>
      <c r="L640" s="324" t="str" cm="1">
        <f t="array" ref="L640">IFERROR(
IF(
    AND($H640="Zoning: Tree Points", NOT(ISNUMBER(SEARCH("sp.", $C640)))),
    _xlfn.IFS(
        (COUNTIFS('Tree List'!$C$3:$C$601,$C640,'Tree List'!$D$3:$D$601,"Coniferous")
        + COUNTIFS('Tree List'!$C$3:$C$601,$C640,'Tree List'!$D$3:$D$601,"Deciduous Conifer")) &gt; 0,
            _xlfn.IFS($K640="Small",0.5,$K640="Small/Medium",1,$K640="Medium/Large",1.4,$K640="Large",1.8),
        (COUNTIFS('Tree List'!$C$3:$C$601,$C640,'Tree List'!$D$3:$D$601,"Deciduous")
        + COUNTIFS('Tree List'!$C$3:$C$601,$C640,'Tree List'!$D$3:$D$601,"Broadleaf Evergreen")) &gt; 0,
            _xlfn.IFS($K640="Small",0.4,$K640="Small/Medium",0.8,$K640="Medium/Large",1.2,$K640="Large",1.6)
    ),
    ""
),
"")</f>
        <v/>
      </c>
      <c r="M640" s="475" t="str">
        <f t="shared" si="735"/>
        <v/>
      </c>
      <c r="N640" s="346" t="str" cm="1">
        <f t="array" aca="1" ref="N64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IF(AND(_xlpm.baseRow,ISNA(MATCH($C640,'Tree List'!$C$3:$C$601,0)),SUMPRODUCT(--ISNUMBER(SEARCH(Tables2!$C$677:$C$772,$O640)))&gt;0),
Error!$B$57,
IF(AND(_xlpm.hasDM,$F640="Remove",$H640&lt;&gt;"",OR($I640="On-site replacement",$I640="Off-site replacement",$I640="Payment In Lieu")),
Error!$B$56,
IF(AND(_xlpm.hasDM,$F640="Remove",$H640&lt;&gt;"",$I640="Relocation"),
Error!$B$66,
IF(AND(OR(_xlpm.hasCN,_xlpm.hasPH,_xlpm.hasGR),$H640&lt;&gt;"",COUNTIF(Tables!$B$132:$B$134,$H640)&gt;0,$I640="N/A (No replacement required)"),
Error!$B$62,
IF(AND(_xlpm.baseRow,$E640&lt;&gt;"",ISNA(MATCH($E640,Tables!$B$225:$B$232,0))),
Error!$B$2,
IF(AND(_xlpm.baseRow,$F640&lt;&gt;"",ISNA(MATCH($F640,Tables!$B$234:$B$235,0))),
Error!$B$24,
IF(AND(_xlpm.baseRow,_xlpm.ECA_H&gt;0,_xlpm.Shore_H&gt;0),
Error!$B$16,
IF(AND(_xlpm.baseRow,$E640&lt;&gt;"",$D640=""),
Error!$B$3,
IF(AND(_xlpm.baseRow,OR($E640="Tier 3",$E640="Tier 4"),$C640&lt;&gt;"",$D640&gt;=24,COUNTIF(Tables2!$B$166:$B$674,$C640)&gt;0),
Error!$B$44,
IF(AND(_xlpm.baseRow,OR($E640="Tier 3",$E640="Tier 4"),$C640&lt;&gt;"",$D640&lt;&gt;"",COUNTIF(Tables2!$B$73:$B$152,$C640)&gt;0,
$D640&gt;=IFERROR(INDEX(Tables2!$C$73:$C$152,MATCH($C640,Tables2!$B$73:$B$152,0)),-1)),
Error!$B$44,
IF(AND(_xlpm.baseRow,OR($E640="Tier 2",$E640="Tier 2 Grove"),$C640&lt;&gt;"",$D640&gt;=12,COUNTIF(Tables2!$B$153:$B$162,$C640)&gt;0),
Error!$B$45,
IF(AND(_xlpm.baseRow,$E640="Tier 2 Grove",$D640&lt;12),
Error!$B$41,
IF(AND(_xlpm.baseRow,$E640="Tier 2",$D640&lt;5.88),
Error!$B$40,
IF(AND(_xlpm.baseRow,OR($E640="Tier 2",$E640="Tier 2 Grove"),$C640&lt;&gt;"",$D640&lt;12,$D640&gt;=6,COUNTIF(Tables2!$B$153:$B$162,$C640)&gt;0),
Error!$B$54,
IF(AND(_xlpm.baseRow,$E640="Tier 2",COUNTIF(Tables2!$B$166:$B$674,$C640)&gt;0,$D640&lt;24),
Error!$B$54,
IF(AND(_xlpm.baseRow,$E640="Tier 3",ISNA(MATCH($C640,Tables2!$B$153:$B$162,0)),OR($D640&lt;12,$D640&gt;=24)),
Error!$B$9,
IF(AND(_xlpm.baseRow,$E640="Tier 3",COUNTIF(Tables2!$B$153:$B$162,$C640)&gt;0,$D640&lt;12),
Error!$B$46,
IF(AND(_xlpm.baseRow,$E640="Tier 4",OR($D640&lt;6,$D640&gt;=12)),
Error!$B$10,
IF(AND(_xlpm.baseRow,$E640="&lt;6in DSH for Tree Points",OR($D640&gt;=6,$D640="")),
Error!$B$8,
IF(AND(_xlpm.baseRow,$E640="Street Tree for Green Factor",$F640&lt;&gt;"",$F640&lt;&gt;"Retain"),
Error!$B$14,
IF(AND($E640="&lt;6in DSH for Tree Points",$F640="Retain",$H640&lt;&gt;"",ISNA(MATCH($H640,Tables!$B$174:$B$174,0))),
Error!$B$15,
IF(AND($E640="Street Tree for Green Factor",$F640="Retain",$H640&lt;&gt;"",$H640&lt;&gt;"Zoning: Green Factor"),
Error!$B$15,
IF(AND($E640="ECA / Shoreline Tree",$F640="Remove",$H640&lt;&gt;"",ISNA(MATCH($H640,Tables!$B$189:$B$190,0))),
Error!$B$15,
IF(AND($E640="ECA / Shoreline Tree",$F640="Retain",$H640&lt;&gt;"",ISNA(MATCH($H640,Tables!$B$184:$B$186,0))),
Error!$B$15,
IF(AND($E640="Tier 4",$F640="Remove",$H640&lt;&gt;"",ISNA(MATCH($H640,Tables!$B$171,0))),
Error!$B$15,
IF(AND($E640="Tier 4",$F640="Retain",$H640&lt;&gt;"",ISNA(MATCH($H640,Tables!$B$166:$B$168,0))),
Error!$B$15,
IF(AND($E640="Tier 3",$F640="Retain",$H640&lt;&gt;"",ISNA(MATCH($H640,Tables!$B$158:$B$160,0))),
Error!$B$15,
IF(AND($E640="Tier 3",$F640="Remove",$H640&lt;&gt;"",ISNA(MATCH($H640,Tables!$B$163,0))),
Error!$B$15,
IF(AND(OR($E640="Tier 2",$E640="Tier 2 Grove"),$F640="Remove",$H640&lt;&gt;"",ISNA(MATCH($H640,Tables!$B$153:$B$155,0))),
Error!$B$15,
IF(AND(OR($E640="Tier 2",$E640="Tier 2 Grove"),$F640="Retain",$H640&lt;&gt;"",ISNA(MATCH($H640,Tables!$B$147:$B$150,0))),
Error!$B$15,
IF(AND($E640="Tier 1",$F640="Remove",$H640&lt;&gt;"",ISNA(MATCH($H640,Tables!$B$143:$B$144,0))),
Error!$B$15,
IF(AND($E640="Tier 1",$F640="Retain",$H640&lt;&gt;"",ISNA(MATCH($H640,Tables!$B$137:$B$140,0))),
Error!$B$15,
IF(AND($E640&lt;&gt;"Tier 2",$E640&lt;&gt;"Tier 2 Grove",$E640&lt;&gt;"Tier 3",$E640&lt;&gt;"Tier 4",$H640="Zoning: Green Factor",OR($D640="",$D640&lt;6)),
Error!$B$11,
IF(AND(_xlpm.baseRow,$D640&lt;6,$E640="&lt;6in DSH for Tree Points",_xlpm.TreePoints_H=0),
Error!$B$21,
IF(AND(_xlpm.baseRow,$E640&lt;&gt;"",$D640&lt;&gt;"",$F640=""),
Error!$B$4,
IF(AND(_xlpm.baseRow,$F640="Remove",OR($E640="Tier 1",$E640="Tier 2",$E640="Tier 2 Grove"),COUNTBLANK(_xlpm.HRange)&lt;3,_xlpm.uniqueH&gt;=2),
Error!$B$48,
IF(AND(_xlpm.baseRow,$F640="Retain",OR($E640="Tier 1",$E640="Tier 2",$E640="Tier 2 Grove"),COUNTIF(_xlpm.HRange,"Tree Code: Required to Retain Tier 1-2 Tree")=0),
Error!$B$47,
IF(AND(_xlpm.baseRow,$E640&lt;&gt;"",$D640&lt;&gt;"",$F640&lt;&gt;"",COUNTBLANK(_xlpm.HRange)=4),
Error!$B$5,
IF(AND($F640="Remove",$H640&lt;&gt;"",$I640=""),
Error!$B$18,
IF(AND($E640="Tier 4",$F640="Remove",$H640="Tree Protection Code: Tier 3 or Tier 4 Allowance",$H640&lt;&gt;"",ISNA(MATCH($I640,Tables!$B$200,0))),
Error!$B$17,
IF(AND($E640="Tier 3",$F640="Remove",$H640&lt;&gt;"",$H640="Tree Protection Code: Tier 3 or Tier 4 Allowance",OR($I640="",ISNA(MATCH($I640,Tables!$B$193:$B$197,0)))),
Error!$B$17,
IF(AND(OR($E640="Tier 2",$E640="Tier 2 Grove"),$F640="Remove",$H640="Tree Protection Code: Other removal allowance or exemption",$I640&lt;&gt;"",ISNA(MATCH($I640,Tables!$B$215:$B$218,0))),
Error!$B$17,
IF(AND(OR($E640="Tier 2",$E640="Tier 2 Grove"),$F640="Remove",$H640="Tree Protection Code: Development Capacity",$I640&lt;&gt;"",ISNA(MATCH($I640,Tables!$B$193:$B$197,0))),
Error!$B$17,
IF(AND(OR($E640="Tier 2",$E640="Tier 2 Grove"),$F640="Remove",$H640="Tree Protection Code: Necessary for Construction",$I640&lt;&gt;"",ISNA(MATCH($I640,Tables!$B$193:$B$197,0))),
Error!$B$17,
IF(AND($E640="Tier 1",$F640="Remove",$H640="Tree Protection Code: Special Exception",$I640&lt;&gt;"",ISNA(MATCH($I640,Tables!$B$215:$B$218,0))),
Error!$B$17,
IF(AND($E640="Tier 1",$F640="Remove",$H640="Tree Protection Code: Other removal allowance or exemption",$I640&lt;&gt;"",ISNA(MATCH($I640,Tables!$B$215:$B$218,0))),
Error!$B$17,
IF(AND($E640="ECA / Shoreline Tree",$F640="Remove",$H640&lt;&gt;"",OR($H640="Shoreline",$H640="Environmental Critical Area (ECA)"),ISNA(MATCH($I640,Tables!$B$209:$B$212,0))),
Error!$B$17,
IF(AND(_xlpm.baseRow,$F640="Retain",$E640="ECA / Shoreline Tree",_xlpm.ECA_Short=0),
Error!$B$61,
IF(AND($F640="Remove",ISNUMBER(MATCH($E640,{"Tier 1","Tier 2","Tier 3","Tier 4","Tier 2 Grove"},0)),ISNUMBER(MATCH($I640,{"On-site replacement","Off-site replacement"},0)),$J640="",$H640&lt;&gt;""),
Error!$B$19,
IF(AND(_xlpm.baseRow,$E640&lt;&gt;"",$D640&lt;&gt;"",$F640&lt;&gt;"",COUNTBLANK($B640:$C640)&gt;0,COUNTBLANK(_xlpm.HRange)&lt;&gt;4),
Error!$B$22,
IF(AND($H640="Zoning: Tree Points",$K640&lt;&gt;"",ISNA(MATCH($K640,Tables!$B$242:$B$253,0))),
Error!$B$58,
IF(AND($H640="Zoning: Tree Points",$K640="Small",$L640&lt;&gt;"",ISNA(MATCH($L640,Tables!$C$243:$C$244,0))),
Error!$B$59,
IF(AND($H640="Zoning: Tree Points",$K640="Small/Medium",$L640&lt;&gt;"",ISNA(MATCH($L640,Tables!$C$246:$C$247,0))),
Error!$B$59,
IF(AND($H640="Zoning: Tree Points",$K640="Medium/Large",$L640&lt;&gt;"",ISNA(MATCH($L640,Tables!$C$249:$C$250,0))),
Error!$B$59,
IF(AND($H640="Zoning: Tree Points",$K640="Large",$L640&lt;&gt;"",ISNA(MATCH($L640,Tables!$C$252:$C$253,0))),
Error!$B$59,
IF(AND($F640="Retain",$H640="Zoning: Tree Points",$C640&lt;&gt;"",$D640&lt;&gt;"",OR($K640="",$L640="",$M640="")),
Error!$B$20,
""
)))))))))))))))))))))))))))))))))))))))))))))))))))))))),
Error!$B$23))</f>
        <v/>
      </c>
      <c r="O640" s="343" t="str" cm="1">
        <f t="array" aca="1" ref="O640" ca="1">IFERROR(_xlfn.LET(
    _xlpm.txt, $C640,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41" spans="1:15" x14ac:dyDescent="0.3">
      <c r="A641" s="320"/>
      <c r="B641" s="616" t="str">
        <f t="shared" si="751"/>
        <v/>
      </c>
      <c r="C641" s="617" t="str">
        <f t="shared" si="752"/>
        <v/>
      </c>
      <c r="D641" s="618" t="str">
        <f t="shared" si="753"/>
        <v/>
      </c>
      <c r="E641" s="616" t="str">
        <f t="shared" si="754"/>
        <v/>
      </c>
      <c r="F641" s="616" t="str">
        <f t="shared" si="755"/>
        <v/>
      </c>
      <c r="G641" s="619" t="str">
        <f>IF(Tree_Table1[[#This Row],[Tree Status  &amp;]]="Retain", Tables!$B$237, IF(Tree_Table1[[#This Row],[Tree Status  &amp;]]="Remove", Tables!$B$238, ""))</f>
        <v/>
      </c>
      <c r="H641" s="321"/>
      <c r="I641" s="322"/>
      <c r="J641" s="453"/>
      <c r="K641" s="323" t="str">
        <f>IFERROR(
    IF(
        AND($H641="Zoning: Tree Points", NOT(ISNUMBER(SEARCH("sp.", $C641)))),
        VLOOKUP($C641, 'Tree List'!$C$3:$F$601, 4, FALSE),
        ""
    ),
"")</f>
        <v/>
      </c>
      <c r="L641" s="324" t="str" cm="1">
        <f t="array" ref="L641">IFERROR(
IF(
    AND($H641="Zoning: Tree Points", NOT(ISNUMBER(SEARCH("sp.", $C641)))),
    _xlfn.IFS(
        (COUNTIFS('Tree List'!$C$3:$C$601,$C641,'Tree List'!$D$3:$D$601,"Coniferous")
        + COUNTIFS('Tree List'!$C$3:$C$601,$C641,'Tree List'!$D$3:$D$601,"Deciduous Conifer")) &gt; 0,
            _xlfn.IFS($K641="Small",0.5,$K641="Small/Medium",1,$K641="Medium/Large",1.4,$K641="Large",1.8),
        (COUNTIFS('Tree List'!$C$3:$C$601,$C641,'Tree List'!$D$3:$D$601,"Deciduous")
        + COUNTIFS('Tree List'!$C$3:$C$601,$C641,'Tree List'!$D$3:$D$601,"Broadleaf Evergreen")) &gt; 0,
            _xlfn.IFS($K641="Small",0.4,$K641="Small/Medium",0.8,$K641="Medium/Large",1.2,$K641="Large",1.6)
    ),
    ""
),
"")</f>
        <v/>
      </c>
      <c r="M641" s="475" t="str">
        <f t="shared" si="735"/>
        <v/>
      </c>
      <c r="N641" s="346" t="str" cm="1">
        <f t="array" aca="1" ref="N64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IF(AND(_xlpm.baseRow,ISNA(MATCH($C641,'Tree List'!$C$3:$C$601,0)),SUMPRODUCT(--ISNUMBER(SEARCH(Tables2!$C$677:$C$772,$O641)))&gt;0),
Error!$B$57,
IF(AND(_xlpm.hasDM,$F641="Remove",$H641&lt;&gt;"",OR($I641="On-site replacement",$I641="Off-site replacement",$I641="Payment In Lieu")),
Error!$B$56,
IF(AND(_xlpm.hasDM,$F641="Remove",$H641&lt;&gt;"",$I641="Relocation"),
Error!$B$66,
IF(AND(OR(_xlpm.hasCN,_xlpm.hasPH,_xlpm.hasGR),$H641&lt;&gt;"",COUNTIF(Tables!$B$132:$B$134,$H641)&gt;0,$I641="N/A (No replacement required)"),
Error!$B$62,
IF(AND(_xlpm.baseRow,$E641&lt;&gt;"",ISNA(MATCH($E641,Tables!$B$225:$B$232,0))),
Error!$B$2,
IF(AND(_xlpm.baseRow,$F641&lt;&gt;"",ISNA(MATCH($F641,Tables!$B$234:$B$235,0))),
Error!$B$24,
IF(AND(_xlpm.baseRow,_xlpm.ECA_H&gt;0,_xlpm.Shore_H&gt;0),
Error!$B$16,
IF(AND(_xlpm.baseRow,$E641&lt;&gt;"",$D641=""),
Error!$B$3,
IF(AND(_xlpm.baseRow,OR($E641="Tier 3",$E641="Tier 4"),$C641&lt;&gt;"",$D641&gt;=24,COUNTIF(Tables2!$B$166:$B$674,$C641)&gt;0),
Error!$B$44,
IF(AND(_xlpm.baseRow,OR($E641="Tier 3",$E641="Tier 4"),$C641&lt;&gt;"",$D641&lt;&gt;"",COUNTIF(Tables2!$B$73:$B$152,$C641)&gt;0,
$D641&gt;=IFERROR(INDEX(Tables2!$C$73:$C$152,MATCH($C641,Tables2!$B$73:$B$152,0)),-1)),
Error!$B$44,
IF(AND(_xlpm.baseRow,OR($E641="Tier 2",$E641="Tier 2 Grove"),$C641&lt;&gt;"",$D641&gt;=12,COUNTIF(Tables2!$B$153:$B$162,$C641)&gt;0),
Error!$B$45,
IF(AND(_xlpm.baseRow,$E641="Tier 2 Grove",$D641&lt;12),
Error!$B$41,
IF(AND(_xlpm.baseRow,$E641="Tier 2",$D641&lt;5.88),
Error!$B$40,
IF(AND(_xlpm.baseRow,OR($E641="Tier 2",$E641="Tier 2 Grove"),$C641&lt;&gt;"",$D641&lt;12,$D641&gt;=6,COUNTIF(Tables2!$B$153:$B$162,$C641)&gt;0),
Error!$B$54,
IF(AND(_xlpm.baseRow,$E641="Tier 2",COUNTIF(Tables2!$B$166:$B$674,$C641)&gt;0,$D641&lt;24),
Error!$B$54,
IF(AND(_xlpm.baseRow,$E641="Tier 3",ISNA(MATCH($C641,Tables2!$B$153:$B$162,0)),OR($D641&lt;12,$D641&gt;=24)),
Error!$B$9,
IF(AND(_xlpm.baseRow,$E641="Tier 3",COUNTIF(Tables2!$B$153:$B$162,$C641)&gt;0,$D641&lt;12),
Error!$B$46,
IF(AND(_xlpm.baseRow,$E641="Tier 4",OR($D641&lt;6,$D641&gt;=12)),
Error!$B$10,
IF(AND(_xlpm.baseRow,$E641="&lt;6in DSH for Tree Points",OR($D641&gt;=6,$D641="")),
Error!$B$8,
IF(AND(_xlpm.baseRow,$E641="Street Tree for Green Factor",$F641&lt;&gt;"",$F641&lt;&gt;"Retain"),
Error!$B$14,
IF(AND($E641="&lt;6in DSH for Tree Points",$F641="Retain",$H641&lt;&gt;"",ISNA(MATCH($H641,Tables!$B$174:$B$174,0))),
Error!$B$15,
IF(AND($E641="Street Tree for Green Factor",$F641="Retain",$H641&lt;&gt;"",$H641&lt;&gt;"Zoning: Green Factor"),
Error!$B$15,
IF(AND($E641="ECA / Shoreline Tree",$F641="Remove",$H641&lt;&gt;"",ISNA(MATCH($H641,Tables!$B$189:$B$190,0))),
Error!$B$15,
IF(AND($E641="ECA / Shoreline Tree",$F641="Retain",$H641&lt;&gt;"",ISNA(MATCH($H641,Tables!$B$184:$B$186,0))),
Error!$B$15,
IF(AND($E641="Tier 4",$F641="Remove",$H641&lt;&gt;"",ISNA(MATCH($H641,Tables!$B$171,0))),
Error!$B$15,
IF(AND($E641="Tier 4",$F641="Retain",$H641&lt;&gt;"",ISNA(MATCH($H641,Tables!$B$166:$B$168,0))),
Error!$B$15,
IF(AND($E641="Tier 3",$F641="Retain",$H641&lt;&gt;"",ISNA(MATCH($H641,Tables!$B$158:$B$160,0))),
Error!$B$15,
IF(AND($E641="Tier 3",$F641="Remove",$H641&lt;&gt;"",ISNA(MATCH($H641,Tables!$B$163,0))),
Error!$B$15,
IF(AND(OR($E641="Tier 2",$E641="Tier 2 Grove"),$F641="Remove",$H641&lt;&gt;"",ISNA(MATCH($H641,Tables!$B$153:$B$155,0))),
Error!$B$15,
IF(AND(OR($E641="Tier 2",$E641="Tier 2 Grove"),$F641="Retain",$H641&lt;&gt;"",ISNA(MATCH($H641,Tables!$B$147:$B$150,0))),
Error!$B$15,
IF(AND($E641="Tier 1",$F641="Remove",$H641&lt;&gt;"",ISNA(MATCH($H641,Tables!$B$143:$B$144,0))),
Error!$B$15,
IF(AND($E641="Tier 1",$F641="Retain",$H641&lt;&gt;"",ISNA(MATCH($H641,Tables!$B$137:$B$140,0))),
Error!$B$15,
IF(AND($E641&lt;&gt;"Tier 2",$E641&lt;&gt;"Tier 2 Grove",$E641&lt;&gt;"Tier 3",$E641&lt;&gt;"Tier 4",$H641="Zoning: Green Factor",OR($D641="",$D641&lt;6)),
Error!$B$11,
IF(AND(_xlpm.baseRow,$D641&lt;6,$E641="&lt;6in DSH for Tree Points",_xlpm.TreePoints_H=0),
Error!$B$21,
IF(AND(_xlpm.baseRow,$E641&lt;&gt;"",$D641&lt;&gt;"",$F641=""),
Error!$B$4,
IF(AND(_xlpm.baseRow,$F641="Remove",OR($E641="Tier 1",$E641="Tier 2",$E641="Tier 2 Grove"),COUNTBLANK(_xlpm.HRange)&lt;3,_xlpm.uniqueH&gt;=2),
Error!$B$48,
IF(AND(_xlpm.baseRow,$F641="Retain",OR($E641="Tier 1",$E641="Tier 2",$E641="Tier 2 Grove"),COUNTIF(_xlpm.HRange,"Tree Code: Required to Retain Tier 1-2 Tree")=0),
Error!$B$47,
IF(AND(_xlpm.baseRow,$E641&lt;&gt;"",$D641&lt;&gt;"",$F641&lt;&gt;"",COUNTBLANK(_xlpm.HRange)=4),
Error!$B$5,
IF(AND($F641="Remove",$H641&lt;&gt;"",$I641=""),
Error!$B$18,
IF(AND($E641="Tier 4",$F641="Remove",$H641="Tree Protection Code: Tier 3 or Tier 4 Allowance",$H641&lt;&gt;"",ISNA(MATCH($I641,Tables!$B$200,0))),
Error!$B$17,
IF(AND($E641="Tier 3",$F641="Remove",$H641&lt;&gt;"",$H641="Tree Protection Code: Tier 3 or Tier 4 Allowance",OR($I641="",ISNA(MATCH($I641,Tables!$B$193:$B$197,0)))),
Error!$B$17,
IF(AND(OR($E641="Tier 2",$E641="Tier 2 Grove"),$F641="Remove",$H641="Tree Protection Code: Other removal allowance or exemption",$I641&lt;&gt;"",ISNA(MATCH($I641,Tables!$B$215:$B$218,0))),
Error!$B$17,
IF(AND(OR($E641="Tier 2",$E641="Tier 2 Grove"),$F641="Remove",$H641="Tree Protection Code: Development Capacity",$I641&lt;&gt;"",ISNA(MATCH($I641,Tables!$B$193:$B$197,0))),
Error!$B$17,
IF(AND(OR($E641="Tier 2",$E641="Tier 2 Grove"),$F641="Remove",$H641="Tree Protection Code: Necessary for Construction",$I641&lt;&gt;"",ISNA(MATCH($I641,Tables!$B$193:$B$197,0))),
Error!$B$17,
IF(AND($E641="Tier 1",$F641="Remove",$H641="Tree Protection Code: Special Exception",$I641&lt;&gt;"",ISNA(MATCH($I641,Tables!$B$215:$B$218,0))),
Error!$B$17,
IF(AND($E641="Tier 1",$F641="Remove",$H641="Tree Protection Code: Other removal allowance or exemption",$I641&lt;&gt;"",ISNA(MATCH($I641,Tables!$B$215:$B$218,0))),
Error!$B$17,
IF(AND($E641="ECA / Shoreline Tree",$F641="Remove",$H641&lt;&gt;"",OR($H641="Shoreline",$H641="Environmental Critical Area (ECA)"),ISNA(MATCH($I641,Tables!$B$209:$B$212,0))),
Error!$B$17,
IF(AND(_xlpm.baseRow,$F641="Retain",$E641="ECA / Shoreline Tree",_xlpm.ECA_Short=0),
Error!$B$61,
IF(AND($F641="Remove",ISNUMBER(MATCH($E641,{"Tier 1","Tier 2","Tier 3","Tier 4","Tier 2 Grove"},0)),ISNUMBER(MATCH($I641,{"On-site replacement","Off-site replacement"},0)),$J641="",$H641&lt;&gt;""),
Error!$B$19,
IF(AND(_xlpm.baseRow,$E641&lt;&gt;"",$D641&lt;&gt;"",$F641&lt;&gt;"",COUNTBLANK($B641:$C641)&gt;0,COUNTBLANK(_xlpm.HRange)&lt;&gt;4),
Error!$B$22,
IF(AND($H641="Zoning: Tree Points",$K641&lt;&gt;"",ISNA(MATCH($K641,Tables!$B$242:$B$253,0))),
Error!$B$58,
IF(AND($H641="Zoning: Tree Points",$K641="Small",$L641&lt;&gt;"",ISNA(MATCH($L641,Tables!$C$243:$C$244,0))),
Error!$B$59,
IF(AND($H641="Zoning: Tree Points",$K641="Small/Medium",$L641&lt;&gt;"",ISNA(MATCH($L641,Tables!$C$246:$C$247,0))),
Error!$B$59,
IF(AND($H641="Zoning: Tree Points",$K641="Medium/Large",$L641&lt;&gt;"",ISNA(MATCH($L641,Tables!$C$249:$C$250,0))),
Error!$B$59,
IF(AND($H641="Zoning: Tree Points",$K641="Large",$L641&lt;&gt;"",ISNA(MATCH($L641,Tables!$C$252:$C$253,0))),
Error!$B$59,
IF(AND($F641="Retain",$H641="Zoning: Tree Points",$C641&lt;&gt;"",$D641&lt;&gt;"",OR($K641="",$L641="",$M641="")),
Error!$B$20,
""
)))))))))))))))))))))))))))))))))))))))))))))))))))))))),
Error!$B$23))</f>
        <v/>
      </c>
      <c r="O641" s="343" t="str" cm="1">
        <f t="array" aca="1" ref="O641" ca="1">IFERROR(_xlfn.LET(
    _xlpm.txt, $C641,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42" spans="1:15" ht="15" thickBot="1" x14ac:dyDescent="0.35">
      <c r="A642" s="331"/>
      <c r="B642" s="616" t="str">
        <f t="shared" si="751"/>
        <v/>
      </c>
      <c r="C642" s="617" t="str">
        <f t="shared" si="752"/>
        <v/>
      </c>
      <c r="D642" s="618" t="str">
        <f t="shared" si="753"/>
        <v/>
      </c>
      <c r="E642" s="616" t="str">
        <f t="shared" si="754"/>
        <v/>
      </c>
      <c r="F642" s="616" t="str">
        <f t="shared" si="755"/>
        <v/>
      </c>
      <c r="G642" s="619" t="str">
        <f>IF(Tree_Table1[[#This Row],[Tree Status  &amp;]]="Retain", Tables!$B$237, IF(Tree_Table1[[#This Row],[Tree Status  &amp;]]="Remove", Tables!$B$238, ""))</f>
        <v/>
      </c>
      <c r="H642" s="329"/>
      <c r="I642" s="330"/>
      <c r="J642" s="455"/>
      <c r="K642" s="327" t="str">
        <f>IFERROR(
    IF(
        AND($H642="Zoning: Tree Points", NOT(ISNUMBER(SEARCH("sp.", $C642)))),
        VLOOKUP($C642, 'Tree List'!$C$3:$F$601, 4, FALSE),
        ""
    ),
"")</f>
        <v/>
      </c>
      <c r="L642" s="328" t="str" cm="1">
        <f t="array" ref="L642">IFERROR(
IF(
    AND($H642="Zoning: Tree Points", NOT(ISNUMBER(SEARCH("sp.", $C642)))),
    _xlfn.IFS(
        (COUNTIFS('Tree List'!$C$3:$C$601,$C642,'Tree List'!$D$3:$D$601,"Coniferous")
        + COUNTIFS('Tree List'!$C$3:$C$601,$C642,'Tree List'!$D$3:$D$601,"Deciduous Conifer")) &gt; 0,
            _xlfn.IFS($K642="Small",0.5,$K642="Small/Medium",1,$K642="Medium/Large",1.4,$K642="Large",1.8),
        (COUNTIFS('Tree List'!$C$3:$C$601,$C642,'Tree List'!$D$3:$D$601,"Deciduous")
        + COUNTIFS('Tree List'!$C$3:$C$601,$C642,'Tree List'!$D$3:$D$601,"Broadleaf Evergreen")) &gt; 0,
            _xlfn.IFS($K642="Small",0.4,$K642="Small/Medium",0.8,$K642="Medium/Large",1.2,$K642="Large",1.6)
    ),
    ""
),
"")</f>
        <v/>
      </c>
      <c r="M642" s="476" t="str">
        <f t="shared" si="735"/>
        <v/>
      </c>
      <c r="N642" s="347" t="str" cm="1">
        <f t="array" aca="1" ref="N64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IF(AND(_xlpm.baseRow,ISNA(MATCH($C642,'Tree List'!$C$3:$C$601,0)),SUMPRODUCT(--ISNUMBER(SEARCH(Tables2!$C$677:$C$772,$O642)))&gt;0),
Error!$B$57,
IF(AND(_xlpm.hasDM,$F642="Remove",$H642&lt;&gt;"",OR($I642="On-site replacement",$I642="Off-site replacement",$I642="Payment In Lieu")),
Error!$B$56,
IF(AND(_xlpm.hasDM,$F642="Remove",$H642&lt;&gt;"",$I642="Relocation"),
Error!$B$66,
IF(AND(OR(_xlpm.hasCN,_xlpm.hasPH,_xlpm.hasGR),$H642&lt;&gt;"",COUNTIF(Tables!$B$132:$B$134,$H642)&gt;0,$I642="N/A (No replacement required)"),
Error!$B$62,
IF(AND(_xlpm.baseRow,$E642&lt;&gt;"",ISNA(MATCH($E642,Tables!$B$225:$B$232,0))),
Error!$B$2,
IF(AND(_xlpm.baseRow,$F642&lt;&gt;"",ISNA(MATCH($F642,Tables!$B$234:$B$235,0))),
Error!$B$24,
IF(AND(_xlpm.baseRow,_xlpm.ECA_H&gt;0,_xlpm.Shore_H&gt;0),
Error!$B$16,
IF(AND(_xlpm.baseRow,$E642&lt;&gt;"",$D642=""),
Error!$B$3,
IF(AND(_xlpm.baseRow,OR($E642="Tier 3",$E642="Tier 4"),$C642&lt;&gt;"",$D642&gt;=24,COUNTIF(Tables2!$B$166:$B$674,$C642)&gt;0),
Error!$B$44,
IF(AND(_xlpm.baseRow,OR($E642="Tier 3",$E642="Tier 4"),$C642&lt;&gt;"",$D642&lt;&gt;"",COUNTIF(Tables2!$B$73:$B$152,$C642)&gt;0,
$D642&gt;=IFERROR(INDEX(Tables2!$C$73:$C$152,MATCH($C642,Tables2!$B$73:$B$152,0)),-1)),
Error!$B$44,
IF(AND(_xlpm.baseRow,OR($E642="Tier 2",$E642="Tier 2 Grove"),$C642&lt;&gt;"",$D642&gt;=12,COUNTIF(Tables2!$B$153:$B$162,$C642)&gt;0),
Error!$B$45,
IF(AND(_xlpm.baseRow,$E642="Tier 2 Grove",$D642&lt;12),
Error!$B$41,
IF(AND(_xlpm.baseRow,$E642="Tier 2",$D642&lt;5.88),
Error!$B$40,
IF(AND(_xlpm.baseRow,OR($E642="Tier 2",$E642="Tier 2 Grove"),$C642&lt;&gt;"",$D642&lt;12,$D642&gt;=6,COUNTIF(Tables2!$B$153:$B$162,$C642)&gt;0),
Error!$B$54,
IF(AND(_xlpm.baseRow,$E642="Tier 2",COUNTIF(Tables2!$B$166:$B$674,$C642)&gt;0,$D642&lt;24),
Error!$B$54,
IF(AND(_xlpm.baseRow,$E642="Tier 3",ISNA(MATCH($C642,Tables2!$B$153:$B$162,0)),OR($D642&lt;12,$D642&gt;=24)),
Error!$B$9,
IF(AND(_xlpm.baseRow,$E642="Tier 3",COUNTIF(Tables2!$B$153:$B$162,$C642)&gt;0,$D642&lt;12),
Error!$B$46,
IF(AND(_xlpm.baseRow,$E642="Tier 4",OR($D642&lt;6,$D642&gt;=12)),
Error!$B$10,
IF(AND(_xlpm.baseRow,$E642="&lt;6in DSH for Tree Points",OR($D642&gt;=6,$D642="")),
Error!$B$8,
IF(AND(_xlpm.baseRow,$E642="Street Tree for Green Factor",$F642&lt;&gt;"",$F642&lt;&gt;"Retain"),
Error!$B$14,
IF(AND($E642="&lt;6in DSH for Tree Points",$F642="Retain",$H642&lt;&gt;"",ISNA(MATCH($H642,Tables!$B$174:$B$174,0))),
Error!$B$15,
IF(AND($E642="Street Tree for Green Factor",$F642="Retain",$H642&lt;&gt;"",$H642&lt;&gt;"Zoning: Green Factor"),
Error!$B$15,
IF(AND($E642="ECA / Shoreline Tree",$F642="Remove",$H642&lt;&gt;"",ISNA(MATCH($H642,Tables!$B$189:$B$190,0))),
Error!$B$15,
IF(AND($E642="ECA / Shoreline Tree",$F642="Retain",$H642&lt;&gt;"",ISNA(MATCH($H642,Tables!$B$184:$B$186,0))),
Error!$B$15,
IF(AND($E642="Tier 4",$F642="Remove",$H642&lt;&gt;"",ISNA(MATCH($H642,Tables!$B$171,0))),
Error!$B$15,
IF(AND($E642="Tier 4",$F642="Retain",$H642&lt;&gt;"",ISNA(MATCH($H642,Tables!$B$166:$B$168,0))),
Error!$B$15,
IF(AND($E642="Tier 3",$F642="Retain",$H642&lt;&gt;"",ISNA(MATCH($H642,Tables!$B$158:$B$160,0))),
Error!$B$15,
IF(AND($E642="Tier 3",$F642="Remove",$H642&lt;&gt;"",ISNA(MATCH($H642,Tables!$B$163,0))),
Error!$B$15,
IF(AND(OR($E642="Tier 2",$E642="Tier 2 Grove"),$F642="Remove",$H642&lt;&gt;"",ISNA(MATCH($H642,Tables!$B$153:$B$155,0))),
Error!$B$15,
IF(AND(OR($E642="Tier 2",$E642="Tier 2 Grove"),$F642="Retain",$H642&lt;&gt;"",ISNA(MATCH($H642,Tables!$B$147:$B$150,0))),
Error!$B$15,
IF(AND($E642="Tier 1",$F642="Remove",$H642&lt;&gt;"",ISNA(MATCH($H642,Tables!$B$143:$B$144,0))),
Error!$B$15,
IF(AND($E642="Tier 1",$F642="Retain",$H642&lt;&gt;"",ISNA(MATCH($H642,Tables!$B$137:$B$140,0))),
Error!$B$15,
IF(AND($E642&lt;&gt;"Tier 2",$E642&lt;&gt;"Tier 2 Grove",$E642&lt;&gt;"Tier 3",$E642&lt;&gt;"Tier 4",$H642="Zoning: Green Factor",OR($D642="",$D642&lt;6)),
Error!$B$11,
IF(AND(_xlpm.baseRow,$D642&lt;6,$E642="&lt;6in DSH for Tree Points",_xlpm.TreePoints_H=0),
Error!$B$21,
IF(AND(_xlpm.baseRow,$E642&lt;&gt;"",$D642&lt;&gt;"",$F642=""),
Error!$B$4,
IF(AND(_xlpm.baseRow,$F642="Remove",OR($E642="Tier 1",$E642="Tier 2",$E642="Tier 2 Grove"),COUNTBLANK(_xlpm.HRange)&lt;3,_xlpm.uniqueH&gt;=2),
Error!$B$48,
IF(AND(_xlpm.baseRow,$F642="Retain",OR($E642="Tier 1",$E642="Tier 2",$E642="Tier 2 Grove"),COUNTIF(_xlpm.HRange,"Tree Code: Required to Retain Tier 1-2 Tree")=0),
Error!$B$47,
IF(AND(_xlpm.baseRow,$E642&lt;&gt;"",$D642&lt;&gt;"",$F642&lt;&gt;"",COUNTBLANK(_xlpm.HRange)=4),
Error!$B$5,
IF(AND($F642="Remove",$H642&lt;&gt;"",$I642=""),
Error!$B$18,
IF(AND($E642="Tier 4",$F642="Remove",$H642="Tree Protection Code: Tier 3 or Tier 4 Allowance",$H642&lt;&gt;"",ISNA(MATCH($I642,Tables!$B$200,0))),
Error!$B$17,
IF(AND($E642="Tier 3",$F642="Remove",$H642&lt;&gt;"",$H642="Tree Protection Code: Tier 3 or Tier 4 Allowance",OR($I642="",ISNA(MATCH($I642,Tables!$B$193:$B$197,0)))),
Error!$B$17,
IF(AND(OR($E642="Tier 2",$E642="Tier 2 Grove"),$F642="Remove",$H642="Tree Protection Code: Other removal allowance or exemption",$I642&lt;&gt;"",ISNA(MATCH($I642,Tables!$B$215:$B$218,0))),
Error!$B$17,
IF(AND(OR($E642="Tier 2",$E642="Tier 2 Grove"),$F642="Remove",$H642="Tree Protection Code: Development Capacity",$I642&lt;&gt;"",ISNA(MATCH($I642,Tables!$B$193:$B$197,0))),
Error!$B$17,
IF(AND(OR($E642="Tier 2",$E642="Tier 2 Grove"),$F642="Remove",$H642="Tree Protection Code: Necessary for Construction",$I642&lt;&gt;"",ISNA(MATCH($I642,Tables!$B$193:$B$197,0))),
Error!$B$17,
IF(AND($E642="Tier 1",$F642="Remove",$H642="Tree Protection Code: Special Exception",$I642&lt;&gt;"",ISNA(MATCH($I642,Tables!$B$215:$B$218,0))),
Error!$B$17,
IF(AND($E642="Tier 1",$F642="Remove",$H642="Tree Protection Code: Other removal allowance or exemption",$I642&lt;&gt;"",ISNA(MATCH($I642,Tables!$B$215:$B$218,0))),
Error!$B$17,
IF(AND($E642="ECA / Shoreline Tree",$F642="Remove",$H642&lt;&gt;"",OR($H642="Shoreline",$H642="Environmental Critical Area (ECA)"),ISNA(MATCH($I642,Tables!$B$209:$B$212,0))),
Error!$B$17,
IF(AND(_xlpm.baseRow,$F642="Retain",$E642="ECA / Shoreline Tree",_xlpm.ECA_Short=0),
Error!$B$61,
IF(AND($F642="Remove",ISNUMBER(MATCH($E642,{"Tier 1","Tier 2","Tier 3","Tier 4","Tier 2 Grove"},0)),ISNUMBER(MATCH($I642,{"On-site replacement","Off-site replacement"},0)),$J642="",$H642&lt;&gt;""),
Error!$B$19,
IF(AND(_xlpm.baseRow,$E642&lt;&gt;"",$D642&lt;&gt;"",$F642&lt;&gt;"",COUNTBLANK($B642:$C642)&gt;0,COUNTBLANK(_xlpm.HRange)&lt;&gt;4),
Error!$B$22,
IF(AND($H642="Zoning: Tree Points",$K642&lt;&gt;"",ISNA(MATCH($K642,Tables!$B$242:$B$253,0))),
Error!$B$58,
IF(AND($H642="Zoning: Tree Points",$K642="Small",$L642&lt;&gt;"",ISNA(MATCH($L642,Tables!$C$243:$C$244,0))),
Error!$B$59,
IF(AND($H642="Zoning: Tree Points",$K642="Small/Medium",$L642&lt;&gt;"",ISNA(MATCH($L642,Tables!$C$246:$C$247,0))),
Error!$B$59,
IF(AND($H642="Zoning: Tree Points",$K642="Medium/Large",$L642&lt;&gt;"",ISNA(MATCH($L642,Tables!$C$249:$C$250,0))),
Error!$B$59,
IF(AND($H642="Zoning: Tree Points",$K642="Large",$L642&lt;&gt;"",ISNA(MATCH($L642,Tables!$C$252:$C$253,0))),
Error!$B$59,
IF(AND($F642="Retain",$H642="Zoning: Tree Points",$C642&lt;&gt;"",$D642&lt;&gt;"",OR($K642="",$L642="",$M642="")),
Error!$B$20,
""
)))))))))))))))))))))))))))))))))))))))))))))))))))))))),
Error!$B$23))</f>
        <v/>
      </c>
      <c r="O642" s="343" t="str" cm="1">
        <f t="array" aca="1" ref="O642" ca="1">IFERROR(_xlfn.LET(
    _xlpm.txt, $C642,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43" spans="1:15" ht="15" thickBot="1" x14ac:dyDescent="0.35">
      <c r="A643" s="311">
        <v>159</v>
      </c>
      <c r="B643" s="312"/>
      <c r="C643" s="313"/>
      <c r="D643" s="478"/>
      <c r="E643" s="314"/>
      <c r="F643" s="314"/>
      <c r="G643" s="315" t="str">
        <f>IF(Tree_Table1[[#This Row],[Tree Status  &amp;]]="Retain", Tables!$B$237, IF(Tree_Table1[[#This Row],[Tree Status  &amp;]]="Remove", Tables!$B$238, ""))</f>
        <v/>
      </c>
      <c r="H643" s="316"/>
      <c r="I643" s="317"/>
      <c r="J643" s="452"/>
      <c r="K643" s="318" t="str">
        <f>IFERROR(
    IF(
        AND($H643="Zoning: Tree Points", NOT(ISNUMBER(SEARCH("sp.", $C643)))),
        VLOOKUP($C643, 'Tree List'!$C$3:$F$601, 4, FALSE),
        ""
    ),
"")</f>
        <v/>
      </c>
      <c r="L643" s="319" t="str" cm="1">
        <f t="array" ref="L643">IFERROR(
IF(
    AND($H643="Zoning: Tree Points", NOT(ISNUMBER(SEARCH("sp.", $C643)))),
    _xlfn.IFS(
        (COUNTIFS('Tree List'!$C$3:$C$601,$C643,'Tree List'!$D$3:$D$601,"Coniferous")
        + COUNTIFS('Tree List'!$C$3:$C$601,$C643,'Tree List'!$D$3:$D$601,"Deciduous Conifer")) &gt; 0,
            _xlfn.IFS($K643="Small",0.5,$K643="Small/Medium",1,$K643="Medium/Large",1.4,$K643="Large",1.8),
        (COUNTIFS('Tree List'!$C$3:$C$601,$C643,'Tree List'!$D$3:$D$601,"Deciduous")
        + COUNTIFS('Tree List'!$C$3:$C$601,$C643,'Tree List'!$D$3:$D$601,"Broadleaf Evergreen")) &gt; 0,
            _xlfn.IFS($K643="Small",0.4,$K643="Small/Medium",0.8,$K643="Medium/Large",1.2,$K643="Large",1.6)
    ),
    ""
),
"")</f>
        <v/>
      </c>
      <c r="M643" s="474" t="str">
        <f t="shared" si="735"/>
        <v/>
      </c>
      <c r="N643" s="620" t="str" cm="1">
        <f t="array" aca="1" ref="N64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IF(AND(_xlpm.baseRow,ISNA(MATCH($C643,'Tree List'!$C$3:$C$601,0)),SUMPRODUCT(--ISNUMBER(SEARCH(Tables2!$C$677:$C$772,$O643)))&gt;0),
Error!$B$57,
IF(AND(_xlpm.hasDM,$F643="Remove",$H643&lt;&gt;"",OR($I643="On-site replacement",$I643="Off-site replacement",$I643="Payment In Lieu")),
Error!$B$56,
IF(AND(_xlpm.hasDM,$F643="Remove",$H643&lt;&gt;"",$I643="Relocation"),
Error!$B$66,
IF(AND(OR(_xlpm.hasCN,_xlpm.hasPH,_xlpm.hasGR),$H643&lt;&gt;"",COUNTIF(Tables!$B$132:$B$134,$H643)&gt;0,$I643="N/A (No replacement required)"),
Error!$B$62,
IF(AND(_xlpm.baseRow,$E643&lt;&gt;"",ISNA(MATCH($E643,Tables!$B$225:$B$232,0))),
Error!$B$2,
IF(AND(_xlpm.baseRow,$F643&lt;&gt;"",ISNA(MATCH($F643,Tables!$B$234:$B$235,0))),
Error!$B$24,
IF(AND(_xlpm.baseRow,_xlpm.ECA_H&gt;0,_xlpm.Shore_H&gt;0),
Error!$B$16,
IF(AND(_xlpm.baseRow,$E643&lt;&gt;"",$D643=""),
Error!$B$3,
IF(AND(_xlpm.baseRow,OR($E643="Tier 3",$E643="Tier 4"),$C643&lt;&gt;"",$D643&gt;=24,COUNTIF(Tables2!$B$166:$B$674,$C643)&gt;0),
Error!$B$44,
IF(AND(_xlpm.baseRow,OR($E643="Tier 3",$E643="Tier 4"),$C643&lt;&gt;"",$D643&lt;&gt;"",COUNTIF(Tables2!$B$73:$B$152,$C643)&gt;0,
$D643&gt;=IFERROR(INDEX(Tables2!$C$73:$C$152,MATCH($C643,Tables2!$B$73:$B$152,0)),-1)),
Error!$B$44,
IF(AND(_xlpm.baseRow,OR($E643="Tier 2",$E643="Tier 2 Grove"),$C643&lt;&gt;"",$D643&gt;=12,COUNTIF(Tables2!$B$153:$B$162,$C643)&gt;0),
Error!$B$45,
IF(AND(_xlpm.baseRow,$E643="Tier 2 Grove",$D643&lt;12),
Error!$B$41,
IF(AND(_xlpm.baseRow,$E643="Tier 2",$D643&lt;5.88),
Error!$B$40,
IF(AND(_xlpm.baseRow,OR($E643="Tier 2",$E643="Tier 2 Grove"),$C643&lt;&gt;"",$D643&lt;12,$D643&gt;=6,COUNTIF(Tables2!$B$153:$B$162,$C643)&gt;0),
Error!$B$54,
IF(AND(_xlpm.baseRow,$E643="Tier 2",COUNTIF(Tables2!$B$166:$B$674,$C643)&gt;0,$D643&lt;24),
Error!$B$54,
IF(AND(_xlpm.baseRow,$E643="Tier 3",ISNA(MATCH($C643,Tables2!$B$153:$B$162,0)),OR($D643&lt;12,$D643&gt;=24)),
Error!$B$9,
IF(AND(_xlpm.baseRow,$E643="Tier 3",COUNTIF(Tables2!$B$153:$B$162,$C643)&gt;0,$D643&lt;12),
Error!$B$46,
IF(AND(_xlpm.baseRow,$E643="Tier 4",OR($D643&lt;6,$D643&gt;=12)),
Error!$B$10,
IF(AND(_xlpm.baseRow,$E643="&lt;6in DSH for Tree Points",OR($D643&gt;=6,$D643="")),
Error!$B$8,
IF(AND(_xlpm.baseRow,$E643="Street Tree for Green Factor",$F643&lt;&gt;"",$F643&lt;&gt;"Retain"),
Error!$B$14,
IF(AND($E643="&lt;6in DSH for Tree Points",$F643="Retain",$H643&lt;&gt;"",ISNA(MATCH($H643,Tables!$B$174:$B$174,0))),
Error!$B$15,
IF(AND($E643="Street Tree for Green Factor",$F643="Retain",$H643&lt;&gt;"",$H643&lt;&gt;"Zoning: Green Factor"),
Error!$B$15,
IF(AND($E643="ECA / Shoreline Tree",$F643="Remove",$H643&lt;&gt;"",ISNA(MATCH($H643,Tables!$B$189:$B$190,0))),
Error!$B$15,
IF(AND($E643="ECA / Shoreline Tree",$F643="Retain",$H643&lt;&gt;"",ISNA(MATCH($H643,Tables!$B$184:$B$186,0))),
Error!$B$15,
IF(AND($E643="Tier 4",$F643="Remove",$H643&lt;&gt;"",ISNA(MATCH($H643,Tables!$B$171,0))),
Error!$B$15,
IF(AND($E643="Tier 4",$F643="Retain",$H643&lt;&gt;"",ISNA(MATCH($H643,Tables!$B$166:$B$168,0))),
Error!$B$15,
IF(AND($E643="Tier 3",$F643="Retain",$H643&lt;&gt;"",ISNA(MATCH($H643,Tables!$B$158:$B$160,0))),
Error!$B$15,
IF(AND($E643="Tier 3",$F643="Remove",$H643&lt;&gt;"",ISNA(MATCH($H643,Tables!$B$163,0))),
Error!$B$15,
IF(AND(OR($E643="Tier 2",$E643="Tier 2 Grove"),$F643="Remove",$H643&lt;&gt;"",ISNA(MATCH($H643,Tables!$B$153:$B$155,0))),
Error!$B$15,
IF(AND(OR($E643="Tier 2",$E643="Tier 2 Grove"),$F643="Retain",$H643&lt;&gt;"",ISNA(MATCH($H643,Tables!$B$147:$B$150,0))),
Error!$B$15,
IF(AND($E643="Tier 1",$F643="Remove",$H643&lt;&gt;"",ISNA(MATCH($H643,Tables!$B$143:$B$144,0))),
Error!$B$15,
IF(AND($E643="Tier 1",$F643="Retain",$H643&lt;&gt;"",ISNA(MATCH($H643,Tables!$B$137:$B$140,0))),
Error!$B$15,
IF(AND($E643&lt;&gt;"Tier 2",$E643&lt;&gt;"Tier 2 Grove",$E643&lt;&gt;"Tier 3",$E643&lt;&gt;"Tier 4",$H643="Zoning: Green Factor",OR($D643="",$D643&lt;6)),
Error!$B$11,
IF(AND(_xlpm.baseRow,$D643&lt;6,$E643="&lt;6in DSH for Tree Points",_xlpm.TreePoints_H=0),
Error!$B$21,
IF(AND(_xlpm.baseRow,$E643&lt;&gt;"",$D643&lt;&gt;"",$F643=""),
Error!$B$4,
IF(AND(_xlpm.baseRow,$F643="Remove",OR($E643="Tier 1",$E643="Tier 2",$E643="Tier 2 Grove"),COUNTBLANK(_xlpm.HRange)&lt;3,_xlpm.uniqueH&gt;=2),
Error!$B$48,
IF(AND(_xlpm.baseRow,$F643="Retain",OR($E643="Tier 1",$E643="Tier 2",$E643="Tier 2 Grove"),COUNTIF(_xlpm.HRange,"Tree Code: Required to Retain Tier 1-2 Tree")=0),
Error!$B$47,
IF(AND(_xlpm.baseRow,$E643&lt;&gt;"",$D643&lt;&gt;"",$F643&lt;&gt;"",COUNTBLANK(_xlpm.HRange)=4),
Error!$B$5,
IF(AND($F643="Remove",$H643&lt;&gt;"",$I643=""),
Error!$B$18,
IF(AND($E643="Tier 4",$F643="Remove",$H643="Tree Protection Code: Tier 3 or Tier 4 Allowance",$H643&lt;&gt;"",ISNA(MATCH($I643,Tables!$B$200,0))),
Error!$B$17,
IF(AND($E643="Tier 3",$F643="Remove",$H643&lt;&gt;"",$H643="Tree Protection Code: Tier 3 or Tier 4 Allowance",OR($I643="",ISNA(MATCH($I643,Tables!$B$193:$B$197,0)))),
Error!$B$17,
IF(AND(OR($E643="Tier 2",$E643="Tier 2 Grove"),$F643="Remove",$H643="Tree Protection Code: Other removal allowance or exemption",$I643&lt;&gt;"",ISNA(MATCH($I643,Tables!$B$215:$B$218,0))),
Error!$B$17,
IF(AND(OR($E643="Tier 2",$E643="Tier 2 Grove"),$F643="Remove",$H643="Tree Protection Code: Development Capacity",$I643&lt;&gt;"",ISNA(MATCH($I643,Tables!$B$193:$B$197,0))),
Error!$B$17,
IF(AND(OR($E643="Tier 2",$E643="Tier 2 Grove"),$F643="Remove",$H643="Tree Protection Code: Necessary for Construction",$I643&lt;&gt;"",ISNA(MATCH($I643,Tables!$B$193:$B$197,0))),
Error!$B$17,
IF(AND($E643="Tier 1",$F643="Remove",$H643="Tree Protection Code: Special Exception",$I643&lt;&gt;"",ISNA(MATCH($I643,Tables!$B$215:$B$218,0))),
Error!$B$17,
IF(AND($E643="Tier 1",$F643="Remove",$H643="Tree Protection Code: Other removal allowance or exemption",$I643&lt;&gt;"",ISNA(MATCH($I643,Tables!$B$215:$B$218,0))),
Error!$B$17,
IF(AND($E643="ECA / Shoreline Tree",$F643="Remove",$H643&lt;&gt;"",OR($H643="Shoreline",$H643="Environmental Critical Area (ECA)"),ISNA(MATCH($I643,Tables!$B$209:$B$212,0))),
Error!$B$17,
IF(AND(_xlpm.baseRow,$F643="Retain",$E643="ECA / Shoreline Tree",_xlpm.ECA_Short=0),
Error!$B$61,
IF(AND($F643="Remove",ISNUMBER(MATCH($E643,{"Tier 1","Tier 2","Tier 3","Tier 4","Tier 2 Grove"},0)),ISNUMBER(MATCH($I643,{"On-site replacement","Off-site replacement"},0)),$J643="",$H643&lt;&gt;""),
Error!$B$19,
IF(AND(_xlpm.baseRow,$E643&lt;&gt;"",$D643&lt;&gt;"",$F643&lt;&gt;"",COUNTBLANK($B643:$C643)&gt;0,COUNTBLANK(_xlpm.HRange)&lt;&gt;4),
Error!$B$22,
IF(AND($H643="Zoning: Tree Points",$K643&lt;&gt;"",ISNA(MATCH($K643,Tables!$B$242:$B$253,0))),
Error!$B$58,
IF(AND($H643="Zoning: Tree Points",$K643="Small",$L643&lt;&gt;"",ISNA(MATCH($L643,Tables!$C$243:$C$244,0))),
Error!$B$59,
IF(AND($H643="Zoning: Tree Points",$K643="Small/Medium",$L643&lt;&gt;"",ISNA(MATCH($L643,Tables!$C$246:$C$247,0))),
Error!$B$59,
IF(AND($H643="Zoning: Tree Points",$K643="Medium/Large",$L643&lt;&gt;"",ISNA(MATCH($L643,Tables!$C$249:$C$250,0))),
Error!$B$59,
IF(AND($H643="Zoning: Tree Points",$K643="Large",$L643&lt;&gt;"",ISNA(MATCH($L643,Tables!$C$252:$C$253,0))),
Error!$B$59,
IF(AND($F643="Retain",$H643="Zoning: Tree Points",$C643&lt;&gt;"",$D643&lt;&gt;"",OR($K643="",$L643="",$M643="")),
Error!$B$20,
""
)))))))))))))))))))))))))))))))))))))))))))))))))))))))),
Error!$B$23))</f>
        <v/>
      </c>
      <c r="O643" s="343" t="str" cm="1">
        <f t="array" aca="1" ref="O643" ca="1">IFERROR(_xlfn.LET(
    _xlpm.txt, $C643,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44" spans="1:15" x14ac:dyDescent="0.3">
      <c r="A644" s="320"/>
      <c r="B644" s="616" t="str">
        <f t="shared" ref="B644:B646" si="756">IF($B643="", "", $B643)</f>
        <v/>
      </c>
      <c r="C644" s="617" t="str">
        <f t="shared" ref="C644:C646" si="757">IF($C643="", "", $C643)</f>
        <v/>
      </c>
      <c r="D644" s="618" t="str">
        <f t="shared" ref="D644:D646" si="758">IF($D643="", "", $D643)</f>
        <v/>
      </c>
      <c r="E644" s="616" t="str">
        <f t="shared" ref="E644:E646" si="759">IF($E643="", "", $E643)</f>
        <v/>
      </c>
      <c r="F644" s="616" t="str">
        <f t="shared" ref="F644:F646" si="760">IF($F643="", "", $F643)</f>
        <v/>
      </c>
      <c r="G644" s="619" t="str">
        <f>IF(Tree_Table1[[#This Row],[Tree Status  &amp;]]="Retain", Tables!$B$237, IF(Tree_Table1[[#This Row],[Tree Status  &amp;]]="Remove", Tables!$B$238, ""))</f>
        <v/>
      </c>
      <c r="H644" s="321"/>
      <c r="I644" s="322"/>
      <c r="J644" s="453"/>
      <c r="K644" s="323" t="str">
        <f>IFERROR(
    IF(
        AND($H644="Zoning: Tree Points", NOT(ISNUMBER(SEARCH("sp.", $C644)))),
        VLOOKUP($C644, 'Tree List'!$C$3:$F$601, 4, FALSE),
        ""
    ),
"")</f>
        <v/>
      </c>
      <c r="L644" s="324" t="str" cm="1">
        <f t="array" ref="L644">IFERROR(
IF(
    AND($H644="Zoning: Tree Points", NOT(ISNUMBER(SEARCH("sp.", $C644)))),
    _xlfn.IFS(
        (COUNTIFS('Tree List'!$C$3:$C$601,$C644,'Tree List'!$D$3:$D$601,"Coniferous")
        + COUNTIFS('Tree List'!$C$3:$C$601,$C644,'Tree List'!$D$3:$D$601,"Deciduous Conifer")) &gt; 0,
            _xlfn.IFS($K644="Small",0.5,$K644="Small/Medium",1,$K644="Medium/Large",1.4,$K644="Large",1.8),
        (COUNTIFS('Tree List'!$C$3:$C$601,$C644,'Tree List'!$D$3:$D$601,"Deciduous")
        + COUNTIFS('Tree List'!$C$3:$C$601,$C644,'Tree List'!$D$3:$D$601,"Broadleaf Evergreen")) &gt; 0,
            _xlfn.IFS($K644="Small",0.4,$K644="Small/Medium",0.8,$K644="Medium/Large",1.2,$K644="Large",1.6)
    ),
    ""
),
"")</f>
        <v/>
      </c>
      <c r="M644" s="475" t="str">
        <f t="shared" si="735"/>
        <v/>
      </c>
      <c r="N644" s="346" t="str" cm="1">
        <f t="array" aca="1" ref="N64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IF(AND(_xlpm.baseRow,ISNA(MATCH($C644,'Tree List'!$C$3:$C$601,0)),SUMPRODUCT(--ISNUMBER(SEARCH(Tables2!$C$677:$C$772,$O644)))&gt;0),
Error!$B$57,
IF(AND(_xlpm.hasDM,$F644="Remove",$H644&lt;&gt;"",OR($I644="On-site replacement",$I644="Off-site replacement",$I644="Payment In Lieu")),
Error!$B$56,
IF(AND(_xlpm.hasDM,$F644="Remove",$H644&lt;&gt;"",$I644="Relocation"),
Error!$B$66,
IF(AND(OR(_xlpm.hasCN,_xlpm.hasPH,_xlpm.hasGR),$H644&lt;&gt;"",COUNTIF(Tables!$B$132:$B$134,$H644)&gt;0,$I644="N/A (No replacement required)"),
Error!$B$62,
IF(AND(_xlpm.baseRow,$E644&lt;&gt;"",ISNA(MATCH($E644,Tables!$B$225:$B$232,0))),
Error!$B$2,
IF(AND(_xlpm.baseRow,$F644&lt;&gt;"",ISNA(MATCH($F644,Tables!$B$234:$B$235,0))),
Error!$B$24,
IF(AND(_xlpm.baseRow,_xlpm.ECA_H&gt;0,_xlpm.Shore_H&gt;0),
Error!$B$16,
IF(AND(_xlpm.baseRow,$E644&lt;&gt;"",$D644=""),
Error!$B$3,
IF(AND(_xlpm.baseRow,OR($E644="Tier 3",$E644="Tier 4"),$C644&lt;&gt;"",$D644&gt;=24,COUNTIF(Tables2!$B$166:$B$674,$C644)&gt;0),
Error!$B$44,
IF(AND(_xlpm.baseRow,OR($E644="Tier 3",$E644="Tier 4"),$C644&lt;&gt;"",$D644&lt;&gt;"",COUNTIF(Tables2!$B$73:$B$152,$C644)&gt;0,
$D644&gt;=IFERROR(INDEX(Tables2!$C$73:$C$152,MATCH($C644,Tables2!$B$73:$B$152,0)),-1)),
Error!$B$44,
IF(AND(_xlpm.baseRow,OR($E644="Tier 2",$E644="Tier 2 Grove"),$C644&lt;&gt;"",$D644&gt;=12,COUNTIF(Tables2!$B$153:$B$162,$C644)&gt;0),
Error!$B$45,
IF(AND(_xlpm.baseRow,$E644="Tier 2 Grove",$D644&lt;12),
Error!$B$41,
IF(AND(_xlpm.baseRow,$E644="Tier 2",$D644&lt;5.88),
Error!$B$40,
IF(AND(_xlpm.baseRow,OR($E644="Tier 2",$E644="Tier 2 Grove"),$C644&lt;&gt;"",$D644&lt;12,$D644&gt;=6,COUNTIF(Tables2!$B$153:$B$162,$C644)&gt;0),
Error!$B$54,
IF(AND(_xlpm.baseRow,$E644="Tier 2",COUNTIF(Tables2!$B$166:$B$674,$C644)&gt;0,$D644&lt;24),
Error!$B$54,
IF(AND(_xlpm.baseRow,$E644="Tier 3",ISNA(MATCH($C644,Tables2!$B$153:$B$162,0)),OR($D644&lt;12,$D644&gt;=24)),
Error!$B$9,
IF(AND(_xlpm.baseRow,$E644="Tier 3",COUNTIF(Tables2!$B$153:$B$162,$C644)&gt;0,$D644&lt;12),
Error!$B$46,
IF(AND(_xlpm.baseRow,$E644="Tier 4",OR($D644&lt;6,$D644&gt;=12)),
Error!$B$10,
IF(AND(_xlpm.baseRow,$E644="&lt;6in DSH for Tree Points",OR($D644&gt;=6,$D644="")),
Error!$B$8,
IF(AND(_xlpm.baseRow,$E644="Street Tree for Green Factor",$F644&lt;&gt;"",$F644&lt;&gt;"Retain"),
Error!$B$14,
IF(AND($E644="&lt;6in DSH for Tree Points",$F644="Retain",$H644&lt;&gt;"",ISNA(MATCH($H644,Tables!$B$174:$B$174,0))),
Error!$B$15,
IF(AND($E644="Street Tree for Green Factor",$F644="Retain",$H644&lt;&gt;"",$H644&lt;&gt;"Zoning: Green Factor"),
Error!$B$15,
IF(AND($E644="ECA / Shoreline Tree",$F644="Remove",$H644&lt;&gt;"",ISNA(MATCH($H644,Tables!$B$189:$B$190,0))),
Error!$B$15,
IF(AND($E644="ECA / Shoreline Tree",$F644="Retain",$H644&lt;&gt;"",ISNA(MATCH($H644,Tables!$B$184:$B$186,0))),
Error!$B$15,
IF(AND($E644="Tier 4",$F644="Remove",$H644&lt;&gt;"",ISNA(MATCH($H644,Tables!$B$171,0))),
Error!$B$15,
IF(AND($E644="Tier 4",$F644="Retain",$H644&lt;&gt;"",ISNA(MATCH($H644,Tables!$B$166:$B$168,0))),
Error!$B$15,
IF(AND($E644="Tier 3",$F644="Retain",$H644&lt;&gt;"",ISNA(MATCH($H644,Tables!$B$158:$B$160,0))),
Error!$B$15,
IF(AND($E644="Tier 3",$F644="Remove",$H644&lt;&gt;"",ISNA(MATCH($H644,Tables!$B$163,0))),
Error!$B$15,
IF(AND(OR($E644="Tier 2",$E644="Tier 2 Grove"),$F644="Remove",$H644&lt;&gt;"",ISNA(MATCH($H644,Tables!$B$153:$B$155,0))),
Error!$B$15,
IF(AND(OR($E644="Tier 2",$E644="Tier 2 Grove"),$F644="Retain",$H644&lt;&gt;"",ISNA(MATCH($H644,Tables!$B$147:$B$150,0))),
Error!$B$15,
IF(AND($E644="Tier 1",$F644="Remove",$H644&lt;&gt;"",ISNA(MATCH($H644,Tables!$B$143:$B$144,0))),
Error!$B$15,
IF(AND($E644="Tier 1",$F644="Retain",$H644&lt;&gt;"",ISNA(MATCH($H644,Tables!$B$137:$B$140,0))),
Error!$B$15,
IF(AND($E644&lt;&gt;"Tier 2",$E644&lt;&gt;"Tier 2 Grove",$E644&lt;&gt;"Tier 3",$E644&lt;&gt;"Tier 4",$H644="Zoning: Green Factor",OR($D644="",$D644&lt;6)),
Error!$B$11,
IF(AND(_xlpm.baseRow,$D644&lt;6,$E644="&lt;6in DSH for Tree Points",_xlpm.TreePoints_H=0),
Error!$B$21,
IF(AND(_xlpm.baseRow,$E644&lt;&gt;"",$D644&lt;&gt;"",$F644=""),
Error!$B$4,
IF(AND(_xlpm.baseRow,$F644="Remove",OR($E644="Tier 1",$E644="Tier 2",$E644="Tier 2 Grove"),COUNTBLANK(_xlpm.HRange)&lt;3,_xlpm.uniqueH&gt;=2),
Error!$B$48,
IF(AND(_xlpm.baseRow,$F644="Retain",OR($E644="Tier 1",$E644="Tier 2",$E644="Tier 2 Grove"),COUNTIF(_xlpm.HRange,"Tree Code: Required to Retain Tier 1-2 Tree")=0),
Error!$B$47,
IF(AND(_xlpm.baseRow,$E644&lt;&gt;"",$D644&lt;&gt;"",$F644&lt;&gt;"",COUNTBLANK(_xlpm.HRange)=4),
Error!$B$5,
IF(AND($F644="Remove",$H644&lt;&gt;"",$I644=""),
Error!$B$18,
IF(AND($E644="Tier 4",$F644="Remove",$H644="Tree Protection Code: Tier 3 or Tier 4 Allowance",$H644&lt;&gt;"",ISNA(MATCH($I644,Tables!$B$200,0))),
Error!$B$17,
IF(AND($E644="Tier 3",$F644="Remove",$H644&lt;&gt;"",$H644="Tree Protection Code: Tier 3 or Tier 4 Allowance",OR($I644="",ISNA(MATCH($I644,Tables!$B$193:$B$197,0)))),
Error!$B$17,
IF(AND(OR($E644="Tier 2",$E644="Tier 2 Grove"),$F644="Remove",$H644="Tree Protection Code: Other removal allowance or exemption",$I644&lt;&gt;"",ISNA(MATCH($I644,Tables!$B$215:$B$218,0))),
Error!$B$17,
IF(AND(OR($E644="Tier 2",$E644="Tier 2 Grove"),$F644="Remove",$H644="Tree Protection Code: Development Capacity",$I644&lt;&gt;"",ISNA(MATCH($I644,Tables!$B$193:$B$197,0))),
Error!$B$17,
IF(AND(OR($E644="Tier 2",$E644="Tier 2 Grove"),$F644="Remove",$H644="Tree Protection Code: Necessary for Construction",$I644&lt;&gt;"",ISNA(MATCH($I644,Tables!$B$193:$B$197,0))),
Error!$B$17,
IF(AND($E644="Tier 1",$F644="Remove",$H644="Tree Protection Code: Special Exception",$I644&lt;&gt;"",ISNA(MATCH($I644,Tables!$B$215:$B$218,0))),
Error!$B$17,
IF(AND($E644="Tier 1",$F644="Remove",$H644="Tree Protection Code: Other removal allowance or exemption",$I644&lt;&gt;"",ISNA(MATCH($I644,Tables!$B$215:$B$218,0))),
Error!$B$17,
IF(AND($E644="ECA / Shoreline Tree",$F644="Remove",$H644&lt;&gt;"",OR($H644="Shoreline",$H644="Environmental Critical Area (ECA)"),ISNA(MATCH($I644,Tables!$B$209:$B$212,0))),
Error!$B$17,
IF(AND(_xlpm.baseRow,$F644="Retain",$E644="ECA / Shoreline Tree",_xlpm.ECA_Short=0),
Error!$B$61,
IF(AND($F644="Remove",ISNUMBER(MATCH($E644,{"Tier 1","Tier 2","Tier 3","Tier 4","Tier 2 Grove"},0)),ISNUMBER(MATCH($I644,{"On-site replacement","Off-site replacement"},0)),$J644="",$H644&lt;&gt;""),
Error!$B$19,
IF(AND(_xlpm.baseRow,$E644&lt;&gt;"",$D644&lt;&gt;"",$F644&lt;&gt;"",COUNTBLANK($B644:$C644)&gt;0,COUNTBLANK(_xlpm.HRange)&lt;&gt;4),
Error!$B$22,
IF(AND($H644="Zoning: Tree Points",$K644&lt;&gt;"",ISNA(MATCH($K644,Tables!$B$242:$B$253,0))),
Error!$B$58,
IF(AND($H644="Zoning: Tree Points",$K644="Small",$L644&lt;&gt;"",ISNA(MATCH($L644,Tables!$C$243:$C$244,0))),
Error!$B$59,
IF(AND($H644="Zoning: Tree Points",$K644="Small/Medium",$L644&lt;&gt;"",ISNA(MATCH($L644,Tables!$C$246:$C$247,0))),
Error!$B$59,
IF(AND($H644="Zoning: Tree Points",$K644="Medium/Large",$L644&lt;&gt;"",ISNA(MATCH($L644,Tables!$C$249:$C$250,0))),
Error!$B$59,
IF(AND($H644="Zoning: Tree Points",$K644="Large",$L644&lt;&gt;"",ISNA(MATCH($L644,Tables!$C$252:$C$253,0))),
Error!$B$59,
IF(AND($F644="Retain",$H644="Zoning: Tree Points",$C644&lt;&gt;"",$D644&lt;&gt;"",OR($K644="",$L644="",$M644="")),
Error!$B$20,
""
)))))))))))))))))))))))))))))))))))))))))))))))))))))))),
Error!$B$23))</f>
        <v/>
      </c>
      <c r="O644" s="343" t="str" cm="1">
        <f t="array" aca="1" ref="O644" ca="1">IFERROR(_xlfn.LET(
    _xlpm.txt, $C644,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45" spans="1:15" x14ac:dyDescent="0.3">
      <c r="A645" s="320"/>
      <c r="B645" s="616" t="str">
        <f t="shared" si="756"/>
        <v/>
      </c>
      <c r="C645" s="617" t="str">
        <f t="shared" si="757"/>
        <v/>
      </c>
      <c r="D645" s="618" t="str">
        <f t="shared" si="758"/>
        <v/>
      </c>
      <c r="E645" s="616" t="str">
        <f t="shared" si="759"/>
        <v/>
      </c>
      <c r="F645" s="616" t="str">
        <f t="shared" si="760"/>
        <v/>
      </c>
      <c r="G645" s="619" t="str">
        <f>IF(Tree_Table1[[#This Row],[Tree Status  &amp;]]="Retain", Tables!$B$237, IF(Tree_Table1[[#This Row],[Tree Status  &amp;]]="Remove", Tables!$B$238, ""))</f>
        <v/>
      </c>
      <c r="H645" s="321"/>
      <c r="I645" s="322"/>
      <c r="J645" s="453"/>
      <c r="K645" s="323" t="str">
        <f>IFERROR(
    IF(
        AND($H645="Zoning: Tree Points", NOT(ISNUMBER(SEARCH("sp.", $C645)))),
        VLOOKUP($C645, 'Tree List'!$C$3:$F$601, 4, FALSE),
        ""
    ),
"")</f>
        <v/>
      </c>
      <c r="L645" s="324" t="str" cm="1">
        <f t="array" ref="L645">IFERROR(
IF(
    AND($H645="Zoning: Tree Points", NOT(ISNUMBER(SEARCH("sp.", $C645)))),
    _xlfn.IFS(
        (COUNTIFS('Tree List'!$C$3:$C$601,$C645,'Tree List'!$D$3:$D$601,"Coniferous")
        + COUNTIFS('Tree List'!$C$3:$C$601,$C645,'Tree List'!$D$3:$D$601,"Deciduous Conifer")) &gt; 0,
            _xlfn.IFS($K645="Small",0.5,$K645="Small/Medium",1,$K645="Medium/Large",1.4,$K645="Large",1.8),
        (COUNTIFS('Tree List'!$C$3:$C$601,$C645,'Tree List'!$D$3:$D$601,"Deciduous")
        + COUNTIFS('Tree List'!$C$3:$C$601,$C645,'Tree List'!$D$3:$D$601,"Broadleaf Evergreen")) &gt; 0,
            _xlfn.IFS($K645="Small",0.4,$K645="Small/Medium",0.8,$K645="Medium/Large",1.2,$K645="Large",1.6)
    ),
    ""
),
"")</f>
        <v/>
      </c>
      <c r="M645" s="475" t="str">
        <f t="shared" si="735"/>
        <v/>
      </c>
      <c r="N645" s="346" t="str" cm="1">
        <f t="array" aca="1" ref="N64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IF(AND(_xlpm.baseRow,ISNA(MATCH($C645,'Tree List'!$C$3:$C$601,0)),SUMPRODUCT(--ISNUMBER(SEARCH(Tables2!$C$677:$C$772,$O645)))&gt;0),
Error!$B$57,
IF(AND(_xlpm.hasDM,$F645="Remove",$H645&lt;&gt;"",OR($I645="On-site replacement",$I645="Off-site replacement",$I645="Payment In Lieu")),
Error!$B$56,
IF(AND(_xlpm.hasDM,$F645="Remove",$H645&lt;&gt;"",$I645="Relocation"),
Error!$B$66,
IF(AND(OR(_xlpm.hasCN,_xlpm.hasPH,_xlpm.hasGR),$H645&lt;&gt;"",COUNTIF(Tables!$B$132:$B$134,$H645)&gt;0,$I645="N/A (No replacement required)"),
Error!$B$62,
IF(AND(_xlpm.baseRow,$E645&lt;&gt;"",ISNA(MATCH($E645,Tables!$B$225:$B$232,0))),
Error!$B$2,
IF(AND(_xlpm.baseRow,$F645&lt;&gt;"",ISNA(MATCH($F645,Tables!$B$234:$B$235,0))),
Error!$B$24,
IF(AND(_xlpm.baseRow,_xlpm.ECA_H&gt;0,_xlpm.Shore_H&gt;0),
Error!$B$16,
IF(AND(_xlpm.baseRow,$E645&lt;&gt;"",$D645=""),
Error!$B$3,
IF(AND(_xlpm.baseRow,OR($E645="Tier 3",$E645="Tier 4"),$C645&lt;&gt;"",$D645&gt;=24,COUNTIF(Tables2!$B$166:$B$674,$C645)&gt;0),
Error!$B$44,
IF(AND(_xlpm.baseRow,OR($E645="Tier 3",$E645="Tier 4"),$C645&lt;&gt;"",$D645&lt;&gt;"",COUNTIF(Tables2!$B$73:$B$152,$C645)&gt;0,
$D645&gt;=IFERROR(INDEX(Tables2!$C$73:$C$152,MATCH($C645,Tables2!$B$73:$B$152,0)),-1)),
Error!$B$44,
IF(AND(_xlpm.baseRow,OR($E645="Tier 2",$E645="Tier 2 Grove"),$C645&lt;&gt;"",$D645&gt;=12,COUNTIF(Tables2!$B$153:$B$162,$C645)&gt;0),
Error!$B$45,
IF(AND(_xlpm.baseRow,$E645="Tier 2 Grove",$D645&lt;12),
Error!$B$41,
IF(AND(_xlpm.baseRow,$E645="Tier 2",$D645&lt;5.88),
Error!$B$40,
IF(AND(_xlpm.baseRow,OR($E645="Tier 2",$E645="Tier 2 Grove"),$C645&lt;&gt;"",$D645&lt;12,$D645&gt;=6,COUNTIF(Tables2!$B$153:$B$162,$C645)&gt;0),
Error!$B$54,
IF(AND(_xlpm.baseRow,$E645="Tier 2",COUNTIF(Tables2!$B$166:$B$674,$C645)&gt;0,$D645&lt;24),
Error!$B$54,
IF(AND(_xlpm.baseRow,$E645="Tier 3",ISNA(MATCH($C645,Tables2!$B$153:$B$162,0)),OR($D645&lt;12,$D645&gt;=24)),
Error!$B$9,
IF(AND(_xlpm.baseRow,$E645="Tier 3",COUNTIF(Tables2!$B$153:$B$162,$C645)&gt;0,$D645&lt;12),
Error!$B$46,
IF(AND(_xlpm.baseRow,$E645="Tier 4",OR($D645&lt;6,$D645&gt;=12)),
Error!$B$10,
IF(AND(_xlpm.baseRow,$E645="&lt;6in DSH for Tree Points",OR($D645&gt;=6,$D645="")),
Error!$B$8,
IF(AND(_xlpm.baseRow,$E645="Street Tree for Green Factor",$F645&lt;&gt;"",$F645&lt;&gt;"Retain"),
Error!$B$14,
IF(AND($E645="&lt;6in DSH for Tree Points",$F645="Retain",$H645&lt;&gt;"",ISNA(MATCH($H645,Tables!$B$174:$B$174,0))),
Error!$B$15,
IF(AND($E645="Street Tree for Green Factor",$F645="Retain",$H645&lt;&gt;"",$H645&lt;&gt;"Zoning: Green Factor"),
Error!$B$15,
IF(AND($E645="ECA / Shoreline Tree",$F645="Remove",$H645&lt;&gt;"",ISNA(MATCH($H645,Tables!$B$189:$B$190,0))),
Error!$B$15,
IF(AND($E645="ECA / Shoreline Tree",$F645="Retain",$H645&lt;&gt;"",ISNA(MATCH($H645,Tables!$B$184:$B$186,0))),
Error!$B$15,
IF(AND($E645="Tier 4",$F645="Remove",$H645&lt;&gt;"",ISNA(MATCH($H645,Tables!$B$171,0))),
Error!$B$15,
IF(AND($E645="Tier 4",$F645="Retain",$H645&lt;&gt;"",ISNA(MATCH($H645,Tables!$B$166:$B$168,0))),
Error!$B$15,
IF(AND($E645="Tier 3",$F645="Retain",$H645&lt;&gt;"",ISNA(MATCH($H645,Tables!$B$158:$B$160,0))),
Error!$B$15,
IF(AND($E645="Tier 3",$F645="Remove",$H645&lt;&gt;"",ISNA(MATCH($H645,Tables!$B$163,0))),
Error!$B$15,
IF(AND(OR($E645="Tier 2",$E645="Tier 2 Grove"),$F645="Remove",$H645&lt;&gt;"",ISNA(MATCH($H645,Tables!$B$153:$B$155,0))),
Error!$B$15,
IF(AND(OR($E645="Tier 2",$E645="Tier 2 Grove"),$F645="Retain",$H645&lt;&gt;"",ISNA(MATCH($H645,Tables!$B$147:$B$150,0))),
Error!$B$15,
IF(AND($E645="Tier 1",$F645="Remove",$H645&lt;&gt;"",ISNA(MATCH($H645,Tables!$B$143:$B$144,0))),
Error!$B$15,
IF(AND($E645="Tier 1",$F645="Retain",$H645&lt;&gt;"",ISNA(MATCH($H645,Tables!$B$137:$B$140,0))),
Error!$B$15,
IF(AND($E645&lt;&gt;"Tier 2",$E645&lt;&gt;"Tier 2 Grove",$E645&lt;&gt;"Tier 3",$E645&lt;&gt;"Tier 4",$H645="Zoning: Green Factor",OR($D645="",$D645&lt;6)),
Error!$B$11,
IF(AND(_xlpm.baseRow,$D645&lt;6,$E645="&lt;6in DSH for Tree Points",_xlpm.TreePoints_H=0),
Error!$B$21,
IF(AND(_xlpm.baseRow,$E645&lt;&gt;"",$D645&lt;&gt;"",$F645=""),
Error!$B$4,
IF(AND(_xlpm.baseRow,$F645="Remove",OR($E645="Tier 1",$E645="Tier 2",$E645="Tier 2 Grove"),COUNTBLANK(_xlpm.HRange)&lt;3,_xlpm.uniqueH&gt;=2),
Error!$B$48,
IF(AND(_xlpm.baseRow,$F645="Retain",OR($E645="Tier 1",$E645="Tier 2",$E645="Tier 2 Grove"),COUNTIF(_xlpm.HRange,"Tree Code: Required to Retain Tier 1-2 Tree")=0),
Error!$B$47,
IF(AND(_xlpm.baseRow,$E645&lt;&gt;"",$D645&lt;&gt;"",$F645&lt;&gt;"",COUNTBLANK(_xlpm.HRange)=4),
Error!$B$5,
IF(AND($F645="Remove",$H645&lt;&gt;"",$I645=""),
Error!$B$18,
IF(AND($E645="Tier 4",$F645="Remove",$H645="Tree Protection Code: Tier 3 or Tier 4 Allowance",$H645&lt;&gt;"",ISNA(MATCH($I645,Tables!$B$200,0))),
Error!$B$17,
IF(AND($E645="Tier 3",$F645="Remove",$H645&lt;&gt;"",$H645="Tree Protection Code: Tier 3 or Tier 4 Allowance",OR($I645="",ISNA(MATCH($I645,Tables!$B$193:$B$197,0)))),
Error!$B$17,
IF(AND(OR($E645="Tier 2",$E645="Tier 2 Grove"),$F645="Remove",$H645="Tree Protection Code: Other removal allowance or exemption",$I645&lt;&gt;"",ISNA(MATCH($I645,Tables!$B$215:$B$218,0))),
Error!$B$17,
IF(AND(OR($E645="Tier 2",$E645="Tier 2 Grove"),$F645="Remove",$H645="Tree Protection Code: Development Capacity",$I645&lt;&gt;"",ISNA(MATCH($I645,Tables!$B$193:$B$197,0))),
Error!$B$17,
IF(AND(OR($E645="Tier 2",$E645="Tier 2 Grove"),$F645="Remove",$H645="Tree Protection Code: Necessary for Construction",$I645&lt;&gt;"",ISNA(MATCH($I645,Tables!$B$193:$B$197,0))),
Error!$B$17,
IF(AND($E645="Tier 1",$F645="Remove",$H645="Tree Protection Code: Special Exception",$I645&lt;&gt;"",ISNA(MATCH($I645,Tables!$B$215:$B$218,0))),
Error!$B$17,
IF(AND($E645="Tier 1",$F645="Remove",$H645="Tree Protection Code: Other removal allowance or exemption",$I645&lt;&gt;"",ISNA(MATCH($I645,Tables!$B$215:$B$218,0))),
Error!$B$17,
IF(AND($E645="ECA / Shoreline Tree",$F645="Remove",$H645&lt;&gt;"",OR($H645="Shoreline",$H645="Environmental Critical Area (ECA)"),ISNA(MATCH($I645,Tables!$B$209:$B$212,0))),
Error!$B$17,
IF(AND(_xlpm.baseRow,$F645="Retain",$E645="ECA / Shoreline Tree",_xlpm.ECA_Short=0),
Error!$B$61,
IF(AND($F645="Remove",ISNUMBER(MATCH($E645,{"Tier 1","Tier 2","Tier 3","Tier 4","Tier 2 Grove"},0)),ISNUMBER(MATCH($I645,{"On-site replacement","Off-site replacement"},0)),$J645="",$H645&lt;&gt;""),
Error!$B$19,
IF(AND(_xlpm.baseRow,$E645&lt;&gt;"",$D645&lt;&gt;"",$F645&lt;&gt;"",COUNTBLANK($B645:$C645)&gt;0,COUNTBLANK(_xlpm.HRange)&lt;&gt;4),
Error!$B$22,
IF(AND($H645="Zoning: Tree Points",$K645&lt;&gt;"",ISNA(MATCH($K645,Tables!$B$242:$B$253,0))),
Error!$B$58,
IF(AND($H645="Zoning: Tree Points",$K645="Small",$L645&lt;&gt;"",ISNA(MATCH($L645,Tables!$C$243:$C$244,0))),
Error!$B$59,
IF(AND($H645="Zoning: Tree Points",$K645="Small/Medium",$L645&lt;&gt;"",ISNA(MATCH($L645,Tables!$C$246:$C$247,0))),
Error!$B$59,
IF(AND($H645="Zoning: Tree Points",$K645="Medium/Large",$L645&lt;&gt;"",ISNA(MATCH($L645,Tables!$C$249:$C$250,0))),
Error!$B$59,
IF(AND($H645="Zoning: Tree Points",$K645="Large",$L645&lt;&gt;"",ISNA(MATCH($L645,Tables!$C$252:$C$253,0))),
Error!$B$59,
IF(AND($F645="Retain",$H645="Zoning: Tree Points",$C645&lt;&gt;"",$D645&lt;&gt;"",OR($K645="",$L645="",$M645="")),
Error!$B$20,
""
)))))))))))))))))))))))))))))))))))))))))))))))))))))))),
Error!$B$23))</f>
        <v/>
      </c>
      <c r="O645" s="343" t="str" cm="1">
        <f t="array" aca="1" ref="O645" ca="1">IFERROR(_xlfn.LET(
    _xlpm.txt, $C645,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46" spans="1:15" ht="15" thickBot="1" x14ac:dyDescent="0.35">
      <c r="A646" s="331"/>
      <c r="B646" s="616" t="str">
        <f t="shared" si="756"/>
        <v/>
      </c>
      <c r="C646" s="617" t="str">
        <f t="shared" si="757"/>
        <v/>
      </c>
      <c r="D646" s="618" t="str">
        <f t="shared" si="758"/>
        <v/>
      </c>
      <c r="E646" s="616" t="str">
        <f t="shared" si="759"/>
        <v/>
      </c>
      <c r="F646" s="616" t="str">
        <f t="shared" si="760"/>
        <v/>
      </c>
      <c r="G646" s="619" t="str">
        <f>IF(Tree_Table1[[#This Row],[Tree Status  &amp;]]="Retain", Tables!$B$237, IF(Tree_Table1[[#This Row],[Tree Status  &amp;]]="Remove", Tables!$B$238, ""))</f>
        <v/>
      </c>
      <c r="H646" s="329"/>
      <c r="I646" s="330"/>
      <c r="J646" s="455"/>
      <c r="K646" s="327" t="str">
        <f>IFERROR(
    IF(
        AND($H646="Zoning: Tree Points", NOT(ISNUMBER(SEARCH("sp.", $C646)))),
        VLOOKUP($C646, 'Tree List'!$C$3:$F$601, 4, FALSE),
        ""
    ),
"")</f>
        <v/>
      </c>
      <c r="L646" s="328" t="str" cm="1">
        <f t="array" ref="L646">IFERROR(
IF(
    AND($H646="Zoning: Tree Points", NOT(ISNUMBER(SEARCH("sp.", $C646)))),
    _xlfn.IFS(
        (COUNTIFS('Tree List'!$C$3:$C$601,$C646,'Tree List'!$D$3:$D$601,"Coniferous")
        + COUNTIFS('Tree List'!$C$3:$C$601,$C646,'Tree List'!$D$3:$D$601,"Deciduous Conifer")) &gt; 0,
            _xlfn.IFS($K646="Small",0.5,$K646="Small/Medium",1,$K646="Medium/Large",1.4,$K646="Large",1.8),
        (COUNTIFS('Tree List'!$C$3:$C$601,$C646,'Tree List'!$D$3:$D$601,"Deciduous")
        + COUNTIFS('Tree List'!$C$3:$C$601,$C646,'Tree List'!$D$3:$D$601,"Broadleaf Evergreen")) &gt; 0,
            _xlfn.IFS($K646="Small",0.4,$K646="Small/Medium",0.8,$K646="Medium/Large",1.2,$K646="Large",1.6)
    ),
    ""
),
"")</f>
        <v/>
      </c>
      <c r="M646" s="476" t="str">
        <f t="shared" si="735"/>
        <v/>
      </c>
      <c r="N646" s="347" t="str" cm="1">
        <f t="array" aca="1" ref="N64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IF(AND(_xlpm.baseRow,ISNA(MATCH($C646,'Tree List'!$C$3:$C$601,0)),SUMPRODUCT(--ISNUMBER(SEARCH(Tables2!$C$677:$C$772,$O646)))&gt;0),
Error!$B$57,
IF(AND(_xlpm.hasDM,$F646="Remove",$H646&lt;&gt;"",OR($I646="On-site replacement",$I646="Off-site replacement",$I646="Payment In Lieu")),
Error!$B$56,
IF(AND(_xlpm.hasDM,$F646="Remove",$H646&lt;&gt;"",$I646="Relocation"),
Error!$B$66,
IF(AND(OR(_xlpm.hasCN,_xlpm.hasPH,_xlpm.hasGR),$H646&lt;&gt;"",COUNTIF(Tables!$B$132:$B$134,$H646)&gt;0,$I646="N/A (No replacement required)"),
Error!$B$62,
IF(AND(_xlpm.baseRow,$E646&lt;&gt;"",ISNA(MATCH($E646,Tables!$B$225:$B$232,0))),
Error!$B$2,
IF(AND(_xlpm.baseRow,$F646&lt;&gt;"",ISNA(MATCH($F646,Tables!$B$234:$B$235,0))),
Error!$B$24,
IF(AND(_xlpm.baseRow,_xlpm.ECA_H&gt;0,_xlpm.Shore_H&gt;0),
Error!$B$16,
IF(AND(_xlpm.baseRow,$E646&lt;&gt;"",$D646=""),
Error!$B$3,
IF(AND(_xlpm.baseRow,OR($E646="Tier 3",$E646="Tier 4"),$C646&lt;&gt;"",$D646&gt;=24,COUNTIF(Tables2!$B$166:$B$674,$C646)&gt;0),
Error!$B$44,
IF(AND(_xlpm.baseRow,OR($E646="Tier 3",$E646="Tier 4"),$C646&lt;&gt;"",$D646&lt;&gt;"",COUNTIF(Tables2!$B$73:$B$152,$C646)&gt;0,
$D646&gt;=IFERROR(INDEX(Tables2!$C$73:$C$152,MATCH($C646,Tables2!$B$73:$B$152,0)),-1)),
Error!$B$44,
IF(AND(_xlpm.baseRow,OR($E646="Tier 2",$E646="Tier 2 Grove"),$C646&lt;&gt;"",$D646&gt;=12,COUNTIF(Tables2!$B$153:$B$162,$C646)&gt;0),
Error!$B$45,
IF(AND(_xlpm.baseRow,$E646="Tier 2 Grove",$D646&lt;12),
Error!$B$41,
IF(AND(_xlpm.baseRow,$E646="Tier 2",$D646&lt;5.88),
Error!$B$40,
IF(AND(_xlpm.baseRow,OR($E646="Tier 2",$E646="Tier 2 Grove"),$C646&lt;&gt;"",$D646&lt;12,$D646&gt;=6,COUNTIF(Tables2!$B$153:$B$162,$C646)&gt;0),
Error!$B$54,
IF(AND(_xlpm.baseRow,$E646="Tier 2",COUNTIF(Tables2!$B$166:$B$674,$C646)&gt;0,$D646&lt;24),
Error!$B$54,
IF(AND(_xlpm.baseRow,$E646="Tier 3",ISNA(MATCH($C646,Tables2!$B$153:$B$162,0)),OR($D646&lt;12,$D646&gt;=24)),
Error!$B$9,
IF(AND(_xlpm.baseRow,$E646="Tier 3",COUNTIF(Tables2!$B$153:$B$162,$C646)&gt;0,$D646&lt;12),
Error!$B$46,
IF(AND(_xlpm.baseRow,$E646="Tier 4",OR($D646&lt;6,$D646&gt;=12)),
Error!$B$10,
IF(AND(_xlpm.baseRow,$E646="&lt;6in DSH for Tree Points",OR($D646&gt;=6,$D646="")),
Error!$B$8,
IF(AND(_xlpm.baseRow,$E646="Street Tree for Green Factor",$F646&lt;&gt;"",$F646&lt;&gt;"Retain"),
Error!$B$14,
IF(AND($E646="&lt;6in DSH for Tree Points",$F646="Retain",$H646&lt;&gt;"",ISNA(MATCH($H646,Tables!$B$174:$B$174,0))),
Error!$B$15,
IF(AND($E646="Street Tree for Green Factor",$F646="Retain",$H646&lt;&gt;"",$H646&lt;&gt;"Zoning: Green Factor"),
Error!$B$15,
IF(AND($E646="ECA / Shoreline Tree",$F646="Remove",$H646&lt;&gt;"",ISNA(MATCH($H646,Tables!$B$189:$B$190,0))),
Error!$B$15,
IF(AND($E646="ECA / Shoreline Tree",$F646="Retain",$H646&lt;&gt;"",ISNA(MATCH($H646,Tables!$B$184:$B$186,0))),
Error!$B$15,
IF(AND($E646="Tier 4",$F646="Remove",$H646&lt;&gt;"",ISNA(MATCH($H646,Tables!$B$171,0))),
Error!$B$15,
IF(AND($E646="Tier 4",$F646="Retain",$H646&lt;&gt;"",ISNA(MATCH($H646,Tables!$B$166:$B$168,0))),
Error!$B$15,
IF(AND($E646="Tier 3",$F646="Retain",$H646&lt;&gt;"",ISNA(MATCH($H646,Tables!$B$158:$B$160,0))),
Error!$B$15,
IF(AND($E646="Tier 3",$F646="Remove",$H646&lt;&gt;"",ISNA(MATCH($H646,Tables!$B$163,0))),
Error!$B$15,
IF(AND(OR($E646="Tier 2",$E646="Tier 2 Grove"),$F646="Remove",$H646&lt;&gt;"",ISNA(MATCH($H646,Tables!$B$153:$B$155,0))),
Error!$B$15,
IF(AND(OR($E646="Tier 2",$E646="Tier 2 Grove"),$F646="Retain",$H646&lt;&gt;"",ISNA(MATCH($H646,Tables!$B$147:$B$150,0))),
Error!$B$15,
IF(AND($E646="Tier 1",$F646="Remove",$H646&lt;&gt;"",ISNA(MATCH($H646,Tables!$B$143:$B$144,0))),
Error!$B$15,
IF(AND($E646="Tier 1",$F646="Retain",$H646&lt;&gt;"",ISNA(MATCH($H646,Tables!$B$137:$B$140,0))),
Error!$B$15,
IF(AND($E646&lt;&gt;"Tier 2",$E646&lt;&gt;"Tier 2 Grove",$E646&lt;&gt;"Tier 3",$E646&lt;&gt;"Tier 4",$H646="Zoning: Green Factor",OR($D646="",$D646&lt;6)),
Error!$B$11,
IF(AND(_xlpm.baseRow,$D646&lt;6,$E646="&lt;6in DSH for Tree Points",_xlpm.TreePoints_H=0),
Error!$B$21,
IF(AND(_xlpm.baseRow,$E646&lt;&gt;"",$D646&lt;&gt;"",$F646=""),
Error!$B$4,
IF(AND(_xlpm.baseRow,$F646="Remove",OR($E646="Tier 1",$E646="Tier 2",$E646="Tier 2 Grove"),COUNTBLANK(_xlpm.HRange)&lt;3,_xlpm.uniqueH&gt;=2),
Error!$B$48,
IF(AND(_xlpm.baseRow,$F646="Retain",OR($E646="Tier 1",$E646="Tier 2",$E646="Tier 2 Grove"),COUNTIF(_xlpm.HRange,"Tree Code: Required to Retain Tier 1-2 Tree")=0),
Error!$B$47,
IF(AND(_xlpm.baseRow,$E646&lt;&gt;"",$D646&lt;&gt;"",$F646&lt;&gt;"",COUNTBLANK(_xlpm.HRange)=4),
Error!$B$5,
IF(AND($F646="Remove",$H646&lt;&gt;"",$I646=""),
Error!$B$18,
IF(AND($E646="Tier 4",$F646="Remove",$H646="Tree Protection Code: Tier 3 or Tier 4 Allowance",$H646&lt;&gt;"",ISNA(MATCH($I646,Tables!$B$200,0))),
Error!$B$17,
IF(AND($E646="Tier 3",$F646="Remove",$H646&lt;&gt;"",$H646="Tree Protection Code: Tier 3 or Tier 4 Allowance",OR($I646="",ISNA(MATCH($I646,Tables!$B$193:$B$197,0)))),
Error!$B$17,
IF(AND(OR($E646="Tier 2",$E646="Tier 2 Grove"),$F646="Remove",$H646="Tree Protection Code: Other removal allowance or exemption",$I646&lt;&gt;"",ISNA(MATCH($I646,Tables!$B$215:$B$218,0))),
Error!$B$17,
IF(AND(OR($E646="Tier 2",$E646="Tier 2 Grove"),$F646="Remove",$H646="Tree Protection Code: Development Capacity",$I646&lt;&gt;"",ISNA(MATCH($I646,Tables!$B$193:$B$197,0))),
Error!$B$17,
IF(AND(OR($E646="Tier 2",$E646="Tier 2 Grove"),$F646="Remove",$H646="Tree Protection Code: Necessary for Construction",$I646&lt;&gt;"",ISNA(MATCH($I646,Tables!$B$193:$B$197,0))),
Error!$B$17,
IF(AND($E646="Tier 1",$F646="Remove",$H646="Tree Protection Code: Special Exception",$I646&lt;&gt;"",ISNA(MATCH($I646,Tables!$B$215:$B$218,0))),
Error!$B$17,
IF(AND($E646="Tier 1",$F646="Remove",$H646="Tree Protection Code: Other removal allowance or exemption",$I646&lt;&gt;"",ISNA(MATCH($I646,Tables!$B$215:$B$218,0))),
Error!$B$17,
IF(AND($E646="ECA / Shoreline Tree",$F646="Remove",$H646&lt;&gt;"",OR($H646="Shoreline",$H646="Environmental Critical Area (ECA)"),ISNA(MATCH($I646,Tables!$B$209:$B$212,0))),
Error!$B$17,
IF(AND(_xlpm.baseRow,$F646="Retain",$E646="ECA / Shoreline Tree",_xlpm.ECA_Short=0),
Error!$B$61,
IF(AND($F646="Remove",ISNUMBER(MATCH($E646,{"Tier 1","Tier 2","Tier 3","Tier 4","Tier 2 Grove"},0)),ISNUMBER(MATCH($I646,{"On-site replacement","Off-site replacement"},0)),$J646="",$H646&lt;&gt;""),
Error!$B$19,
IF(AND(_xlpm.baseRow,$E646&lt;&gt;"",$D646&lt;&gt;"",$F646&lt;&gt;"",COUNTBLANK($B646:$C646)&gt;0,COUNTBLANK(_xlpm.HRange)&lt;&gt;4),
Error!$B$22,
IF(AND($H646="Zoning: Tree Points",$K646&lt;&gt;"",ISNA(MATCH($K646,Tables!$B$242:$B$253,0))),
Error!$B$58,
IF(AND($H646="Zoning: Tree Points",$K646="Small",$L646&lt;&gt;"",ISNA(MATCH($L646,Tables!$C$243:$C$244,0))),
Error!$B$59,
IF(AND($H646="Zoning: Tree Points",$K646="Small/Medium",$L646&lt;&gt;"",ISNA(MATCH($L646,Tables!$C$246:$C$247,0))),
Error!$B$59,
IF(AND($H646="Zoning: Tree Points",$K646="Medium/Large",$L646&lt;&gt;"",ISNA(MATCH($L646,Tables!$C$249:$C$250,0))),
Error!$B$59,
IF(AND($H646="Zoning: Tree Points",$K646="Large",$L646&lt;&gt;"",ISNA(MATCH($L646,Tables!$C$252:$C$253,0))),
Error!$B$59,
IF(AND($F646="Retain",$H646="Zoning: Tree Points",$C646&lt;&gt;"",$D646&lt;&gt;"",OR($K646="",$L646="",$M646="")),
Error!$B$20,
""
)))))))))))))))))))))))))))))))))))))))))))))))))))))))),
Error!$B$23))</f>
        <v/>
      </c>
      <c r="O646" s="343" t="str" cm="1">
        <f t="array" aca="1" ref="O646" ca="1">IFERROR(_xlfn.LET(
    _xlpm.txt, $C646,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47" spans="1:15" ht="15" thickBot="1" x14ac:dyDescent="0.35">
      <c r="A647" s="311">
        <v>160</v>
      </c>
      <c r="B647" s="312"/>
      <c r="C647" s="313"/>
      <c r="D647" s="478"/>
      <c r="E647" s="314"/>
      <c r="F647" s="314"/>
      <c r="G647" s="315" t="str">
        <f>IF(Tree_Table1[[#This Row],[Tree Status  &amp;]]="Retain", Tables!$B$237, IF(Tree_Table1[[#This Row],[Tree Status  &amp;]]="Remove", Tables!$B$238, ""))</f>
        <v/>
      </c>
      <c r="H647" s="316"/>
      <c r="I647" s="317"/>
      <c r="J647" s="452"/>
      <c r="K647" s="318" t="str">
        <f>IFERROR(
    IF(
        AND($H647="Zoning: Tree Points", NOT(ISNUMBER(SEARCH("sp.", $C647)))),
        VLOOKUP($C647, 'Tree List'!$C$3:$F$601, 4, FALSE),
        ""
    ),
"")</f>
        <v/>
      </c>
      <c r="L647" s="319" t="str" cm="1">
        <f t="array" ref="L647">IFERROR(
IF(
    AND($H647="Zoning: Tree Points", NOT(ISNUMBER(SEARCH("sp.", $C647)))),
    _xlfn.IFS(
        (COUNTIFS('Tree List'!$C$3:$C$601,$C647,'Tree List'!$D$3:$D$601,"Coniferous")
        + COUNTIFS('Tree List'!$C$3:$C$601,$C647,'Tree List'!$D$3:$D$601,"Deciduous Conifer")) &gt; 0,
            _xlfn.IFS($K647="Small",0.5,$K647="Small/Medium",1,$K647="Medium/Large",1.4,$K647="Large",1.8),
        (COUNTIFS('Tree List'!$C$3:$C$601,$C647,'Tree List'!$D$3:$D$601,"Deciduous")
        + COUNTIFS('Tree List'!$C$3:$C$601,$C647,'Tree List'!$D$3:$D$601,"Broadleaf Evergreen")) &gt; 0,
            _xlfn.IFS($K647="Small",0.4,$K647="Small/Medium",0.8,$K647="Medium/Large",1.2,$K647="Large",1.6)
    ),
    ""
),
"")</f>
        <v/>
      </c>
      <c r="M647" s="474" t="str">
        <f t="shared" si="735"/>
        <v/>
      </c>
      <c r="N647" s="620" t="str" cm="1">
        <f t="array" aca="1" ref="N64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IF(AND(_xlpm.baseRow,ISNA(MATCH($C647,'Tree List'!$C$3:$C$601,0)),SUMPRODUCT(--ISNUMBER(SEARCH(Tables2!$C$677:$C$772,$O647)))&gt;0),
Error!$B$57,
IF(AND(_xlpm.hasDM,$F647="Remove",$H647&lt;&gt;"",OR($I647="On-site replacement",$I647="Off-site replacement",$I647="Payment In Lieu")),
Error!$B$56,
IF(AND(_xlpm.hasDM,$F647="Remove",$H647&lt;&gt;"",$I647="Relocation"),
Error!$B$66,
IF(AND(OR(_xlpm.hasCN,_xlpm.hasPH,_xlpm.hasGR),$H647&lt;&gt;"",COUNTIF(Tables!$B$132:$B$134,$H647)&gt;0,$I647="N/A (No replacement required)"),
Error!$B$62,
IF(AND(_xlpm.baseRow,$E647&lt;&gt;"",ISNA(MATCH($E647,Tables!$B$225:$B$232,0))),
Error!$B$2,
IF(AND(_xlpm.baseRow,$F647&lt;&gt;"",ISNA(MATCH($F647,Tables!$B$234:$B$235,0))),
Error!$B$24,
IF(AND(_xlpm.baseRow,_xlpm.ECA_H&gt;0,_xlpm.Shore_H&gt;0),
Error!$B$16,
IF(AND(_xlpm.baseRow,$E647&lt;&gt;"",$D647=""),
Error!$B$3,
IF(AND(_xlpm.baseRow,OR($E647="Tier 3",$E647="Tier 4"),$C647&lt;&gt;"",$D647&gt;=24,COUNTIF(Tables2!$B$166:$B$674,$C647)&gt;0),
Error!$B$44,
IF(AND(_xlpm.baseRow,OR($E647="Tier 3",$E647="Tier 4"),$C647&lt;&gt;"",$D647&lt;&gt;"",COUNTIF(Tables2!$B$73:$B$152,$C647)&gt;0,
$D647&gt;=IFERROR(INDEX(Tables2!$C$73:$C$152,MATCH($C647,Tables2!$B$73:$B$152,0)),-1)),
Error!$B$44,
IF(AND(_xlpm.baseRow,OR($E647="Tier 2",$E647="Tier 2 Grove"),$C647&lt;&gt;"",$D647&gt;=12,COUNTIF(Tables2!$B$153:$B$162,$C647)&gt;0),
Error!$B$45,
IF(AND(_xlpm.baseRow,$E647="Tier 2 Grove",$D647&lt;12),
Error!$B$41,
IF(AND(_xlpm.baseRow,$E647="Tier 2",$D647&lt;5.88),
Error!$B$40,
IF(AND(_xlpm.baseRow,OR($E647="Tier 2",$E647="Tier 2 Grove"),$C647&lt;&gt;"",$D647&lt;12,$D647&gt;=6,COUNTIF(Tables2!$B$153:$B$162,$C647)&gt;0),
Error!$B$54,
IF(AND(_xlpm.baseRow,$E647="Tier 2",COUNTIF(Tables2!$B$166:$B$674,$C647)&gt;0,$D647&lt;24),
Error!$B$54,
IF(AND(_xlpm.baseRow,$E647="Tier 3",ISNA(MATCH($C647,Tables2!$B$153:$B$162,0)),OR($D647&lt;12,$D647&gt;=24)),
Error!$B$9,
IF(AND(_xlpm.baseRow,$E647="Tier 3",COUNTIF(Tables2!$B$153:$B$162,$C647)&gt;0,$D647&lt;12),
Error!$B$46,
IF(AND(_xlpm.baseRow,$E647="Tier 4",OR($D647&lt;6,$D647&gt;=12)),
Error!$B$10,
IF(AND(_xlpm.baseRow,$E647="&lt;6in DSH for Tree Points",OR($D647&gt;=6,$D647="")),
Error!$B$8,
IF(AND(_xlpm.baseRow,$E647="Street Tree for Green Factor",$F647&lt;&gt;"",$F647&lt;&gt;"Retain"),
Error!$B$14,
IF(AND($E647="&lt;6in DSH for Tree Points",$F647="Retain",$H647&lt;&gt;"",ISNA(MATCH($H647,Tables!$B$174:$B$174,0))),
Error!$B$15,
IF(AND($E647="Street Tree for Green Factor",$F647="Retain",$H647&lt;&gt;"",$H647&lt;&gt;"Zoning: Green Factor"),
Error!$B$15,
IF(AND($E647="ECA / Shoreline Tree",$F647="Remove",$H647&lt;&gt;"",ISNA(MATCH($H647,Tables!$B$189:$B$190,0))),
Error!$B$15,
IF(AND($E647="ECA / Shoreline Tree",$F647="Retain",$H647&lt;&gt;"",ISNA(MATCH($H647,Tables!$B$184:$B$186,0))),
Error!$B$15,
IF(AND($E647="Tier 4",$F647="Remove",$H647&lt;&gt;"",ISNA(MATCH($H647,Tables!$B$171,0))),
Error!$B$15,
IF(AND($E647="Tier 4",$F647="Retain",$H647&lt;&gt;"",ISNA(MATCH($H647,Tables!$B$166:$B$168,0))),
Error!$B$15,
IF(AND($E647="Tier 3",$F647="Retain",$H647&lt;&gt;"",ISNA(MATCH($H647,Tables!$B$158:$B$160,0))),
Error!$B$15,
IF(AND($E647="Tier 3",$F647="Remove",$H647&lt;&gt;"",ISNA(MATCH($H647,Tables!$B$163,0))),
Error!$B$15,
IF(AND(OR($E647="Tier 2",$E647="Tier 2 Grove"),$F647="Remove",$H647&lt;&gt;"",ISNA(MATCH($H647,Tables!$B$153:$B$155,0))),
Error!$B$15,
IF(AND(OR($E647="Tier 2",$E647="Tier 2 Grove"),$F647="Retain",$H647&lt;&gt;"",ISNA(MATCH($H647,Tables!$B$147:$B$150,0))),
Error!$B$15,
IF(AND($E647="Tier 1",$F647="Remove",$H647&lt;&gt;"",ISNA(MATCH($H647,Tables!$B$143:$B$144,0))),
Error!$B$15,
IF(AND($E647="Tier 1",$F647="Retain",$H647&lt;&gt;"",ISNA(MATCH($H647,Tables!$B$137:$B$140,0))),
Error!$B$15,
IF(AND($E647&lt;&gt;"Tier 2",$E647&lt;&gt;"Tier 2 Grove",$E647&lt;&gt;"Tier 3",$E647&lt;&gt;"Tier 4",$H647="Zoning: Green Factor",OR($D647="",$D647&lt;6)),
Error!$B$11,
IF(AND(_xlpm.baseRow,$D647&lt;6,$E647="&lt;6in DSH for Tree Points",_xlpm.TreePoints_H=0),
Error!$B$21,
IF(AND(_xlpm.baseRow,$E647&lt;&gt;"",$D647&lt;&gt;"",$F647=""),
Error!$B$4,
IF(AND(_xlpm.baseRow,$F647="Remove",OR($E647="Tier 1",$E647="Tier 2",$E647="Tier 2 Grove"),COUNTBLANK(_xlpm.HRange)&lt;3,_xlpm.uniqueH&gt;=2),
Error!$B$48,
IF(AND(_xlpm.baseRow,$F647="Retain",OR($E647="Tier 1",$E647="Tier 2",$E647="Tier 2 Grove"),COUNTIF(_xlpm.HRange,"Tree Code: Required to Retain Tier 1-2 Tree")=0),
Error!$B$47,
IF(AND(_xlpm.baseRow,$E647&lt;&gt;"",$D647&lt;&gt;"",$F647&lt;&gt;"",COUNTBLANK(_xlpm.HRange)=4),
Error!$B$5,
IF(AND($F647="Remove",$H647&lt;&gt;"",$I647=""),
Error!$B$18,
IF(AND($E647="Tier 4",$F647="Remove",$H647="Tree Protection Code: Tier 3 or Tier 4 Allowance",$H647&lt;&gt;"",ISNA(MATCH($I647,Tables!$B$200,0))),
Error!$B$17,
IF(AND($E647="Tier 3",$F647="Remove",$H647&lt;&gt;"",$H647="Tree Protection Code: Tier 3 or Tier 4 Allowance",OR($I647="",ISNA(MATCH($I647,Tables!$B$193:$B$197,0)))),
Error!$B$17,
IF(AND(OR($E647="Tier 2",$E647="Tier 2 Grove"),$F647="Remove",$H647="Tree Protection Code: Other removal allowance or exemption",$I647&lt;&gt;"",ISNA(MATCH($I647,Tables!$B$215:$B$218,0))),
Error!$B$17,
IF(AND(OR($E647="Tier 2",$E647="Tier 2 Grove"),$F647="Remove",$H647="Tree Protection Code: Development Capacity",$I647&lt;&gt;"",ISNA(MATCH($I647,Tables!$B$193:$B$197,0))),
Error!$B$17,
IF(AND(OR($E647="Tier 2",$E647="Tier 2 Grove"),$F647="Remove",$H647="Tree Protection Code: Necessary for Construction",$I647&lt;&gt;"",ISNA(MATCH($I647,Tables!$B$193:$B$197,0))),
Error!$B$17,
IF(AND($E647="Tier 1",$F647="Remove",$H647="Tree Protection Code: Special Exception",$I647&lt;&gt;"",ISNA(MATCH($I647,Tables!$B$215:$B$218,0))),
Error!$B$17,
IF(AND($E647="Tier 1",$F647="Remove",$H647="Tree Protection Code: Other removal allowance or exemption",$I647&lt;&gt;"",ISNA(MATCH($I647,Tables!$B$215:$B$218,0))),
Error!$B$17,
IF(AND($E647="ECA / Shoreline Tree",$F647="Remove",$H647&lt;&gt;"",OR($H647="Shoreline",$H647="Environmental Critical Area (ECA)"),ISNA(MATCH($I647,Tables!$B$209:$B$212,0))),
Error!$B$17,
IF(AND(_xlpm.baseRow,$F647="Retain",$E647="ECA / Shoreline Tree",_xlpm.ECA_Short=0),
Error!$B$61,
IF(AND($F647="Remove",ISNUMBER(MATCH($E647,{"Tier 1","Tier 2","Tier 3","Tier 4","Tier 2 Grove"},0)),ISNUMBER(MATCH($I647,{"On-site replacement","Off-site replacement"},0)),$J647="",$H647&lt;&gt;""),
Error!$B$19,
IF(AND(_xlpm.baseRow,$E647&lt;&gt;"",$D647&lt;&gt;"",$F647&lt;&gt;"",COUNTBLANK($B647:$C647)&gt;0,COUNTBLANK(_xlpm.HRange)&lt;&gt;4),
Error!$B$22,
IF(AND($H647="Zoning: Tree Points",$K647&lt;&gt;"",ISNA(MATCH($K647,Tables!$B$242:$B$253,0))),
Error!$B$58,
IF(AND($H647="Zoning: Tree Points",$K647="Small",$L647&lt;&gt;"",ISNA(MATCH($L647,Tables!$C$243:$C$244,0))),
Error!$B$59,
IF(AND($H647="Zoning: Tree Points",$K647="Small/Medium",$L647&lt;&gt;"",ISNA(MATCH($L647,Tables!$C$246:$C$247,0))),
Error!$B$59,
IF(AND($H647="Zoning: Tree Points",$K647="Medium/Large",$L647&lt;&gt;"",ISNA(MATCH($L647,Tables!$C$249:$C$250,0))),
Error!$B$59,
IF(AND($H647="Zoning: Tree Points",$K647="Large",$L647&lt;&gt;"",ISNA(MATCH($L647,Tables!$C$252:$C$253,0))),
Error!$B$59,
IF(AND($F647="Retain",$H647="Zoning: Tree Points",$C647&lt;&gt;"",$D647&lt;&gt;"",OR($K647="",$L647="",$M647="")),
Error!$B$20,
""
)))))))))))))))))))))))))))))))))))))))))))))))))))))))),
Error!$B$23))</f>
        <v/>
      </c>
      <c r="O647" s="343" t="str" cm="1">
        <f t="array" aca="1" ref="O647" ca="1">IFERROR(_xlfn.LET(
    _xlpm.txt, $C647,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48" spans="1:15" x14ac:dyDescent="0.3">
      <c r="A648" s="320"/>
      <c r="B648" s="616" t="str">
        <f t="shared" ref="B648:B650" si="761">IF($B647="", "", $B647)</f>
        <v/>
      </c>
      <c r="C648" s="617" t="str">
        <f t="shared" ref="C648:C650" si="762">IF($C647="", "", $C647)</f>
        <v/>
      </c>
      <c r="D648" s="618" t="str">
        <f t="shared" ref="D648:D650" si="763">IF($D647="", "", $D647)</f>
        <v/>
      </c>
      <c r="E648" s="616" t="str">
        <f t="shared" ref="E648:E650" si="764">IF($E647="", "", $E647)</f>
        <v/>
      </c>
      <c r="F648" s="616" t="str">
        <f t="shared" ref="F648:F650" si="765">IF($F647="", "", $F647)</f>
        <v/>
      </c>
      <c r="G648" s="619" t="str">
        <f>IF(Tree_Table1[[#This Row],[Tree Status  &amp;]]="Retain", Tables!$B$237, IF(Tree_Table1[[#This Row],[Tree Status  &amp;]]="Remove", Tables!$B$238, ""))</f>
        <v/>
      </c>
      <c r="H648" s="321"/>
      <c r="I648" s="322"/>
      <c r="J648" s="453"/>
      <c r="K648" s="323" t="str">
        <f>IFERROR(
    IF(
        AND($H648="Zoning: Tree Points", NOT(ISNUMBER(SEARCH("sp.", $C648)))),
        VLOOKUP($C648, 'Tree List'!$C$3:$F$601, 4, FALSE),
        ""
    ),
"")</f>
        <v/>
      </c>
      <c r="L648" s="324" t="str" cm="1">
        <f t="array" ref="L648">IFERROR(
IF(
    AND($H648="Zoning: Tree Points", NOT(ISNUMBER(SEARCH("sp.", $C648)))),
    _xlfn.IFS(
        (COUNTIFS('Tree List'!$C$3:$C$601,$C648,'Tree List'!$D$3:$D$601,"Coniferous")
        + COUNTIFS('Tree List'!$C$3:$C$601,$C648,'Tree List'!$D$3:$D$601,"Deciduous Conifer")) &gt; 0,
            _xlfn.IFS($K648="Small",0.5,$K648="Small/Medium",1,$K648="Medium/Large",1.4,$K648="Large",1.8),
        (COUNTIFS('Tree List'!$C$3:$C$601,$C648,'Tree List'!$D$3:$D$601,"Deciduous")
        + COUNTIFS('Tree List'!$C$3:$C$601,$C648,'Tree List'!$D$3:$D$601,"Broadleaf Evergreen")) &gt; 0,
            _xlfn.IFS($K648="Small",0.4,$K648="Small/Medium",0.8,$K648="Medium/Large",1.2,$K648="Large",1.6)
    ),
    ""
),
"")</f>
        <v/>
      </c>
      <c r="M648" s="475" t="str">
        <f t="shared" si="735"/>
        <v/>
      </c>
      <c r="N648" s="346" t="str" cm="1">
        <f t="array" aca="1" ref="N64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IF(AND(_xlpm.baseRow,ISNA(MATCH($C648,'Tree List'!$C$3:$C$601,0)),SUMPRODUCT(--ISNUMBER(SEARCH(Tables2!$C$677:$C$772,$O648)))&gt;0),
Error!$B$57,
IF(AND(_xlpm.hasDM,$F648="Remove",$H648&lt;&gt;"",OR($I648="On-site replacement",$I648="Off-site replacement",$I648="Payment In Lieu")),
Error!$B$56,
IF(AND(_xlpm.hasDM,$F648="Remove",$H648&lt;&gt;"",$I648="Relocation"),
Error!$B$66,
IF(AND(OR(_xlpm.hasCN,_xlpm.hasPH,_xlpm.hasGR),$H648&lt;&gt;"",COUNTIF(Tables!$B$132:$B$134,$H648)&gt;0,$I648="N/A (No replacement required)"),
Error!$B$62,
IF(AND(_xlpm.baseRow,$E648&lt;&gt;"",ISNA(MATCH($E648,Tables!$B$225:$B$232,0))),
Error!$B$2,
IF(AND(_xlpm.baseRow,$F648&lt;&gt;"",ISNA(MATCH($F648,Tables!$B$234:$B$235,0))),
Error!$B$24,
IF(AND(_xlpm.baseRow,_xlpm.ECA_H&gt;0,_xlpm.Shore_H&gt;0),
Error!$B$16,
IF(AND(_xlpm.baseRow,$E648&lt;&gt;"",$D648=""),
Error!$B$3,
IF(AND(_xlpm.baseRow,OR($E648="Tier 3",$E648="Tier 4"),$C648&lt;&gt;"",$D648&gt;=24,COUNTIF(Tables2!$B$166:$B$674,$C648)&gt;0),
Error!$B$44,
IF(AND(_xlpm.baseRow,OR($E648="Tier 3",$E648="Tier 4"),$C648&lt;&gt;"",$D648&lt;&gt;"",COUNTIF(Tables2!$B$73:$B$152,$C648)&gt;0,
$D648&gt;=IFERROR(INDEX(Tables2!$C$73:$C$152,MATCH($C648,Tables2!$B$73:$B$152,0)),-1)),
Error!$B$44,
IF(AND(_xlpm.baseRow,OR($E648="Tier 2",$E648="Tier 2 Grove"),$C648&lt;&gt;"",$D648&gt;=12,COUNTIF(Tables2!$B$153:$B$162,$C648)&gt;0),
Error!$B$45,
IF(AND(_xlpm.baseRow,$E648="Tier 2 Grove",$D648&lt;12),
Error!$B$41,
IF(AND(_xlpm.baseRow,$E648="Tier 2",$D648&lt;5.88),
Error!$B$40,
IF(AND(_xlpm.baseRow,OR($E648="Tier 2",$E648="Tier 2 Grove"),$C648&lt;&gt;"",$D648&lt;12,$D648&gt;=6,COUNTIF(Tables2!$B$153:$B$162,$C648)&gt;0),
Error!$B$54,
IF(AND(_xlpm.baseRow,$E648="Tier 2",COUNTIF(Tables2!$B$166:$B$674,$C648)&gt;0,$D648&lt;24),
Error!$B$54,
IF(AND(_xlpm.baseRow,$E648="Tier 3",ISNA(MATCH($C648,Tables2!$B$153:$B$162,0)),OR($D648&lt;12,$D648&gt;=24)),
Error!$B$9,
IF(AND(_xlpm.baseRow,$E648="Tier 3",COUNTIF(Tables2!$B$153:$B$162,$C648)&gt;0,$D648&lt;12),
Error!$B$46,
IF(AND(_xlpm.baseRow,$E648="Tier 4",OR($D648&lt;6,$D648&gt;=12)),
Error!$B$10,
IF(AND(_xlpm.baseRow,$E648="&lt;6in DSH for Tree Points",OR($D648&gt;=6,$D648="")),
Error!$B$8,
IF(AND(_xlpm.baseRow,$E648="Street Tree for Green Factor",$F648&lt;&gt;"",$F648&lt;&gt;"Retain"),
Error!$B$14,
IF(AND($E648="&lt;6in DSH for Tree Points",$F648="Retain",$H648&lt;&gt;"",ISNA(MATCH($H648,Tables!$B$174:$B$174,0))),
Error!$B$15,
IF(AND($E648="Street Tree for Green Factor",$F648="Retain",$H648&lt;&gt;"",$H648&lt;&gt;"Zoning: Green Factor"),
Error!$B$15,
IF(AND($E648="ECA / Shoreline Tree",$F648="Remove",$H648&lt;&gt;"",ISNA(MATCH($H648,Tables!$B$189:$B$190,0))),
Error!$B$15,
IF(AND($E648="ECA / Shoreline Tree",$F648="Retain",$H648&lt;&gt;"",ISNA(MATCH($H648,Tables!$B$184:$B$186,0))),
Error!$B$15,
IF(AND($E648="Tier 4",$F648="Remove",$H648&lt;&gt;"",ISNA(MATCH($H648,Tables!$B$171,0))),
Error!$B$15,
IF(AND($E648="Tier 4",$F648="Retain",$H648&lt;&gt;"",ISNA(MATCH($H648,Tables!$B$166:$B$168,0))),
Error!$B$15,
IF(AND($E648="Tier 3",$F648="Retain",$H648&lt;&gt;"",ISNA(MATCH($H648,Tables!$B$158:$B$160,0))),
Error!$B$15,
IF(AND($E648="Tier 3",$F648="Remove",$H648&lt;&gt;"",ISNA(MATCH($H648,Tables!$B$163,0))),
Error!$B$15,
IF(AND(OR($E648="Tier 2",$E648="Tier 2 Grove"),$F648="Remove",$H648&lt;&gt;"",ISNA(MATCH($H648,Tables!$B$153:$B$155,0))),
Error!$B$15,
IF(AND(OR($E648="Tier 2",$E648="Tier 2 Grove"),$F648="Retain",$H648&lt;&gt;"",ISNA(MATCH($H648,Tables!$B$147:$B$150,0))),
Error!$B$15,
IF(AND($E648="Tier 1",$F648="Remove",$H648&lt;&gt;"",ISNA(MATCH($H648,Tables!$B$143:$B$144,0))),
Error!$B$15,
IF(AND($E648="Tier 1",$F648="Retain",$H648&lt;&gt;"",ISNA(MATCH($H648,Tables!$B$137:$B$140,0))),
Error!$B$15,
IF(AND($E648&lt;&gt;"Tier 2",$E648&lt;&gt;"Tier 2 Grove",$E648&lt;&gt;"Tier 3",$E648&lt;&gt;"Tier 4",$H648="Zoning: Green Factor",OR($D648="",$D648&lt;6)),
Error!$B$11,
IF(AND(_xlpm.baseRow,$D648&lt;6,$E648="&lt;6in DSH for Tree Points",_xlpm.TreePoints_H=0),
Error!$B$21,
IF(AND(_xlpm.baseRow,$E648&lt;&gt;"",$D648&lt;&gt;"",$F648=""),
Error!$B$4,
IF(AND(_xlpm.baseRow,$F648="Remove",OR($E648="Tier 1",$E648="Tier 2",$E648="Tier 2 Grove"),COUNTBLANK(_xlpm.HRange)&lt;3,_xlpm.uniqueH&gt;=2),
Error!$B$48,
IF(AND(_xlpm.baseRow,$F648="Retain",OR($E648="Tier 1",$E648="Tier 2",$E648="Tier 2 Grove"),COUNTIF(_xlpm.HRange,"Tree Code: Required to Retain Tier 1-2 Tree")=0),
Error!$B$47,
IF(AND(_xlpm.baseRow,$E648&lt;&gt;"",$D648&lt;&gt;"",$F648&lt;&gt;"",COUNTBLANK(_xlpm.HRange)=4),
Error!$B$5,
IF(AND($F648="Remove",$H648&lt;&gt;"",$I648=""),
Error!$B$18,
IF(AND($E648="Tier 4",$F648="Remove",$H648="Tree Protection Code: Tier 3 or Tier 4 Allowance",$H648&lt;&gt;"",ISNA(MATCH($I648,Tables!$B$200,0))),
Error!$B$17,
IF(AND($E648="Tier 3",$F648="Remove",$H648&lt;&gt;"",$H648="Tree Protection Code: Tier 3 or Tier 4 Allowance",OR($I648="",ISNA(MATCH($I648,Tables!$B$193:$B$197,0)))),
Error!$B$17,
IF(AND(OR($E648="Tier 2",$E648="Tier 2 Grove"),$F648="Remove",$H648="Tree Protection Code: Other removal allowance or exemption",$I648&lt;&gt;"",ISNA(MATCH($I648,Tables!$B$215:$B$218,0))),
Error!$B$17,
IF(AND(OR($E648="Tier 2",$E648="Tier 2 Grove"),$F648="Remove",$H648="Tree Protection Code: Development Capacity",$I648&lt;&gt;"",ISNA(MATCH($I648,Tables!$B$193:$B$197,0))),
Error!$B$17,
IF(AND(OR($E648="Tier 2",$E648="Tier 2 Grove"),$F648="Remove",$H648="Tree Protection Code: Necessary for Construction",$I648&lt;&gt;"",ISNA(MATCH($I648,Tables!$B$193:$B$197,0))),
Error!$B$17,
IF(AND($E648="Tier 1",$F648="Remove",$H648="Tree Protection Code: Special Exception",$I648&lt;&gt;"",ISNA(MATCH($I648,Tables!$B$215:$B$218,0))),
Error!$B$17,
IF(AND($E648="Tier 1",$F648="Remove",$H648="Tree Protection Code: Other removal allowance or exemption",$I648&lt;&gt;"",ISNA(MATCH($I648,Tables!$B$215:$B$218,0))),
Error!$B$17,
IF(AND($E648="ECA / Shoreline Tree",$F648="Remove",$H648&lt;&gt;"",OR($H648="Shoreline",$H648="Environmental Critical Area (ECA)"),ISNA(MATCH($I648,Tables!$B$209:$B$212,0))),
Error!$B$17,
IF(AND(_xlpm.baseRow,$F648="Retain",$E648="ECA / Shoreline Tree",_xlpm.ECA_Short=0),
Error!$B$61,
IF(AND($F648="Remove",ISNUMBER(MATCH($E648,{"Tier 1","Tier 2","Tier 3","Tier 4","Tier 2 Grove"},0)),ISNUMBER(MATCH($I648,{"On-site replacement","Off-site replacement"},0)),$J648="",$H648&lt;&gt;""),
Error!$B$19,
IF(AND(_xlpm.baseRow,$E648&lt;&gt;"",$D648&lt;&gt;"",$F648&lt;&gt;"",COUNTBLANK($B648:$C648)&gt;0,COUNTBLANK(_xlpm.HRange)&lt;&gt;4),
Error!$B$22,
IF(AND($H648="Zoning: Tree Points",$K648&lt;&gt;"",ISNA(MATCH($K648,Tables!$B$242:$B$253,0))),
Error!$B$58,
IF(AND($H648="Zoning: Tree Points",$K648="Small",$L648&lt;&gt;"",ISNA(MATCH($L648,Tables!$C$243:$C$244,0))),
Error!$B$59,
IF(AND($H648="Zoning: Tree Points",$K648="Small/Medium",$L648&lt;&gt;"",ISNA(MATCH($L648,Tables!$C$246:$C$247,0))),
Error!$B$59,
IF(AND($H648="Zoning: Tree Points",$K648="Medium/Large",$L648&lt;&gt;"",ISNA(MATCH($L648,Tables!$C$249:$C$250,0))),
Error!$B$59,
IF(AND($H648="Zoning: Tree Points",$K648="Large",$L648&lt;&gt;"",ISNA(MATCH($L648,Tables!$C$252:$C$253,0))),
Error!$B$59,
IF(AND($F648="Retain",$H648="Zoning: Tree Points",$C648&lt;&gt;"",$D648&lt;&gt;"",OR($K648="",$L648="",$M648="")),
Error!$B$20,
""
)))))))))))))))))))))))))))))))))))))))))))))))))))))))),
Error!$B$23))</f>
        <v/>
      </c>
      <c r="O648" s="343" t="str" cm="1">
        <f t="array" aca="1" ref="O648" ca="1">IFERROR(_xlfn.LET(
    _xlpm.txt, $C648,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49" spans="1:15" x14ac:dyDescent="0.3">
      <c r="A649" s="320"/>
      <c r="B649" s="616" t="str">
        <f t="shared" si="761"/>
        <v/>
      </c>
      <c r="C649" s="617" t="str">
        <f t="shared" si="762"/>
        <v/>
      </c>
      <c r="D649" s="618" t="str">
        <f t="shared" si="763"/>
        <v/>
      </c>
      <c r="E649" s="616" t="str">
        <f t="shared" si="764"/>
        <v/>
      </c>
      <c r="F649" s="616" t="str">
        <f t="shared" si="765"/>
        <v/>
      </c>
      <c r="G649" s="619" t="str">
        <f>IF(Tree_Table1[[#This Row],[Tree Status  &amp;]]="Retain", Tables!$B$237, IF(Tree_Table1[[#This Row],[Tree Status  &amp;]]="Remove", Tables!$B$238, ""))</f>
        <v/>
      </c>
      <c r="H649" s="321"/>
      <c r="I649" s="322"/>
      <c r="J649" s="453"/>
      <c r="K649" s="323" t="str">
        <f>IFERROR(
    IF(
        AND($H649="Zoning: Tree Points", NOT(ISNUMBER(SEARCH("sp.", $C649)))),
        VLOOKUP($C649, 'Tree List'!$C$3:$F$601, 4, FALSE),
        ""
    ),
"")</f>
        <v/>
      </c>
      <c r="L649" s="324" t="str" cm="1">
        <f t="array" ref="L649">IFERROR(
IF(
    AND($H649="Zoning: Tree Points", NOT(ISNUMBER(SEARCH("sp.", $C649)))),
    _xlfn.IFS(
        (COUNTIFS('Tree List'!$C$3:$C$601,$C649,'Tree List'!$D$3:$D$601,"Coniferous")
        + COUNTIFS('Tree List'!$C$3:$C$601,$C649,'Tree List'!$D$3:$D$601,"Deciduous Conifer")) &gt; 0,
            _xlfn.IFS($K649="Small",0.5,$K649="Small/Medium",1,$K649="Medium/Large",1.4,$K649="Large",1.8),
        (COUNTIFS('Tree List'!$C$3:$C$601,$C649,'Tree List'!$D$3:$D$601,"Deciduous")
        + COUNTIFS('Tree List'!$C$3:$C$601,$C649,'Tree List'!$D$3:$D$601,"Broadleaf Evergreen")) &gt; 0,
            _xlfn.IFS($K649="Small",0.4,$K649="Small/Medium",0.8,$K649="Medium/Large",1.2,$K649="Large",1.6)
    ),
    ""
),
"")</f>
        <v/>
      </c>
      <c r="M649" s="475" t="str">
        <f t="shared" si="735"/>
        <v/>
      </c>
      <c r="N649" s="346" t="str" cm="1">
        <f t="array" aca="1" ref="N64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IF(AND(_xlpm.baseRow,ISNA(MATCH($C649,'Tree List'!$C$3:$C$601,0)),SUMPRODUCT(--ISNUMBER(SEARCH(Tables2!$C$677:$C$772,$O649)))&gt;0),
Error!$B$57,
IF(AND(_xlpm.hasDM,$F649="Remove",$H649&lt;&gt;"",OR($I649="On-site replacement",$I649="Off-site replacement",$I649="Payment In Lieu")),
Error!$B$56,
IF(AND(_xlpm.hasDM,$F649="Remove",$H649&lt;&gt;"",$I649="Relocation"),
Error!$B$66,
IF(AND(OR(_xlpm.hasCN,_xlpm.hasPH,_xlpm.hasGR),$H649&lt;&gt;"",COUNTIF(Tables!$B$132:$B$134,$H649)&gt;0,$I649="N/A (No replacement required)"),
Error!$B$62,
IF(AND(_xlpm.baseRow,$E649&lt;&gt;"",ISNA(MATCH($E649,Tables!$B$225:$B$232,0))),
Error!$B$2,
IF(AND(_xlpm.baseRow,$F649&lt;&gt;"",ISNA(MATCH($F649,Tables!$B$234:$B$235,0))),
Error!$B$24,
IF(AND(_xlpm.baseRow,_xlpm.ECA_H&gt;0,_xlpm.Shore_H&gt;0),
Error!$B$16,
IF(AND(_xlpm.baseRow,$E649&lt;&gt;"",$D649=""),
Error!$B$3,
IF(AND(_xlpm.baseRow,OR($E649="Tier 3",$E649="Tier 4"),$C649&lt;&gt;"",$D649&gt;=24,COUNTIF(Tables2!$B$166:$B$674,$C649)&gt;0),
Error!$B$44,
IF(AND(_xlpm.baseRow,OR($E649="Tier 3",$E649="Tier 4"),$C649&lt;&gt;"",$D649&lt;&gt;"",COUNTIF(Tables2!$B$73:$B$152,$C649)&gt;0,
$D649&gt;=IFERROR(INDEX(Tables2!$C$73:$C$152,MATCH($C649,Tables2!$B$73:$B$152,0)),-1)),
Error!$B$44,
IF(AND(_xlpm.baseRow,OR($E649="Tier 2",$E649="Tier 2 Grove"),$C649&lt;&gt;"",$D649&gt;=12,COUNTIF(Tables2!$B$153:$B$162,$C649)&gt;0),
Error!$B$45,
IF(AND(_xlpm.baseRow,$E649="Tier 2 Grove",$D649&lt;12),
Error!$B$41,
IF(AND(_xlpm.baseRow,$E649="Tier 2",$D649&lt;5.88),
Error!$B$40,
IF(AND(_xlpm.baseRow,OR($E649="Tier 2",$E649="Tier 2 Grove"),$C649&lt;&gt;"",$D649&lt;12,$D649&gt;=6,COUNTIF(Tables2!$B$153:$B$162,$C649)&gt;0),
Error!$B$54,
IF(AND(_xlpm.baseRow,$E649="Tier 2",COUNTIF(Tables2!$B$166:$B$674,$C649)&gt;0,$D649&lt;24),
Error!$B$54,
IF(AND(_xlpm.baseRow,$E649="Tier 3",ISNA(MATCH($C649,Tables2!$B$153:$B$162,0)),OR($D649&lt;12,$D649&gt;=24)),
Error!$B$9,
IF(AND(_xlpm.baseRow,$E649="Tier 3",COUNTIF(Tables2!$B$153:$B$162,$C649)&gt;0,$D649&lt;12),
Error!$B$46,
IF(AND(_xlpm.baseRow,$E649="Tier 4",OR($D649&lt;6,$D649&gt;=12)),
Error!$B$10,
IF(AND(_xlpm.baseRow,$E649="&lt;6in DSH for Tree Points",OR($D649&gt;=6,$D649="")),
Error!$B$8,
IF(AND(_xlpm.baseRow,$E649="Street Tree for Green Factor",$F649&lt;&gt;"",$F649&lt;&gt;"Retain"),
Error!$B$14,
IF(AND($E649="&lt;6in DSH for Tree Points",$F649="Retain",$H649&lt;&gt;"",ISNA(MATCH($H649,Tables!$B$174:$B$174,0))),
Error!$B$15,
IF(AND($E649="Street Tree for Green Factor",$F649="Retain",$H649&lt;&gt;"",$H649&lt;&gt;"Zoning: Green Factor"),
Error!$B$15,
IF(AND($E649="ECA / Shoreline Tree",$F649="Remove",$H649&lt;&gt;"",ISNA(MATCH($H649,Tables!$B$189:$B$190,0))),
Error!$B$15,
IF(AND($E649="ECA / Shoreline Tree",$F649="Retain",$H649&lt;&gt;"",ISNA(MATCH($H649,Tables!$B$184:$B$186,0))),
Error!$B$15,
IF(AND($E649="Tier 4",$F649="Remove",$H649&lt;&gt;"",ISNA(MATCH($H649,Tables!$B$171,0))),
Error!$B$15,
IF(AND($E649="Tier 4",$F649="Retain",$H649&lt;&gt;"",ISNA(MATCH($H649,Tables!$B$166:$B$168,0))),
Error!$B$15,
IF(AND($E649="Tier 3",$F649="Retain",$H649&lt;&gt;"",ISNA(MATCH($H649,Tables!$B$158:$B$160,0))),
Error!$B$15,
IF(AND($E649="Tier 3",$F649="Remove",$H649&lt;&gt;"",ISNA(MATCH($H649,Tables!$B$163,0))),
Error!$B$15,
IF(AND(OR($E649="Tier 2",$E649="Tier 2 Grove"),$F649="Remove",$H649&lt;&gt;"",ISNA(MATCH($H649,Tables!$B$153:$B$155,0))),
Error!$B$15,
IF(AND(OR($E649="Tier 2",$E649="Tier 2 Grove"),$F649="Retain",$H649&lt;&gt;"",ISNA(MATCH($H649,Tables!$B$147:$B$150,0))),
Error!$B$15,
IF(AND($E649="Tier 1",$F649="Remove",$H649&lt;&gt;"",ISNA(MATCH($H649,Tables!$B$143:$B$144,0))),
Error!$B$15,
IF(AND($E649="Tier 1",$F649="Retain",$H649&lt;&gt;"",ISNA(MATCH($H649,Tables!$B$137:$B$140,0))),
Error!$B$15,
IF(AND($E649&lt;&gt;"Tier 2",$E649&lt;&gt;"Tier 2 Grove",$E649&lt;&gt;"Tier 3",$E649&lt;&gt;"Tier 4",$H649="Zoning: Green Factor",OR($D649="",$D649&lt;6)),
Error!$B$11,
IF(AND(_xlpm.baseRow,$D649&lt;6,$E649="&lt;6in DSH for Tree Points",_xlpm.TreePoints_H=0),
Error!$B$21,
IF(AND(_xlpm.baseRow,$E649&lt;&gt;"",$D649&lt;&gt;"",$F649=""),
Error!$B$4,
IF(AND(_xlpm.baseRow,$F649="Remove",OR($E649="Tier 1",$E649="Tier 2",$E649="Tier 2 Grove"),COUNTBLANK(_xlpm.HRange)&lt;3,_xlpm.uniqueH&gt;=2),
Error!$B$48,
IF(AND(_xlpm.baseRow,$F649="Retain",OR($E649="Tier 1",$E649="Tier 2",$E649="Tier 2 Grove"),COUNTIF(_xlpm.HRange,"Tree Code: Required to Retain Tier 1-2 Tree")=0),
Error!$B$47,
IF(AND(_xlpm.baseRow,$E649&lt;&gt;"",$D649&lt;&gt;"",$F649&lt;&gt;"",COUNTBLANK(_xlpm.HRange)=4),
Error!$B$5,
IF(AND($F649="Remove",$H649&lt;&gt;"",$I649=""),
Error!$B$18,
IF(AND($E649="Tier 4",$F649="Remove",$H649="Tree Protection Code: Tier 3 or Tier 4 Allowance",$H649&lt;&gt;"",ISNA(MATCH($I649,Tables!$B$200,0))),
Error!$B$17,
IF(AND($E649="Tier 3",$F649="Remove",$H649&lt;&gt;"",$H649="Tree Protection Code: Tier 3 or Tier 4 Allowance",OR($I649="",ISNA(MATCH($I649,Tables!$B$193:$B$197,0)))),
Error!$B$17,
IF(AND(OR($E649="Tier 2",$E649="Tier 2 Grove"),$F649="Remove",$H649="Tree Protection Code: Other removal allowance or exemption",$I649&lt;&gt;"",ISNA(MATCH($I649,Tables!$B$215:$B$218,0))),
Error!$B$17,
IF(AND(OR($E649="Tier 2",$E649="Tier 2 Grove"),$F649="Remove",$H649="Tree Protection Code: Development Capacity",$I649&lt;&gt;"",ISNA(MATCH($I649,Tables!$B$193:$B$197,0))),
Error!$B$17,
IF(AND(OR($E649="Tier 2",$E649="Tier 2 Grove"),$F649="Remove",$H649="Tree Protection Code: Necessary for Construction",$I649&lt;&gt;"",ISNA(MATCH($I649,Tables!$B$193:$B$197,0))),
Error!$B$17,
IF(AND($E649="Tier 1",$F649="Remove",$H649="Tree Protection Code: Special Exception",$I649&lt;&gt;"",ISNA(MATCH($I649,Tables!$B$215:$B$218,0))),
Error!$B$17,
IF(AND($E649="Tier 1",$F649="Remove",$H649="Tree Protection Code: Other removal allowance or exemption",$I649&lt;&gt;"",ISNA(MATCH($I649,Tables!$B$215:$B$218,0))),
Error!$B$17,
IF(AND($E649="ECA / Shoreline Tree",$F649="Remove",$H649&lt;&gt;"",OR($H649="Shoreline",$H649="Environmental Critical Area (ECA)"),ISNA(MATCH($I649,Tables!$B$209:$B$212,0))),
Error!$B$17,
IF(AND(_xlpm.baseRow,$F649="Retain",$E649="ECA / Shoreline Tree",_xlpm.ECA_Short=0),
Error!$B$61,
IF(AND($F649="Remove",ISNUMBER(MATCH($E649,{"Tier 1","Tier 2","Tier 3","Tier 4","Tier 2 Grove"},0)),ISNUMBER(MATCH($I649,{"On-site replacement","Off-site replacement"},0)),$J649="",$H649&lt;&gt;""),
Error!$B$19,
IF(AND(_xlpm.baseRow,$E649&lt;&gt;"",$D649&lt;&gt;"",$F649&lt;&gt;"",COUNTBLANK($B649:$C649)&gt;0,COUNTBLANK(_xlpm.HRange)&lt;&gt;4),
Error!$B$22,
IF(AND($H649="Zoning: Tree Points",$K649&lt;&gt;"",ISNA(MATCH($K649,Tables!$B$242:$B$253,0))),
Error!$B$58,
IF(AND($H649="Zoning: Tree Points",$K649="Small",$L649&lt;&gt;"",ISNA(MATCH($L649,Tables!$C$243:$C$244,0))),
Error!$B$59,
IF(AND($H649="Zoning: Tree Points",$K649="Small/Medium",$L649&lt;&gt;"",ISNA(MATCH($L649,Tables!$C$246:$C$247,0))),
Error!$B$59,
IF(AND($H649="Zoning: Tree Points",$K649="Medium/Large",$L649&lt;&gt;"",ISNA(MATCH($L649,Tables!$C$249:$C$250,0))),
Error!$B$59,
IF(AND($H649="Zoning: Tree Points",$K649="Large",$L649&lt;&gt;"",ISNA(MATCH($L649,Tables!$C$252:$C$253,0))),
Error!$B$59,
IF(AND($F649="Retain",$H649="Zoning: Tree Points",$C649&lt;&gt;"",$D649&lt;&gt;"",OR($K649="",$L649="",$M649="")),
Error!$B$20,
""
)))))))))))))))))))))))))))))))))))))))))))))))))))))))),
Error!$B$23))</f>
        <v/>
      </c>
      <c r="O649" s="343" t="str" cm="1">
        <f t="array" aca="1" ref="O649" ca="1">IFERROR(_xlfn.LET(
    _xlpm.txt, $C649,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50" spans="1:15" ht="15" thickBot="1" x14ac:dyDescent="0.35">
      <c r="A650" s="331"/>
      <c r="B650" s="616" t="str">
        <f t="shared" si="761"/>
        <v/>
      </c>
      <c r="C650" s="617" t="str">
        <f t="shared" si="762"/>
        <v/>
      </c>
      <c r="D650" s="618" t="str">
        <f t="shared" si="763"/>
        <v/>
      </c>
      <c r="E650" s="616" t="str">
        <f t="shared" si="764"/>
        <v/>
      </c>
      <c r="F650" s="616" t="str">
        <f t="shared" si="765"/>
        <v/>
      </c>
      <c r="G650" s="619" t="str">
        <f>IF(Tree_Table1[[#This Row],[Tree Status  &amp;]]="Retain", Tables!$B$237, IF(Tree_Table1[[#This Row],[Tree Status  &amp;]]="Remove", Tables!$B$238, ""))</f>
        <v/>
      </c>
      <c r="H650" s="329"/>
      <c r="I650" s="330"/>
      <c r="J650" s="455"/>
      <c r="K650" s="327" t="str">
        <f>IFERROR(
    IF(
        AND($H650="Zoning: Tree Points", NOT(ISNUMBER(SEARCH("sp.", $C650)))),
        VLOOKUP($C650, 'Tree List'!$C$3:$F$601, 4, FALSE),
        ""
    ),
"")</f>
        <v/>
      </c>
      <c r="L650" s="328" t="str" cm="1">
        <f t="array" ref="L650">IFERROR(
IF(
    AND($H650="Zoning: Tree Points", NOT(ISNUMBER(SEARCH("sp.", $C650)))),
    _xlfn.IFS(
        (COUNTIFS('Tree List'!$C$3:$C$601,$C650,'Tree List'!$D$3:$D$601,"Coniferous")
        + COUNTIFS('Tree List'!$C$3:$C$601,$C650,'Tree List'!$D$3:$D$601,"Deciduous Conifer")) &gt; 0,
            _xlfn.IFS($K650="Small",0.5,$K650="Small/Medium",1,$K650="Medium/Large",1.4,$K650="Large",1.8),
        (COUNTIFS('Tree List'!$C$3:$C$601,$C650,'Tree List'!$D$3:$D$601,"Deciduous")
        + COUNTIFS('Tree List'!$C$3:$C$601,$C650,'Tree List'!$D$3:$D$601,"Broadleaf Evergreen")) &gt; 0,
            _xlfn.IFS($K650="Small",0.4,$K650="Small/Medium",0.8,$K650="Medium/Large",1.2,$K650="Large",1.6)
    ),
    ""
),
"")</f>
        <v/>
      </c>
      <c r="M650" s="476" t="str">
        <f t="shared" si="735"/>
        <v/>
      </c>
      <c r="N650" s="347" t="str" cm="1">
        <f t="array" aca="1" ref="N65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IF(AND(_xlpm.baseRow,ISNA(MATCH($C650,'Tree List'!$C$3:$C$601,0)),SUMPRODUCT(--ISNUMBER(SEARCH(Tables2!$C$677:$C$772,$O650)))&gt;0),
Error!$B$57,
IF(AND(_xlpm.hasDM,$F650="Remove",$H650&lt;&gt;"",OR($I650="On-site replacement",$I650="Off-site replacement",$I650="Payment In Lieu")),
Error!$B$56,
IF(AND(_xlpm.hasDM,$F650="Remove",$H650&lt;&gt;"",$I650="Relocation"),
Error!$B$66,
IF(AND(OR(_xlpm.hasCN,_xlpm.hasPH,_xlpm.hasGR),$H650&lt;&gt;"",COUNTIF(Tables!$B$132:$B$134,$H650)&gt;0,$I650="N/A (No replacement required)"),
Error!$B$62,
IF(AND(_xlpm.baseRow,$E650&lt;&gt;"",ISNA(MATCH($E650,Tables!$B$225:$B$232,0))),
Error!$B$2,
IF(AND(_xlpm.baseRow,$F650&lt;&gt;"",ISNA(MATCH($F650,Tables!$B$234:$B$235,0))),
Error!$B$24,
IF(AND(_xlpm.baseRow,_xlpm.ECA_H&gt;0,_xlpm.Shore_H&gt;0),
Error!$B$16,
IF(AND(_xlpm.baseRow,$E650&lt;&gt;"",$D650=""),
Error!$B$3,
IF(AND(_xlpm.baseRow,OR($E650="Tier 3",$E650="Tier 4"),$C650&lt;&gt;"",$D650&gt;=24,COUNTIF(Tables2!$B$166:$B$674,$C650)&gt;0),
Error!$B$44,
IF(AND(_xlpm.baseRow,OR($E650="Tier 3",$E650="Tier 4"),$C650&lt;&gt;"",$D650&lt;&gt;"",COUNTIF(Tables2!$B$73:$B$152,$C650)&gt;0,
$D650&gt;=IFERROR(INDEX(Tables2!$C$73:$C$152,MATCH($C650,Tables2!$B$73:$B$152,0)),-1)),
Error!$B$44,
IF(AND(_xlpm.baseRow,OR($E650="Tier 2",$E650="Tier 2 Grove"),$C650&lt;&gt;"",$D650&gt;=12,COUNTIF(Tables2!$B$153:$B$162,$C650)&gt;0),
Error!$B$45,
IF(AND(_xlpm.baseRow,$E650="Tier 2 Grove",$D650&lt;12),
Error!$B$41,
IF(AND(_xlpm.baseRow,$E650="Tier 2",$D650&lt;5.88),
Error!$B$40,
IF(AND(_xlpm.baseRow,OR($E650="Tier 2",$E650="Tier 2 Grove"),$C650&lt;&gt;"",$D650&lt;12,$D650&gt;=6,COUNTIF(Tables2!$B$153:$B$162,$C650)&gt;0),
Error!$B$54,
IF(AND(_xlpm.baseRow,$E650="Tier 2",COUNTIF(Tables2!$B$166:$B$674,$C650)&gt;0,$D650&lt;24),
Error!$B$54,
IF(AND(_xlpm.baseRow,$E650="Tier 3",ISNA(MATCH($C650,Tables2!$B$153:$B$162,0)),OR($D650&lt;12,$D650&gt;=24)),
Error!$B$9,
IF(AND(_xlpm.baseRow,$E650="Tier 3",COUNTIF(Tables2!$B$153:$B$162,$C650)&gt;0,$D650&lt;12),
Error!$B$46,
IF(AND(_xlpm.baseRow,$E650="Tier 4",OR($D650&lt;6,$D650&gt;=12)),
Error!$B$10,
IF(AND(_xlpm.baseRow,$E650="&lt;6in DSH for Tree Points",OR($D650&gt;=6,$D650="")),
Error!$B$8,
IF(AND(_xlpm.baseRow,$E650="Street Tree for Green Factor",$F650&lt;&gt;"",$F650&lt;&gt;"Retain"),
Error!$B$14,
IF(AND($E650="&lt;6in DSH for Tree Points",$F650="Retain",$H650&lt;&gt;"",ISNA(MATCH($H650,Tables!$B$174:$B$174,0))),
Error!$B$15,
IF(AND($E650="Street Tree for Green Factor",$F650="Retain",$H650&lt;&gt;"",$H650&lt;&gt;"Zoning: Green Factor"),
Error!$B$15,
IF(AND($E650="ECA / Shoreline Tree",$F650="Remove",$H650&lt;&gt;"",ISNA(MATCH($H650,Tables!$B$189:$B$190,0))),
Error!$B$15,
IF(AND($E650="ECA / Shoreline Tree",$F650="Retain",$H650&lt;&gt;"",ISNA(MATCH($H650,Tables!$B$184:$B$186,0))),
Error!$B$15,
IF(AND($E650="Tier 4",$F650="Remove",$H650&lt;&gt;"",ISNA(MATCH($H650,Tables!$B$171,0))),
Error!$B$15,
IF(AND($E650="Tier 4",$F650="Retain",$H650&lt;&gt;"",ISNA(MATCH($H650,Tables!$B$166:$B$168,0))),
Error!$B$15,
IF(AND($E650="Tier 3",$F650="Retain",$H650&lt;&gt;"",ISNA(MATCH($H650,Tables!$B$158:$B$160,0))),
Error!$B$15,
IF(AND($E650="Tier 3",$F650="Remove",$H650&lt;&gt;"",ISNA(MATCH($H650,Tables!$B$163,0))),
Error!$B$15,
IF(AND(OR($E650="Tier 2",$E650="Tier 2 Grove"),$F650="Remove",$H650&lt;&gt;"",ISNA(MATCH($H650,Tables!$B$153:$B$155,0))),
Error!$B$15,
IF(AND(OR($E650="Tier 2",$E650="Tier 2 Grove"),$F650="Retain",$H650&lt;&gt;"",ISNA(MATCH($H650,Tables!$B$147:$B$150,0))),
Error!$B$15,
IF(AND($E650="Tier 1",$F650="Remove",$H650&lt;&gt;"",ISNA(MATCH($H650,Tables!$B$143:$B$144,0))),
Error!$B$15,
IF(AND($E650="Tier 1",$F650="Retain",$H650&lt;&gt;"",ISNA(MATCH($H650,Tables!$B$137:$B$140,0))),
Error!$B$15,
IF(AND($E650&lt;&gt;"Tier 2",$E650&lt;&gt;"Tier 2 Grove",$E650&lt;&gt;"Tier 3",$E650&lt;&gt;"Tier 4",$H650="Zoning: Green Factor",OR($D650="",$D650&lt;6)),
Error!$B$11,
IF(AND(_xlpm.baseRow,$D650&lt;6,$E650="&lt;6in DSH for Tree Points",_xlpm.TreePoints_H=0),
Error!$B$21,
IF(AND(_xlpm.baseRow,$E650&lt;&gt;"",$D650&lt;&gt;"",$F650=""),
Error!$B$4,
IF(AND(_xlpm.baseRow,$F650="Remove",OR($E650="Tier 1",$E650="Tier 2",$E650="Tier 2 Grove"),COUNTBLANK(_xlpm.HRange)&lt;3,_xlpm.uniqueH&gt;=2),
Error!$B$48,
IF(AND(_xlpm.baseRow,$F650="Retain",OR($E650="Tier 1",$E650="Tier 2",$E650="Tier 2 Grove"),COUNTIF(_xlpm.HRange,"Tree Code: Required to Retain Tier 1-2 Tree")=0),
Error!$B$47,
IF(AND(_xlpm.baseRow,$E650&lt;&gt;"",$D650&lt;&gt;"",$F650&lt;&gt;"",COUNTBLANK(_xlpm.HRange)=4),
Error!$B$5,
IF(AND($F650="Remove",$H650&lt;&gt;"",$I650=""),
Error!$B$18,
IF(AND($E650="Tier 4",$F650="Remove",$H650="Tree Protection Code: Tier 3 or Tier 4 Allowance",$H650&lt;&gt;"",ISNA(MATCH($I650,Tables!$B$200,0))),
Error!$B$17,
IF(AND($E650="Tier 3",$F650="Remove",$H650&lt;&gt;"",$H650="Tree Protection Code: Tier 3 or Tier 4 Allowance",OR($I650="",ISNA(MATCH($I650,Tables!$B$193:$B$197,0)))),
Error!$B$17,
IF(AND(OR($E650="Tier 2",$E650="Tier 2 Grove"),$F650="Remove",$H650="Tree Protection Code: Other removal allowance or exemption",$I650&lt;&gt;"",ISNA(MATCH($I650,Tables!$B$215:$B$218,0))),
Error!$B$17,
IF(AND(OR($E650="Tier 2",$E650="Tier 2 Grove"),$F650="Remove",$H650="Tree Protection Code: Development Capacity",$I650&lt;&gt;"",ISNA(MATCH($I650,Tables!$B$193:$B$197,0))),
Error!$B$17,
IF(AND(OR($E650="Tier 2",$E650="Tier 2 Grove"),$F650="Remove",$H650="Tree Protection Code: Necessary for Construction",$I650&lt;&gt;"",ISNA(MATCH($I650,Tables!$B$193:$B$197,0))),
Error!$B$17,
IF(AND($E650="Tier 1",$F650="Remove",$H650="Tree Protection Code: Special Exception",$I650&lt;&gt;"",ISNA(MATCH($I650,Tables!$B$215:$B$218,0))),
Error!$B$17,
IF(AND($E650="Tier 1",$F650="Remove",$H650="Tree Protection Code: Other removal allowance or exemption",$I650&lt;&gt;"",ISNA(MATCH($I650,Tables!$B$215:$B$218,0))),
Error!$B$17,
IF(AND($E650="ECA / Shoreline Tree",$F650="Remove",$H650&lt;&gt;"",OR($H650="Shoreline",$H650="Environmental Critical Area (ECA)"),ISNA(MATCH($I650,Tables!$B$209:$B$212,0))),
Error!$B$17,
IF(AND(_xlpm.baseRow,$F650="Retain",$E650="ECA / Shoreline Tree",_xlpm.ECA_Short=0),
Error!$B$61,
IF(AND($F650="Remove",ISNUMBER(MATCH($E650,{"Tier 1","Tier 2","Tier 3","Tier 4","Tier 2 Grove"},0)),ISNUMBER(MATCH($I650,{"On-site replacement","Off-site replacement"},0)),$J650="",$H650&lt;&gt;""),
Error!$B$19,
IF(AND(_xlpm.baseRow,$E650&lt;&gt;"",$D650&lt;&gt;"",$F650&lt;&gt;"",COUNTBLANK($B650:$C650)&gt;0,COUNTBLANK(_xlpm.HRange)&lt;&gt;4),
Error!$B$22,
IF(AND($H650="Zoning: Tree Points",$K650&lt;&gt;"",ISNA(MATCH($K650,Tables!$B$242:$B$253,0))),
Error!$B$58,
IF(AND($H650="Zoning: Tree Points",$K650="Small",$L650&lt;&gt;"",ISNA(MATCH($L650,Tables!$C$243:$C$244,0))),
Error!$B$59,
IF(AND($H650="Zoning: Tree Points",$K650="Small/Medium",$L650&lt;&gt;"",ISNA(MATCH($L650,Tables!$C$246:$C$247,0))),
Error!$B$59,
IF(AND($H650="Zoning: Tree Points",$K650="Medium/Large",$L650&lt;&gt;"",ISNA(MATCH($L650,Tables!$C$249:$C$250,0))),
Error!$B$59,
IF(AND($H650="Zoning: Tree Points",$K650="Large",$L650&lt;&gt;"",ISNA(MATCH($L650,Tables!$C$252:$C$253,0))),
Error!$B$59,
IF(AND($F650="Retain",$H650="Zoning: Tree Points",$C650&lt;&gt;"",$D650&lt;&gt;"",OR($K650="",$L650="",$M650="")),
Error!$B$20,
""
)))))))))))))))))))))))))))))))))))))))))))))))))))))))),
Error!$B$23))</f>
        <v/>
      </c>
      <c r="O650" s="343" t="str" cm="1">
        <f t="array" aca="1" ref="O650" ca="1">IFERROR(_xlfn.LET(
    _xlpm.txt, $C650,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51" spans="1:15" ht="15" thickBot="1" x14ac:dyDescent="0.35">
      <c r="A651" s="311">
        <v>161</v>
      </c>
      <c r="B651" s="312"/>
      <c r="C651" s="313"/>
      <c r="D651" s="478"/>
      <c r="E651" s="314"/>
      <c r="F651" s="314"/>
      <c r="G651" s="315" t="str">
        <f>IF(Tree_Table1[[#This Row],[Tree Status  &amp;]]="Retain", Tables!$B$237, IF(Tree_Table1[[#This Row],[Tree Status  &amp;]]="Remove", Tables!$B$238, ""))</f>
        <v/>
      </c>
      <c r="H651" s="316"/>
      <c r="I651" s="317"/>
      <c r="J651" s="452"/>
      <c r="K651" s="318" t="str">
        <f>IFERROR(
    IF(
        AND($H651="Zoning: Tree Points", NOT(ISNUMBER(SEARCH("sp.", $C651)))),
        VLOOKUP($C651, 'Tree List'!$C$3:$F$601, 4, FALSE),
        ""
    ),
"")</f>
        <v/>
      </c>
      <c r="L651" s="319" t="str" cm="1">
        <f t="array" ref="L651">IFERROR(
IF(
    AND($H651="Zoning: Tree Points", NOT(ISNUMBER(SEARCH("sp.", $C651)))),
    _xlfn.IFS(
        (COUNTIFS('Tree List'!$C$3:$C$601,$C651,'Tree List'!$D$3:$D$601,"Coniferous")
        + COUNTIFS('Tree List'!$C$3:$C$601,$C651,'Tree List'!$D$3:$D$601,"Deciduous Conifer")) &gt; 0,
            _xlfn.IFS($K651="Small",0.5,$K651="Small/Medium",1,$K651="Medium/Large",1.4,$K651="Large",1.8),
        (COUNTIFS('Tree List'!$C$3:$C$601,$C651,'Tree List'!$D$3:$D$601,"Deciduous")
        + COUNTIFS('Tree List'!$C$3:$C$601,$C651,'Tree List'!$D$3:$D$601,"Broadleaf Evergreen")) &gt; 0,
            _xlfn.IFS($K651="Small",0.4,$K651="Small/Medium",0.8,$K651="Medium/Large",1.2,$K651="Large",1.6)
    ),
    ""
),
"")</f>
        <v/>
      </c>
      <c r="M651" s="474" t="str">
        <f t="shared" si="735"/>
        <v/>
      </c>
      <c r="N651" s="620" t="str" cm="1">
        <f t="array" aca="1" ref="N65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IF(AND(_xlpm.baseRow,ISNA(MATCH($C651,'Tree List'!$C$3:$C$601,0)),SUMPRODUCT(--ISNUMBER(SEARCH(Tables2!$C$677:$C$772,$O651)))&gt;0),
Error!$B$57,
IF(AND(_xlpm.hasDM,$F651="Remove",$H651&lt;&gt;"",OR($I651="On-site replacement",$I651="Off-site replacement",$I651="Payment In Lieu")),
Error!$B$56,
IF(AND(_xlpm.hasDM,$F651="Remove",$H651&lt;&gt;"",$I651="Relocation"),
Error!$B$66,
IF(AND(OR(_xlpm.hasCN,_xlpm.hasPH,_xlpm.hasGR),$H651&lt;&gt;"",COUNTIF(Tables!$B$132:$B$134,$H651)&gt;0,$I651="N/A (No replacement required)"),
Error!$B$62,
IF(AND(_xlpm.baseRow,$E651&lt;&gt;"",ISNA(MATCH($E651,Tables!$B$225:$B$232,0))),
Error!$B$2,
IF(AND(_xlpm.baseRow,$F651&lt;&gt;"",ISNA(MATCH($F651,Tables!$B$234:$B$235,0))),
Error!$B$24,
IF(AND(_xlpm.baseRow,_xlpm.ECA_H&gt;0,_xlpm.Shore_H&gt;0),
Error!$B$16,
IF(AND(_xlpm.baseRow,$E651&lt;&gt;"",$D651=""),
Error!$B$3,
IF(AND(_xlpm.baseRow,OR($E651="Tier 3",$E651="Tier 4"),$C651&lt;&gt;"",$D651&gt;=24,COUNTIF(Tables2!$B$166:$B$674,$C651)&gt;0),
Error!$B$44,
IF(AND(_xlpm.baseRow,OR($E651="Tier 3",$E651="Tier 4"),$C651&lt;&gt;"",$D651&lt;&gt;"",COUNTIF(Tables2!$B$73:$B$152,$C651)&gt;0,
$D651&gt;=IFERROR(INDEX(Tables2!$C$73:$C$152,MATCH($C651,Tables2!$B$73:$B$152,0)),-1)),
Error!$B$44,
IF(AND(_xlpm.baseRow,OR($E651="Tier 2",$E651="Tier 2 Grove"),$C651&lt;&gt;"",$D651&gt;=12,COUNTIF(Tables2!$B$153:$B$162,$C651)&gt;0),
Error!$B$45,
IF(AND(_xlpm.baseRow,$E651="Tier 2 Grove",$D651&lt;12),
Error!$B$41,
IF(AND(_xlpm.baseRow,$E651="Tier 2",$D651&lt;5.88),
Error!$B$40,
IF(AND(_xlpm.baseRow,OR($E651="Tier 2",$E651="Tier 2 Grove"),$C651&lt;&gt;"",$D651&lt;12,$D651&gt;=6,COUNTIF(Tables2!$B$153:$B$162,$C651)&gt;0),
Error!$B$54,
IF(AND(_xlpm.baseRow,$E651="Tier 2",COUNTIF(Tables2!$B$166:$B$674,$C651)&gt;0,$D651&lt;24),
Error!$B$54,
IF(AND(_xlpm.baseRow,$E651="Tier 3",ISNA(MATCH($C651,Tables2!$B$153:$B$162,0)),OR($D651&lt;12,$D651&gt;=24)),
Error!$B$9,
IF(AND(_xlpm.baseRow,$E651="Tier 3",COUNTIF(Tables2!$B$153:$B$162,$C651)&gt;0,$D651&lt;12),
Error!$B$46,
IF(AND(_xlpm.baseRow,$E651="Tier 4",OR($D651&lt;6,$D651&gt;=12)),
Error!$B$10,
IF(AND(_xlpm.baseRow,$E651="&lt;6in DSH for Tree Points",OR($D651&gt;=6,$D651="")),
Error!$B$8,
IF(AND(_xlpm.baseRow,$E651="Street Tree for Green Factor",$F651&lt;&gt;"",$F651&lt;&gt;"Retain"),
Error!$B$14,
IF(AND($E651="&lt;6in DSH for Tree Points",$F651="Retain",$H651&lt;&gt;"",ISNA(MATCH($H651,Tables!$B$174:$B$174,0))),
Error!$B$15,
IF(AND($E651="Street Tree for Green Factor",$F651="Retain",$H651&lt;&gt;"",$H651&lt;&gt;"Zoning: Green Factor"),
Error!$B$15,
IF(AND($E651="ECA / Shoreline Tree",$F651="Remove",$H651&lt;&gt;"",ISNA(MATCH($H651,Tables!$B$189:$B$190,0))),
Error!$B$15,
IF(AND($E651="ECA / Shoreline Tree",$F651="Retain",$H651&lt;&gt;"",ISNA(MATCH($H651,Tables!$B$184:$B$186,0))),
Error!$B$15,
IF(AND($E651="Tier 4",$F651="Remove",$H651&lt;&gt;"",ISNA(MATCH($H651,Tables!$B$171,0))),
Error!$B$15,
IF(AND($E651="Tier 4",$F651="Retain",$H651&lt;&gt;"",ISNA(MATCH($H651,Tables!$B$166:$B$168,0))),
Error!$B$15,
IF(AND($E651="Tier 3",$F651="Retain",$H651&lt;&gt;"",ISNA(MATCH($H651,Tables!$B$158:$B$160,0))),
Error!$B$15,
IF(AND($E651="Tier 3",$F651="Remove",$H651&lt;&gt;"",ISNA(MATCH($H651,Tables!$B$163,0))),
Error!$B$15,
IF(AND(OR($E651="Tier 2",$E651="Tier 2 Grove"),$F651="Remove",$H651&lt;&gt;"",ISNA(MATCH($H651,Tables!$B$153:$B$155,0))),
Error!$B$15,
IF(AND(OR($E651="Tier 2",$E651="Tier 2 Grove"),$F651="Retain",$H651&lt;&gt;"",ISNA(MATCH($H651,Tables!$B$147:$B$150,0))),
Error!$B$15,
IF(AND($E651="Tier 1",$F651="Remove",$H651&lt;&gt;"",ISNA(MATCH($H651,Tables!$B$143:$B$144,0))),
Error!$B$15,
IF(AND($E651="Tier 1",$F651="Retain",$H651&lt;&gt;"",ISNA(MATCH($H651,Tables!$B$137:$B$140,0))),
Error!$B$15,
IF(AND($E651&lt;&gt;"Tier 2",$E651&lt;&gt;"Tier 2 Grove",$E651&lt;&gt;"Tier 3",$E651&lt;&gt;"Tier 4",$H651="Zoning: Green Factor",OR($D651="",$D651&lt;6)),
Error!$B$11,
IF(AND(_xlpm.baseRow,$D651&lt;6,$E651="&lt;6in DSH for Tree Points",_xlpm.TreePoints_H=0),
Error!$B$21,
IF(AND(_xlpm.baseRow,$E651&lt;&gt;"",$D651&lt;&gt;"",$F651=""),
Error!$B$4,
IF(AND(_xlpm.baseRow,$F651="Remove",OR($E651="Tier 1",$E651="Tier 2",$E651="Tier 2 Grove"),COUNTBLANK(_xlpm.HRange)&lt;3,_xlpm.uniqueH&gt;=2),
Error!$B$48,
IF(AND(_xlpm.baseRow,$F651="Retain",OR($E651="Tier 1",$E651="Tier 2",$E651="Tier 2 Grove"),COUNTIF(_xlpm.HRange,"Tree Code: Required to Retain Tier 1-2 Tree")=0),
Error!$B$47,
IF(AND(_xlpm.baseRow,$E651&lt;&gt;"",$D651&lt;&gt;"",$F651&lt;&gt;"",COUNTBLANK(_xlpm.HRange)=4),
Error!$B$5,
IF(AND($F651="Remove",$H651&lt;&gt;"",$I651=""),
Error!$B$18,
IF(AND($E651="Tier 4",$F651="Remove",$H651="Tree Protection Code: Tier 3 or Tier 4 Allowance",$H651&lt;&gt;"",ISNA(MATCH($I651,Tables!$B$200,0))),
Error!$B$17,
IF(AND($E651="Tier 3",$F651="Remove",$H651&lt;&gt;"",$H651="Tree Protection Code: Tier 3 or Tier 4 Allowance",OR($I651="",ISNA(MATCH($I651,Tables!$B$193:$B$197,0)))),
Error!$B$17,
IF(AND(OR($E651="Tier 2",$E651="Tier 2 Grove"),$F651="Remove",$H651="Tree Protection Code: Other removal allowance or exemption",$I651&lt;&gt;"",ISNA(MATCH($I651,Tables!$B$215:$B$218,0))),
Error!$B$17,
IF(AND(OR($E651="Tier 2",$E651="Tier 2 Grove"),$F651="Remove",$H651="Tree Protection Code: Development Capacity",$I651&lt;&gt;"",ISNA(MATCH($I651,Tables!$B$193:$B$197,0))),
Error!$B$17,
IF(AND(OR($E651="Tier 2",$E651="Tier 2 Grove"),$F651="Remove",$H651="Tree Protection Code: Necessary for Construction",$I651&lt;&gt;"",ISNA(MATCH($I651,Tables!$B$193:$B$197,0))),
Error!$B$17,
IF(AND($E651="Tier 1",$F651="Remove",$H651="Tree Protection Code: Special Exception",$I651&lt;&gt;"",ISNA(MATCH($I651,Tables!$B$215:$B$218,0))),
Error!$B$17,
IF(AND($E651="Tier 1",$F651="Remove",$H651="Tree Protection Code: Other removal allowance or exemption",$I651&lt;&gt;"",ISNA(MATCH($I651,Tables!$B$215:$B$218,0))),
Error!$B$17,
IF(AND($E651="ECA / Shoreline Tree",$F651="Remove",$H651&lt;&gt;"",OR($H651="Shoreline",$H651="Environmental Critical Area (ECA)"),ISNA(MATCH($I651,Tables!$B$209:$B$212,0))),
Error!$B$17,
IF(AND(_xlpm.baseRow,$F651="Retain",$E651="ECA / Shoreline Tree",_xlpm.ECA_Short=0),
Error!$B$61,
IF(AND($F651="Remove",ISNUMBER(MATCH($E651,{"Tier 1","Tier 2","Tier 3","Tier 4","Tier 2 Grove"},0)),ISNUMBER(MATCH($I651,{"On-site replacement","Off-site replacement"},0)),$J651="",$H651&lt;&gt;""),
Error!$B$19,
IF(AND(_xlpm.baseRow,$E651&lt;&gt;"",$D651&lt;&gt;"",$F651&lt;&gt;"",COUNTBLANK($B651:$C651)&gt;0,COUNTBLANK(_xlpm.HRange)&lt;&gt;4),
Error!$B$22,
IF(AND($H651="Zoning: Tree Points",$K651&lt;&gt;"",ISNA(MATCH($K651,Tables!$B$242:$B$253,0))),
Error!$B$58,
IF(AND($H651="Zoning: Tree Points",$K651="Small",$L651&lt;&gt;"",ISNA(MATCH($L651,Tables!$C$243:$C$244,0))),
Error!$B$59,
IF(AND($H651="Zoning: Tree Points",$K651="Small/Medium",$L651&lt;&gt;"",ISNA(MATCH($L651,Tables!$C$246:$C$247,0))),
Error!$B$59,
IF(AND($H651="Zoning: Tree Points",$K651="Medium/Large",$L651&lt;&gt;"",ISNA(MATCH($L651,Tables!$C$249:$C$250,0))),
Error!$B$59,
IF(AND($H651="Zoning: Tree Points",$K651="Large",$L651&lt;&gt;"",ISNA(MATCH($L651,Tables!$C$252:$C$253,0))),
Error!$B$59,
IF(AND($F651="Retain",$H651="Zoning: Tree Points",$C651&lt;&gt;"",$D651&lt;&gt;"",OR($K651="",$L651="",$M651="")),
Error!$B$20,
""
)))))))))))))))))))))))))))))))))))))))))))))))))))))))),
Error!$B$23))</f>
        <v/>
      </c>
      <c r="O651" s="343" t="str" cm="1">
        <f t="array" aca="1" ref="O651" ca="1">IFERROR(_xlfn.LET(
    _xlpm.txt, $C651,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52" spans="1:15" x14ac:dyDescent="0.3">
      <c r="A652" s="320"/>
      <c r="B652" s="616" t="str">
        <f t="shared" ref="B652:B654" si="766">IF($B651="", "", $B651)</f>
        <v/>
      </c>
      <c r="C652" s="617" t="str">
        <f t="shared" ref="C652:C654" si="767">IF($C651="", "", $C651)</f>
        <v/>
      </c>
      <c r="D652" s="618" t="str">
        <f t="shared" ref="D652:D654" si="768">IF($D651="", "", $D651)</f>
        <v/>
      </c>
      <c r="E652" s="616" t="str">
        <f t="shared" ref="E652:E654" si="769">IF($E651="", "", $E651)</f>
        <v/>
      </c>
      <c r="F652" s="616" t="str">
        <f t="shared" ref="F652:F654" si="770">IF($F651="", "", $F651)</f>
        <v/>
      </c>
      <c r="G652" s="619" t="str">
        <f>IF(Tree_Table1[[#This Row],[Tree Status  &amp;]]="Retain", Tables!$B$237, IF(Tree_Table1[[#This Row],[Tree Status  &amp;]]="Remove", Tables!$B$238, ""))</f>
        <v/>
      </c>
      <c r="H652" s="321"/>
      <c r="I652" s="322"/>
      <c r="J652" s="453"/>
      <c r="K652" s="323" t="str">
        <f>IFERROR(
    IF(
        AND($H652="Zoning: Tree Points", NOT(ISNUMBER(SEARCH("sp.", $C652)))),
        VLOOKUP($C652, 'Tree List'!$C$3:$F$601, 4, FALSE),
        ""
    ),
"")</f>
        <v/>
      </c>
      <c r="L652" s="324" t="str" cm="1">
        <f t="array" ref="L652">IFERROR(
IF(
    AND($H652="Zoning: Tree Points", NOT(ISNUMBER(SEARCH("sp.", $C652)))),
    _xlfn.IFS(
        (COUNTIFS('Tree List'!$C$3:$C$601,$C652,'Tree List'!$D$3:$D$601,"Coniferous")
        + COUNTIFS('Tree List'!$C$3:$C$601,$C652,'Tree List'!$D$3:$D$601,"Deciduous Conifer")) &gt; 0,
            _xlfn.IFS($K652="Small",0.5,$K652="Small/Medium",1,$K652="Medium/Large",1.4,$K652="Large",1.8),
        (COUNTIFS('Tree List'!$C$3:$C$601,$C652,'Tree List'!$D$3:$D$601,"Deciduous")
        + COUNTIFS('Tree List'!$C$3:$C$601,$C652,'Tree List'!$D$3:$D$601,"Broadleaf Evergreen")) &gt; 0,
            _xlfn.IFS($K652="Small",0.4,$K652="Small/Medium",0.8,$K652="Medium/Large",1.2,$K652="Large",1.6)
    ),
    ""
),
"")</f>
        <v/>
      </c>
      <c r="M652" s="475" t="str">
        <f t="shared" si="735"/>
        <v/>
      </c>
      <c r="N652" s="346" t="str" cm="1">
        <f t="array" aca="1" ref="N65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IF(AND(_xlpm.baseRow,ISNA(MATCH($C652,'Tree List'!$C$3:$C$601,0)),SUMPRODUCT(--ISNUMBER(SEARCH(Tables2!$C$677:$C$772,$O652)))&gt;0),
Error!$B$57,
IF(AND(_xlpm.hasDM,$F652="Remove",$H652&lt;&gt;"",OR($I652="On-site replacement",$I652="Off-site replacement",$I652="Payment In Lieu")),
Error!$B$56,
IF(AND(_xlpm.hasDM,$F652="Remove",$H652&lt;&gt;"",$I652="Relocation"),
Error!$B$66,
IF(AND(OR(_xlpm.hasCN,_xlpm.hasPH,_xlpm.hasGR),$H652&lt;&gt;"",COUNTIF(Tables!$B$132:$B$134,$H652)&gt;0,$I652="N/A (No replacement required)"),
Error!$B$62,
IF(AND(_xlpm.baseRow,$E652&lt;&gt;"",ISNA(MATCH($E652,Tables!$B$225:$B$232,0))),
Error!$B$2,
IF(AND(_xlpm.baseRow,$F652&lt;&gt;"",ISNA(MATCH($F652,Tables!$B$234:$B$235,0))),
Error!$B$24,
IF(AND(_xlpm.baseRow,_xlpm.ECA_H&gt;0,_xlpm.Shore_H&gt;0),
Error!$B$16,
IF(AND(_xlpm.baseRow,$E652&lt;&gt;"",$D652=""),
Error!$B$3,
IF(AND(_xlpm.baseRow,OR($E652="Tier 3",$E652="Tier 4"),$C652&lt;&gt;"",$D652&gt;=24,COUNTIF(Tables2!$B$166:$B$674,$C652)&gt;0),
Error!$B$44,
IF(AND(_xlpm.baseRow,OR($E652="Tier 3",$E652="Tier 4"),$C652&lt;&gt;"",$D652&lt;&gt;"",COUNTIF(Tables2!$B$73:$B$152,$C652)&gt;0,
$D652&gt;=IFERROR(INDEX(Tables2!$C$73:$C$152,MATCH($C652,Tables2!$B$73:$B$152,0)),-1)),
Error!$B$44,
IF(AND(_xlpm.baseRow,OR($E652="Tier 2",$E652="Tier 2 Grove"),$C652&lt;&gt;"",$D652&gt;=12,COUNTIF(Tables2!$B$153:$B$162,$C652)&gt;0),
Error!$B$45,
IF(AND(_xlpm.baseRow,$E652="Tier 2 Grove",$D652&lt;12),
Error!$B$41,
IF(AND(_xlpm.baseRow,$E652="Tier 2",$D652&lt;5.88),
Error!$B$40,
IF(AND(_xlpm.baseRow,OR($E652="Tier 2",$E652="Tier 2 Grove"),$C652&lt;&gt;"",$D652&lt;12,$D652&gt;=6,COUNTIF(Tables2!$B$153:$B$162,$C652)&gt;0),
Error!$B$54,
IF(AND(_xlpm.baseRow,$E652="Tier 2",COUNTIF(Tables2!$B$166:$B$674,$C652)&gt;0,$D652&lt;24),
Error!$B$54,
IF(AND(_xlpm.baseRow,$E652="Tier 3",ISNA(MATCH($C652,Tables2!$B$153:$B$162,0)),OR($D652&lt;12,$D652&gt;=24)),
Error!$B$9,
IF(AND(_xlpm.baseRow,$E652="Tier 3",COUNTIF(Tables2!$B$153:$B$162,$C652)&gt;0,$D652&lt;12),
Error!$B$46,
IF(AND(_xlpm.baseRow,$E652="Tier 4",OR($D652&lt;6,$D652&gt;=12)),
Error!$B$10,
IF(AND(_xlpm.baseRow,$E652="&lt;6in DSH for Tree Points",OR($D652&gt;=6,$D652="")),
Error!$B$8,
IF(AND(_xlpm.baseRow,$E652="Street Tree for Green Factor",$F652&lt;&gt;"",$F652&lt;&gt;"Retain"),
Error!$B$14,
IF(AND($E652="&lt;6in DSH for Tree Points",$F652="Retain",$H652&lt;&gt;"",ISNA(MATCH($H652,Tables!$B$174:$B$174,0))),
Error!$B$15,
IF(AND($E652="Street Tree for Green Factor",$F652="Retain",$H652&lt;&gt;"",$H652&lt;&gt;"Zoning: Green Factor"),
Error!$B$15,
IF(AND($E652="ECA / Shoreline Tree",$F652="Remove",$H652&lt;&gt;"",ISNA(MATCH($H652,Tables!$B$189:$B$190,0))),
Error!$B$15,
IF(AND($E652="ECA / Shoreline Tree",$F652="Retain",$H652&lt;&gt;"",ISNA(MATCH($H652,Tables!$B$184:$B$186,0))),
Error!$B$15,
IF(AND($E652="Tier 4",$F652="Remove",$H652&lt;&gt;"",ISNA(MATCH($H652,Tables!$B$171,0))),
Error!$B$15,
IF(AND($E652="Tier 4",$F652="Retain",$H652&lt;&gt;"",ISNA(MATCH($H652,Tables!$B$166:$B$168,0))),
Error!$B$15,
IF(AND($E652="Tier 3",$F652="Retain",$H652&lt;&gt;"",ISNA(MATCH($H652,Tables!$B$158:$B$160,0))),
Error!$B$15,
IF(AND($E652="Tier 3",$F652="Remove",$H652&lt;&gt;"",ISNA(MATCH($H652,Tables!$B$163,0))),
Error!$B$15,
IF(AND(OR($E652="Tier 2",$E652="Tier 2 Grove"),$F652="Remove",$H652&lt;&gt;"",ISNA(MATCH($H652,Tables!$B$153:$B$155,0))),
Error!$B$15,
IF(AND(OR($E652="Tier 2",$E652="Tier 2 Grove"),$F652="Retain",$H652&lt;&gt;"",ISNA(MATCH($H652,Tables!$B$147:$B$150,0))),
Error!$B$15,
IF(AND($E652="Tier 1",$F652="Remove",$H652&lt;&gt;"",ISNA(MATCH($H652,Tables!$B$143:$B$144,0))),
Error!$B$15,
IF(AND($E652="Tier 1",$F652="Retain",$H652&lt;&gt;"",ISNA(MATCH($H652,Tables!$B$137:$B$140,0))),
Error!$B$15,
IF(AND($E652&lt;&gt;"Tier 2",$E652&lt;&gt;"Tier 2 Grove",$E652&lt;&gt;"Tier 3",$E652&lt;&gt;"Tier 4",$H652="Zoning: Green Factor",OR($D652="",$D652&lt;6)),
Error!$B$11,
IF(AND(_xlpm.baseRow,$D652&lt;6,$E652="&lt;6in DSH for Tree Points",_xlpm.TreePoints_H=0),
Error!$B$21,
IF(AND(_xlpm.baseRow,$E652&lt;&gt;"",$D652&lt;&gt;"",$F652=""),
Error!$B$4,
IF(AND(_xlpm.baseRow,$F652="Remove",OR($E652="Tier 1",$E652="Tier 2",$E652="Tier 2 Grove"),COUNTBLANK(_xlpm.HRange)&lt;3,_xlpm.uniqueH&gt;=2),
Error!$B$48,
IF(AND(_xlpm.baseRow,$F652="Retain",OR($E652="Tier 1",$E652="Tier 2",$E652="Tier 2 Grove"),COUNTIF(_xlpm.HRange,"Tree Code: Required to Retain Tier 1-2 Tree")=0),
Error!$B$47,
IF(AND(_xlpm.baseRow,$E652&lt;&gt;"",$D652&lt;&gt;"",$F652&lt;&gt;"",COUNTBLANK(_xlpm.HRange)=4),
Error!$B$5,
IF(AND($F652="Remove",$H652&lt;&gt;"",$I652=""),
Error!$B$18,
IF(AND($E652="Tier 4",$F652="Remove",$H652="Tree Protection Code: Tier 3 or Tier 4 Allowance",$H652&lt;&gt;"",ISNA(MATCH($I652,Tables!$B$200,0))),
Error!$B$17,
IF(AND($E652="Tier 3",$F652="Remove",$H652&lt;&gt;"",$H652="Tree Protection Code: Tier 3 or Tier 4 Allowance",OR($I652="",ISNA(MATCH($I652,Tables!$B$193:$B$197,0)))),
Error!$B$17,
IF(AND(OR($E652="Tier 2",$E652="Tier 2 Grove"),$F652="Remove",$H652="Tree Protection Code: Other removal allowance or exemption",$I652&lt;&gt;"",ISNA(MATCH($I652,Tables!$B$215:$B$218,0))),
Error!$B$17,
IF(AND(OR($E652="Tier 2",$E652="Tier 2 Grove"),$F652="Remove",$H652="Tree Protection Code: Development Capacity",$I652&lt;&gt;"",ISNA(MATCH($I652,Tables!$B$193:$B$197,0))),
Error!$B$17,
IF(AND(OR($E652="Tier 2",$E652="Tier 2 Grove"),$F652="Remove",$H652="Tree Protection Code: Necessary for Construction",$I652&lt;&gt;"",ISNA(MATCH($I652,Tables!$B$193:$B$197,0))),
Error!$B$17,
IF(AND($E652="Tier 1",$F652="Remove",$H652="Tree Protection Code: Special Exception",$I652&lt;&gt;"",ISNA(MATCH($I652,Tables!$B$215:$B$218,0))),
Error!$B$17,
IF(AND($E652="Tier 1",$F652="Remove",$H652="Tree Protection Code: Other removal allowance or exemption",$I652&lt;&gt;"",ISNA(MATCH($I652,Tables!$B$215:$B$218,0))),
Error!$B$17,
IF(AND($E652="ECA / Shoreline Tree",$F652="Remove",$H652&lt;&gt;"",OR($H652="Shoreline",$H652="Environmental Critical Area (ECA)"),ISNA(MATCH($I652,Tables!$B$209:$B$212,0))),
Error!$B$17,
IF(AND(_xlpm.baseRow,$F652="Retain",$E652="ECA / Shoreline Tree",_xlpm.ECA_Short=0),
Error!$B$61,
IF(AND($F652="Remove",ISNUMBER(MATCH($E652,{"Tier 1","Tier 2","Tier 3","Tier 4","Tier 2 Grove"},0)),ISNUMBER(MATCH($I652,{"On-site replacement","Off-site replacement"},0)),$J652="",$H652&lt;&gt;""),
Error!$B$19,
IF(AND(_xlpm.baseRow,$E652&lt;&gt;"",$D652&lt;&gt;"",$F652&lt;&gt;"",COUNTBLANK($B652:$C652)&gt;0,COUNTBLANK(_xlpm.HRange)&lt;&gt;4),
Error!$B$22,
IF(AND($H652="Zoning: Tree Points",$K652&lt;&gt;"",ISNA(MATCH($K652,Tables!$B$242:$B$253,0))),
Error!$B$58,
IF(AND($H652="Zoning: Tree Points",$K652="Small",$L652&lt;&gt;"",ISNA(MATCH($L652,Tables!$C$243:$C$244,0))),
Error!$B$59,
IF(AND($H652="Zoning: Tree Points",$K652="Small/Medium",$L652&lt;&gt;"",ISNA(MATCH($L652,Tables!$C$246:$C$247,0))),
Error!$B$59,
IF(AND($H652="Zoning: Tree Points",$K652="Medium/Large",$L652&lt;&gt;"",ISNA(MATCH($L652,Tables!$C$249:$C$250,0))),
Error!$B$59,
IF(AND($H652="Zoning: Tree Points",$K652="Large",$L652&lt;&gt;"",ISNA(MATCH($L652,Tables!$C$252:$C$253,0))),
Error!$B$59,
IF(AND($F652="Retain",$H652="Zoning: Tree Points",$C652&lt;&gt;"",$D652&lt;&gt;"",OR($K652="",$L652="",$M652="")),
Error!$B$20,
""
)))))))))))))))))))))))))))))))))))))))))))))))))))))))),
Error!$B$23))</f>
        <v/>
      </c>
      <c r="O652" s="343" t="str" cm="1">
        <f t="array" aca="1" ref="O652" ca="1">IFERROR(_xlfn.LET(
    _xlpm.txt, $C652,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53" spans="1:15" x14ac:dyDescent="0.3">
      <c r="A653" s="320"/>
      <c r="B653" s="616" t="str">
        <f t="shared" si="766"/>
        <v/>
      </c>
      <c r="C653" s="617" t="str">
        <f t="shared" si="767"/>
        <v/>
      </c>
      <c r="D653" s="618" t="str">
        <f t="shared" si="768"/>
        <v/>
      </c>
      <c r="E653" s="616" t="str">
        <f t="shared" si="769"/>
        <v/>
      </c>
      <c r="F653" s="616" t="str">
        <f t="shared" si="770"/>
        <v/>
      </c>
      <c r="G653" s="619" t="str">
        <f>IF(Tree_Table1[[#This Row],[Tree Status  &amp;]]="Retain", Tables!$B$237, IF(Tree_Table1[[#This Row],[Tree Status  &amp;]]="Remove", Tables!$B$238, ""))</f>
        <v/>
      </c>
      <c r="H653" s="321"/>
      <c r="I653" s="322"/>
      <c r="J653" s="453"/>
      <c r="K653" s="323" t="str">
        <f>IFERROR(
    IF(
        AND($H653="Zoning: Tree Points", NOT(ISNUMBER(SEARCH("sp.", $C653)))),
        VLOOKUP($C653, 'Tree List'!$C$3:$F$601, 4, FALSE),
        ""
    ),
"")</f>
        <v/>
      </c>
      <c r="L653" s="324" t="str" cm="1">
        <f t="array" ref="L653">IFERROR(
IF(
    AND($H653="Zoning: Tree Points", NOT(ISNUMBER(SEARCH("sp.", $C653)))),
    _xlfn.IFS(
        (COUNTIFS('Tree List'!$C$3:$C$601,$C653,'Tree List'!$D$3:$D$601,"Coniferous")
        + COUNTIFS('Tree List'!$C$3:$C$601,$C653,'Tree List'!$D$3:$D$601,"Deciduous Conifer")) &gt; 0,
            _xlfn.IFS($K653="Small",0.5,$K653="Small/Medium",1,$K653="Medium/Large",1.4,$K653="Large",1.8),
        (COUNTIFS('Tree List'!$C$3:$C$601,$C653,'Tree List'!$D$3:$D$601,"Deciduous")
        + COUNTIFS('Tree List'!$C$3:$C$601,$C653,'Tree List'!$D$3:$D$601,"Broadleaf Evergreen")) &gt; 0,
            _xlfn.IFS($K653="Small",0.4,$K653="Small/Medium",0.8,$K653="Medium/Large",1.2,$K653="Large",1.6)
    ),
    ""
),
"")</f>
        <v/>
      </c>
      <c r="M653" s="475" t="str">
        <f t="shared" si="735"/>
        <v/>
      </c>
      <c r="N653" s="346" t="str" cm="1">
        <f t="array" aca="1" ref="N65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IF(AND(_xlpm.baseRow,ISNA(MATCH($C653,'Tree List'!$C$3:$C$601,0)),SUMPRODUCT(--ISNUMBER(SEARCH(Tables2!$C$677:$C$772,$O653)))&gt;0),
Error!$B$57,
IF(AND(_xlpm.hasDM,$F653="Remove",$H653&lt;&gt;"",OR($I653="On-site replacement",$I653="Off-site replacement",$I653="Payment In Lieu")),
Error!$B$56,
IF(AND(_xlpm.hasDM,$F653="Remove",$H653&lt;&gt;"",$I653="Relocation"),
Error!$B$66,
IF(AND(OR(_xlpm.hasCN,_xlpm.hasPH,_xlpm.hasGR),$H653&lt;&gt;"",COUNTIF(Tables!$B$132:$B$134,$H653)&gt;0,$I653="N/A (No replacement required)"),
Error!$B$62,
IF(AND(_xlpm.baseRow,$E653&lt;&gt;"",ISNA(MATCH($E653,Tables!$B$225:$B$232,0))),
Error!$B$2,
IF(AND(_xlpm.baseRow,$F653&lt;&gt;"",ISNA(MATCH($F653,Tables!$B$234:$B$235,0))),
Error!$B$24,
IF(AND(_xlpm.baseRow,_xlpm.ECA_H&gt;0,_xlpm.Shore_H&gt;0),
Error!$B$16,
IF(AND(_xlpm.baseRow,$E653&lt;&gt;"",$D653=""),
Error!$B$3,
IF(AND(_xlpm.baseRow,OR($E653="Tier 3",$E653="Tier 4"),$C653&lt;&gt;"",$D653&gt;=24,COUNTIF(Tables2!$B$166:$B$674,$C653)&gt;0),
Error!$B$44,
IF(AND(_xlpm.baseRow,OR($E653="Tier 3",$E653="Tier 4"),$C653&lt;&gt;"",$D653&lt;&gt;"",COUNTIF(Tables2!$B$73:$B$152,$C653)&gt;0,
$D653&gt;=IFERROR(INDEX(Tables2!$C$73:$C$152,MATCH($C653,Tables2!$B$73:$B$152,0)),-1)),
Error!$B$44,
IF(AND(_xlpm.baseRow,OR($E653="Tier 2",$E653="Tier 2 Grove"),$C653&lt;&gt;"",$D653&gt;=12,COUNTIF(Tables2!$B$153:$B$162,$C653)&gt;0),
Error!$B$45,
IF(AND(_xlpm.baseRow,$E653="Tier 2 Grove",$D653&lt;12),
Error!$B$41,
IF(AND(_xlpm.baseRow,$E653="Tier 2",$D653&lt;5.88),
Error!$B$40,
IF(AND(_xlpm.baseRow,OR($E653="Tier 2",$E653="Tier 2 Grove"),$C653&lt;&gt;"",$D653&lt;12,$D653&gt;=6,COUNTIF(Tables2!$B$153:$B$162,$C653)&gt;0),
Error!$B$54,
IF(AND(_xlpm.baseRow,$E653="Tier 2",COUNTIF(Tables2!$B$166:$B$674,$C653)&gt;0,$D653&lt;24),
Error!$B$54,
IF(AND(_xlpm.baseRow,$E653="Tier 3",ISNA(MATCH($C653,Tables2!$B$153:$B$162,0)),OR($D653&lt;12,$D653&gt;=24)),
Error!$B$9,
IF(AND(_xlpm.baseRow,$E653="Tier 3",COUNTIF(Tables2!$B$153:$B$162,$C653)&gt;0,$D653&lt;12),
Error!$B$46,
IF(AND(_xlpm.baseRow,$E653="Tier 4",OR($D653&lt;6,$D653&gt;=12)),
Error!$B$10,
IF(AND(_xlpm.baseRow,$E653="&lt;6in DSH for Tree Points",OR($D653&gt;=6,$D653="")),
Error!$B$8,
IF(AND(_xlpm.baseRow,$E653="Street Tree for Green Factor",$F653&lt;&gt;"",$F653&lt;&gt;"Retain"),
Error!$B$14,
IF(AND($E653="&lt;6in DSH for Tree Points",$F653="Retain",$H653&lt;&gt;"",ISNA(MATCH($H653,Tables!$B$174:$B$174,0))),
Error!$B$15,
IF(AND($E653="Street Tree for Green Factor",$F653="Retain",$H653&lt;&gt;"",$H653&lt;&gt;"Zoning: Green Factor"),
Error!$B$15,
IF(AND($E653="ECA / Shoreline Tree",$F653="Remove",$H653&lt;&gt;"",ISNA(MATCH($H653,Tables!$B$189:$B$190,0))),
Error!$B$15,
IF(AND($E653="ECA / Shoreline Tree",$F653="Retain",$H653&lt;&gt;"",ISNA(MATCH($H653,Tables!$B$184:$B$186,0))),
Error!$B$15,
IF(AND($E653="Tier 4",$F653="Remove",$H653&lt;&gt;"",ISNA(MATCH($H653,Tables!$B$171,0))),
Error!$B$15,
IF(AND($E653="Tier 4",$F653="Retain",$H653&lt;&gt;"",ISNA(MATCH($H653,Tables!$B$166:$B$168,0))),
Error!$B$15,
IF(AND($E653="Tier 3",$F653="Retain",$H653&lt;&gt;"",ISNA(MATCH($H653,Tables!$B$158:$B$160,0))),
Error!$B$15,
IF(AND($E653="Tier 3",$F653="Remove",$H653&lt;&gt;"",ISNA(MATCH($H653,Tables!$B$163,0))),
Error!$B$15,
IF(AND(OR($E653="Tier 2",$E653="Tier 2 Grove"),$F653="Remove",$H653&lt;&gt;"",ISNA(MATCH($H653,Tables!$B$153:$B$155,0))),
Error!$B$15,
IF(AND(OR($E653="Tier 2",$E653="Tier 2 Grove"),$F653="Retain",$H653&lt;&gt;"",ISNA(MATCH($H653,Tables!$B$147:$B$150,0))),
Error!$B$15,
IF(AND($E653="Tier 1",$F653="Remove",$H653&lt;&gt;"",ISNA(MATCH($H653,Tables!$B$143:$B$144,0))),
Error!$B$15,
IF(AND($E653="Tier 1",$F653="Retain",$H653&lt;&gt;"",ISNA(MATCH($H653,Tables!$B$137:$B$140,0))),
Error!$B$15,
IF(AND($E653&lt;&gt;"Tier 2",$E653&lt;&gt;"Tier 2 Grove",$E653&lt;&gt;"Tier 3",$E653&lt;&gt;"Tier 4",$H653="Zoning: Green Factor",OR($D653="",$D653&lt;6)),
Error!$B$11,
IF(AND(_xlpm.baseRow,$D653&lt;6,$E653="&lt;6in DSH for Tree Points",_xlpm.TreePoints_H=0),
Error!$B$21,
IF(AND(_xlpm.baseRow,$E653&lt;&gt;"",$D653&lt;&gt;"",$F653=""),
Error!$B$4,
IF(AND(_xlpm.baseRow,$F653="Remove",OR($E653="Tier 1",$E653="Tier 2",$E653="Tier 2 Grove"),COUNTBLANK(_xlpm.HRange)&lt;3,_xlpm.uniqueH&gt;=2),
Error!$B$48,
IF(AND(_xlpm.baseRow,$F653="Retain",OR($E653="Tier 1",$E653="Tier 2",$E653="Tier 2 Grove"),COUNTIF(_xlpm.HRange,"Tree Code: Required to Retain Tier 1-2 Tree")=0),
Error!$B$47,
IF(AND(_xlpm.baseRow,$E653&lt;&gt;"",$D653&lt;&gt;"",$F653&lt;&gt;"",COUNTBLANK(_xlpm.HRange)=4),
Error!$B$5,
IF(AND($F653="Remove",$H653&lt;&gt;"",$I653=""),
Error!$B$18,
IF(AND($E653="Tier 4",$F653="Remove",$H653="Tree Protection Code: Tier 3 or Tier 4 Allowance",$H653&lt;&gt;"",ISNA(MATCH($I653,Tables!$B$200,0))),
Error!$B$17,
IF(AND($E653="Tier 3",$F653="Remove",$H653&lt;&gt;"",$H653="Tree Protection Code: Tier 3 or Tier 4 Allowance",OR($I653="",ISNA(MATCH($I653,Tables!$B$193:$B$197,0)))),
Error!$B$17,
IF(AND(OR($E653="Tier 2",$E653="Tier 2 Grove"),$F653="Remove",$H653="Tree Protection Code: Other removal allowance or exemption",$I653&lt;&gt;"",ISNA(MATCH($I653,Tables!$B$215:$B$218,0))),
Error!$B$17,
IF(AND(OR($E653="Tier 2",$E653="Tier 2 Grove"),$F653="Remove",$H653="Tree Protection Code: Development Capacity",$I653&lt;&gt;"",ISNA(MATCH($I653,Tables!$B$193:$B$197,0))),
Error!$B$17,
IF(AND(OR($E653="Tier 2",$E653="Tier 2 Grove"),$F653="Remove",$H653="Tree Protection Code: Necessary for Construction",$I653&lt;&gt;"",ISNA(MATCH($I653,Tables!$B$193:$B$197,0))),
Error!$B$17,
IF(AND($E653="Tier 1",$F653="Remove",$H653="Tree Protection Code: Special Exception",$I653&lt;&gt;"",ISNA(MATCH($I653,Tables!$B$215:$B$218,0))),
Error!$B$17,
IF(AND($E653="Tier 1",$F653="Remove",$H653="Tree Protection Code: Other removal allowance or exemption",$I653&lt;&gt;"",ISNA(MATCH($I653,Tables!$B$215:$B$218,0))),
Error!$B$17,
IF(AND($E653="ECA / Shoreline Tree",$F653="Remove",$H653&lt;&gt;"",OR($H653="Shoreline",$H653="Environmental Critical Area (ECA)"),ISNA(MATCH($I653,Tables!$B$209:$B$212,0))),
Error!$B$17,
IF(AND(_xlpm.baseRow,$F653="Retain",$E653="ECA / Shoreline Tree",_xlpm.ECA_Short=0),
Error!$B$61,
IF(AND($F653="Remove",ISNUMBER(MATCH($E653,{"Tier 1","Tier 2","Tier 3","Tier 4","Tier 2 Grove"},0)),ISNUMBER(MATCH($I653,{"On-site replacement","Off-site replacement"},0)),$J653="",$H653&lt;&gt;""),
Error!$B$19,
IF(AND(_xlpm.baseRow,$E653&lt;&gt;"",$D653&lt;&gt;"",$F653&lt;&gt;"",COUNTBLANK($B653:$C653)&gt;0,COUNTBLANK(_xlpm.HRange)&lt;&gt;4),
Error!$B$22,
IF(AND($H653="Zoning: Tree Points",$K653&lt;&gt;"",ISNA(MATCH($K653,Tables!$B$242:$B$253,0))),
Error!$B$58,
IF(AND($H653="Zoning: Tree Points",$K653="Small",$L653&lt;&gt;"",ISNA(MATCH($L653,Tables!$C$243:$C$244,0))),
Error!$B$59,
IF(AND($H653="Zoning: Tree Points",$K653="Small/Medium",$L653&lt;&gt;"",ISNA(MATCH($L653,Tables!$C$246:$C$247,0))),
Error!$B$59,
IF(AND($H653="Zoning: Tree Points",$K653="Medium/Large",$L653&lt;&gt;"",ISNA(MATCH($L653,Tables!$C$249:$C$250,0))),
Error!$B$59,
IF(AND($H653="Zoning: Tree Points",$K653="Large",$L653&lt;&gt;"",ISNA(MATCH($L653,Tables!$C$252:$C$253,0))),
Error!$B$59,
IF(AND($F653="Retain",$H653="Zoning: Tree Points",$C653&lt;&gt;"",$D653&lt;&gt;"",OR($K653="",$L653="",$M653="")),
Error!$B$20,
""
)))))))))))))))))))))))))))))))))))))))))))))))))))))))),
Error!$B$23))</f>
        <v/>
      </c>
      <c r="O653" s="343" t="str" cm="1">
        <f t="array" aca="1" ref="O653" ca="1">IFERROR(_xlfn.LET(
    _xlpm.txt, $C653,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54" spans="1:15" ht="15" thickBot="1" x14ac:dyDescent="0.35">
      <c r="A654" s="331"/>
      <c r="B654" s="616" t="str">
        <f t="shared" si="766"/>
        <v/>
      </c>
      <c r="C654" s="617" t="str">
        <f t="shared" si="767"/>
        <v/>
      </c>
      <c r="D654" s="618" t="str">
        <f t="shared" si="768"/>
        <v/>
      </c>
      <c r="E654" s="616" t="str">
        <f t="shared" si="769"/>
        <v/>
      </c>
      <c r="F654" s="616" t="str">
        <f t="shared" si="770"/>
        <v/>
      </c>
      <c r="G654" s="619" t="str">
        <f>IF(Tree_Table1[[#This Row],[Tree Status  &amp;]]="Retain", Tables!$B$237, IF(Tree_Table1[[#This Row],[Tree Status  &amp;]]="Remove", Tables!$B$238, ""))</f>
        <v/>
      </c>
      <c r="H654" s="329"/>
      <c r="I654" s="330"/>
      <c r="J654" s="455"/>
      <c r="K654" s="327" t="str">
        <f>IFERROR(
    IF(
        AND($H654="Zoning: Tree Points", NOT(ISNUMBER(SEARCH("sp.", $C654)))),
        VLOOKUP($C654, 'Tree List'!$C$3:$F$601, 4, FALSE),
        ""
    ),
"")</f>
        <v/>
      </c>
      <c r="L654" s="328" t="str" cm="1">
        <f t="array" ref="L654">IFERROR(
IF(
    AND($H654="Zoning: Tree Points", NOT(ISNUMBER(SEARCH("sp.", $C654)))),
    _xlfn.IFS(
        (COUNTIFS('Tree List'!$C$3:$C$601,$C654,'Tree List'!$D$3:$D$601,"Coniferous")
        + COUNTIFS('Tree List'!$C$3:$C$601,$C654,'Tree List'!$D$3:$D$601,"Deciduous Conifer")) &gt; 0,
            _xlfn.IFS($K654="Small",0.5,$K654="Small/Medium",1,$K654="Medium/Large",1.4,$K654="Large",1.8),
        (COUNTIFS('Tree List'!$C$3:$C$601,$C654,'Tree List'!$D$3:$D$601,"Deciduous")
        + COUNTIFS('Tree List'!$C$3:$C$601,$C654,'Tree List'!$D$3:$D$601,"Broadleaf Evergreen")) &gt; 0,
            _xlfn.IFS($K654="Small",0.4,$K654="Small/Medium",0.8,$K654="Medium/Large",1.2,$K654="Large",1.6)
    ),
    ""
),
"")</f>
        <v/>
      </c>
      <c r="M654" s="476" t="str">
        <f t="shared" si="735"/>
        <v/>
      </c>
      <c r="N654" s="347" t="str" cm="1">
        <f t="array" aca="1" ref="N65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IF(AND(_xlpm.baseRow,ISNA(MATCH($C654,'Tree List'!$C$3:$C$601,0)),SUMPRODUCT(--ISNUMBER(SEARCH(Tables2!$C$677:$C$772,$O654)))&gt;0),
Error!$B$57,
IF(AND(_xlpm.hasDM,$F654="Remove",$H654&lt;&gt;"",OR($I654="On-site replacement",$I654="Off-site replacement",$I654="Payment In Lieu")),
Error!$B$56,
IF(AND(_xlpm.hasDM,$F654="Remove",$H654&lt;&gt;"",$I654="Relocation"),
Error!$B$66,
IF(AND(OR(_xlpm.hasCN,_xlpm.hasPH,_xlpm.hasGR),$H654&lt;&gt;"",COUNTIF(Tables!$B$132:$B$134,$H654)&gt;0,$I654="N/A (No replacement required)"),
Error!$B$62,
IF(AND(_xlpm.baseRow,$E654&lt;&gt;"",ISNA(MATCH($E654,Tables!$B$225:$B$232,0))),
Error!$B$2,
IF(AND(_xlpm.baseRow,$F654&lt;&gt;"",ISNA(MATCH($F654,Tables!$B$234:$B$235,0))),
Error!$B$24,
IF(AND(_xlpm.baseRow,_xlpm.ECA_H&gt;0,_xlpm.Shore_H&gt;0),
Error!$B$16,
IF(AND(_xlpm.baseRow,$E654&lt;&gt;"",$D654=""),
Error!$B$3,
IF(AND(_xlpm.baseRow,OR($E654="Tier 3",$E654="Tier 4"),$C654&lt;&gt;"",$D654&gt;=24,COUNTIF(Tables2!$B$166:$B$674,$C654)&gt;0),
Error!$B$44,
IF(AND(_xlpm.baseRow,OR($E654="Tier 3",$E654="Tier 4"),$C654&lt;&gt;"",$D654&lt;&gt;"",COUNTIF(Tables2!$B$73:$B$152,$C654)&gt;0,
$D654&gt;=IFERROR(INDEX(Tables2!$C$73:$C$152,MATCH($C654,Tables2!$B$73:$B$152,0)),-1)),
Error!$B$44,
IF(AND(_xlpm.baseRow,OR($E654="Tier 2",$E654="Tier 2 Grove"),$C654&lt;&gt;"",$D654&gt;=12,COUNTIF(Tables2!$B$153:$B$162,$C654)&gt;0),
Error!$B$45,
IF(AND(_xlpm.baseRow,$E654="Tier 2 Grove",$D654&lt;12),
Error!$B$41,
IF(AND(_xlpm.baseRow,$E654="Tier 2",$D654&lt;5.88),
Error!$B$40,
IF(AND(_xlpm.baseRow,OR($E654="Tier 2",$E654="Tier 2 Grove"),$C654&lt;&gt;"",$D654&lt;12,$D654&gt;=6,COUNTIF(Tables2!$B$153:$B$162,$C654)&gt;0),
Error!$B$54,
IF(AND(_xlpm.baseRow,$E654="Tier 2",COUNTIF(Tables2!$B$166:$B$674,$C654)&gt;0,$D654&lt;24),
Error!$B$54,
IF(AND(_xlpm.baseRow,$E654="Tier 3",ISNA(MATCH($C654,Tables2!$B$153:$B$162,0)),OR($D654&lt;12,$D654&gt;=24)),
Error!$B$9,
IF(AND(_xlpm.baseRow,$E654="Tier 3",COUNTIF(Tables2!$B$153:$B$162,$C654)&gt;0,$D654&lt;12),
Error!$B$46,
IF(AND(_xlpm.baseRow,$E654="Tier 4",OR($D654&lt;6,$D654&gt;=12)),
Error!$B$10,
IF(AND(_xlpm.baseRow,$E654="&lt;6in DSH for Tree Points",OR($D654&gt;=6,$D654="")),
Error!$B$8,
IF(AND(_xlpm.baseRow,$E654="Street Tree for Green Factor",$F654&lt;&gt;"",$F654&lt;&gt;"Retain"),
Error!$B$14,
IF(AND($E654="&lt;6in DSH for Tree Points",$F654="Retain",$H654&lt;&gt;"",ISNA(MATCH($H654,Tables!$B$174:$B$174,0))),
Error!$B$15,
IF(AND($E654="Street Tree for Green Factor",$F654="Retain",$H654&lt;&gt;"",$H654&lt;&gt;"Zoning: Green Factor"),
Error!$B$15,
IF(AND($E654="ECA / Shoreline Tree",$F654="Remove",$H654&lt;&gt;"",ISNA(MATCH($H654,Tables!$B$189:$B$190,0))),
Error!$B$15,
IF(AND($E654="ECA / Shoreline Tree",$F654="Retain",$H654&lt;&gt;"",ISNA(MATCH($H654,Tables!$B$184:$B$186,0))),
Error!$B$15,
IF(AND($E654="Tier 4",$F654="Remove",$H654&lt;&gt;"",ISNA(MATCH($H654,Tables!$B$171,0))),
Error!$B$15,
IF(AND($E654="Tier 4",$F654="Retain",$H654&lt;&gt;"",ISNA(MATCH($H654,Tables!$B$166:$B$168,0))),
Error!$B$15,
IF(AND($E654="Tier 3",$F654="Retain",$H654&lt;&gt;"",ISNA(MATCH($H654,Tables!$B$158:$B$160,0))),
Error!$B$15,
IF(AND($E654="Tier 3",$F654="Remove",$H654&lt;&gt;"",ISNA(MATCH($H654,Tables!$B$163,0))),
Error!$B$15,
IF(AND(OR($E654="Tier 2",$E654="Tier 2 Grove"),$F654="Remove",$H654&lt;&gt;"",ISNA(MATCH($H654,Tables!$B$153:$B$155,0))),
Error!$B$15,
IF(AND(OR($E654="Tier 2",$E654="Tier 2 Grove"),$F654="Retain",$H654&lt;&gt;"",ISNA(MATCH($H654,Tables!$B$147:$B$150,0))),
Error!$B$15,
IF(AND($E654="Tier 1",$F654="Remove",$H654&lt;&gt;"",ISNA(MATCH($H654,Tables!$B$143:$B$144,0))),
Error!$B$15,
IF(AND($E654="Tier 1",$F654="Retain",$H654&lt;&gt;"",ISNA(MATCH($H654,Tables!$B$137:$B$140,0))),
Error!$B$15,
IF(AND($E654&lt;&gt;"Tier 2",$E654&lt;&gt;"Tier 2 Grove",$E654&lt;&gt;"Tier 3",$E654&lt;&gt;"Tier 4",$H654="Zoning: Green Factor",OR($D654="",$D654&lt;6)),
Error!$B$11,
IF(AND(_xlpm.baseRow,$D654&lt;6,$E654="&lt;6in DSH for Tree Points",_xlpm.TreePoints_H=0),
Error!$B$21,
IF(AND(_xlpm.baseRow,$E654&lt;&gt;"",$D654&lt;&gt;"",$F654=""),
Error!$B$4,
IF(AND(_xlpm.baseRow,$F654="Remove",OR($E654="Tier 1",$E654="Tier 2",$E654="Tier 2 Grove"),COUNTBLANK(_xlpm.HRange)&lt;3,_xlpm.uniqueH&gt;=2),
Error!$B$48,
IF(AND(_xlpm.baseRow,$F654="Retain",OR($E654="Tier 1",$E654="Tier 2",$E654="Tier 2 Grove"),COUNTIF(_xlpm.HRange,"Tree Code: Required to Retain Tier 1-2 Tree")=0),
Error!$B$47,
IF(AND(_xlpm.baseRow,$E654&lt;&gt;"",$D654&lt;&gt;"",$F654&lt;&gt;"",COUNTBLANK(_xlpm.HRange)=4),
Error!$B$5,
IF(AND($F654="Remove",$H654&lt;&gt;"",$I654=""),
Error!$B$18,
IF(AND($E654="Tier 4",$F654="Remove",$H654="Tree Protection Code: Tier 3 or Tier 4 Allowance",$H654&lt;&gt;"",ISNA(MATCH($I654,Tables!$B$200,0))),
Error!$B$17,
IF(AND($E654="Tier 3",$F654="Remove",$H654&lt;&gt;"",$H654="Tree Protection Code: Tier 3 or Tier 4 Allowance",OR($I654="",ISNA(MATCH($I654,Tables!$B$193:$B$197,0)))),
Error!$B$17,
IF(AND(OR($E654="Tier 2",$E654="Tier 2 Grove"),$F654="Remove",$H654="Tree Protection Code: Other removal allowance or exemption",$I654&lt;&gt;"",ISNA(MATCH($I654,Tables!$B$215:$B$218,0))),
Error!$B$17,
IF(AND(OR($E654="Tier 2",$E654="Tier 2 Grove"),$F654="Remove",$H654="Tree Protection Code: Development Capacity",$I654&lt;&gt;"",ISNA(MATCH($I654,Tables!$B$193:$B$197,0))),
Error!$B$17,
IF(AND(OR($E654="Tier 2",$E654="Tier 2 Grove"),$F654="Remove",$H654="Tree Protection Code: Necessary for Construction",$I654&lt;&gt;"",ISNA(MATCH($I654,Tables!$B$193:$B$197,0))),
Error!$B$17,
IF(AND($E654="Tier 1",$F654="Remove",$H654="Tree Protection Code: Special Exception",$I654&lt;&gt;"",ISNA(MATCH($I654,Tables!$B$215:$B$218,0))),
Error!$B$17,
IF(AND($E654="Tier 1",$F654="Remove",$H654="Tree Protection Code: Other removal allowance or exemption",$I654&lt;&gt;"",ISNA(MATCH($I654,Tables!$B$215:$B$218,0))),
Error!$B$17,
IF(AND($E654="ECA / Shoreline Tree",$F654="Remove",$H654&lt;&gt;"",OR($H654="Shoreline",$H654="Environmental Critical Area (ECA)"),ISNA(MATCH($I654,Tables!$B$209:$B$212,0))),
Error!$B$17,
IF(AND(_xlpm.baseRow,$F654="Retain",$E654="ECA / Shoreline Tree",_xlpm.ECA_Short=0),
Error!$B$61,
IF(AND($F654="Remove",ISNUMBER(MATCH($E654,{"Tier 1","Tier 2","Tier 3","Tier 4","Tier 2 Grove"},0)),ISNUMBER(MATCH($I654,{"On-site replacement","Off-site replacement"},0)),$J654="",$H654&lt;&gt;""),
Error!$B$19,
IF(AND(_xlpm.baseRow,$E654&lt;&gt;"",$D654&lt;&gt;"",$F654&lt;&gt;"",COUNTBLANK($B654:$C654)&gt;0,COUNTBLANK(_xlpm.HRange)&lt;&gt;4),
Error!$B$22,
IF(AND($H654="Zoning: Tree Points",$K654&lt;&gt;"",ISNA(MATCH($K654,Tables!$B$242:$B$253,0))),
Error!$B$58,
IF(AND($H654="Zoning: Tree Points",$K654="Small",$L654&lt;&gt;"",ISNA(MATCH($L654,Tables!$C$243:$C$244,0))),
Error!$B$59,
IF(AND($H654="Zoning: Tree Points",$K654="Small/Medium",$L654&lt;&gt;"",ISNA(MATCH($L654,Tables!$C$246:$C$247,0))),
Error!$B$59,
IF(AND($H654="Zoning: Tree Points",$K654="Medium/Large",$L654&lt;&gt;"",ISNA(MATCH($L654,Tables!$C$249:$C$250,0))),
Error!$B$59,
IF(AND($H654="Zoning: Tree Points",$K654="Large",$L654&lt;&gt;"",ISNA(MATCH($L654,Tables!$C$252:$C$253,0))),
Error!$B$59,
IF(AND($F654="Retain",$H654="Zoning: Tree Points",$C654&lt;&gt;"",$D654&lt;&gt;"",OR($K654="",$L654="",$M654="")),
Error!$B$20,
""
)))))))))))))))))))))))))))))))))))))))))))))))))))))))),
Error!$B$23))</f>
        <v/>
      </c>
      <c r="O654" s="343" t="str" cm="1">
        <f t="array" aca="1" ref="O654" ca="1">IFERROR(_xlfn.LET(
    _xlpm.txt, $C654,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55" spans="1:15" ht="15" thickBot="1" x14ac:dyDescent="0.35">
      <c r="A655" s="311">
        <v>162</v>
      </c>
      <c r="B655" s="312"/>
      <c r="C655" s="313"/>
      <c r="D655" s="478"/>
      <c r="E655" s="314"/>
      <c r="F655" s="314"/>
      <c r="G655" s="315" t="str">
        <f>IF(Tree_Table1[[#This Row],[Tree Status  &amp;]]="Retain", Tables!$B$237, IF(Tree_Table1[[#This Row],[Tree Status  &amp;]]="Remove", Tables!$B$238, ""))</f>
        <v/>
      </c>
      <c r="H655" s="316"/>
      <c r="I655" s="317"/>
      <c r="J655" s="452"/>
      <c r="K655" s="318" t="str">
        <f>IFERROR(
    IF(
        AND($H655="Zoning: Tree Points", NOT(ISNUMBER(SEARCH("sp.", $C655)))),
        VLOOKUP($C655, 'Tree List'!$C$3:$F$601, 4, FALSE),
        ""
    ),
"")</f>
        <v/>
      </c>
      <c r="L655" s="319" t="str" cm="1">
        <f t="array" ref="L655">IFERROR(
IF(
    AND($H655="Zoning: Tree Points", NOT(ISNUMBER(SEARCH("sp.", $C655)))),
    _xlfn.IFS(
        (COUNTIFS('Tree List'!$C$3:$C$601,$C655,'Tree List'!$D$3:$D$601,"Coniferous")
        + COUNTIFS('Tree List'!$C$3:$C$601,$C655,'Tree List'!$D$3:$D$601,"Deciduous Conifer")) &gt; 0,
            _xlfn.IFS($K655="Small",0.5,$K655="Small/Medium",1,$K655="Medium/Large",1.4,$K655="Large",1.8),
        (COUNTIFS('Tree List'!$C$3:$C$601,$C655,'Tree List'!$D$3:$D$601,"Deciduous")
        + COUNTIFS('Tree List'!$C$3:$C$601,$C655,'Tree List'!$D$3:$D$601,"Broadleaf Evergreen")) &gt; 0,
            _xlfn.IFS($K655="Small",0.4,$K655="Small/Medium",0.8,$K655="Medium/Large",1.2,$K655="Large",1.6)
    ),
    ""
),
"")</f>
        <v/>
      </c>
      <c r="M655" s="474" t="str">
        <f t="shared" si="735"/>
        <v/>
      </c>
      <c r="N655" s="620" t="str" cm="1">
        <f t="array" aca="1" ref="N65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IF(AND(_xlpm.baseRow,ISNA(MATCH($C655,'Tree List'!$C$3:$C$601,0)),SUMPRODUCT(--ISNUMBER(SEARCH(Tables2!$C$677:$C$772,$O655)))&gt;0),
Error!$B$57,
IF(AND(_xlpm.hasDM,$F655="Remove",$H655&lt;&gt;"",OR($I655="On-site replacement",$I655="Off-site replacement",$I655="Payment In Lieu")),
Error!$B$56,
IF(AND(_xlpm.hasDM,$F655="Remove",$H655&lt;&gt;"",$I655="Relocation"),
Error!$B$66,
IF(AND(OR(_xlpm.hasCN,_xlpm.hasPH,_xlpm.hasGR),$H655&lt;&gt;"",COUNTIF(Tables!$B$132:$B$134,$H655)&gt;0,$I655="N/A (No replacement required)"),
Error!$B$62,
IF(AND(_xlpm.baseRow,$E655&lt;&gt;"",ISNA(MATCH($E655,Tables!$B$225:$B$232,0))),
Error!$B$2,
IF(AND(_xlpm.baseRow,$F655&lt;&gt;"",ISNA(MATCH($F655,Tables!$B$234:$B$235,0))),
Error!$B$24,
IF(AND(_xlpm.baseRow,_xlpm.ECA_H&gt;0,_xlpm.Shore_H&gt;0),
Error!$B$16,
IF(AND(_xlpm.baseRow,$E655&lt;&gt;"",$D655=""),
Error!$B$3,
IF(AND(_xlpm.baseRow,OR($E655="Tier 3",$E655="Tier 4"),$C655&lt;&gt;"",$D655&gt;=24,COUNTIF(Tables2!$B$166:$B$674,$C655)&gt;0),
Error!$B$44,
IF(AND(_xlpm.baseRow,OR($E655="Tier 3",$E655="Tier 4"),$C655&lt;&gt;"",$D655&lt;&gt;"",COUNTIF(Tables2!$B$73:$B$152,$C655)&gt;0,
$D655&gt;=IFERROR(INDEX(Tables2!$C$73:$C$152,MATCH($C655,Tables2!$B$73:$B$152,0)),-1)),
Error!$B$44,
IF(AND(_xlpm.baseRow,OR($E655="Tier 2",$E655="Tier 2 Grove"),$C655&lt;&gt;"",$D655&gt;=12,COUNTIF(Tables2!$B$153:$B$162,$C655)&gt;0),
Error!$B$45,
IF(AND(_xlpm.baseRow,$E655="Tier 2 Grove",$D655&lt;12),
Error!$B$41,
IF(AND(_xlpm.baseRow,$E655="Tier 2",$D655&lt;5.88),
Error!$B$40,
IF(AND(_xlpm.baseRow,OR($E655="Tier 2",$E655="Tier 2 Grove"),$C655&lt;&gt;"",$D655&lt;12,$D655&gt;=6,COUNTIF(Tables2!$B$153:$B$162,$C655)&gt;0),
Error!$B$54,
IF(AND(_xlpm.baseRow,$E655="Tier 2",COUNTIF(Tables2!$B$166:$B$674,$C655)&gt;0,$D655&lt;24),
Error!$B$54,
IF(AND(_xlpm.baseRow,$E655="Tier 3",ISNA(MATCH($C655,Tables2!$B$153:$B$162,0)),OR($D655&lt;12,$D655&gt;=24)),
Error!$B$9,
IF(AND(_xlpm.baseRow,$E655="Tier 3",COUNTIF(Tables2!$B$153:$B$162,$C655)&gt;0,$D655&lt;12),
Error!$B$46,
IF(AND(_xlpm.baseRow,$E655="Tier 4",OR($D655&lt;6,$D655&gt;=12)),
Error!$B$10,
IF(AND(_xlpm.baseRow,$E655="&lt;6in DSH for Tree Points",OR($D655&gt;=6,$D655="")),
Error!$B$8,
IF(AND(_xlpm.baseRow,$E655="Street Tree for Green Factor",$F655&lt;&gt;"",$F655&lt;&gt;"Retain"),
Error!$B$14,
IF(AND($E655="&lt;6in DSH for Tree Points",$F655="Retain",$H655&lt;&gt;"",ISNA(MATCH($H655,Tables!$B$174:$B$174,0))),
Error!$B$15,
IF(AND($E655="Street Tree for Green Factor",$F655="Retain",$H655&lt;&gt;"",$H655&lt;&gt;"Zoning: Green Factor"),
Error!$B$15,
IF(AND($E655="ECA / Shoreline Tree",$F655="Remove",$H655&lt;&gt;"",ISNA(MATCH($H655,Tables!$B$189:$B$190,0))),
Error!$B$15,
IF(AND($E655="ECA / Shoreline Tree",$F655="Retain",$H655&lt;&gt;"",ISNA(MATCH($H655,Tables!$B$184:$B$186,0))),
Error!$B$15,
IF(AND($E655="Tier 4",$F655="Remove",$H655&lt;&gt;"",ISNA(MATCH($H655,Tables!$B$171,0))),
Error!$B$15,
IF(AND($E655="Tier 4",$F655="Retain",$H655&lt;&gt;"",ISNA(MATCH($H655,Tables!$B$166:$B$168,0))),
Error!$B$15,
IF(AND($E655="Tier 3",$F655="Retain",$H655&lt;&gt;"",ISNA(MATCH($H655,Tables!$B$158:$B$160,0))),
Error!$B$15,
IF(AND($E655="Tier 3",$F655="Remove",$H655&lt;&gt;"",ISNA(MATCH($H655,Tables!$B$163,0))),
Error!$B$15,
IF(AND(OR($E655="Tier 2",$E655="Tier 2 Grove"),$F655="Remove",$H655&lt;&gt;"",ISNA(MATCH($H655,Tables!$B$153:$B$155,0))),
Error!$B$15,
IF(AND(OR($E655="Tier 2",$E655="Tier 2 Grove"),$F655="Retain",$H655&lt;&gt;"",ISNA(MATCH($H655,Tables!$B$147:$B$150,0))),
Error!$B$15,
IF(AND($E655="Tier 1",$F655="Remove",$H655&lt;&gt;"",ISNA(MATCH($H655,Tables!$B$143:$B$144,0))),
Error!$B$15,
IF(AND($E655="Tier 1",$F655="Retain",$H655&lt;&gt;"",ISNA(MATCH($H655,Tables!$B$137:$B$140,0))),
Error!$B$15,
IF(AND($E655&lt;&gt;"Tier 2",$E655&lt;&gt;"Tier 2 Grove",$E655&lt;&gt;"Tier 3",$E655&lt;&gt;"Tier 4",$H655="Zoning: Green Factor",OR($D655="",$D655&lt;6)),
Error!$B$11,
IF(AND(_xlpm.baseRow,$D655&lt;6,$E655="&lt;6in DSH for Tree Points",_xlpm.TreePoints_H=0),
Error!$B$21,
IF(AND(_xlpm.baseRow,$E655&lt;&gt;"",$D655&lt;&gt;"",$F655=""),
Error!$B$4,
IF(AND(_xlpm.baseRow,$F655="Remove",OR($E655="Tier 1",$E655="Tier 2",$E655="Tier 2 Grove"),COUNTBLANK(_xlpm.HRange)&lt;3,_xlpm.uniqueH&gt;=2),
Error!$B$48,
IF(AND(_xlpm.baseRow,$F655="Retain",OR($E655="Tier 1",$E655="Tier 2",$E655="Tier 2 Grove"),COUNTIF(_xlpm.HRange,"Tree Code: Required to Retain Tier 1-2 Tree")=0),
Error!$B$47,
IF(AND(_xlpm.baseRow,$E655&lt;&gt;"",$D655&lt;&gt;"",$F655&lt;&gt;"",COUNTBLANK(_xlpm.HRange)=4),
Error!$B$5,
IF(AND($F655="Remove",$H655&lt;&gt;"",$I655=""),
Error!$B$18,
IF(AND($E655="Tier 4",$F655="Remove",$H655="Tree Protection Code: Tier 3 or Tier 4 Allowance",$H655&lt;&gt;"",ISNA(MATCH($I655,Tables!$B$200,0))),
Error!$B$17,
IF(AND($E655="Tier 3",$F655="Remove",$H655&lt;&gt;"",$H655="Tree Protection Code: Tier 3 or Tier 4 Allowance",OR($I655="",ISNA(MATCH($I655,Tables!$B$193:$B$197,0)))),
Error!$B$17,
IF(AND(OR($E655="Tier 2",$E655="Tier 2 Grove"),$F655="Remove",$H655="Tree Protection Code: Other removal allowance or exemption",$I655&lt;&gt;"",ISNA(MATCH($I655,Tables!$B$215:$B$218,0))),
Error!$B$17,
IF(AND(OR($E655="Tier 2",$E655="Tier 2 Grove"),$F655="Remove",$H655="Tree Protection Code: Development Capacity",$I655&lt;&gt;"",ISNA(MATCH($I655,Tables!$B$193:$B$197,0))),
Error!$B$17,
IF(AND(OR($E655="Tier 2",$E655="Tier 2 Grove"),$F655="Remove",$H655="Tree Protection Code: Necessary for Construction",$I655&lt;&gt;"",ISNA(MATCH($I655,Tables!$B$193:$B$197,0))),
Error!$B$17,
IF(AND($E655="Tier 1",$F655="Remove",$H655="Tree Protection Code: Special Exception",$I655&lt;&gt;"",ISNA(MATCH($I655,Tables!$B$215:$B$218,0))),
Error!$B$17,
IF(AND($E655="Tier 1",$F655="Remove",$H655="Tree Protection Code: Other removal allowance or exemption",$I655&lt;&gt;"",ISNA(MATCH($I655,Tables!$B$215:$B$218,0))),
Error!$B$17,
IF(AND($E655="ECA / Shoreline Tree",$F655="Remove",$H655&lt;&gt;"",OR($H655="Shoreline",$H655="Environmental Critical Area (ECA)"),ISNA(MATCH($I655,Tables!$B$209:$B$212,0))),
Error!$B$17,
IF(AND(_xlpm.baseRow,$F655="Retain",$E655="ECA / Shoreline Tree",_xlpm.ECA_Short=0),
Error!$B$61,
IF(AND($F655="Remove",ISNUMBER(MATCH($E655,{"Tier 1","Tier 2","Tier 3","Tier 4","Tier 2 Grove"},0)),ISNUMBER(MATCH($I655,{"On-site replacement","Off-site replacement"},0)),$J655="",$H655&lt;&gt;""),
Error!$B$19,
IF(AND(_xlpm.baseRow,$E655&lt;&gt;"",$D655&lt;&gt;"",$F655&lt;&gt;"",COUNTBLANK($B655:$C655)&gt;0,COUNTBLANK(_xlpm.HRange)&lt;&gt;4),
Error!$B$22,
IF(AND($H655="Zoning: Tree Points",$K655&lt;&gt;"",ISNA(MATCH($K655,Tables!$B$242:$B$253,0))),
Error!$B$58,
IF(AND($H655="Zoning: Tree Points",$K655="Small",$L655&lt;&gt;"",ISNA(MATCH($L655,Tables!$C$243:$C$244,0))),
Error!$B$59,
IF(AND($H655="Zoning: Tree Points",$K655="Small/Medium",$L655&lt;&gt;"",ISNA(MATCH($L655,Tables!$C$246:$C$247,0))),
Error!$B$59,
IF(AND($H655="Zoning: Tree Points",$K655="Medium/Large",$L655&lt;&gt;"",ISNA(MATCH($L655,Tables!$C$249:$C$250,0))),
Error!$B$59,
IF(AND($H655="Zoning: Tree Points",$K655="Large",$L655&lt;&gt;"",ISNA(MATCH($L655,Tables!$C$252:$C$253,0))),
Error!$B$59,
IF(AND($F655="Retain",$H655="Zoning: Tree Points",$C655&lt;&gt;"",$D655&lt;&gt;"",OR($K655="",$L655="",$M655="")),
Error!$B$20,
""
)))))))))))))))))))))))))))))))))))))))))))))))))))))))),
Error!$B$23))</f>
        <v/>
      </c>
      <c r="O655" s="343" t="str" cm="1">
        <f t="array" aca="1" ref="O655" ca="1">IFERROR(_xlfn.LET(
    _xlpm.txt, $C655,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56" spans="1:15" x14ac:dyDescent="0.3">
      <c r="A656" s="320"/>
      <c r="B656" s="616" t="str">
        <f t="shared" ref="B656:B658" si="771">IF($B655="", "", $B655)</f>
        <v/>
      </c>
      <c r="C656" s="617" t="str">
        <f t="shared" ref="C656:C658" si="772">IF($C655="", "", $C655)</f>
        <v/>
      </c>
      <c r="D656" s="618" t="str">
        <f t="shared" ref="D656:D658" si="773">IF($D655="", "", $D655)</f>
        <v/>
      </c>
      <c r="E656" s="616" t="str">
        <f t="shared" ref="E656:E658" si="774">IF($E655="", "", $E655)</f>
        <v/>
      </c>
      <c r="F656" s="616" t="str">
        <f t="shared" ref="F656:F658" si="775">IF($F655="", "", $F655)</f>
        <v/>
      </c>
      <c r="G656" s="619" t="str">
        <f>IF(Tree_Table1[[#This Row],[Tree Status  &amp;]]="Retain", Tables!$B$237, IF(Tree_Table1[[#This Row],[Tree Status  &amp;]]="Remove", Tables!$B$238, ""))</f>
        <v/>
      </c>
      <c r="H656" s="321"/>
      <c r="I656" s="322"/>
      <c r="J656" s="453"/>
      <c r="K656" s="323" t="str">
        <f>IFERROR(
    IF(
        AND($H656="Zoning: Tree Points", NOT(ISNUMBER(SEARCH("sp.", $C656)))),
        VLOOKUP($C656, 'Tree List'!$C$3:$F$601, 4, FALSE),
        ""
    ),
"")</f>
        <v/>
      </c>
      <c r="L656" s="324" t="str" cm="1">
        <f t="array" ref="L656">IFERROR(
IF(
    AND($H656="Zoning: Tree Points", NOT(ISNUMBER(SEARCH("sp.", $C656)))),
    _xlfn.IFS(
        (COUNTIFS('Tree List'!$C$3:$C$601,$C656,'Tree List'!$D$3:$D$601,"Coniferous")
        + COUNTIFS('Tree List'!$C$3:$C$601,$C656,'Tree List'!$D$3:$D$601,"Deciduous Conifer")) &gt; 0,
            _xlfn.IFS($K656="Small",0.5,$K656="Small/Medium",1,$K656="Medium/Large",1.4,$K656="Large",1.8),
        (COUNTIFS('Tree List'!$C$3:$C$601,$C656,'Tree List'!$D$3:$D$601,"Deciduous")
        + COUNTIFS('Tree List'!$C$3:$C$601,$C656,'Tree List'!$D$3:$D$601,"Broadleaf Evergreen")) &gt; 0,
            _xlfn.IFS($K656="Small",0.4,$K656="Small/Medium",0.8,$K656="Medium/Large",1.2,$K656="Large",1.6)
    ),
    ""
),
"")</f>
        <v/>
      </c>
      <c r="M656" s="475" t="str">
        <f t="shared" si="735"/>
        <v/>
      </c>
      <c r="N656" s="346" t="str" cm="1">
        <f t="array" aca="1" ref="N65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IF(AND(_xlpm.baseRow,ISNA(MATCH($C656,'Tree List'!$C$3:$C$601,0)),SUMPRODUCT(--ISNUMBER(SEARCH(Tables2!$C$677:$C$772,$O656)))&gt;0),
Error!$B$57,
IF(AND(_xlpm.hasDM,$F656="Remove",$H656&lt;&gt;"",OR($I656="On-site replacement",$I656="Off-site replacement",$I656="Payment In Lieu")),
Error!$B$56,
IF(AND(_xlpm.hasDM,$F656="Remove",$H656&lt;&gt;"",$I656="Relocation"),
Error!$B$66,
IF(AND(OR(_xlpm.hasCN,_xlpm.hasPH,_xlpm.hasGR),$H656&lt;&gt;"",COUNTIF(Tables!$B$132:$B$134,$H656)&gt;0,$I656="N/A (No replacement required)"),
Error!$B$62,
IF(AND(_xlpm.baseRow,$E656&lt;&gt;"",ISNA(MATCH($E656,Tables!$B$225:$B$232,0))),
Error!$B$2,
IF(AND(_xlpm.baseRow,$F656&lt;&gt;"",ISNA(MATCH($F656,Tables!$B$234:$B$235,0))),
Error!$B$24,
IF(AND(_xlpm.baseRow,_xlpm.ECA_H&gt;0,_xlpm.Shore_H&gt;0),
Error!$B$16,
IF(AND(_xlpm.baseRow,$E656&lt;&gt;"",$D656=""),
Error!$B$3,
IF(AND(_xlpm.baseRow,OR($E656="Tier 3",$E656="Tier 4"),$C656&lt;&gt;"",$D656&gt;=24,COUNTIF(Tables2!$B$166:$B$674,$C656)&gt;0),
Error!$B$44,
IF(AND(_xlpm.baseRow,OR($E656="Tier 3",$E656="Tier 4"),$C656&lt;&gt;"",$D656&lt;&gt;"",COUNTIF(Tables2!$B$73:$B$152,$C656)&gt;0,
$D656&gt;=IFERROR(INDEX(Tables2!$C$73:$C$152,MATCH($C656,Tables2!$B$73:$B$152,0)),-1)),
Error!$B$44,
IF(AND(_xlpm.baseRow,OR($E656="Tier 2",$E656="Tier 2 Grove"),$C656&lt;&gt;"",$D656&gt;=12,COUNTIF(Tables2!$B$153:$B$162,$C656)&gt;0),
Error!$B$45,
IF(AND(_xlpm.baseRow,$E656="Tier 2 Grove",$D656&lt;12),
Error!$B$41,
IF(AND(_xlpm.baseRow,$E656="Tier 2",$D656&lt;5.88),
Error!$B$40,
IF(AND(_xlpm.baseRow,OR($E656="Tier 2",$E656="Tier 2 Grove"),$C656&lt;&gt;"",$D656&lt;12,$D656&gt;=6,COUNTIF(Tables2!$B$153:$B$162,$C656)&gt;0),
Error!$B$54,
IF(AND(_xlpm.baseRow,$E656="Tier 2",COUNTIF(Tables2!$B$166:$B$674,$C656)&gt;0,$D656&lt;24),
Error!$B$54,
IF(AND(_xlpm.baseRow,$E656="Tier 3",ISNA(MATCH($C656,Tables2!$B$153:$B$162,0)),OR($D656&lt;12,$D656&gt;=24)),
Error!$B$9,
IF(AND(_xlpm.baseRow,$E656="Tier 3",COUNTIF(Tables2!$B$153:$B$162,$C656)&gt;0,$D656&lt;12),
Error!$B$46,
IF(AND(_xlpm.baseRow,$E656="Tier 4",OR($D656&lt;6,$D656&gt;=12)),
Error!$B$10,
IF(AND(_xlpm.baseRow,$E656="&lt;6in DSH for Tree Points",OR($D656&gt;=6,$D656="")),
Error!$B$8,
IF(AND(_xlpm.baseRow,$E656="Street Tree for Green Factor",$F656&lt;&gt;"",$F656&lt;&gt;"Retain"),
Error!$B$14,
IF(AND($E656="&lt;6in DSH for Tree Points",$F656="Retain",$H656&lt;&gt;"",ISNA(MATCH($H656,Tables!$B$174:$B$174,0))),
Error!$B$15,
IF(AND($E656="Street Tree for Green Factor",$F656="Retain",$H656&lt;&gt;"",$H656&lt;&gt;"Zoning: Green Factor"),
Error!$B$15,
IF(AND($E656="ECA / Shoreline Tree",$F656="Remove",$H656&lt;&gt;"",ISNA(MATCH($H656,Tables!$B$189:$B$190,0))),
Error!$B$15,
IF(AND($E656="ECA / Shoreline Tree",$F656="Retain",$H656&lt;&gt;"",ISNA(MATCH($H656,Tables!$B$184:$B$186,0))),
Error!$B$15,
IF(AND($E656="Tier 4",$F656="Remove",$H656&lt;&gt;"",ISNA(MATCH($H656,Tables!$B$171,0))),
Error!$B$15,
IF(AND($E656="Tier 4",$F656="Retain",$H656&lt;&gt;"",ISNA(MATCH($H656,Tables!$B$166:$B$168,0))),
Error!$B$15,
IF(AND($E656="Tier 3",$F656="Retain",$H656&lt;&gt;"",ISNA(MATCH($H656,Tables!$B$158:$B$160,0))),
Error!$B$15,
IF(AND($E656="Tier 3",$F656="Remove",$H656&lt;&gt;"",ISNA(MATCH($H656,Tables!$B$163,0))),
Error!$B$15,
IF(AND(OR($E656="Tier 2",$E656="Tier 2 Grove"),$F656="Remove",$H656&lt;&gt;"",ISNA(MATCH($H656,Tables!$B$153:$B$155,0))),
Error!$B$15,
IF(AND(OR($E656="Tier 2",$E656="Tier 2 Grove"),$F656="Retain",$H656&lt;&gt;"",ISNA(MATCH($H656,Tables!$B$147:$B$150,0))),
Error!$B$15,
IF(AND($E656="Tier 1",$F656="Remove",$H656&lt;&gt;"",ISNA(MATCH($H656,Tables!$B$143:$B$144,0))),
Error!$B$15,
IF(AND($E656="Tier 1",$F656="Retain",$H656&lt;&gt;"",ISNA(MATCH($H656,Tables!$B$137:$B$140,0))),
Error!$B$15,
IF(AND($E656&lt;&gt;"Tier 2",$E656&lt;&gt;"Tier 2 Grove",$E656&lt;&gt;"Tier 3",$E656&lt;&gt;"Tier 4",$H656="Zoning: Green Factor",OR($D656="",$D656&lt;6)),
Error!$B$11,
IF(AND(_xlpm.baseRow,$D656&lt;6,$E656="&lt;6in DSH for Tree Points",_xlpm.TreePoints_H=0),
Error!$B$21,
IF(AND(_xlpm.baseRow,$E656&lt;&gt;"",$D656&lt;&gt;"",$F656=""),
Error!$B$4,
IF(AND(_xlpm.baseRow,$F656="Remove",OR($E656="Tier 1",$E656="Tier 2",$E656="Tier 2 Grove"),COUNTBLANK(_xlpm.HRange)&lt;3,_xlpm.uniqueH&gt;=2),
Error!$B$48,
IF(AND(_xlpm.baseRow,$F656="Retain",OR($E656="Tier 1",$E656="Tier 2",$E656="Tier 2 Grove"),COUNTIF(_xlpm.HRange,"Tree Code: Required to Retain Tier 1-2 Tree")=0),
Error!$B$47,
IF(AND(_xlpm.baseRow,$E656&lt;&gt;"",$D656&lt;&gt;"",$F656&lt;&gt;"",COUNTBLANK(_xlpm.HRange)=4),
Error!$B$5,
IF(AND($F656="Remove",$H656&lt;&gt;"",$I656=""),
Error!$B$18,
IF(AND($E656="Tier 4",$F656="Remove",$H656="Tree Protection Code: Tier 3 or Tier 4 Allowance",$H656&lt;&gt;"",ISNA(MATCH($I656,Tables!$B$200,0))),
Error!$B$17,
IF(AND($E656="Tier 3",$F656="Remove",$H656&lt;&gt;"",$H656="Tree Protection Code: Tier 3 or Tier 4 Allowance",OR($I656="",ISNA(MATCH($I656,Tables!$B$193:$B$197,0)))),
Error!$B$17,
IF(AND(OR($E656="Tier 2",$E656="Tier 2 Grove"),$F656="Remove",$H656="Tree Protection Code: Other removal allowance or exemption",$I656&lt;&gt;"",ISNA(MATCH($I656,Tables!$B$215:$B$218,0))),
Error!$B$17,
IF(AND(OR($E656="Tier 2",$E656="Tier 2 Grove"),$F656="Remove",$H656="Tree Protection Code: Development Capacity",$I656&lt;&gt;"",ISNA(MATCH($I656,Tables!$B$193:$B$197,0))),
Error!$B$17,
IF(AND(OR($E656="Tier 2",$E656="Tier 2 Grove"),$F656="Remove",$H656="Tree Protection Code: Necessary for Construction",$I656&lt;&gt;"",ISNA(MATCH($I656,Tables!$B$193:$B$197,0))),
Error!$B$17,
IF(AND($E656="Tier 1",$F656="Remove",$H656="Tree Protection Code: Special Exception",$I656&lt;&gt;"",ISNA(MATCH($I656,Tables!$B$215:$B$218,0))),
Error!$B$17,
IF(AND($E656="Tier 1",$F656="Remove",$H656="Tree Protection Code: Other removal allowance or exemption",$I656&lt;&gt;"",ISNA(MATCH($I656,Tables!$B$215:$B$218,0))),
Error!$B$17,
IF(AND($E656="ECA / Shoreline Tree",$F656="Remove",$H656&lt;&gt;"",OR($H656="Shoreline",$H656="Environmental Critical Area (ECA)"),ISNA(MATCH($I656,Tables!$B$209:$B$212,0))),
Error!$B$17,
IF(AND(_xlpm.baseRow,$F656="Retain",$E656="ECA / Shoreline Tree",_xlpm.ECA_Short=0),
Error!$B$61,
IF(AND($F656="Remove",ISNUMBER(MATCH($E656,{"Tier 1","Tier 2","Tier 3","Tier 4","Tier 2 Grove"},0)),ISNUMBER(MATCH($I656,{"On-site replacement","Off-site replacement"},0)),$J656="",$H656&lt;&gt;""),
Error!$B$19,
IF(AND(_xlpm.baseRow,$E656&lt;&gt;"",$D656&lt;&gt;"",$F656&lt;&gt;"",COUNTBLANK($B656:$C656)&gt;0,COUNTBLANK(_xlpm.HRange)&lt;&gt;4),
Error!$B$22,
IF(AND($H656="Zoning: Tree Points",$K656&lt;&gt;"",ISNA(MATCH($K656,Tables!$B$242:$B$253,0))),
Error!$B$58,
IF(AND($H656="Zoning: Tree Points",$K656="Small",$L656&lt;&gt;"",ISNA(MATCH($L656,Tables!$C$243:$C$244,0))),
Error!$B$59,
IF(AND($H656="Zoning: Tree Points",$K656="Small/Medium",$L656&lt;&gt;"",ISNA(MATCH($L656,Tables!$C$246:$C$247,0))),
Error!$B$59,
IF(AND($H656="Zoning: Tree Points",$K656="Medium/Large",$L656&lt;&gt;"",ISNA(MATCH($L656,Tables!$C$249:$C$250,0))),
Error!$B$59,
IF(AND($H656="Zoning: Tree Points",$K656="Large",$L656&lt;&gt;"",ISNA(MATCH($L656,Tables!$C$252:$C$253,0))),
Error!$B$59,
IF(AND($F656="Retain",$H656="Zoning: Tree Points",$C656&lt;&gt;"",$D656&lt;&gt;"",OR($K656="",$L656="",$M656="")),
Error!$B$20,
""
)))))))))))))))))))))))))))))))))))))))))))))))))))))))),
Error!$B$23))</f>
        <v/>
      </c>
      <c r="O656" s="343" t="str" cm="1">
        <f t="array" aca="1" ref="O656" ca="1">IFERROR(_xlfn.LET(
    _xlpm.txt, $C656,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57" spans="1:15" x14ac:dyDescent="0.3">
      <c r="A657" s="320"/>
      <c r="B657" s="616" t="str">
        <f t="shared" si="771"/>
        <v/>
      </c>
      <c r="C657" s="617" t="str">
        <f t="shared" si="772"/>
        <v/>
      </c>
      <c r="D657" s="618" t="str">
        <f t="shared" si="773"/>
        <v/>
      </c>
      <c r="E657" s="616" t="str">
        <f t="shared" si="774"/>
        <v/>
      </c>
      <c r="F657" s="616" t="str">
        <f t="shared" si="775"/>
        <v/>
      </c>
      <c r="G657" s="619" t="str">
        <f>IF(Tree_Table1[[#This Row],[Tree Status  &amp;]]="Retain", Tables!$B$237, IF(Tree_Table1[[#This Row],[Tree Status  &amp;]]="Remove", Tables!$B$238, ""))</f>
        <v/>
      </c>
      <c r="H657" s="321"/>
      <c r="I657" s="322"/>
      <c r="J657" s="453"/>
      <c r="K657" s="323" t="str">
        <f>IFERROR(
    IF(
        AND($H657="Zoning: Tree Points", NOT(ISNUMBER(SEARCH("sp.", $C657)))),
        VLOOKUP($C657, 'Tree List'!$C$3:$F$601, 4, FALSE),
        ""
    ),
"")</f>
        <v/>
      </c>
      <c r="L657" s="324" t="str" cm="1">
        <f t="array" ref="L657">IFERROR(
IF(
    AND($H657="Zoning: Tree Points", NOT(ISNUMBER(SEARCH("sp.", $C657)))),
    _xlfn.IFS(
        (COUNTIFS('Tree List'!$C$3:$C$601,$C657,'Tree List'!$D$3:$D$601,"Coniferous")
        + COUNTIFS('Tree List'!$C$3:$C$601,$C657,'Tree List'!$D$3:$D$601,"Deciduous Conifer")) &gt; 0,
            _xlfn.IFS($K657="Small",0.5,$K657="Small/Medium",1,$K657="Medium/Large",1.4,$K657="Large",1.8),
        (COUNTIFS('Tree List'!$C$3:$C$601,$C657,'Tree List'!$D$3:$D$601,"Deciduous")
        + COUNTIFS('Tree List'!$C$3:$C$601,$C657,'Tree List'!$D$3:$D$601,"Broadleaf Evergreen")) &gt; 0,
            _xlfn.IFS($K657="Small",0.4,$K657="Small/Medium",0.8,$K657="Medium/Large",1.2,$K657="Large",1.6)
    ),
    ""
),
"")</f>
        <v/>
      </c>
      <c r="M657" s="475" t="str">
        <f t="shared" si="735"/>
        <v/>
      </c>
      <c r="N657" s="346" t="str" cm="1">
        <f t="array" aca="1" ref="N65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IF(AND(_xlpm.baseRow,ISNA(MATCH($C657,'Tree List'!$C$3:$C$601,0)),SUMPRODUCT(--ISNUMBER(SEARCH(Tables2!$C$677:$C$772,$O657)))&gt;0),
Error!$B$57,
IF(AND(_xlpm.hasDM,$F657="Remove",$H657&lt;&gt;"",OR($I657="On-site replacement",$I657="Off-site replacement",$I657="Payment In Lieu")),
Error!$B$56,
IF(AND(_xlpm.hasDM,$F657="Remove",$H657&lt;&gt;"",$I657="Relocation"),
Error!$B$66,
IF(AND(OR(_xlpm.hasCN,_xlpm.hasPH,_xlpm.hasGR),$H657&lt;&gt;"",COUNTIF(Tables!$B$132:$B$134,$H657)&gt;0,$I657="N/A (No replacement required)"),
Error!$B$62,
IF(AND(_xlpm.baseRow,$E657&lt;&gt;"",ISNA(MATCH($E657,Tables!$B$225:$B$232,0))),
Error!$B$2,
IF(AND(_xlpm.baseRow,$F657&lt;&gt;"",ISNA(MATCH($F657,Tables!$B$234:$B$235,0))),
Error!$B$24,
IF(AND(_xlpm.baseRow,_xlpm.ECA_H&gt;0,_xlpm.Shore_H&gt;0),
Error!$B$16,
IF(AND(_xlpm.baseRow,$E657&lt;&gt;"",$D657=""),
Error!$B$3,
IF(AND(_xlpm.baseRow,OR($E657="Tier 3",$E657="Tier 4"),$C657&lt;&gt;"",$D657&gt;=24,COUNTIF(Tables2!$B$166:$B$674,$C657)&gt;0),
Error!$B$44,
IF(AND(_xlpm.baseRow,OR($E657="Tier 3",$E657="Tier 4"),$C657&lt;&gt;"",$D657&lt;&gt;"",COUNTIF(Tables2!$B$73:$B$152,$C657)&gt;0,
$D657&gt;=IFERROR(INDEX(Tables2!$C$73:$C$152,MATCH($C657,Tables2!$B$73:$B$152,0)),-1)),
Error!$B$44,
IF(AND(_xlpm.baseRow,OR($E657="Tier 2",$E657="Tier 2 Grove"),$C657&lt;&gt;"",$D657&gt;=12,COUNTIF(Tables2!$B$153:$B$162,$C657)&gt;0),
Error!$B$45,
IF(AND(_xlpm.baseRow,$E657="Tier 2 Grove",$D657&lt;12),
Error!$B$41,
IF(AND(_xlpm.baseRow,$E657="Tier 2",$D657&lt;5.88),
Error!$B$40,
IF(AND(_xlpm.baseRow,OR($E657="Tier 2",$E657="Tier 2 Grove"),$C657&lt;&gt;"",$D657&lt;12,$D657&gt;=6,COUNTIF(Tables2!$B$153:$B$162,$C657)&gt;0),
Error!$B$54,
IF(AND(_xlpm.baseRow,$E657="Tier 2",COUNTIF(Tables2!$B$166:$B$674,$C657)&gt;0,$D657&lt;24),
Error!$B$54,
IF(AND(_xlpm.baseRow,$E657="Tier 3",ISNA(MATCH($C657,Tables2!$B$153:$B$162,0)),OR($D657&lt;12,$D657&gt;=24)),
Error!$B$9,
IF(AND(_xlpm.baseRow,$E657="Tier 3",COUNTIF(Tables2!$B$153:$B$162,$C657)&gt;0,$D657&lt;12),
Error!$B$46,
IF(AND(_xlpm.baseRow,$E657="Tier 4",OR($D657&lt;6,$D657&gt;=12)),
Error!$B$10,
IF(AND(_xlpm.baseRow,$E657="&lt;6in DSH for Tree Points",OR($D657&gt;=6,$D657="")),
Error!$B$8,
IF(AND(_xlpm.baseRow,$E657="Street Tree for Green Factor",$F657&lt;&gt;"",$F657&lt;&gt;"Retain"),
Error!$B$14,
IF(AND($E657="&lt;6in DSH for Tree Points",$F657="Retain",$H657&lt;&gt;"",ISNA(MATCH($H657,Tables!$B$174:$B$174,0))),
Error!$B$15,
IF(AND($E657="Street Tree for Green Factor",$F657="Retain",$H657&lt;&gt;"",$H657&lt;&gt;"Zoning: Green Factor"),
Error!$B$15,
IF(AND($E657="ECA / Shoreline Tree",$F657="Remove",$H657&lt;&gt;"",ISNA(MATCH($H657,Tables!$B$189:$B$190,0))),
Error!$B$15,
IF(AND($E657="ECA / Shoreline Tree",$F657="Retain",$H657&lt;&gt;"",ISNA(MATCH($H657,Tables!$B$184:$B$186,0))),
Error!$B$15,
IF(AND($E657="Tier 4",$F657="Remove",$H657&lt;&gt;"",ISNA(MATCH($H657,Tables!$B$171,0))),
Error!$B$15,
IF(AND($E657="Tier 4",$F657="Retain",$H657&lt;&gt;"",ISNA(MATCH($H657,Tables!$B$166:$B$168,0))),
Error!$B$15,
IF(AND($E657="Tier 3",$F657="Retain",$H657&lt;&gt;"",ISNA(MATCH($H657,Tables!$B$158:$B$160,0))),
Error!$B$15,
IF(AND($E657="Tier 3",$F657="Remove",$H657&lt;&gt;"",ISNA(MATCH($H657,Tables!$B$163,0))),
Error!$B$15,
IF(AND(OR($E657="Tier 2",$E657="Tier 2 Grove"),$F657="Remove",$H657&lt;&gt;"",ISNA(MATCH($H657,Tables!$B$153:$B$155,0))),
Error!$B$15,
IF(AND(OR($E657="Tier 2",$E657="Tier 2 Grove"),$F657="Retain",$H657&lt;&gt;"",ISNA(MATCH($H657,Tables!$B$147:$B$150,0))),
Error!$B$15,
IF(AND($E657="Tier 1",$F657="Remove",$H657&lt;&gt;"",ISNA(MATCH($H657,Tables!$B$143:$B$144,0))),
Error!$B$15,
IF(AND($E657="Tier 1",$F657="Retain",$H657&lt;&gt;"",ISNA(MATCH($H657,Tables!$B$137:$B$140,0))),
Error!$B$15,
IF(AND($E657&lt;&gt;"Tier 2",$E657&lt;&gt;"Tier 2 Grove",$E657&lt;&gt;"Tier 3",$E657&lt;&gt;"Tier 4",$H657="Zoning: Green Factor",OR($D657="",$D657&lt;6)),
Error!$B$11,
IF(AND(_xlpm.baseRow,$D657&lt;6,$E657="&lt;6in DSH for Tree Points",_xlpm.TreePoints_H=0),
Error!$B$21,
IF(AND(_xlpm.baseRow,$E657&lt;&gt;"",$D657&lt;&gt;"",$F657=""),
Error!$B$4,
IF(AND(_xlpm.baseRow,$F657="Remove",OR($E657="Tier 1",$E657="Tier 2",$E657="Tier 2 Grove"),COUNTBLANK(_xlpm.HRange)&lt;3,_xlpm.uniqueH&gt;=2),
Error!$B$48,
IF(AND(_xlpm.baseRow,$F657="Retain",OR($E657="Tier 1",$E657="Tier 2",$E657="Tier 2 Grove"),COUNTIF(_xlpm.HRange,"Tree Code: Required to Retain Tier 1-2 Tree")=0),
Error!$B$47,
IF(AND(_xlpm.baseRow,$E657&lt;&gt;"",$D657&lt;&gt;"",$F657&lt;&gt;"",COUNTBLANK(_xlpm.HRange)=4),
Error!$B$5,
IF(AND($F657="Remove",$H657&lt;&gt;"",$I657=""),
Error!$B$18,
IF(AND($E657="Tier 4",$F657="Remove",$H657="Tree Protection Code: Tier 3 or Tier 4 Allowance",$H657&lt;&gt;"",ISNA(MATCH($I657,Tables!$B$200,0))),
Error!$B$17,
IF(AND($E657="Tier 3",$F657="Remove",$H657&lt;&gt;"",$H657="Tree Protection Code: Tier 3 or Tier 4 Allowance",OR($I657="",ISNA(MATCH($I657,Tables!$B$193:$B$197,0)))),
Error!$B$17,
IF(AND(OR($E657="Tier 2",$E657="Tier 2 Grove"),$F657="Remove",$H657="Tree Protection Code: Other removal allowance or exemption",$I657&lt;&gt;"",ISNA(MATCH($I657,Tables!$B$215:$B$218,0))),
Error!$B$17,
IF(AND(OR($E657="Tier 2",$E657="Tier 2 Grove"),$F657="Remove",$H657="Tree Protection Code: Development Capacity",$I657&lt;&gt;"",ISNA(MATCH($I657,Tables!$B$193:$B$197,0))),
Error!$B$17,
IF(AND(OR($E657="Tier 2",$E657="Tier 2 Grove"),$F657="Remove",$H657="Tree Protection Code: Necessary for Construction",$I657&lt;&gt;"",ISNA(MATCH($I657,Tables!$B$193:$B$197,0))),
Error!$B$17,
IF(AND($E657="Tier 1",$F657="Remove",$H657="Tree Protection Code: Special Exception",$I657&lt;&gt;"",ISNA(MATCH($I657,Tables!$B$215:$B$218,0))),
Error!$B$17,
IF(AND($E657="Tier 1",$F657="Remove",$H657="Tree Protection Code: Other removal allowance or exemption",$I657&lt;&gt;"",ISNA(MATCH($I657,Tables!$B$215:$B$218,0))),
Error!$B$17,
IF(AND($E657="ECA / Shoreline Tree",$F657="Remove",$H657&lt;&gt;"",OR($H657="Shoreline",$H657="Environmental Critical Area (ECA)"),ISNA(MATCH($I657,Tables!$B$209:$B$212,0))),
Error!$B$17,
IF(AND(_xlpm.baseRow,$F657="Retain",$E657="ECA / Shoreline Tree",_xlpm.ECA_Short=0),
Error!$B$61,
IF(AND($F657="Remove",ISNUMBER(MATCH($E657,{"Tier 1","Tier 2","Tier 3","Tier 4","Tier 2 Grove"},0)),ISNUMBER(MATCH($I657,{"On-site replacement","Off-site replacement"},0)),$J657="",$H657&lt;&gt;""),
Error!$B$19,
IF(AND(_xlpm.baseRow,$E657&lt;&gt;"",$D657&lt;&gt;"",$F657&lt;&gt;"",COUNTBLANK($B657:$C657)&gt;0,COUNTBLANK(_xlpm.HRange)&lt;&gt;4),
Error!$B$22,
IF(AND($H657="Zoning: Tree Points",$K657&lt;&gt;"",ISNA(MATCH($K657,Tables!$B$242:$B$253,0))),
Error!$B$58,
IF(AND($H657="Zoning: Tree Points",$K657="Small",$L657&lt;&gt;"",ISNA(MATCH($L657,Tables!$C$243:$C$244,0))),
Error!$B$59,
IF(AND($H657="Zoning: Tree Points",$K657="Small/Medium",$L657&lt;&gt;"",ISNA(MATCH($L657,Tables!$C$246:$C$247,0))),
Error!$B$59,
IF(AND($H657="Zoning: Tree Points",$K657="Medium/Large",$L657&lt;&gt;"",ISNA(MATCH($L657,Tables!$C$249:$C$250,0))),
Error!$B$59,
IF(AND($H657="Zoning: Tree Points",$K657="Large",$L657&lt;&gt;"",ISNA(MATCH($L657,Tables!$C$252:$C$253,0))),
Error!$B$59,
IF(AND($F657="Retain",$H657="Zoning: Tree Points",$C657&lt;&gt;"",$D657&lt;&gt;"",OR($K657="",$L657="",$M657="")),
Error!$B$20,
""
)))))))))))))))))))))))))))))))))))))))))))))))))))))))),
Error!$B$23))</f>
        <v/>
      </c>
      <c r="O657" s="343" t="str" cm="1">
        <f t="array" aca="1" ref="O657" ca="1">IFERROR(_xlfn.LET(
    _xlpm.txt, $C657,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58" spans="1:15" ht="15" thickBot="1" x14ac:dyDescent="0.35">
      <c r="A658" s="331"/>
      <c r="B658" s="616" t="str">
        <f t="shared" si="771"/>
        <v/>
      </c>
      <c r="C658" s="617" t="str">
        <f t="shared" si="772"/>
        <v/>
      </c>
      <c r="D658" s="618" t="str">
        <f t="shared" si="773"/>
        <v/>
      </c>
      <c r="E658" s="616" t="str">
        <f t="shared" si="774"/>
        <v/>
      </c>
      <c r="F658" s="616" t="str">
        <f t="shared" si="775"/>
        <v/>
      </c>
      <c r="G658" s="619" t="str">
        <f>IF(Tree_Table1[[#This Row],[Tree Status  &amp;]]="Retain", Tables!$B$237, IF(Tree_Table1[[#This Row],[Tree Status  &amp;]]="Remove", Tables!$B$238, ""))</f>
        <v/>
      </c>
      <c r="H658" s="329"/>
      <c r="I658" s="330"/>
      <c r="J658" s="455"/>
      <c r="K658" s="327" t="str">
        <f>IFERROR(
    IF(
        AND($H658="Zoning: Tree Points", NOT(ISNUMBER(SEARCH("sp.", $C658)))),
        VLOOKUP($C658, 'Tree List'!$C$3:$F$601, 4, FALSE),
        ""
    ),
"")</f>
        <v/>
      </c>
      <c r="L658" s="328" t="str" cm="1">
        <f t="array" ref="L658">IFERROR(
IF(
    AND($H658="Zoning: Tree Points", NOT(ISNUMBER(SEARCH("sp.", $C658)))),
    _xlfn.IFS(
        (COUNTIFS('Tree List'!$C$3:$C$601,$C658,'Tree List'!$D$3:$D$601,"Coniferous")
        + COUNTIFS('Tree List'!$C$3:$C$601,$C658,'Tree List'!$D$3:$D$601,"Deciduous Conifer")) &gt; 0,
            _xlfn.IFS($K658="Small",0.5,$K658="Small/Medium",1,$K658="Medium/Large",1.4,$K658="Large",1.8),
        (COUNTIFS('Tree List'!$C$3:$C$601,$C658,'Tree List'!$D$3:$D$601,"Deciduous")
        + COUNTIFS('Tree List'!$C$3:$C$601,$C658,'Tree List'!$D$3:$D$601,"Broadleaf Evergreen")) &gt; 0,
            _xlfn.IFS($K658="Small",0.4,$K658="Small/Medium",0.8,$K658="Medium/Large",1.2,$K658="Large",1.6)
    ),
    ""
),
"")</f>
        <v/>
      </c>
      <c r="M658" s="476" t="str">
        <f t="shared" si="735"/>
        <v/>
      </c>
      <c r="N658" s="347" t="str" cm="1">
        <f t="array" aca="1" ref="N65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IF(AND(_xlpm.baseRow,ISNA(MATCH($C658,'Tree List'!$C$3:$C$601,0)),SUMPRODUCT(--ISNUMBER(SEARCH(Tables2!$C$677:$C$772,$O658)))&gt;0),
Error!$B$57,
IF(AND(_xlpm.hasDM,$F658="Remove",$H658&lt;&gt;"",OR($I658="On-site replacement",$I658="Off-site replacement",$I658="Payment In Lieu")),
Error!$B$56,
IF(AND(_xlpm.hasDM,$F658="Remove",$H658&lt;&gt;"",$I658="Relocation"),
Error!$B$66,
IF(AND(OR(_xlpm.hasCN,_xlpm.hasPH,_xlpm.hasGR),$H658&lt;&gt;"",COUNTIF(Tables!$B$132:$B$134,$H658)&gt;0,$I658="N/A (No replacement required)"),
Error!$B$62,
IF(AND(_xlpm.baseRow,$E658&lt;&gt;"",ISNA(MATCH($E658,Tables!$B$225:$B$232,0))),
Error!$B$2,
IF(AND(_xlpm.baseRow,$F658&lt;&gt;"",ISNA(MATCH($F658,Tables!$B$234:$B$235,0))),
Error!$B$24,
IF(AND(_xlpm.baseRow,_xlpm.ECA_H&gt;0,_xlpm.Shore_H&gt;0),
Error!$B$16,
IF(AND(_xlpm.baseRow,$E658&lt;&gt;"",$D658=""),
Error!$B$3,
IF(AND(_xlpm.baseRow,OR($E658="Tier 3",$E658="Tier 4"),$C658&lt;&gt;"",$D658&gt;=24,COUNTIF(Tables2!$B$166:$B$674,$C658)&gt;0),
Error!$B$44,
IF(AND(_xlpm.baseRow,OR($E658="Tier 3",$E658="Tier 4"),$C658&lt;&gt;"",$D658&lt;&gt;"",COUNTIF(Tables2!$B$73:$B$152,$C658)&gt;0,
$D658&gt;=IFERROR(INDEX(Tables2!$C$73:$C$152,MATCH($C658,Tables2!$B$73:$B$152,0)),-1)),
Error!$B$44,
IF(AND(_xlpm.baseRow,OR($E658="Tier 2",$E658="Tier 2 Grove"),$C658&lt;&gt;"",$D658&gt;=12,COUNTIF(Tables2!$B$153:$B$162,$C658)&gt;0),
Error!$B$45,
IF(AND(_xlpm.baseRow,$E658="Tier 2 Grove",$D658&lt;12),
Error!$B$41,
IF(AND(_xlpm.baseRow,$E658="Tier 2",$D658&lt;5.88),
Error!$B$40,
IF(AND(_xlpm.baseRow,OR($E658="Tier 2",$E658="Tier 2 Grove"),$C658&lt;&gt;"",$D658&lt;12,$D658&gt;=6,COUNTIF(Tables2!$B$153:$B$162,$C658)&gt;0),
Error!$B$54,
IF(AND(_xlpm.baseRow,$E658="Tier 2",COUNTIF(Tables2!$B$166:$B$674,$C658)&gt;0,$D658&lt;24),
Error!$B$54,
IF(AND(_xlpm.baseRow,$E658="Tier 3",ISNA(MATCH($C658,Tables2!$B$153:$B$162,0)),OR($D658&lt;12,$D658&gt;=24)),
Error!$B$9,
IF(AND(_xlpm.baseRow,$E658="Tier 3",COUNTIF(Tables2!$B$153:$B$162,$C658)&gt;0,$D658&lt;12),
Error!$B$46,
IF(AND(_xlpm.baseRow,$E658="Tier 4",OR($D658&lt;6,$D658&gt;=12)),
Error!$B$10,
IF(AND(_xlpm.baseRow,$E658="&lt;6in DSH for Tree Points",OR($D658&gt;=6,$D658="")),
Error!$B$8,
IF(AND(_xlpm.baseRow,$E658="Street Tree for Green Factor",$F658&lt;&gt;"",$F658&lt;&gt;"Retain"),
Error!$B$14,
IF(AND($E658="&lt;6in DSH for Tree Points",$F658="Retain",$H658&lt;&gt;"",ISNA(MATCH($H658,Tables!$B$174:$B$174,0))),
Error!$B$15,
IF(AND($E658="Street Tree for Green Factor",$F658="Retain",$H658&lt;&gt;"",$H658&lt;&gt;"Zoning: Green Factor"),
Error!$B$15,
IF(AND($E658="ECA / Shoreline Tree",$F658="Remove",$H658&lt;&gt;"",ISNA(MATCH($H658,Tables!$B$189:$B$190,0))),
Error!$B$15,
IF(AND($E658="ECA / Shoreline Tree",$F658="Retain",$H658&lt;&gt;"",ISNA(MATCH($H658,Tables!$B$184:$B$186,0))),
Error!$B$15,
IF(AND($E658="Tier 4",$F658="Remove",$H658&lt;&gt;"",ISNA(MATCH($H658,Tables!$B$171,0))),
Error!$B$15,
IF(AND($E658="Tier 4",$F658="Retain",$H658&lt;&gt;"",ISNA(MATCH($H658,Tables!$B$166:$B$168,0))),
Error!$B$15,
IF(AND($E658="Tier 3",$F658="Retain",$H658&lt;&gt;"",ISNA(MATCH($H658,Tables!$B$158:$B$160,0))),
Error!$B$15,
IF(AND($E658="Tier 3",$F658="Remove",$H658&lt;&gt;"",ISNA(MATCH($H658,Tables!$B$163,0))),
Error!$B$15,
IF(AND(OR($E658="Tier 2",$E658="Tier 2 Grove"),$F658="Remove",$H658&lt;&gt;"",ISNA(MATCH($H658,Tables!$B$153:$B$155,0))),
Error!$B$15,
IF(AND(OR($E658="Tier 2",$E658="Tier 2 Grove"),$F658="Retain",$H658&lt;&gt;"",ISNA(MATCH($H658,Tables!$B$147:$B$150,0))),
Error!$B$15,
IF(AND($E658="Tier 1",$F658="Remove",$H658&lt;&gt;"",ISNA(MATCH($H658,Tables!$B$143:$B$144,0))),
Error!$B$15,
IF(AND($E658="Tier 1",$F658="Retain",$H658&lt;&gt;"",ISNA(MATCH($H658,Tables!$B$137:$B$140,0))),
Error!$B$15,
IF(AND($E658&lt;&gt;"Tier 2",$E658&lt;&gt;"Tier 2 Grove",$E658&lt;&gt;"Tier 3",$E658&lt;&gt;"Tier 4",$H658="Zoning: Green Factor",OR($D658="",$D658&lt;6)),
Error!$B$11,
IF(AND(_xlpm.baseRow,$D658&lt;6,$E658="&lt;6in DSH for Tree Points",_xlpm.TreePoints_H=0),
Error!$B$21,
IF(AND(_xlpm.baseRow,$E658&lt;&gt;"",$D658&lt;&gt;"",$F658=""),
Error!$B$4,
IF(AND(_xlpm.baseRow,$F658="Remove",OR($E658="Tier 1",$E658="Tier 2",$E658="Tier 2 Grove"),COUNTBLANK(_xlpm.HRange)&lt;3,_xlpm.uniqueH&gt;=2),
Error!$B$48,
IF(AND(_xlpm.baseRow,$F658="Retain",OR($E658="Tier 1",$E658="Tier 2",$E658="Tier 2 Grove"),COUNTIF(_xlpm.HRange,"Tree Code: Required to Retain Tier 1-2 Tree")=0),
Error!$B$47,
IF(AND(_xlpm.baseRow,$E658&lt;&gt;"",$D658&lt;&gt;"",$F658&lt;&gt;"",COUNTBLANK(_xlpm.HRange)=4),
Error!$B$5,
IF(AND($F658="Remove",$H658&lt;&gt;"",$I658=""),
Error!$B$18,
IF(AND($E658="Tier 4",$F658="Remove",$H658="Tree Protection Code: Tier 3 or Tier 4 Allowance",$H658&lt;&gt;"",ISNA(MATCH($I658,Tables!$B$200,0))),
Error!$B$17,
IF(AND($E658="Tier 3",$F658="Remove",$H658&lt;&gt;"",$H658="Tree Protection Code: Tier 3 or Tier 4 Allowance",OR($I658="",ISNA(MATCH($I658,Tables!$B$193:$B$197,0)))),
Error!$B$17,
IF(AND(OR($E658="Tier 2",$E658="Tier 2 Grove"),$F658="Remove",$H658="Tree Protection Code: Other removal allowance or exemption",$I658&lt;&gt;"",ISNA(MATCH($I658,Tables!$B$215:$B$218,0))),
Error!$B$17,
IF(AND(OR($E658="Tier 2",$E658="Tier 2 Grove"),$F658="Remove",$H658="Tree Protection Code: Development Capacity",$I658&lt;&gt;"",ISNA(MATCH($I658,Tables!$B$193:$B$197,0))),
Error!$B$17,
IF(AND(OR($E658="Tier 2",$E658="Tier 2 Grove"),$F658="Remove",$H658="Tree Protection Code: Necessary for Construction",$I658&lt;&gt;"",ISNA(MATCH($I658,Tables!$B$193:$B$197,0))),
Error!$B$17,
IF(AND($E658="Tier 1",$F658="Remove",$H658="Tree Protection Code: Special Exception",$I658&lt;&gt;"",ISNA(MATCH($I658,Tables!$B$215:$B$218,0))),
Error!$B$17,
IF(AND($E658="Tier 1",$F658="Remove",$H658="Tree Protection Code: Other removal allowance or exemption",$I658&lt;&gt;"",ISNA(MATCH($I658,Tables!$B$215:$B$218,0))),
Error!$B$17,
IF(AND($E658="ECA / Shoreline Tree",$F658="Remove",$H658&lt;&gt;"",OR($H658="Shoreline",$H658="Environmental Critical Area (ECA)"),ISNA(MATCH($I658,Tables!$B$209:$B$212,0))),
Error!$B$17,
IF(AND(_xlpm.baseRow,$F658="Retain",$E658="ECA / Shoreline Tree",_xlpm.ECA_Short=0),
Error!$B$61,
IF(AND($F658="Remove",ISNUMBER(MATCH($E658,{"Tier 1","Tier 2","Tier 3","Tier 4","Tier 2 Grove"},0)),ISNUMBER(MATCH($I658,{"On-site replacement","Off-site replacement"},0)),$J658="",$H658&lt;&gt;""),
Error!$B$19,
IF(AND(_xlpm.baseRow,$E658&lt;&gt;"",$D658&lt;&gt;"",$F658&lt;&gt;"",COUNTBLANK($B658:$C658)&gt;0,COUNTBLANK(_xlpm.HRange)&lt;&gt;4),
Error!$B$22,
IF(AND($H658="Zoning: Tree Points",$K658&lt;&gt;"",ISNA(MATCH($K658,Tables!$B$242:$B$253,0))),
Error!$B$58,
IF(AND($H658="Zoning: Tree Points",$K658="Small",$L658&lt;&gt;"",ISNA(MATCH($L658,Tables!$C$243:$C$244,0))),
Error!$B$59,
IF(AND($H658="Zoning: Tree Points",$K658="Small/Medium",$L658&lt;&gt;"",ISNA(MATCH($L658,Tables!$C$246:$C$247,0))),
Error!$B$59,
IF(AND($H658="Zoning: Tree Points",$K658="Medium/Large",$L658&lt;&gt;"",ISNA(MATCH($L658,Tables!$C$249:$C$250,0))),
Error!$B$59,
IF(AND($H658="Zoning: Tree Points",$K658="Large",$L658&lt;&gt;"",ISNA(MATCH($L658,Tables!$C$252:$C$253,0))),
Error!$B$59,
IF(AND($F658="Retain",$H658="Zoning: Tree Points",$C658&lt;&gt;"",$D658&lt;&gt;"",OR($K658="",$L658="",$M658="")),
Error!$B$20,
""
)))))))))))))))))))))))))))))))))))))))))))))))))))))))),
Error!$B$23))</f>
        <v/>
      </c>
      <c r="O658" s="343" t="str" cm="1">
        <f t="array" aca="1" ref="O658" ca="1">IFERROR(_xlfn.LET(
    _xlpm.txt, $C658,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59" spans="1:15" ht="15" thickBot="1" x14ac:dyDescent="0.35">
      <c r="A659" s="311">
        <v>163</v>
      </c>
      <c r="B659" s="312"/>
      <c r="C659" s="313"/>
      <c r="D659" s="478"/>
      <c r="E659" s="314"/>
      <c r="F659" s="314"/>
      <c r="G659" s="315" t="str">
        <f>IF(Tree_Table1[[#This Row],[Tree Status  &amp;]]="Retain", Tables!$B$237, IF(Tree_Table1[[#This Row],[Tree Status  &amp;]]="Remove", Tables!$B$238, ""))</f>
        <v/>
      </c>
      <c r="H659" s="316"/>
      <c r="I659" s="317"/>
      <c r="J659" s="452"/>
      <c r="K659" s="318" t="str">
        <f>IFERROR(
    IF(
        AND($H659="Zoning: Tree Points", NOT(ISNUMBER(SEARCH("sp.", $C659)))),
        VLOOKUP($C659, 'Tree List'!$C$3:$F$601, 4, FALSE),
        ""
    ),
"")</f>
        <v/>
      </c>
      <c r="L659" s="319" t="str" cm="1">
        <f t="array" ref="L659">IFERROR(
IF(
    AND($H659="Zoning: Tree Points", NOT(ISNUMBER(SEARCH("sp.", $C659)))),
    _xlfn.IFS(
        (COUNTIFS('Tree List'!$C$3:$C$601,$C659,'Tree List'!$D$3:$D$601,"Coniferous")
        + COUNTIFS('Tree List'!$C$3:$C$601,$C659,'Tree List'!$D$3:$D$601,"Deciduous Conifer")) &gt; 0,
            _xlfn.IFS($K659="Small",0.5,$K659="Small/Medium",1,$K659="Medium/Large",1.4,$K659="Large",1.8),
        (COUNTIFS('Tree List'!$C$3:$C$601,$C659,'Tree List'!$D$3:$D$601,"Deciduous")
        + COUNTIFS('Tree List'!$C$3:$C$601,$C659,'Tree List'!$D$3:$D$601,"Broadleaf Evergreen")) &gt; 0,
            _xlfn.IFS($K659="Small",0.4,$K659="Small/Medium",0.8,$K659="Medium/Large",1.2,$K659="Large",1.6)
    ),
    ""
),
"")</f>
        <v/>
      </c>
      <c r="M659" s="474" t="str">
        <f t="shared" si="735"/>
        <v/>
      </c>
      <c r="N659" s="620" t="str" cm="1">
        <f t="array" aca="1" ref="N65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IF(AND(_xlpm.baseRow,ISNA(MATCH($C659,'Tree List'!$C$3:$C$601,0)),SUMPRODUCT(--ISNUMBER(SEARCH(Tables2!$C$677:$C$772,$O659)))&gt;0),
Error!$B$57,
IF(AND(_xlpm.hasDM,$F659="Remove",$H659&lt;&gt;"",OR($I659="On-site replacement",$I659="Off-site replacement",$I659="Payment In Lieu")),
Error!$B$56,
IF(AND(_xlpm.hasDM,$F659="Remove",$H659&lt;&gt;"",$I659="Relocation"),
Error!$B$66,
IF(AND(OR(_xlpm.hasCN,_xlpm.hasPH,_xlpm.hasGR),$H659&lt;&gt;"",COUNTIF(Tables!$B$132:$B$134,$H659)&gt;0,$I659="N/A (No replacement required)"),
Error!$B$62,
IF(AND(_xlpm.baseRow,$E659&lt;&gt;"",ISNA(MATCH($E659,Tables!$B$225:$B$232,0))),
Error!$B$2,
IF(AND(_xlpm.baseRow,$F659&lt;&gt;"",ISNA(MATCH($F659,Tables!$B$234:$B$235,0))),
Error!$B$24,
IF(AND(_xlpm.baseRow,_xlpm.ECA_H&gt;0,_xlpm.Shore_H&gt;0),
Error!$B$16,
IF(AND(_xlpm.baseRow,$E659&lt;&gt;"",$D659=""),
Error!$B$3,
IF(AND(_xlpm.baseRow,OR($E659="Tier 3",$E659="Tier 4"),$C659&lt;&gt;"",$D659&gt;=24,COUNTIF(Tables2!$B$166:$B$674,$C659)&gt;0),
Error!$B$44,
IF(AND(_xlpm.baseRow,OR($E659="Tier 3",$E659="Tier 4"),$C659&lt;&gt;"",$D659&lt;&gt;"",COUNTIF(Tables2!$B$73:$B$152,$C659)&gt;0,
$D659&gt;=IFERROR(INDEX(Tables2!$C$73:$C$152,MATCH($C659,Tables2!$B$73:$B$152,0)),-1)),
Error!$B$44,
IF(AND(_xlpm.baseRow,OR($E659="Tier 2",$E659="Tier 2 Grove"),$C659&lt;&gt;"",$D659&gt;=12,COUNTIF(Tables2!$B$153:$B$162,$C659)&gt;0),
Error!$B$45,
IF(AND(_xlpm.baseRow,$E659="Tier 2 Grove",$D659&lt;12),
Error!$B$41,
IF(AND(_xlpm.baseRow,$E659="Tier 2",$D659&lt;5.88),
Error!$B$40,
IF(AND(_xlpm.baseRow,OR($E659="Tier 2",$E659="Tier 2 Grove"),$C659&lt;&gt;"",$D659&lt;12,$D659&gt;=6,COUNTIF(Tables2!$B$153:$B$162,$C659)&gt;0),
Error!$B$54,
IF(AND(_xlpm.baseRow,$E659="Tier 2",COUNTIF(Tables2!$B$166:$B$674,$C659)&gt;0,$D659&lt;24),
Error!$B$54,
IF(AND(_xlpm.baseRow,$E659="Tier 3",ISNA(MATCH($C659,Tables2!$B$153:$B$162,0)),OR($D659&lt;12,$D659&gt;=24)),
Error!$B$9,
IF(AND(_xlpm.baseRow,$E659="Tier 3",COUNTIF(Tables2!$B$153:$B$162,$C659)&gt;0,$D659&lt;12),
Error!$B$46,
IF(AND(_xlpm.baseRow,$E659="Tier 4",OR($D659&lt;6,$D659&gt;=12)),
Error!$B$10,
IF(AND(_xlpm.baseRow,$E659="&lt;6in DSH for Tree Points",OR($D659&gt;=6,$D659="")),
Error!$B$8,
IF(AND(_xlpm.baseRow,$E659="Street Tree for Green Factor",$F659&lt;&gt;"",$F659&lt;&gt;"Retain"),
Error!$B$14,
IF(AND($E659="&lt;6in DSH for Tree Points",$F659="Retain",$H659&lt;&gt;"",ISNA(MATCH($H659,Tables!$B$174:$B$174,0))),
Error!$B$15,
IF(AND($E659="Street Tree for Green Factor",$F659="Retain",$H659&lt;&gt;"",$H659&lt;&gt;"Zoning: Green Factor"),
Error!$B$15,
IF(AND($E659="ECA / Shoreline Tree",$F659="Remove",$H659&lt;&gt;"",ISNA(MATCH($H659,Tables!$B$189:$B$190,0))),
Error!$B$15,
IF(AND($E659="ECA / Shoreline Tree",$F659="Retain",$H659&lt;&gt;"",ISNA(MATCH($H659,Tables!$B$184:$B$186,0))),
Error!$B$15,
IF(AND($E659="Tier 4",$F659="Remove",$H659&lt;&gt;"",ISNA(MATCH($H659,Tables!$B$171,0))),
Error!$B$15,
IF(AND($E659="Tier 4",$F659="Retain",$H659&lt;&gt;"",ISNA(MATCH($H659,Tables!$B$166:$B$168,0))),
Error!$B$15,
IF(AND($E659="Tier 3",$F659="Retain",$H659&lt;&gt;"",ISNA(MATCH($H659,Tables!$B$158:$B$160,0))),
Error!$B$15,
IF(AND($E659="Tier 3",$F659="Remove",$H659&lt;&gt;"",ISNA(MATCH($H659,Tables!$B$163,0))),
Error!$B$15,
IF(AND(OR($E659="Tier 2",$E659="Tier 2 Grove"),$F659="Remove",$H659&lt;&gt;"",ISNA(MATCH($H659,Tables!$B$153:$B$155,0))),
Error!$B$15,
IF(AND(OR($E659="Tier 2",$E659="Tier 2 Grove"),$F659="Retain",$H659&lt;&gt;"",ISNA(MATCH($H659,Tables!$B$147:$B$150,0))),
Error!$B$15,
IF(AND($E659="Tier 1",$F659="Remove",$H659&lt;&gt;"",ISNA(MATCH($H659,Tables!$B$143:$B$144,0))),
Error!$B$15,
IF(AND($E659="Tier 1",$F659="Retain",$H659&lt;&gt;"",ISNA(MATCH($H659,Tables!$B$137:$B$140,0))),
Error!$B$15,
IF(AND($E659&lt;&gt;"Tier 2",$E659&lt;&gt;"Tier 2 Grove",$E659&lt;&gt;"Tier 3",$E659&lt;&gt;"Tier 4",$H659="Zoning: Green Factor",OR($D659="",$D659&lt;6)),
Error!$B$11,
IF(AND(_xlpm.baseRow,$D659&lt;6,$E659="&lt;6in DSH for Tree Points",_xlpm.TreePoints_H=0),
Error!$B$21,
IF(AND(_xlpm.baseRow,$E659&lt;&gt;"",$D659&lt;&gt;"",$F659=""),
Error!$B$4,
IF(AND(_xlpm.baseRow,$F659="Remove",OR($E659="Tier 1",$E659="Tier 2",$E659="Tier 2 Grove"),COUNTBLANK(_xlpm.HRange)&lt;3,_xlpm.uniqueH&gt;=2),
Error!$B$48,
IF(AND(_xlpm.baseRow,$F659="Retain",OR($E659="Tier 1",$E659="Tier 2",$E659="Tier 2 Grove"),COUNTIF(_xlpm.HRange,"Tree Code: Required to Retain Tier 1-2 Tree")=0),
Error!$B$47,
IF(AND(_xlpm.baseRow,$E659&lt;&gt;"",$D659&lt;&gt;"",$F659&lt;&gt;"",COUNTBLANK(_xlpm.HRange)=4),
Error!$B$5,
IF(AND($F659="Remove",$H659&lt;&gt;"",$I659=""),
Error!$B$18,
IF(AND($E659="Tier 4",$F659="Remove",$H659="Tree Protection Code: Tier 3 or Tier 4 Allowance",$H659&lt;&gt;"",ISNA(MATCH($I659,Tables!$B$200,0))),
Error!$B$17,
IF(AND($E659="Tier 3",$F659="Remove",$H659&lt;&gt;"",$H659="Tree Protection Code: Tier 3 or Tier 4 Allowance",OR($I659="",ISNA(MATCH($I659,Tables!$B$193:$B$197,0)))),
Error!$B$17,
IF(AND(OR($E659="Tier 2",$E659="Tier 2 Grove"),$F659="Remove",$H659="Tree Protection Code: Other removal allowance or exemption",$I659&lt;&gt;"",ISNA(MATCH($I659,Tables!$B$215:$B$218,0))),
Error!$B$17,
IF(AND(OR($E659="Tier 2",$E659="Tier 2 Grove"),$F659="Remove",$H659="Tree Protection Code: Development Capacity",$I659&lt;&gt;"",ISNA(MATCH($I659,Tables!$B$193:$B$197,0))),
Error!$B$17,
IF(AND(OR($E659="Tier 2",$E659="Tier 2 Grove"),$F659="Remove",$H659="Tree Protection Code: Necessary for Construction",$I659&lt;&gt;"",ISNA(MATCH($I659,Tables!$B$193:$B$197,0))),
Error!$B$17,
IF(AND($E659="Tier 1",$F659="Remove",$H659="Tree Protection Code: Special Exception",$I659&lt;&gt;"",ISNA(MATCH($I659,Tables!$B$215:$B$218,0))),
Error!$B$17,
IF(AND($E659="Tier 1",$F659="Remove",$H659="Tree Protection Code: Other removal allowance or exemption",$I659&lt;&gt;"",ISNA(MATCH($I659,Tables!$B$215:$B$218,0))),
Error!$B$17,
IF(AND($E659="ECA / Shoreline Tree",$F659="Remove",$H659&lt;&gt;"",OR($H659="Shoreline",$H659="Environmental Critical Area (ECA)"),ISNA(MATCH($I659,Tables!$B$209:$B$212,0))),
Error!$B$17,
IF(AND(_xlpm.baseRow,$F659="Retain",$E659="ECA / Shoreline Tree",_xlpm.ECA_Short=0),
Error!$B$61,
IF(AND($F659="Remove",ISNUMBER(MATCH($E659,{"Tier 1","Tier 2","Tier 3","Tier 4","Tier 2 Grove"},0)),ISNUMBER(MATCH($I659,{"On-site replacement","Off-site replacement"},0)),$J659="",$H659&lt;&gt;""),
Error!$B$19,
IF(AND(_xlpm.baseRow,$E659&lt;&gt;"",$D659&lt;&gt;"",$F659&lt;&gt;"",COUNTBLANK($B659:$C659)&gt;0,COUNTBLANK(_xlpm.HRange)&lt;&gt;4),
Error!$B$22,
IF(AND($H659="Zoning: Tree Points",$K659&lt;&gt;"",ISNA(MATCH($K659,Tables!$B$242:$B$253,0))),
Error!$B$58,
IF(AND($H659="Zoning: Tree Points",$K659="Small",$L659&lt;&gt;"",ISNA(MATCH($L659,Tables!$C$243:$C$244,0))),
Error!$B$59,
IF(AND($H659="Zoning: Tree Points",$K659="Small/Medium",$L659&lt;&gt;"",ISNA(MATCH($L659,Tables!$C$246:$C$247,0))),
Error!$B$59,
IF(AND($H659="Zoning: Tree Points",$K659="Medium/Large",$L659&lt;&gt;"",ISNA(MATCH($L659,Tables!$C$249:$C$250,0))),
Error!$B$59,
IF(AND($H659="Zoning: Tree Points",$K659="Large",$L659&lt;&gt;"",ISNA(MATCH($L659,Tables!$C$252:$C$253,0))),
Error!$B$59,
IF(AND($F659="Retain",$H659="Zoning: Tree Points",$C659&lt;&gt;"",$D659&lt;&gt;"",OR($K659="",$L659="",$M659="")),
Error!$B$20,
""
)))))))))))))))))))))))))))))))))))))))))))))))))))))))),
Error!$B$23))</f>
        <v/>
      </c>
      <c r="O659" s="343" t="str" cm="1">
        <f t="array" aca="1" ref="O659" ca="1">IFERROR(_xlfn.LET(
    _xlpm.txt, $C659,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60" spans="1:15" x14ac:dyDescent="0.3">
      <c r="A660" s="320"/>
      <c r="B660" s="616" t="str">
        <f t="shared" ref="B660:B662" si="776">IF($B659="", "", $B659)</f>
        <v/>
      </c>
      <c r="C660" s="617" t="str">
        <f t="shared" ref="C660:C662" si="777">IF($C659="", "", $C659)</f>
        <v/>
      </c>
      <c r="D660" s="618" t="str">
        <f t="shared" ref="D660:D662" si="778">IF($D659="", "", $D659)</f>
        <v/>
      </c>
      <c r="E660" s="616" t="str">
        <f t="shared" ref="E660:E662" si="779">IF($E659="", "", $E659)</f>
        <v/>
      </c>
      <c r="F660" s="616" t="str">
        <f t="shared" ref="F660:F662" si="780">IF($F659="", "", $F659)</f>
        <v/>
      </c>
      <c r="G660" s="619" t="str">
        <f>IF(Tree_Table1[[#This Row],[Tree Status  &amp;]]="Retain", Tables!$B$237, IF(Tree_Table1[[#This Row],[Tree Status  &amp;]]="Remove", Tables!$B$238, ""))</f>
        <v/>
      </c>
      <c r="H660" s="321"/>
      <c r="I660" s="322"/>
      <c r="J660" s="453"/>
      <c r="K660" s="323" t="str">
        <f>IFERROR(
    IF(
        AND($H660="Zoning: Tree Points", NOT(ISNUMBER(SEARCH("sp.", $C660)))),
        VLOOKUP($C660, 'Tree List'!$C$3:$F$601, 4, FALSE),
        ""
    ),
"")</f>
        <v/>
      </c>
      <c r="L660" s="324" t="str" cm="1">
        <f t="array" ref="L660">IFERROR(
IF(
    AND($H660="Zoning: Tree Points", NOT(ISNUMBER(SEARCH("sp.", $C660)))),
    _xlfn.IFS(
        (COUNTIFS('Tree List'!$C$3:$C$601,$C660,'Tree List'!$D$3:$D$601,"Coniferous")
        + COUNTIFS('Tree List'!$C$3:$C$601,$C660,'Tree List'!$D$3:$D$601,"Deciduous Conifer")) &gt; 0,
            _xlfn.IFS($K660="Small",0.5,$K660="Small/Medium",1,$K660="Medium/Large",1.4,$K660="Large",1.8),
        (COUNTIFS('Tree List'!$C$3:$C$601,$C660,'Tree List'!$D$3:$D$601,"Deciduous")
        + COUNTIFS('Tree List'!$C$3:$C$601,$C660,'Tree List'!$D$3:$D$601,"Broadleaf Evergreen")) &gt; 0,
            _xlfn.IFS($K660="Small",0.4,$K660="Small/Medium",0.8,$K660="Medium/Large",1.2,$K660="Large",1.6)
    ),
    ""
),
"")</f>
        <v/>
      </c>
      <c r="M660" s="475" t="str">
        <f t="shared" si="735"/>
        <v/>
      </c>
      <c r="N660" s="346" t="str" cm="1">
        <f t="array" aca="1" ref="N66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IF(AND(_xlpm.baseRow,ISNA(MATCH($C660,'Tree List'!$C$3:$C$601,0)),SUMPRODUCT(--ISNUMBER(SEARCH(Tables2!$C$677:$C$772,$O660)))&gt;0),
Error!$B$57,
IF(AND(_xlpm.hasDM,$F660="Remove",$H660&lt;&gt;"",OR($I660="On-site replacement",$I660="Off-site replacement",$I660="Payment In Lieu")),
Error!$B$56,
IF(AND(_xlpm.hasDM,$F660="Remove",$H660&lt;&gt;"",$I660="Relocation"),
Error!$B$66,
IF(AND(OR(_xlpm.hasCN,_xlpm.hasPH,_xlpm.hasGR),$H660&lt;&gt;"",COUNTIF(Tables!$B$132:$B$134,$H660)&gt;0,$I660="N/A (No replacement required)"),
Error!$B$62,
IF(AND(_xlpm.baseRow,$E660&lt;&gt;"",ISNA(MATCH($E660,Tables!$B$225:$B$232,0))),
Error!$B$2,
IF(AND(_xlpm.baseRow,$F660&lt;&gt;"",ISNA(MATCH($F660,Tables!$B$234:$B$235,0))),
Error!$B$24,
IF(AND(_xlpm.baseRow,_xlpm.ECA_H&gt;0,_xlpm.Shore_H&gt;0),
Error!$B$16,
IF(AND(_xlpm.baseRow,$E660&lt;&gt;"",$D660=""),
Error!$B$3,
IF(AND(_xlpm.baseRow,OR($E660="Tier 3",$E660="Tier 4"),$C660&lt;&gt;"",$D660&gt;=24,COUNTIF(Tables2!$B$166:$B$674,$C660)&gt;0),
Error!$B$44,
IF(AND(_xlpm.baseRow,OR($E660="Tier 3",$E660="Tier 4"),$C660&lt;&gt;"",$D660&lt;&gt;"",COUNTIF(Tables2!$B$73:$B$152,$C660)&gt;0,
$D660&gt;=IFERROR(INDEX(Tables2!$C$73:$C$152,MATCH($C660,Tables2!$B$73:$B$152,0)),-1)),
Error!$B$44,
IF(AND(_xlpm.baseRow,OR($E660="Tier 2",$E660="Tier 2 Grove"),$C660&lt;&gt;"",$D660&gt;=12,COUNTIF(Tables2!$B$153:$B$162,$C660)&gt;0),
Error!$B$45,
IF(AND(_xlpm.baseRow,$E660="Tier 2 Grove",$D660&lt;12),
Error!$B$41,
IF(AND(_xlpm.baseRow,$E660="Tier 2",$D660&lt;5.88),
Error!$B$40,
IF(AND(_xlpm.baseRow,OR($E660="Tier 2",$E660="Tier 2 Grove"),$C660&lt;&gt;"",$D660&lt;12,$D660&gt;=6,COUNTIF(Tables2!$B$153:$B$162,$C660)&gt;0),
Error!$B$54,
IF(AND(_xlpm.baseRow,$E660="Tier 2",COUNTIF(Tables2!$B$166:$B$674,$C660)&gt;0,$D660&lt;24),
Error!$B$54,
IF(AND(_xlpm.baseRow,$E660="Tier 3",ISNA(MATCH($C660,Tables2!$B$153:$B$162,0)),OR($D660&lt;12,$D660&gt;=24)),
Error!$B$9,
IF(AND(_xlpm.baseRow,$E660="Tier 3",COUNTIF(Tables2!$B$153:$B$162,$C660)&gt;0,$D660&lt;12),
Error!$B$46,
IF(AND(_xlpm.baseRow,$E660="Tier 4",OR($D660&lt;6,$D660&gt;=12)),
Error!$B$10,
IF(AND(_xlpm.baseRow,$E660="&lt;6in DSH for Tree Points",OR($D660&gt;=6,$D660="")),
Error!$B$8,
IF(AND(_xlpm.baseRow,$E660="Street Tree for Green Factor",$F660&lt;&gt;"",$F660&lt;&gt;"Retain"),
Error!$B$14,
IF(AND($E660="&lt;6in DSH for Tree Points",$F660="Retain",$H660&lt;&gt;"",ISNA(MATCH($H660,Tables!$B$174:$B$174,0))),
Error!$B$15,
IF(AND($E660="Street Tree for Green Factor",$F660="Retain",$H660&lt;&gt;"",$H660&lt;&gt;"Zoning: Green Factor"),
Error!$B$15,
IF(AND($E660="ECA / Shoreline Tree",$F660="Remove",$H660&lt;&gt;"",ISNA(MATCH($H660,Tables!$B$189:$B$190,0))),
Error!$B$15,
IF(AND($E660="ECA / Shoreline Tree",$F660="Retain",$H660&lt;&gt;"",ISNA(MATCH($H660,Tables!$B$184:$B$186,0))),
Error!$B$15,
IF(AND($E660="Tier 4",$F660="Remove",$H660&lt;&gt;"",ISNA(MATCH($H660,Tables!$B$171,0))),
Error!$B$15,
IF(AND($E660="Tier 4",$F660="Retain",$H660&lt;&gt;"",ISNA(MATCH($H660,Tables!$B$166:$B$168,0))),
Error!$B$15,
IF(AND($E660="Tier 3",$F660="Retain",$H660&lt;&gt;"",ISNA(MATCH($H660,Tables!$B$158:$B$160,0))),
Error!$B$15,
IF(AND($E660="Tier 3",$F660="Remove",$H660&lt;&gt;"",ISNA(MATCH($H660,Tables!$B$163,0))),
Error!$B$15,
IF(AND(OR($E660="Tier 2",$E660="Tier 2 Grove"),$F660="Remove",$H660&lt;&gt;"",ISNA(MATCH($H660,Tables!$B$153:$B$155,0))),
Error!$B$15,
IF(AND(OR($E660="Tier 2",$E660="Tier 2 Grove"),$F660="Retain",$H660&lt;&gt;"",ISNA(MATCH($H660,Tables!$B$147:$B$150,0))),
Error!$B$15,
IF(AND($E660="Tier 1",$F660="Remove",$H660&lt;&gt;"",ISNA(MATCH($H660,Tables!$B$143:$B$144,0))),
Error!$B$15,
IF(AND($E660="Tier 1",$F660="Retain",$H660&lt;&gt;"",ISNA(MATCH($H660,Tables!$B$137:$B$140,0))),
Error!$B$15,
IF(AND($E660&lt;&gt;"Tier 2",$E660&lt;&gt;"Tier 2 Grove",$E660&lt;&gt;"Tier 3",$E660&lt;&gt;"Tier 4",$H660="Zoning: Green Factor",OR($D660="",$D660&lt;6)),
Error!$B$11,
IF(AND(_xlpm.baseRow,$D660&lt;6,$E660="&lt;6in DSH for Tree Points",_xlpm.TreePoints_H=0),
Error!$B$21,
IF(AND(_xlpm.baseRow,$E660&lt;&gt;"",$D660&lt;&gt;"",$F660=""),
Error!$B$4,
IF(AND(_xlpm.baseRow,$F660="Remove",OR($E660="Tier 1",$E660="Tier 2",$E660="Tier 2 Grove"),COUNTBLANK(_xlpm.HRange)&lt;3,_xlpm.uniqueH&gt;=2),
Error!$B$48,
IF(AND(_xlpm.baseRow,$F660="Retain",OR($E660="Tier 1",$E660="Tier 2",$E660="Tier 2 Grove"),COUNTIF(_xlpm.HRange,"Tree Code: Required to Retain Tier 1-2 Tree")=0),
Error!$B$47,
IF(AND(_xlpm.baseRow,$E660&lt;&gt;"",$D660&lt;&gt;"",$F660&lt;&gt;"",COUNTBLANK(_xlpm.HRange)=4),
Error!$B$5,
IF(AND($F660="Remove",$H660&lt;&gt;"",$I660=""),
Error!$B$18,
IF(AND($E660="Tier 4",$F660="Remove",$H660="Tree Protection Code: Tier 3 or Tier 4 Allowance",$H660&lt;&gt;"",ISNA(MATCH($I660,Tables!$B$200,0))),
Error!$B$17,
IF(AND($E660="Tier 3",$F660="Remove",$H660&lt;&gt;"",$H660="Tree Protection Code: Tier 3 or Tier 4 Allowance",OR($I660="",ISNA(MATCH($I660,Tables!$B$193:$B$197,0)))),
Error!$B$17,
IF(AND(OR($E660="Tier 2",$E660="Tier 2 Grove"),$F660="Remove",$H660="Tree Protection Code: Other removal allowance or exemption",$I660&lt;&gt;"",ISNA(MATCH($I660,Tables!$B$215:$B$218,0))),
Error!$B$17,
IF(AND(OR($E660="Tier 2",$E660="Tier 2 Grove"),$F660="Remove",$H660="Tree Protection Code: Development Capacity",$I660&lt;&gt;"",ISNA(MATCH($I660,Tables!$B$193:$B$197,0))),
Error!$B$17,
IF(AND(OR($E660="Tier 2",$E660="Tier 2 Grove"),$F660="Remove",$H660="Tree Protection Code: Necessary for Construction",$I660&lt;&gt;"",ISNA(MATCH($I660,Tables!$B$193:$B$197,0))),
Error!$B$17,
IF(AND($E660="Tier 1",$F660="Remove",$H660="Tree Protection Code: Special Exception",$I660&lt;&gt;"",ISNA(MATCH($I660,Tables!$B$215:$B$218,0))),
Error!$B$17,
IF(AND($E660="Tier 1",$F660="Remove",$H660="Tree Protection Code: Other removal allowance or exemption",$I660&lt;&gt;"",ISNA(MATCH($I660,Tables!$B$215:$B$218,0))),
Error!$B$17,
IF(AND($E660="ECA / Shoreline Tree",$F660="Remove",$H660&lt;&gt;"",OR($H660="Shoreline",$H660="Environmental Critical Area (ECA)"),ISNA(MATCH($I660,Tables!$B$209:$B$212,0))),
Error!$B$17,
IF(AND(_xlpm.baseRow,$F660="Retain",$E660="ECA / Shoreline Tree",_xlpm.ECA_Short=0),
Error!$B$61,
IF(AND($F660="Remove",ISNUMBER(MATCH($E660,{"Tier 1","Tier 2","Tier 3","Tier 4","Tier 2 Grove"},0)),ISNUMBER(MATCH($I660,{"On-site replacement","Off-site replacement"},0)),$J660="",$H660&lt;&gt;""),
Error!$B$19,
IF(AND(_xlpm.baseRow,$E660&lt;&gt;"",$D660&lt;&gt;"",$F660&lt;&gt;"",COUNTBLANK($B660:$C660)&gt;0,COUNTBLANK(_xlpm.HRange)&lt;&gt;4),
Error!$B$22,
IF(AND($H660="Zoning: Tree Points",$K660&lt;&gt;"",ISNA(MATCH($K660,Tables!$B$242:$B$253,0))),
Error!$B$58,
IF(AND($H660="Zoning: Tree Points",$K660="Small",$L660&lt;&gt;"",ISNA(MATCH($L660,Tables!$C$243:$C$244,0))),
Error!$B$59,
IF(AND($H660="Zoning: Tree Points",$K660="Small/Medium",$L660&lt;&gt;"",ISNA(MATCH($L660,Tables!$C$246:$C$247,0))),
Error!$B$59,
IF(AND($H660="Zoning: Tree Points",$K660="Medium/Large",$L660&lt;&gt;"",ISNA(MATCH($L660,Tables!$C$249:$C$250,0))),
Error!$B$59,
IF(AND($H660="Zoning: Tree Points",$K660="Large",$L660&lt;&gt;"",ISNA(MATCH($L660,Tables!$C$252:$C$253,0))),
Error!$B$59,
IF(AND($F660="Retain",$H660="Zoning: Tree Points",$C660&lt;&gt;"",$D660&lt;&gt;"",OR($K660="",$L660="",$M660="")),
Error!$B$20,
""
)))))))))))))))))))))))))))))))))))))))))))))))))))))))),
Error!$B$23))</f>
        <v/>
      </c>
      <c r="O660" s="343" t="str" cm="1">
        <f t="array" aca="1" ref="O660" ca="1">IFERROR(_xlfn.LET(
    _xlpm.txt, $C660,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61" spans="1:15" x14ac:dyDescent="0.3">
      <c r="A661" s="320"/>
      <c r="B661" s="616" t="str">
        <f t="shared" si="776"/>
        <v/>
      </c>
      <c r="C661" s="617" t="str">
        <f t="shared" si="777"/>
        <v/>
      </c>
      <c r="D661" s="618" t="str">
        <f t="shared" si="778"/>
        <v/>
      </c>
      <c r="E661" s="616" t="str">
        <f t="shared" si="779"/>
        <v/>
      </c>
      <c r="F661" s="616" t="str">
        <f t="shared" si="780"/>
        <v/>
      </c>
      <c r="G661" s="619" t="str">
        <f>IF(Tree_Table1[[#This Row],[Tree Status  &amp;]]="Retain", Tables!$B$237, IF(Tree_Table1[[#This Row],[Tree Status  &amp;]]="Remove", Tables!$B$238, ""))</f>
        <v/>
      </c>
      <c r="H661" s="321"/>
      <c r="I661" s="322"/>
      <c r="J661" s="453"/>
      <c r="K661" s="323" t="str">
        <f>IFERROR(
    IF(
        AND($H661="Zoning: Tree Points", NOT(ISNUMBER(SEARCH("sp.", $C661)))),
        VLOOKUP($C661, 'Tree List'!$C$3:$F$601, 4, FALSE),
        ""
    ),
"")</f>
        <v/>
      </c>
      <c r="L661" s="324" t="str" cm="1">
        <f t="array" ref="L661">IFERROR(
IF(
    AND($H661="Zoning: Tree Points", NOT(ISNUMBER(SEARCH("sp.", $C661)))),
    _xlfn.IFS(
        (COUNTIFS('Tree List'!$C$3:$C$601,$C661,'Tree List'!$D$3:$D$601,"Coniferous")
        + COUNTIFS('Tree List'!$C$3:$C$601,$C661,'Tree List'!$D$3:$D$601,"Deciduous Conifer")) &gt; 0,
            _xlfn.IFS($K661="Small",0.5,$K661="Small/Medium",1,$K661="Medium/Large",1.4,$K661="Large",1.8),
        (COUNTIFS('Tree List'!$C$3:$C$601,$C661,'Tree List'!$D$3:$D$601,"Deciduous")
        + COUNTIFS('Tree List'!$C$3:$C$601,$C661,'Tree List'!$D$3:$D$601,"Broadleaf Evergreen")) &gt; 0,
            _xlfn.IFS($K661="Small",0.4,$K661="Small/Medium",0.8,$K661="Medium/Large",1.2,$K661="Large",1.6)
    ),
    ""
),
"")</f>
        <v/>
      </c>
      <c r="M661" s="475" t="str">
        <f t="shared" si="735"/>
        <v/>
      </c>
      <c r="N661" s="346" t="str" cm="1">
        <f t="array" aca="1" ref="N66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IF(AND(_xlpm.baseRow,ISNA(MATCH($C661,'Tree List'!$C$3:$C$601,0)),SUMPRODUCT(--ISNUMBER(SEARCH(Tables2!$C$677:$C$772,$O661)))&gt;0),
Error!$B$57,
IF(AND(_xlpm.hasDM,$F661="Remove",$H661&lt;&gt;"",OR($I661="On-site replacement",$I661="Off-site replacement",$I661="Payment In Lieu")),
Error!$B$56,
IF(AND(_xlpm.hasDM,$F661="Remove",$H661&lt;&gt;"",$I661="Relocation"),
Error!$B$66,
IF(AND(OR(_xlpm.hasCN,_xlpm.hasPH,_xlpm.hasGR),$H661&lt;&gt;"",COUNTIF(Tables!$B$132:$B$134,$H661)&gt;0,$I661="N/A (No replacement required)"),
Error!$B$62,
IF(AND(_xlpm.baseRow,$E661&lt;&gt;"",ISNA(MATCH($E661,Tables!$B$225:$B$232,0))),
Error!$B$2,
IF(AND(_xlpm.baseRow,$F661&lt;&gt;"",ISNA(MATCH($F661,Tables!$B$234:$B$235,0))),
Error!$B$24,
IF(AND(_xlpm.baseRow,_xlpm.ECA_H&gt;0,_xlpm.Shore_H&gt;0),
Error!$B$16,
IF(AND(_xlpm.baseRow,$E661&lt;&gt;"",$D661=""),
Error!$B$3,
IF(AND(_xlpm.baseRow,OR($E661="Tier 3",$E661="Tier 4"),$C661&lt;&gt;"",$D661&gt;=24,COUNTIF(Tables2!$B$166:$B$674,$C661)&gt;0),
Error!$B$44,
IF(AND(_xlpm.baseRow,OR($E661="Tier 3",$E661="Tier 4"),$C661&lt;&gt;"",$D661&lt;&gt;"",COUNTIF(Tables2!$B$73:$B$152,$C661)&gt;0,
$D661&gt;=IFERROR(INDEX(Tables2!$C$73:$C$152,MATCH($C661,Tables2!$B$73:$B$152,0)),-1)),
Error!$B$44,
IF(AND(_xlpm.baseRow,OR($E661="Tier 2",$E661="Tier 2 Grove"),$C661&lt;&gt;"",$D661&gt;=12,COUNTIF(Tables2!$B$153:$B$162,$C661)&gt;0),
Error!$B$45,
IF(AND(_xlpm.baseRow,$E661="Tier 2 Grove",$D661&lt;12),
Error!$B$41,
IF(AND(_xlpm.baseRow,$E661="Tier 2",$D661&lt;5.88),
Error!$B$40,
IF(AND(_xlpm.baseRow,OR($E661="Tier 2",$E661="Tier 2 Grove"),$C661&lt;&gt;"",$D661&lt;12,$D661&gt;=6,COUNTIF(Tables2!$B$153:$B$162,$C661)&gt;0),
Error!$B$54,
IF(AND(_xlpm.baseRow,$E661="Tier 2",COUNTIF(Tables2!$B$166:$B$674,$C661)&gt;0,$D661&lt;24),
Error!$B$54,
IF(AND(_xlpm.baseRow,$E661="Tier 3",ISNA(MATCH($C661,Tables2!$B$153:$B$162,0)),OR($D661&lt;12,$D661&gt;=24)),
Error!$B$9,
IF(AND(_xlpm.baseRow,$E661="Tier 3",COUNTIF(Tables2!$B$153:$B$162,$C661)&gt;0,$D661&lt;12),
Error!$B$46,
IF(AND(_xlpm.baseRow,$E661="Tier 4",OR($D661&lt;6,$D661&gt;=12)),
Error!$B$10,
IF(AND(_xlpm.baseRow,$E661="&lt;6in DSH for Tree Points",OR($D661&gt;=6,$D661="")),
Error!$B$8,
IF(AND(_xlpm.baseRow,$E661="Street Tree for Green Factor",$F661&lt;&gt;"",$F661&lt;&gt;"Retain"),
Error!$B$14,
IF(AND($E661="&lt;6in DSH for Tree Points",$F661="Retain",$H661&lt;&gt;"",ISNA(MATCH($H661,Tables!$B$174:$B$174,0))),
Error!$B$15,
IF(AND($E661="Street Tree for Green Factor",$F661="Retain",$H661&lt;&gt;"",$H661&lt;&gt;"Zoning: Green Factor"),
Error!$B$15,
IF(AND($E661="ECA / Shoreline Tree",$F661="Remove",$H661&lt;&gt;"",ISNA(MATCH($H661,Tables!$B$189:$B$190,0))),
Error!$B$15,
IF(AND($E661="ECA / Shoreline Tree",$F661="Retain",$H661&lt;&gt;"",ISNA(MATCH($H661,Tables!$B$184:$B$186,0))),
Error!$B$15,
IF(AND($E661="Tier 4",$F661="Remove",$H661&lt;&gt;"",ISNA(MATCH($H661,Tables!$B$171,0))),
Error!$B$15,
IF(AND($E661="Tier 4",$F661="Retain",$H661&lt;&gt;"",ISNA(MATCH($H661,Tables!$B$166:$B$168,0))),
Error!$B$15,
IF(AND($E661="Tier 3",$F661="Retain",$H661&lt;&gt;"",ISNA(MATCH($H661,Tables!$B$158:$B$160,0))),
Error!$B$15,
IF(AND($E661="Tier 3",$F661="Remove",$H661&lt;&gt;"",ISNA(MATCH($H661,Tables!$B$163,0))),
Error!$B$15,
IF(AND(OR($E661="Tier 2",$E661="Tier 2 Grove"),$F661="Remove",$H661&lt;&gt;"",ISNA(MATCH($H661,Tables!$B$153:$B$155,0))),
Error!$B$15,
IF(AND(OR($E661="Tier 2",$E661="Tier 2 Grove"),$F661="Retain",$H661&lt;&gt;"",ISNA(MATCH($H661,Tables!$B$147:$B$150,0))),
Error!$B$15,
IF(AND($E661="Tier 1",$F661="Remove",$H661&lt;&gt;"",ISNA(MATCH($H661,Tables!$B$143:$B$144,0))),
Error!$B$15,
IF(AND($E661="Tier 1",$F661="Retain",$H661&lt;&gt;"",ISNA(MATCH($H661,Tables!$B$137:$B$140,0))),
Error!$B$15,
IF(AND($E661&lt;&gt;"Tier 2",$E661&lt;&gt;"Tier 2 Grove",$E661&lt;&gt;"Tier 3",$E661&lt;&gt;"Tier 4",$H661="Zoning: Green Factor",OR($D661="",$D661&lt;6)),
Error!$B$11,
IF(AND(_xlpm.baseRow,$D661&lt;6,$E661="&lt;6in DSH for Tree Points",_xlpm.TreePoints_H=0),
Error!$B$21,
IF(AND(_xlpm.baseRow,$E661&lt;&gt;"",$D661&lt;&gt;"",$F661=""),
Error!$B$4,
IF(AND(_xlpm.baseRow,$F661="Remove",OR($E661="Tier 1",$E661="Tier 2",$E661="Tier 2 Grove"),COUNTBLANK(_xlpm.HRange)&lt;3,_xlpm.uniqueH&gt;=2),
Error!$B$48,
IF(AND(_xlpm.baseRow,$F661="Retain",OR($E661="Tier 1",$E661="Tier 2",$E661="Tier 2 Grove"),COUNTIF(_xlpm.HRange,"Tree Code: Required to Retain Tier 1-2 Tree")=0),
Error!$B$47,
IF(AND(_xlpm.baseRow,$E661&lt;&gt;"",$D661&lt;&gt;"",$F661&lt;&gt;"",COUNTBLANK(_xlpm.HRange)=4),
Error!$B$5,
IF(AND($F661="Remove",$H661&lt;&gt;"",$I661=""),
Error!$B$18,
IF(AND($E661="Tier 4",$F661="Remove",$H661="Tree Protection Code: Tier 3 or Tier 4 Allowance",$H661&lt;&gt;"",ISNA(MATCH($I661,Tables!$B$200,0))),
Error!$B$17,
IF(AND($E661="Tier 3",$F661="Remove",$H661&lt;&gt;"",$H661="Tree Protection Code: Tier 3 or Tier 4 Allowance",OR($I661="",ISNA(MATCH($I661,Tables!$B$193:$B$197,0)))),
Error!$B$17,
IF(AND(OR($E661="Tier 2",$E661="Tier 2 Grove"),$F661="Remove",$H661="Tree Protection Code: Other removal allowance or exemption",$I661&lt;&gt;"",ISNA(MATCH($I661,Tables!$B$215:$B$218,0))),
Error!$B$17,
IF(AND(OR($E661="Tier 2",$E661="Tier 2 Grove"),$F661="Remove",$H661="Tree Protection Code: Development Capacity",$I661&lt;&gt;"",ISNA(MATCH($I661,Tables!$B$193:$B$197,0))),
Error!$B$17,
IF(AND(OR($E661="Tier 2",$E661="Tier 2 Grove"),$F661="Remove",$H661="Tree Protection Code: Necessary for Construction",$I661&lt;&gt;"",ISNA(MATCH($I661,Tables!$B$193:$B$197,0))),
Error!$B$17,
IF(AND($E661="Tier 1",$F661="Remove",$H661="Tree Protection Code: Special Exception",$I661&lt;&gt;"",ISNA(MATCH($I661,Tables!$B$215:$B$218,0))),
Error!$B$17,
IF(AND($E661="Tier 1",$F661="Remove",$H661="Tree Protection Code: Other removal allowance or exemption",$I661&lt;&gt;"",ISNA(MATCH($I661,Tables!$B$215:$B$218,0))),
Error!$B$17,
IF(AND($E661="ECA / Shoreline Tree",$F661="Remove",$H661&lt;&gt;"",OR($H661="Shoreline",$H661="Environmental Critical Area (ECA)"),ISNA(MATCH($I661,Tables!$B$209:$B$212,0))),
Error!$B$17,
IF(AND(_xlpm.baseRow,$F661="Retain",$E661="ECA / Shoreline Tree",_xlpm.ECA_Short=0),
Error!$B$61,
IF(AND($F661="Remove",ISNUMBER(MATCH($E661,{"Tier 1","Tier 2","Tier 3","Tier 4","Tier 2 Grove"},0)),ISNUMBER(MATCH($I661,{"On-site replacement","Off-site replacement"},0)),$J661="",$H661&lt;&gt;""),
Error!$B$19,
IF(AND(_xlpm.baseRow,$E661&lt;&gt;"",$D661&lt;&gt;"",$F661&lt;&gt;"",COUNTBLANK($B661:$C661)&gt;0,COUNTBLANK(_xlpm.HRange)&lt;&gt;4),
Error!$B$22,
IF(AND($H661="Zoning: Tree Points",$K661&lt;&gt;"",ISNA(MATCH($K661,Tables!$B$242:$B$253,0))),
Error!$B$58,
IF(AND($H661="Zoning: Tree Points",$K661="Small",$L661&lt;&gt;"",ISNA(MATCH($L661,Tables!$C$243:$C$244,0))),
Error!$B$59,
IF(AND($H661="Zoning: Tree Points",$K661="Small/Medium",$L661&lt;&gt;"",ISNA(MATCH($L661,Tables!$C$246:$C$247,0))),
Error!$B$59,
IF(AND($H661="Zoning: Tree Points",$K661="Medium/Large",$L661&lt;&gt;"",ISNA(MATCH($L661,Tables!$C$249:$C$250,0))),
Error!$B$59,
IF(AND($H661="Zoning: Tree Points",$K661="Large",$L661&lt;&gt;"",ISNA(MATCH($L661,Tables!$C$252:$C$253,0))),
Error!$B$59,
IF(AND($F661="Retain",$H661="Zoning: Tree Points",$C661&lt;&gt;"",$D661&lt;&gt;"",OR($K661="",$L661="",$M661="")),
Error!$B$20,
""
)))))))))))))))))))))))))))))))))))))))))))))))))))))))),
Error!$B$23))</f>
        <v/>
      </c>
      <c r="O661" s="343" t="str" cm="1">
        <f t="array" aca="1" ref="O661" ca="1">IFERROR(_xlfn.LET(
    _xlpm.txt, $C661,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62" spans="1:15" ht="15" thickBot="1" x14ac:dyDescent="0.35">
      <c r="A662" s="331"/>
      <c r="B662" s="616" t="str">
        <f t="shared" si="776"/>
        <v/>
      </c>
      <c r="C662" s="617" t="str">
        <f t="shared" si="777"/>
        <v/>
      </c>
      <c r="D662" s="618" t="str">
        <f t="shared" si="778"/>
        <v/>
      </c>
      <c r="E662" s="616" t="str">
        <f t="shared" si="779"/>
        <v/>
      </c>
      <c r="F662" s="616" t="str">
        <f t="shared" si="780"/>
        <v/>
      </c>
      <c r="G662" s="619" t="str">
        <f>IF(Tree_Table1[[#This Row],[Tree Status  &amp;]]="Retain", Tables!$B$237, IF(Tree_Table1[[#This Row],[Tree Status  &amp;]]="Remove", Tables!$B$238, ""))</f>
        <v/>
      </c>
      <c r="H662" s="329"/>
      <c r="I662" s="330"/>
      <c r="J662" s="455"/>
      <c r="K662" s="327" t="str">
        <f>IFERROR(
    IF(
        AND($H662="Zoning: Tree Points", NOT(ISNUMBER(SEARCH("sp.", $C662)))),
        VLOOKUP($C662, 'Tree List'!$C$3:$F$601, 4, FALSE),
        ""
    ),
"")</f>
        <v/>
      </c>
      <c r="L662" s="328" t="str" cm="1">
        <f t="array" ref="L662">IFERROR(
IF(
    AND($H662="Zoning: Tree Points", NOT(ISNUMBER(SEARCH("sp.", $C662)))),
    _xlfn.IFS(
        (COUNTIFS('Tree List'!$C$3:$C$601,$C662,'Tree List'!$D$3:$D$601,"Coniferous")
        + COUNTIFS('Tree List'!$C$3:$C$601,$C662,'Tree List'!$D$3:$D$601,"Deciduous Conifer")) &gt; 0,
            _xlfn.IFS($K662="Small",0.5,$K662="Small/Medium",1,$K662="Medium/Large",1.4,$K662="Large",1.8),
        (COUNTIFS('Tree List'!$C$3:$C$601,$C662,'Tree List'!$D$3:$D$601,"Deciduous")
        + COUNTIFS('Tree List'!$C$3:$C$601,$C662,'Tree List'!$D$3:$D$601,"Broadleaf Evergreen")) &gt; 0,
            _xlfn.IFS($K662="Small",0.4,$K662="Small/Medium",0.8,$K662="Medium/Large",1.2,$K662="Large",1.6)
    ),
    ""
),
"")</f>
        <v/>
      </c>
      <c r="M662" s="476" t="str">
        <f t="shared" si="735"/>
        <v/>
      </c>
      <c r="N662" s="347" t="str" cm="1">
        <f t="array" aca="1" ref="N66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IF(AND(_xlpm.baseRow,ISNA(MATCH($C662,'Tree List'!$C$3:$C$601,0)),SUMPRODUCT(--ISNUMBER(SEARCH(Tables2!$C$677:$C$772,$O662)))&gt;0),
Error!$B$57,
IF(AND(_xlpm.hasDM,$F662="Remove",$H662&lt;&gt;"",OR($I662="On-site replacement",$I662="Off-site replacement",$I662="Payment In Lieu")),
Error!$B$56,
IF(AND(_xlpm.hasDM,$F662="Remove",$H662&lt;&gt;"",$I662="Relocation"),
Error!$B$66,
IF(AND(OR(_xlpm.hasCN,_xlpm.hasPH,_xlpm.hasGR),$H662&lt;&gt;"",COUNTIF(Tables!$B$132:$B$134,$H662)&gt;0,$I662="N/A (No replacement required)"),
Error!$B$62,
IF(AND(_xlpm.baseRow,$E662&lt;&gt;"",ISNA(MATCH($E662,Tables!$B$225:$B$232,0))),
Error!$B$2,
IF(AND(_xlpm.baseRow,$F662&lt;&gt;"",ISNA(MATCH($F662,Tables!$B$234:$B$235,0))),
Error!$B$24,
IF(AND(_xlpm.baseRow,_xlpm.ECA_H&gt;0,_xlpm.Shore_H&gt;0),
Error!$B$16,
IF(AND(_xlpm.baseRow,$E662&lt;&gt;"",$D662=""),
Error!$B$3,
IF(AND(_xlpm.baseRow,OR($E662="Tier 3",$E662="Tier 4"),$C662&lt;&gt;"",$D662&gt;=24,COUNTIF(Tables2!$B$166:$B$674,$C662)&gt;0),
Error!$B$44,
IF(AND(_xlpm.baseRow,OR($E662="Tier 3",$E662="Tier 4"),$C662&lt;&gt;"",$D662&lt;&gt;"",COUNTIF(Tables2!$B$73:$B$152,$C662)&gt;0,
$D662&gt;=IFERROR(INDEX(Tables2!$C$73:$C$152,MATCH($C662,Tables2!$B$73:$B$152,0)),-1)),
Error!$B$44,
IF(AND(_xlpm.baseRow,OR($E662="Tier 2",$E662="Tier 2 Grove"),$C662&lt;&gt;"",$D662&gt;=12,COUNTIF(Tables2!$B$153:$B$162,$C662)&gt;0),
Error!$B$45,
IF(AND(_xlpm.baseRow,$E662="Tier 2 Grove",$D662&lt;12),
Error!$B$41,
IF(AND(_xlpm.baseRow,$E662="Tier 2",$D662&lt;5.88),
Error!$B$40,
IF(AND(_xlpm.baseRow,OR($E662="Tier 2",$E662="Tier 2 Grove"),$C662&lt;&gt;"",$D662&lt;12,$D662&gt;=6,COUNTIF(Tables2!$B$153:$B$162,$C662)&gt;0),
Error!$B$54,
IF(AND(_xlpm.baseRow,$E662="Tier 2",COUNTIF(Tables2!$B$166:$B$674,$C662)&gt;0,$D662&lt;24),
Error!$B$54,
IF(AND(_xlpm.baseRow,$E662="Tier 3",ISNA(MATCH($C662,Tables2!$B$153:$B$162,0)),OR($D662&lt;12,$D662&gt;=24)),
Error!$B$9,
IF(AND(_xlpm.baseRow,$E662="Tier 3",COUNTIF(Tables2!$B$153:$B$162,$C662)&gt;0,$D662&lt;12),
Error!$B$46,
IF(AND(_xlpm.baseRow,$E662="Tier 4",OR($D662&lt;6,$D662&gt;=12)),
Error!$B$10,
IF(AND(_xlpm.baseRow,$E662="&lt;6in DSH for Tree Points",OR($D662&gt;=6,$D662="")),
Error!$B$8,
IF(AND(_xlpm.baseRow,$E662="Street Tree for Green Factor",$F662&lt;&gt;"",$F662&lt;&gt;"Retain"),
Error!$B$14,
IF(AND($E662="&lt;6in DSH for Tree Points",$F662="Retain",$H662&lt;&gt;"",ISNA(MATCH($H662,Tables!$B$174:$B$174,0))),
Error!$B$15,
IF(AND($E662="Street Tree for Green Factor",$F662="Retain",$H662&lt;&gt;"",$H662&lt;&gt;"Zoning: Green Factor"),
Error!$B$15,
IF(AND($E662="ECA / Shoreline Tree",$F662="Remove",$H662&lt;&gt;"",ISNA(MATCH($H662,Tables!$B$189:$B$190,0))),
Error!$B$15,
IF(AND($E662="ECA / Shoreline Tree",$F662="Retain",$H662&lt;&gt;"",ISNA(MATCH($H662,Tables!$B$184:$B$186,0))),
Error!$B$15,
IF(AND($E662="Tier 4",$F662="Remove",$H662&lt;&gt;"",ISNA(MATCH($H662,Tables!$B$171,0))),
Error!$B$15,
IF(AND($E662="Tier 4",$F662="Retain",$H662&lt;&gt;"",ISNA(MATCH($H662,Tables!$B$166:$B$168,0))),
Error!$B$15,
IF(AND($E662="Tier 3",$F662="Retain",$H662&lt;&gt;"",ISNA(MATCH($H662,Tables!$B$158:$B$160,0))),
Error!$B$15,
IF(AND($E662="Tier 3",$F662="Remove",$H662&lt;&gt;"",ISNA(MATCH($H662,Tables!$B$163,0))),
Error!$B$15,
IF(AND(OR($E662="Tier 2",$E662="Tier 2 Grove"),$F662="Remove",$H662&lt;&gt;"",ISNA(MATCH($H662,Tables!$B$153:$B$155,0))),
Error!$B$15,
IF(AND(OR($E662="Tier 2",$E662="Tier 2 Grove"),$F662="Retain",$H662&lt;&gt;"",ISNA(MATCH($H662,Tables!$B$147:$B$150,0))),
Error!$B$15,
IF(AND($E662="Tier 1",$F662="Remove",$H662&lt;&gt;"",ISNA(MATCH($H662,Tables!$B$143:$B$144,0))),
Error!$B$15,
IF(AND($E662="Tier 1",$F662="Retain",$H662&lt;&gt;"",ISNA(MATCH($H662,Tables!$B$137:$B$140,0))),
Error!$B$15,
IF(AND($E662&lt;&gt;"Tier 2",$E662&lt;&gt;"Tier 2 Grove",$E662&lt;&gt;"Tier 3",$E662&lt;&gt;"Tier 4",$H662="Zoning: Green Factor",OR($D662="",$D662&lt;6)),
Error!$B$11,
IF(AND(_xlpm.baseRow,$D662&lt;6,$E662="&lt;6in DSH for Tree Points",_xlpm.TreePoints_H=0),
Error!$B$21,
IF(AND(_xlpm.baseRow,$E662&lt;&gt;"",$D662&lt;&gt;"",$F662=""),
Error!$B$4,
IF(AND(_xlpm.baseRow,$F662="Remove",OR($E662="Tier 1",$E662="Tier 2",$E662="Tier 2 Grove"),COUNTBLANK(_xlpm.HRange)&lt;3,_xlpm.uniqueH&gt;=2),
Error!$B$48,
IF(AND(_xlpm.baseRow,$F662="Retain",OR($E662="Tier 1",$E662="Tier 2",$E662="Tier 2 Grove"),COUNTIF(_xlpm.HRange,"Tree Code: Required to Retain Tier 1-2 Tree")=0),
Error!$B$47,
IF(AND(_xlpm.baseRow,$E662&lt;&gt;"",$D662&lt;&gt;"",$F662&lt;&gt;"",COUNTBLANK(_xlpm.HRange)=4),
Error!$B$5,
IF(AND($F662="Remove",$H662&lt;&gt;"",$I662=""),
Error!$B$18,
IF(AND($E662="Tier 4",$F662="Remove",$H662="Tree Protection Code: Tier 3 or Tier 4 Allowance",$H662&lt;&gt;"",ISNA(MATCH($I662,Tables!$B$200,0))),
Error!$B$17,
IF(AND($E662="Tier 3",$F662="Remove",$H662&lt;&gt;"",$H662="Tree Protection Code: Tier 3 or Tier 4 Allowance",OR($I662="",ISNA(MATCH($I662,Tables!$B$193:$B$197,0)))),
Error!$B$17,
IF(AND(OR($E662="Tier 2",$E662="Tier 2 Grove"),$F662="Remove",$H662="Tree Protection Code: Other removal allowance or exemption",$I662&lt;&gt;"",ISNA(MATCH($I662,Tables!$B$215:$B$218,0))),
Error!$B$17,
IF(AND(OR($E662="Tier 2",$E662="Tier 2 Grove"),$F662="Remove",$H662="Tree Protection Code: Development Capacity",$I662&lt;&gt;"",ISNA(MATCH($I662,Tables!$B$193:$B$197,0))),
Error!$B$17,
IF(AND(OR($E662="Tier 2",$E662="Tier 2 Grove"),$F662="Remove",$H662="Tree Protection Code: Necessary for Construction",$I662&lt;&gt;"",ISNA(MATCH($I662,Tables!$B$193:$B$197,0))),
Error!$B$17,
IF(AND($E662="Tier 1",$F662="Remove",$H662="Tree Protection Code: Special Exception",$I662&lt;&gt;"",ISNA(MATCH($I662,Tables!$B$215:$B$218,0))),
Error!$B$17,
IF(AND($E662="Tier 1",$F662="Remove",$H662="Tree Protection Code: Other removal allowance or exemption",$I662&lt;&gt;"",ISNA(MATCH($I662,Tables!$B$215:$B$218,0))),
Error!$B$17,
IF(AND($E662="ECA / Shoreline Tree",$F662="Remove",$H662&lt;&gt;"",OR($H662="Shoreline",$H662="Environmental Critical Area (ECA)"),ISNA(MATCH($I662,Tables!$B$209:$B$212,0))),
Error!$B$17,
IF(AND(_xlpm.baseRow,$F662="Retain",$E662="ECA / Shoreline Tree",_xlpm.ECA_Short=0),
Error!$B$61,
IF(AND($F662="Remove",ISNUMBER(MATCH($E662,{"Tier 1","Tier 2","Tier 3","Tier 4","Tier 2 Grove"},0)),ISNUMBER(MATCH($I662,{"On-site replacement","Off-site replacement"},0)),$J662="",$H662&lt;&gt;""),
Error!$B$19,
IF(AND(_xlpm.baseRow,$E662&lt;&gt;"",$D662&lt;&gt;"",$F662&lt;&gt;"",COUNTBLANK($B662:$C662)&gt;0,COUNTBLANK(_xlpm.HRange)&lt;&gt;4),
Error!$B$22,
IF(AND($H662="Zoning: Tree Points",$K662&lt;&gt;"",ISNA(MATCH($K662,Tables!$B$242:$B$253,0))),
Error!$B$58,
IF(AND($H662="Zoning: Tree Points",$K662="Small",$L662&lt;&gt;"",ISNA(MATCH($L662,Tables!$C$243:$C$244,0))),
Error!$B$59,
IF(AND($H662="Zoning: Tree Points",$K662="Small/Medium",$L662&lt;&gt;"",ISNA(MATCH($L662,Tables!$C$246:$C$247,0))),
Error!$B$59,
IF(AND($H662="Zoning: Tree Points",$K662="Medium/Large",$L662&lt;&gt;"",ISNA(MATCH($L662,Tables!$C$249:$C$250,0))),
Error!$B$59,
IF(AND($H662="Zoning: Tree Points",$K662="Large",$L662&lt;&gt;"",ISNA(MATCH($L662,Tables!$C$252:$C$253,0))),
Error!$B$59,
IF(AND($F662="Retain",$H662="Zoning: Tree Points",$C662&lt;&gt;"",$D662&lt;&gt;"",OR($K662="",$L662="",$M662="")),
Error!$B$20,
""
)))))))))))))))))))))))))))))))))))))))))))))))))))))))),
Error!$B$23))</f>
        <v/>
      </c>
      <c r="O662" s="343" t="str" cm="1">
        <f t="array" aca="1" ref="O662" ca="1">IFERROR(_xlfn.LET(
    _xlpm.txt, $C662,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63" spans="1:15" ht="15" thickBot="1" x14ac:dyDescent="0.35">
      <c r="A663" s="311">
        <v>164</v>
      </c>
      <c r="B663" s="312"/>
      <c r="C663" s="313"/>
      <c r="D663" s="478"/>
      <c r="E663" s="314"/>
      <c r="F663" s="314"/>
      <c r="G663" s="315" t="str">
        <f>IF(Tree_Table1[[#This Row],[Tree Status  &amp;]]="Retain", Tables!$B$237, IF(Tree_Table1[[#This Row],[Tree Status  &amp;]]="Remove", Tables!$B$238, ""))</f>
        <v/>
      </c>
      <c r="H663" s="316"/>
      <c r="I663" s="317"/>
      <c r="J663" s="452"/>
      <c r="K663" s="318" t="str">
        <f>IFERROR(
    IF(
        AND($H663="Zoning: Tree Points", NOT(ISNUMBER(SEARCH("sp.", $C663)))),
        VLOOKUP($C663, 'Tree List'!$C$3:$F$601, 4, FALSE),
        ""
    ),
"")</f>
        <v/>
      </c>
      <c r="L663" s="319" t="str" cm="1">
        <f t="array" ref="L663">IFERROR(
IF(
    AND($H663="Zoning: Tree Points", NOT(ISNUMBER(SEARCH("sp.", $C663)))),
    _xlfn.IFS(
        (COUNTIFS('Tree List'!$C$3:$C$601,$C663,'Tree List'!$D$3:$D$601,"Coniferous")
        + COUNTIFS('Tree List'!$C$3:$C$601,$C663,'Tree List'!$D$3:$D$601,"Deciduous Conifer")) &gt; 0,
            _xlfn.IFS($K663="Small",0.5,$K663="Small/Medium",1,$K663="Medium/Large",1.4,$K663="Large",1.8),
        (COUNTIFS('Tree List'!$C$3:$C$601,$C663,'Tree List'!$D$3:$D$601,"Deciduous")
        + COUNTIFS('Tree List'!$C$3:$C$601,$C663,'Tree List'!$D$3:$D$601,"Broadleaf Evergreen")) &gt; 0,
            _xlfn.IFS($K663="Small",0.4,$K663="Small/Medium",0.8,$K663="Medium/Large",1.2,$K663="Large",1.6)
    ),
    ""
),
"")</f>
        <v/>
      </c>
      <c r="M663" s="474" t="str">
        <f t="shared" si="735"/>
        <v/>
      </c>
      <c r="N663" s="620" t="str" cm="1">
        <f t="array" aca="1" ref="N66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IF(AND(_xlpm.baseRow,ISNA(MATCH($C663,'Tree List'!$C$3:$C$601,0)),SUMPRODUCT(--ISNUMBER(SEARCH(Tables2!$C$677:$C$772,$O663)))&gt;0),
Error!$B$57,
IF(AND(_xlpm.hasDM,$F663="Remove",$H663&lt;&gt;"",OR($I663="On-site replacement",$I663="Off-site replacement",$I663="Payment In Lieu")),
Error!$B$56,
IF(AND(_xlpm.hasDM,$F663="Remove",$H663&lt;&gt;"",$I663="Relocation"),
Error!$B$66,
IF(AND(OR(_xlpm.hasCN,_xlpm.hasPH,_xlpm.hasGR),$H663&lt;&gt;"",COUNTIF(Tables!$B$132:$B$134,$H663)&gt;0,$I663="N/A (No replacement required)"),
Error!$B$62,
IF(AND(_xlpm.baseRow,$E663&lt;&gt;"",ISNA(MATCH($E663,Tables!$B$225:$B$232,0))),
Error!$B$2,
IF(AND(_xlpm.baseRow,$F663&lt;&gt;"",ISNA(MATCH($F663,Tables!$B$234:$B$235,0))),
Error!$B$24,
IF(AND(_xlpm.baseRow,_xlpm.ECA_H&gt;0,_xlpm.Shore_H&gt;0),
Error!$B$16,
IF(AND(_xlpm.baseRow,$E663&lt;&gt;"",$D663=""),
Error!$B$3,
IF(AND(_xlpm.baseRow,OR($E663="Tier 3",$E663="Tier 4"),$C663&lt;&gt;"",$D663&gt;=24,COUNTIF(Tables2!$B$166:$B$674,$C663)&gt;0),
Error!$B$44,
IF(AND(_xlpm.baseRow,OR($E663="Tier 3",$E663="Tier 4"),$C663&lt;&gt;"",$D663&lt;&gt;"",COUNTIF(Tables2!$B$73:$B$152,$C663)&gt;0,
$D663&gt;=IFERROR(INDEX(Tables2!$C$73:$C$152,MATCH($C663,Tables2!$B$73:$B$152,0)),-1)),
Error!$B$44,
IF(AND(_xlpm.baseRow,OR($E663="Tier 2",$E663="Tier 2 Grove"),$C663&lt;&gt;"",$D663&gt;=12,COUNTIF(Tables2!$B$153:$B$162,$C663)&gt;0),
Error!$B$45,
IF(AND(_xlpm.baseRow,$E663="Tier 2 Grove",$D663&lt;12),
Error!$B$41,
IF(AND(_xlpm.baseRow,$E663="Tier 2",$D663&lt;5.88),
Error!$B$40,
IF(AND(_xlpm.baseRow,OR($E663="Tier 2",$E663="Tier 2 Grove"),$C663&lt;&gt;"",$D663&lt;12,$D663&gt;=6,COUNTIF(Tables2!$B$153:$B$162,$C663)&gt;0),
Error!$B$54,
IF(AND(_xlpm.baseRow,$E663="Tier 2",COUNTIF(Tables2!$B$166:$B$674,$C663)&gt;0,$D663&lt;24),
Error!$B$54,
IF(AND(_xlpm.baseRow,$E663="Tier 3",ISNA(MATCH($C663,Tables2!$B$153:$B$162,0)),OR($D663&lt;12,$D663&gt;=24)),
Error!$B$9,
IF(AND(_xlpm.baseRow,$E663="Tier 3",COUNTIF(Tables2!$B$153:$B$162,$C663)&gt;0,$D663&lt;12),
Error!$B$46,
IF(AND(_xlpm.baseRow,$E663="Tier 4",OR($D663&lt;6,$D663&gt;=12)),
Error!$B$10,
IF(AND(_xlpm.baseRow,$E663="&lt;6in DSH for Tree Points",OR($D663&gt;=6,$D663="")),
Error!$B$8,
IF(AND(_xlpm.baseRow,$E663="Street Tree for Green Factor",$F663&lt;&gt;"",$F663&lt;&gt;"Retain"),
Error!$B$14,
IF(AND($E663="&lt;6in DSH for Tree Points",$F663="Retain",$H663&lt;&gt;"",ISNA(MATCH($H663,Tables!$B$174:$B$174,0))),
Error!$B$15,
IF(AND($E663="Street Tree for Green Factor",$F663="Retain",$H663&lt;&gt;"",$H663&lt;&gt;"Zoning: Green Factor"),
Error!$B$15,
IF(AND($E663="ECA / Shoreline Tree",$F663="Remove",$H663&lt;&gt;"",ISNA(MATCH($H663,Tables!$B$189:$B$190,0))),
Error!$B$15,
IF(AND($E663="ECA / Shoreline Tree",$F663="Retain",$H663&lt;&gt;"",ISNA(MATCH($H663,Tables!$B$184:$B$186,0))),
Error!$B$15,
IF(AND($E663="Tier 4",$F663="Remove",$H663&lt;&gt;"",ISNA(MATCH($H663,Tables!$B$171,0))),
Error!$B$15,
IF(AND($E663="Tier 4",$F663="Retain",$H663&lt;&gt;"",ISNA(MATCH($H663,Tables!$B$166:$B$168,0))),
Error!$B$15,
IF(AND($E663="Tier 3",$F663="Retain",$H663&lt;&gt;"",ISNA(MATCH($H663,Tables!$B$158:$B$160,0))),
Error!$B$15,
IF(AND($E663="Tier 3",$F663="Remove",$H663&lt;&gt;"",ISNA(MATCH($H663,Tables!$B$163,0))),
Error!$B$15,
IF(AND(OR($E663="Tier 2",$E663="Tier 2 Grove"),$F663="Remove",$H663&lt;&gt;"",ISNA(MATCH($H663,Tables!$B$153:$B$155,0))),
Error!$B$15,
IF(AND(OR($E663="Tier 2",$E663="Tier 2 Grove"),$F663="Retain",$H663&lt;&gt;"",ISNA(MATCH($H663,Tables!$B$147:$B$150,0))),
Error!$B$15,
IF(AND($E663="Tier 1",$F663="Remove",$H663&lt;&gt;"",ISNA(MATCH($H663,Tables!$B$143:$B$144,0))),
Error!$B$15,
IF(AND($E663="Tier 1",$F663="Retain",$H663&lt;&gt;"",ISNA(MATCH($H663,Tables!$B$137:$B$140,0))),
Error!$B$15,
IF(AND($E663&lt;&gt;"Tier 2",$E663&lt;&gt;"Tier 2 Grove",$E663&lt;&gt;"Tier 3",$E663&lt;&gt;"Tier 4",$H663="Zoning: Green Factor",OR($D663="",$D663&lt;6)),
Error!$B$11,
IF(AND(_xlpm.baseRow,$D663&lt;6,$E663="&lt;6in DSH for Tree Points",_xlpm.TreePoints_H=0),
Error!$B$21,
IF(AND(_xlpm.baseRow,$E663&lt;&gt;"",$D663&lt;&gt;"",$F663=""),
Error!$B$4,
IF(AND(_xlpm.baseRow,$F663="Remove",OR($E663="Tier 1",$E663="Tier 2",$E663="Tier 2 Grove"),COUNTBLANK(_xlpm.HRange)&lt;3,_xlpm.uniqueH&gt;=2),
Error!$B$48,
IF(AND(_xlpm.baseRow,$F663="Retain",OR($E663="Tier 1",$E663="Tier 2",$E663="Tier 2 Grove"),COUNTIF(_xlpm.HRange,"Tree Code: Required to Retain Tier 1-2 Tree")=0),
Error!$B$47,
IF(AND(_xlpm.baseRow,$E663&lt;&gt;"",$D663&lt;&gt;"",$F663&lt;&gt;"",COUNTBLANK(_xlpm.HRange)=4),
Error!$B$5,
IF(AND($F663="Remove",$H663&lt;&gt;"",$I663=""),
Error!$B$18,
IF(AND($E663="Tier 4",$F663="Remove",$H663="Tree Protection Code: Tier 3 or Tier 4 Allowance",$H663&lt;&gt;"",ISNA(MATCH($I663,Tables!$B$200,0))),
Error!$B$17,
IF(AND($E663="Tier 3",$F663="Remove",$H663&lt;&gt;"",$H663="Tree Protection Code: Tier 3 or Tier 4 Allowance",OR($I663="",ISNA(MATCH($I663,Tables!$B$193:$B$197,0)))),
Error!$B$17,
IF(AND(OR($E663="Tier 2",$E663="Tier 2 Grove"),$F663="Remove",$H663="Tree Protection Code: Other removal allowance or exemption",$I663&lt;&gt;"",ISNA(MATCH($I663,Tables!$B$215:$B$218,0))),
Error!$B$17,
IF(AND(OR($E663="Tier 2",$E663="Tier 2 Grove"),$F663="Remove",$H663="Tree Protection Code: Development Capacity",$I663&lt;&gt;"",ISNA(MATCH($I663,Tables!$B$193:$B$197,0))),
Error!$B$17,
IF(AND(OR($E663="Tier 2",$E663="Tier 2 Grove"),$F663="Remove",$H663="Tree Protection Code: Necessary for Construction",$I663&lt;&gt;"",ISNA(MATCH($I663,Tables!$B$193:$B$197,0))),
Error!$B$17,
IF(AND($E663="Tier 1",$F663="Remove",$H663="Tree Protection Code: Special Exception",$I663&lt;&gt;"",ISNA(MATCH($I663,Tables!$B$215:$B$218,0))),
Error!$B$17,
IF(AND($E663="Tier 1",$F663="Remove",$H663="Tree Protection Code: Other removal allowance or exemption",$I663&lt;&gt;"",ISNA(MATCH($I663,Tables!$B$215:$B$218,0))),
Error!$B$17,
IF(AND($E663="ECA / Shoreline Tree",$F663="Remove",$H663&lt;&gt;"",OR($H663="Shoreline",$H663="Environmental Critical Area (ECA)"),ISNA(MATCH($I663,Tables!$B$209:$B$212,0))),
Error!$B$17,
IF(AND(_xlpm.baseRow,$F663="Retain",$E663="ECA / Shoreline Tree",_xlpm.ECA_Short=0),
Error!$B$61,
IF(AND($F663="Remove",ISNUMBER(MATCH($E663,{"Tier 1","Tier 2","Tier 3","Tier 4","Tier 2 Grove"},0)),ISNUMBER(MATCH($I663,{"On-site replacement","Off-site replacement"},0)),$J663="",$H663&lt;&gt;""),
Error!$B$19,
IF(AND(_xlpm.baseRow,$E663&lt;&gt;"",$D663&lt;&gt;"",$F663&lt;&gt;"",COUNTBLANK($B663:$C663)&gt;0,COUNTBLANK(_xlpm.HRange)&lt;&gt;4),
Error!$B$22,
IF(AND($H663="Zoning: Tree Points",$K663&lt;&gt;"",ISNA(MATCH($K663,Tables!$B$242:$B$253,0))),
Error!$B$58,
IF(AND($H663="Zoning: Tree Points",$K663="Small",$L663&lt;&gt;"",ISNA(MATCH($L663,Tables!$C$243:$C$244,0))),
Error!$B$59,
IF(AND($H663="Zoning: Tree Points",$K663="Small/Medium",$L663&lt;&gt;"",ISNA(MATCH($L663,Tables!$C$246:$C$247,0))),
Error!$B$59,
IF(AND($H663="Zoning: Tree Points",$K663="Medium/Large",$L663&lt;&gt;"",ISNA(MATCH($L663,Tables!$C$249:$C$250,0))),
Error!$B$59,
IF(AND($H663="Zoning: Tree Points",$K663="Large",$L663&lt;&gt;"",ISNA(MATCH($L663,Tables!$C$252:$C$253,0))),
Error!$B$59,
IF(AND($F663="Retain",$H663="Zoning: Tree Points",$C663&lt;&gt;"",$D663&lt;&gt;"",OR($K663="",$L663="",$M663="")),
Error!$B$20,
""
)))))))))))))))))))))))))))))))))))))))))))))))))))))))),
Error!$B$23))</f>
        <v/>
      </c>
      <c r="O663" s="343" t="str" cm="1">
        <f t="array" aca="1" ref="O663" ca="1">IFERROR(_xlfn.LET(
    _xlpm.txt, $C663,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64" spans="1:15" x14ac:dyDescent="0.3">
      <c r="A664" s="320"/>
      <c r="B664" s="616" t="str">
        <f t="shared" ref="B664:B666" si="781">IF($B663="", "", $B663)</f>
        <v/>
      </c>
      <c r="C664" s="617" t="str">
        <f t="shared" ref="C664:C666" si="782">IF($C663="", "", $C663)</f>
        <v/>
      </c>
      <c r="D664" s="618" t="str">
        <f t="shared" ref="D664:D666" si="783">IF($D663="", "", $D663)</f>
        <v/>
      </c>
      <c r="E664" s="616" t="str">
        <f t="shared" ref="E664:E666" si="784">IF($E663="", "", $E663)</f>
        <v/>
      </c>
      <c r="F664" s="616" t="str">
        <f t="shared" ref="F664:F666" si="785">IF($F663="", "", $F663)</f>
        <v/>
      </c>
      <c r="G664" s="619" t="str">
        <f>IF(Tree_Table1[[#This Row],[Tree Status  &amp;]]="Retain", Tables!$B$237, IF(Tree_Table1[[#This Row],[Tree Status  &amp;]]="Remove", Tables!$B$238, ""))</f>
        <v/>
      </c>
      <c r="H664" s="321"/>
      <c r="I664" s="322"/>
      <c r="J664" s="453"/>
      <c r="K664" s="323" t="str">
        <f>IFERROR(
    IF(
        AND($H664="Zoning: Tree Points", NOT(ISNUMBER(SEARCH("sp.", $C664)))),
        VLOOKUP($C664, 'Tree List'!$C$3:$F$601, 4, FALSE),
        ""
    ),
"")</f>
        <v/>
      </c>
      <c r="L664" s="324" t="str" cm="1">
        <f t="array" ref="L664">IFERROR(
IF(
    AND($H664="Zoning: Tree Points", NOT(ISNUMBER(SEARCH("sp.", $C664)))),
    _xlfn.IFS(
        (COUNTIFS('Tree List'!$C$3:$C$601,$C664,'Tree List'!$D$3:$D$601,"Coniferous")
        + COUNTIFS('Tree List'!$C$3:$C$601,$C664,'Tree List'!$D$3:$D$601,"Deciduous Conifer")) &gt; 0,
            _xlfn.IFS($K664="Small",0.5,$K664="Small/Medium",1,$K664="Medium/Large",1.4,$K664="Large",1.8),
        (COUNTIFS('Tree List'!$C$3:$C$601,$C664,'Tree List'!$D$3:$D$601,"Deciduous")
        + COUNTIFS('Tree List'!$C$3:$C$601,$C664,'Tree List'!$D$3:$D$601,"Broadleaf Evergreen")) &gt; 0,
            _xlfn.IFS($K664="Small",0.4,$K664="Small/Medium",0.8,$K664="Medium/Large",1.2,$K664="Large",1.6)
    ),
    ""
),
"")</f>
        <v/>
      </c>
      <c r="M664" s="475" t="str">
        <f t="shared" si="735"/>
        <v/>
      </c>
      <c r="N664" s="346" t="str" cm="1">
        <f t="array" aca="1" ref="N66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IF(AND(_xlpm.baseRow,ISNA(MATCH($C664,'Tree List'!$C$3:$C$601,0)),SUMPRODUCT(--ISNUMBER(SEARCH(Tables2!$C$677:$C$772,$O664)))&gt;0),
Error!$B$57,
IF(AND(_xlpm.hasDM,$F664="Remove",$H664&lt;&gt;"",OR($I664="On-site replacement",$I664="Off-site replacement",$I664="Payment In Lieu")),
Error!$B$56,
IF(AND(_xlpm.hasDM,$F664="Remove",$H664&lt;&gt;"",$I664="Relocation"),
Error!$B$66,
IF(AND(OR(_xlpm.hasCN,_xlpm.hasPH,_xlpm.hasGR),$H664&lt;&gt;"",COUNTIF(Tables!$B$132:$B$134,$H664)&gt;0,$I664="N/A (No replacement required)"),
Error!$B$62,
IF(AND(_xlpm.baseRow,$E664&lt;&gt;"",ISNA(MATCH($E664,Tables!$B$225:$B$232,0))),
Error!$B$2,
IF(AND(_xlpm.baseRow,$F664&lt;&gt;"",ISNA(MATCH($F664,Tables!$B$234:$B$235,0))),
Error!$B$24,
IF(AND(_xlpm.baseRow,_xlpm.ECA_H&gt;0,_xlpm.Shore_H&gt;0),
Error!$B$16,
IF(AND(_xlpm.baseRow,$E664&lt;&gt;"",$D664=""),
Error!$B$3,
IF(AND(_xlpm.baseRow,OR($E664="Tier 3",$E664="Tier 4"),$C664&lt;&gt;"",$D664&gt;=24,COUNTIF(Tables2!$B$166:$B$674,$C664)&gt;0),
Error!$B$44,
IF(AND(_xlpm.baseRow,OR($E664="Tier 3",$E664="Tier 4"),$C664&lt;&gt;"",$D664&lt;&gt;"",COUNTIF(Tables2!$B$73:$B$152,$C664)&gt;0,
$D664&gt;=IFERROR(INDEX(Tables2!$C$73:$C$152,MATCH($C664,Tables2!$B$73:$B$152,0)),-1)),
Error!$B$44,
IF(AND(_xlpm.baseRow,OR($E664="Tier 2",$E664="Tier 2 Grove"),$C664&lt;&gt;"",$D664&gt;=12,COUNTIF(Tables2!$B$153:$B$162,$C664)&gt;0),
Error!$B$45,
IF(AND(_xlpm.baseRow,$E664="Tier 2 Grove",$D664&lt;12),
Error!$B$41,
IF(AND(_xlpm.baseRow,$E664="Tier 2",$D664&lt;5.88),
Error!$B$40,
IF(AND(_xlpm.baseRow,OR($E664="Tier 2",$E664="Tier 2 Grove"),$C664&lt;&gt;"",$D664&lt;12,$D664&gt;=6,COUNTIF(Tables2!$B$153:$B$162,$C664)&gt;0),
Error!$B$54,
IF(AND(_xlpm.baseRow,$E664="Tier 2",COUNTIF(Tables2!$B$166:$B$674,$C664)&gt;0,$D664&lt;24),
Error!$B$54,
IF(AND(_xlpm.baseRow,$E664="Tier 3",ISNA(MATCH($C664,Tables2!$B$153:$B$162,0)),OR($D664&lt;12,$D664&gt;=24)),
Error!$B$9,
IF(AND(_xlpm.baseRow,$E664="Tier 3",COUNTIF(Tables2!$B$153:$B$162,$C664)&gt;0,$D664&lt;12),
Error!$B$46,
IF(AND(_xlpm.baseRow,$E664="Tier 4",OR($D664&lt;6,$D664&gt;=12)),
Error!$B$10,
IF(AND(_xlpm.baseRow,$E664="&lt;6in DSH for Tree Points",OR($D664&gt;=6,$D664="")),
Error!$B$8,
IF(AND(_xlpm.baseRow,$E664="Street Tree for Green Factor",$F664&lt;&gt;"",$F664&lt;&gt;"Retain"),
Error!$B$14,
IF(AND($E664="&lt;6in DSH for Tree Points",$F664="Retain",$H664&lt;&gt;"",ISNA(MATCH($H664,Tables!$B$174:$B$174,0))),
Error!$B$15,
IF(AND($E664="Street Tree for Green Factor",$F664="Retain",$H664&lt;&gt;"",$H664&lt;&gt;"Zoning: Green Factor"),
Error!$B$15,
IF(AND($E664="ECA / Shoreline Tree",$F664="Remove",$H664&lt;&gt;"",ISNA(MATCH($H664,Tables!$B$189:$B$190,0))),
Error!$B$15,
IF(AND($E664="ECA / Shoreline Tree",$F664="Retain",$H664&lt;&gt;"",ISNA(MATCH($H664,Tables!$B$184:$B$186,0))),
Error!$B$15,
IF(AND($E664="Tier 4",$F664="Remove",$H664&lt;&gt;"",ISNA(MATCH($H664,Tables!$B$171,0))),
Error!$B$15,
IF(AND($E664="Tier 4",$F664="Retain",$H664&lt;&gt;"",ISNA(MATCH($H664,Tables!$B$166:$B$168,0))),
Error!$B$15,
IF(AND($E664="Tier 3",$F664="Retain",$H664&lt;&gt;"",ISNA(MATCH($H664,Tables!$B$158:$B$160,0))),
Error!$B$15,
IF(AND($E664="Tier 3",$F664="Remove",$H664&lt;&gt;"",ISNA(MATCH($H664,Tables!$B$163,0))),
Error!$B$15,
IF(AND(OR($E664="Tier 2",$E664="Tier 2 Grove"),$F664="Remove",$H664&lt;&gt;"",ISNA(MATCH($H664,Tables!$B$153:$B$155,0))),
Error!$B$15,
IF(AND(OR($E664="Tier 2",$E664="Tier 2 Grove"),$F664="Retain",$H664&lt;&gt;"",ISNA(MATCH($H664,Tables!$B$147:$B$150,0))),
Error!$B$15,
IF(AND($E664="Tier 1",$F664="Remove",$H664&lt;&gt;"",ISNA(MATCH($H664,Tables!$B$143:$B$144,0))),
Error!$B$15,
IF(AND($E664="Tier 1",$F664="Retain",$H664&lt;&gt;"",ISNA(MATCH($H664,Tables!$B$137:$B$140,0))),
Error!$B$15,
IF(AND($E664&lt;&gt;"Tier 2",$E664&lt;&gt;"Tier 2 Grove",$E664&lt;&gt;"Tier 3",$E664&lt;&gt;"Tier 4",$H664="Zoning: Green Factor",OR($D664="",$D664&lt;6)),
Error!$B$11,
IF(AND(_xlpm.baseRow,$D664&lt;6,$E664="&lt;6in DSH for Tree Points",_xlpm.TreePoints_H=0),
Error!$B$21,
IF(AND(_xlpm.baseRow,$E664&lt;&gt;"",$D664&lt;&gt;"",$F664=""),
Error!$B$4,
IF(AND(_xlpm.baseRow,$F664="Remove",OR($E664="Tier 1",$E664="Tier 2",$E664="Tier 2 Grove"),COUNTBLANK(_xlpm.HRange)&lt;3,_xlpm.uniqueH&gt;=2),
Error!$B$48,
IF(AND(_xlpm.baseRow,$F664="Retain",OR($E664="Tier 1",$E664="Tier 2",$E664="Tier 2 Grove"),COUNTIF(_xlpm.HRange,"Tree Code: Required to Retain Tier 1-2 Tree")=0),
Error!$B$47,
IF(AND(_xlpm.baseRow,$E664&lt;&gt;"",$D664&lt;&gt;"",$F664&lt;&gt;"",COUNTBLANK(_xlpm.HRange)=4),
Error!$B$5,
IF(AND($F664="Remove",$H664&lt;&gt;"",$I664=""),
Error!$B$18,
IF(AND($E664="Tier 4",$F664="Remove",$H664="Tree Protection Code: Tier 3 or Tier 4 Allowance",$H664&lt;&gt;"",ISNA(MATCH($I664,Tables!$B$200,0))),
Error!$B$17,
IF(AND($E664="Tier 3",$F664="Remove",$H664&lt;&gt;"",$H664="Tree Protection Code: Tier 3 or Tier 4 Allowance",OR($I664="",ISNA(MATCH($I664,Tables!$B$193:$B$197,0)))),
Error!$B$17,
IF(AND(OR($E664="Tier 2",$E664="Tier 2 Grove"),$F664="Remove",$H664="Tree Protection Code: Other removal allowance or exemption",$I664&lt;&gt;"",ISNA(MATCH($I664,Tables!$B$215:$B$218,0))),
Error!$B$17,
IF(AND(OR($E664="Tier 2",$E664="Tier 2 Grove"),$F664="Remove",$H664="Tree Protection Code: Development Capacity",$I664&lt;&gt;"",ISNA(MATCH($I664,Tables!$B$193:$B$197,0))),
Error!$B$17,
IF(AND(OR($E664="Tier 2",$E664="Tier 2 Grove"),$F664="Remove",$H664="Tree Protection Code: Necessary for Construction",$I664&lt;&gt;"",ISNA(MATCH($I664,Tables!$B$193:$B$197,0))),
Error!$B$17,
IF(AND($E664="Tier 1",$F664="Remove",$H664="Tree Protection Code: Special Exception",$I664&lt;&gt;"",ISNA(MATCH($I664,Tables!$B$215:$B$218,0))),
Error!$B$17,
IF(AND($E664="Tier 1",$F664="Remove",$H664="Tree Protection Code: Other removal allowance or exemption",$I664&lt;&gt;"",ISNA(MATCH($I664,Tables!$B$215:$B$218,0))),
Error!$B$17,
IF(AND($E664="ECA / Shoreline Tree",$F664="Remove",$H664&lt;&gt;"",OR($H664="Shoreline",$H664="Environmental Critical Area (ECA)"),ISNA(MATCH($I664,Tables!$B$209:$B$212,0))),
Error!$B$17,
IF(AND(_xlpm.baseRow,$F664="Retain",$E664="ECA / Shoreline Tree",_xlpm.ECA_Short=0),
Error!$B$61,
IF(AND($F664="Remove",ISNUMBER(MATCH($E664,{"Tier 1","Tier 2","Tier 3","Tier 4","Tier 2 Grove"},0)),ISNUMBER(MATCH($I664,{"On-site replacement","Off-site replacement"},0)),$J664="",$H664&lt;&gt;""),
Error!$B$19,
IF(AND(_xlpm.baseRow,$E664&lt;&gt;"",$D664&lt;&gt;"",$F664&lt;&gt;"",COUNTBLANK($B664:$C664)&gt;0,COUNTBLANK(_xlpm.HRange)&lt;&gt;4),
Error!$B$22,
IF(AND($H664="Zoning: Tree Points",$K664&lt;&gt;"",ISNA(MATCH($K664,Tables!$B$242:$B$253,0))),
Error!$B$58,
IF(AND($H664="Zoning: Tree Points",$K664="Small",$L664&lt;&gt;"",ISNA(MATCH($L664,Tables!$C$243:$C$244,0))),
Error!$B$59,
IF(AND($H664="Zoning: Tree Points",$K664="Small/Medium",$L664&lt;&gt;"",ISNA(MATCH($L664,Tables!$C$246:$C$247,0))),
Error!$B$59,
IF(AND($H664="Zoning: Tree Points",$K664="Medium/Large",$L664&lt;&gt;"",ISNA(MATCH($L664,Tables!$C$249:$C$250,0))),
Error!$B$59,
IF(AND($H664="Zoning: Tree Points",$K664="Large",$L664&lt;&gt;"",ISNA(MATCH($L664,Tables!$C$252:$C$253,0))),
Error!$B$59,
IF(AND($F664="Retain",$H664="Zoning: Tree Points",$C664&lt;&gt;"",$D664&lt;&gt;"",OR($K664="",$L664="",$M664="")),
Error!$B$20,
""
)))))))))))))))))))))))))))))))))))))))))))))))))))))))),
Error!$B$23))</f>
        <v/>
      </c>
      <c r="O664" s="343" t="str" cm="1">
        <f t="array" aca="1" ref="O664" ca="1">IFERROR(_xlfn.LET(
    _xlpm.txt, $C664,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65" spans="1:15" x14ac:dyDescent="0.3">
      <c r="A665" s="320"/>
      <c r="B665" s="616" t="str">
        <f t="shared" si="781"/>
        <v/>
      </c>
      <c r="C665" s="617" t="str">
        <f t="shared" si="782"/>
        <v/>
      </c>
      <c r="D665" s="618" t="str">
        <f t="shared" si="783"/>
        <v/>
      </c>
      <c r="E665" s="616" t="str">
        <f t="shared" si="784"/>
        <v/>
      </c>
      <c r="F665" s="616" t="str">
        <f t="shared" si="785"/>
        <v/>
      </c>
      <c r="G665" s="619" t="str">
        <f>IF(Tree_Table1[[#This Row],[Tree Status  &amp;]]="Retain", Tables!$B$237, IF(Tree_Table1[[#This Row],[Tree Status  &amp;]]="Remove", Tables!$B$238, ""))</f>
        <v/>
      </c>
      <c r="H665" s="321"/>
      <c r="I665" s="322"/>
      <c r="J665" s="453"/>
      <c r="K665" s="323" t="str">
        <f>IFERROR(
    IF(
        AND($H665="Zoning: Tree Points", NOT(ISNUMBER(SEARCH("sp.", $C665)))),
        VLOOKUP($C665, 'Tree List'!$C$3:$F$601, 4, FALSE),
        ""
    ),
"")</f>
        <v/>
      </c>
      <c r="L665" s="324" t="str" cm="1">
        <f t="array" ref="L665">IFERROR(
IF(
    AND($H665="Zoning: Tree Points", NOT(ISNUMBER(SEARCH("sp.", $C665)))),
    _xlfn.IFS(
        (COUNTIFS('Tree List'!$C$3:$C$601,$C665,'Tree List'!$D$3:$D$601,"Coniferous")
        + COUNTIFS('Tree List'!$C$3:$C$601,$C665,'Tree List'!$D$3:$D$601,"Deciduous Conifer")) &gt; 0,
            _xlfn.IFS($K665="Small",0.5,$K665="Small/Medium",1,$K665="Medium/Large",1.4,$K665="Large",1.8),
        (COUNTIFS('Tree List'!$C$3:$C$601,$C665,'Tree List'!$D$3:$D$601,"Deciduous")
        + COUNTIFS('Tree List'!$C$3:$C$601,$C665,'Tree List'!$D$3:$D$601,"Broadleaf Evergreen")) &gt; 0,
            _xlfn.IFS($K665="Small",0.4,$K665="Small/Medium",0.8,$K665="Medium/Large",1.2,$K665="Large",1.6)
    ),
    ""
),
"")</f>
        <v/>
      </c>
      <c r="M665" s="475" t="str">
        <f t="shared" si="735"/>
        <v/>
      </c>
      <c r="N665" s="346" t="str" cm="1">
        <f t="array" aca="1" ref="N66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IF(AND(_xlpm.baseRow,ISNA(MATCH($C665,'Tree List'!$C$3:$C$601,0)),SUMPRODUCT(--ISNUMBER(SEARCH(Tables2!$C$677:$C$772,$O665)))&gt;0),
Error!$B$57,
IF(AND(_xlpm.hasDM,$F665="Remove",$H665&lt;&gt;"",OR($I665="On-site replacement",$I665="Off-site replacement",$I665="Payment In Lieu")),
Error!$B$56,
IF(AND(_xlpm.hasDM,$F665="Remove",$H665&lt;&gt;"",$I665="Relocation"),
Error!$B$66,
IF(AND(OR(_xlpm.hasCN,_xlpm.hasPH,_xlpm.hasGR),$H665&lt;&gt;"",COUNTIF(Tables!$B$132:$B$134,$H665)&gt;0,$I665="N/A (No replacement required)"),
Error!$B$62,
IF(AND(_xlpm.baseRow,$E665&lt;&gt;"",ISNA(MATCH($E665,Tables!$B$225:$B$232,0))),
Error!$B$2,
IF(AND(_xlpm.baseRow,$F665&lt;&gt;"",ISNA(MATCH($F665,Tables!$B$234:$B$235,0))),
Error!$B$24,
IF(AND(_xlpm.baseRow,_xlpm.ECA_H&gt;0,_xlpm.Shore_H&gt;0),
Error!$B$16,
IF(AND(_xlpm.baseRow,$E665&lt;&gt;"",$D665=""),
Error!$B$3,
IF(AND(_xlpm.baseRow,OR($E665="Tier 3",$E665="Tier 4"),$C665&lt;&gt;"",$D665&gt;=24,COUNTIF(Tables2!$B$166:$B$674,$C665)&gt;0),
Error!$B$44,
IF(AND(_xlpm.baseRow,OR($E665="Tier 3",$E665="Tier 4"),$C665&lt;&gt;"",$D665&lt;&gt;"",COUNTIF(Tables2!$B$73:$B$152,$C665)&gt;0,
$D665&gt;=IFERROR(INDEX(Tables2!$C$73:$C$152,MATCH($C665,Tables2!$B$73:$B$152,0)),-1)),
Error!$B$44,
IF(AND(_xlpm.baseRow,OR($E665="Tier 2",$E665="Tier 2 Grove"),$C665&lt;&gt;"",$D665&gt;=12,COUNTIF(Tables2!$B$153:$B$162,$C665)&gt;0),
Error!$B$45,
IF(AND(_xlpm.baseRow,$E665="Tier 2 Grove",$D665&lt;12),
Error!$B$41,
IF(AND(_xlpm.baseRow,$E665="Tier 2",$D665&lt;5.88),
Error!$B$40,
IF(AND(_xlpm.baseRow,OR($E665="Tier 2",$E665="Tier 2 Grove"),$C665&lt;&gt;"",$D665&lt;12,$D665&gt;=6,COUNTIF(Tables2!$B$153:$B$162,$C665)&gt;0),
Error!$B$54,
IF(AND(_xlpm.baseRow,$E665="Tier 2",COUNTIF(Tables2!$B$166:$B$674,$C665)&gt;0,$D665&lt;24),
Error!$B$54,
IF(AND(_xlpm.baseRow,$E665="Tier 3",ISNA(MATCH($C665,Tables2!$B$153:$B$162,0)),OR($D665&lt;12,$D665&gt;=24)),
Error!$B$9,
IF(AND(_xlpm.baseRow,$E665="Tier 3",COUNTIF(Tables2!$B$153:$B$162,$C665)&gt;0,$D665&lt;12),
Error!$B$46,
IF(AND(_xlpm.baseRow,$E665="Tier 4",OR($D665&lt;6,$D665&gt;=12)),
Error!$B$10,
IF(AND(_xlpm.baseRow,$E665="&lt;6in DSH for Tree Points",OR($D665&gt;=6,$D665="")),
Error!$B$8,
IF(AND(_xlpm.baseRow,$E665="Street Tree for Green Factor",$F665&lt;&gt;"",$F665&lt;&gt;"Retain"),
Error!$B$14,
IF(AND($E665="&lt;6in DSH for Tree Points",$F665="Retain",$H665&lt;&gt;"",ISNA(MATCH($H665,Tables!$B$174:$B$174,0))),
Error!$B$15,
IF(AND($E665="Street Tree for Green Factor",$F665="Retain",$H665&lt;&gt;"",$H665&lt;&gt;"Zoning: Green Factor"),
Error!$B$15,
IF(AND($E665="ECA / Shoreline Tree",$F665="Remove",$H665&lt;&gt;"",ISNA(MATCH($H665,Tables!$B$189:$B$190,0))),
Error!$B$15,
IF(AND($E665="ECA / Shoreline Tree",$F665="Retain",$H665&lt;&gt;"",ISNA(MATCH($H665,Tables!$B$184:$B$186,0))),
Error!$B$15,
IF(AND($E665="Tier 4",$F665="Remove",$H665&lt;&gt;"",ISNA(MATCH($H665,Tables!$B$171,0))),
Error!$B$15,
IF(AND($E665="Tier 4",$F665="Retain",$H665&lt;&gt;"",ISNA(MATCH($H665,Tables!$B$166:$B$168,0))),
Error!$B$15,
IF(AND($E665="Tier 3",$F665="Retain",$H665&lt;&gt;"",ISNA(MATCH($H665,Tables!$B$158:$B$160,0))),
Error!$B$15,
IF(AND($E665="Tier 3",$F665="Remove",$H665&lt;&gt;"",ISNA(MATCH($H665,Tables!$B$163,0))),
Error!$B$15,
IF(AND(OR($E665="Tier 2",$E665="Tier 2 Grove"),$F665="Remove",$H665&lt;&gt;"",ISNA(MATCH($H665,Tables!$B$153:$B$155,0))),
Error!$B$15,
IF(AND(OR($E665="Tier 2",$E665="Tier 2 Grove"),$F665="Retain",$H665&lt;&gt;"",ISNA(MATCH($H665,Tables!$B$147:$B$150,0))),
Error!$B$15,
IF(AND($E665="Tier 1",$F665="Remove",$H665&lt;&gt;"",ISNA(MATCH($H665,Tables!$B$143:$B$144,0))),
Error!$B$15,
IF(AND($E665="Tier 1",$F665="Retain",$H665&lt;&gt;"",ISNA(MATCH($H665,Tables!$B$137:$B$140,0))),
Error!$B$15,
IF(AND($E665&lt;&gt;"Tier 2",$E665&lt;&gt;"Tier 2 Grove",$E665&lt;&gt;"Tier 3",$E665&lt;&gt;"Tier 4",$H665="Zoning: Green Factor",OR($D665="",$D665&lt;6)),
Error!$B$11,
IF(AND(_xlpm.baseRow,$D665&lt;6,$E665="&lt;6in DSH for Tree Points",_xlpm.TreePoints_H=0),
Error!$B$21,
IF(AND(_xlpm.baseRow,$E665&lt;&gt;"",$D665&lt;&gt;"",$F665=""),
Error!$B$4,
IF(AND(_xlpm.baseRow,$F665="Remove",OR($E665="Tier 1",$E665="Tier 2",$E665="Tier 2 Grove"),COUNTBLANK(_xlpm.HRange)&lt;3,_xlpm.uniqueH&gt;=2),
Error!$B$48,
IF(AND(_xlpm.baseRow,$F665="Retain",OR($E665="Tier 1",$E665="Tier 2",$E665="Tier 2 Grove"),COUNTIF(_xlpm.HRange,"Tree Code: Required to Retain Tier 1-2 Tree")=0),
Error!$B$47,
IF(AND(_xlpm.baseRow,$E665&lt;&gt;"",$D665&lt;&gt;"",$F665&lt;&gt;"",COUNTBLANK(_xlpm.HRange)=4),
Error!$B$5,
IF(AND($F665="Remove",$H665&lt;&gt;"",$I665=""),
Error!$B$18,
IF(AND($E665="Tier 4",$F665="Remove",$H665="Tree Protection Code: Tier 3 or Tier 4 Allowance",$H665&lt;&gt;"",ISNA(MATCH($I665,Tables!$B$200,0))),
Error!$B$17,
IF(AND($E665="Tier 3",$F665="Remove",$H665&lt;&gt;"",$H665="Tree Protection Code: Tier 3 or Tier 4 Allowance",OR($I665="",ISNA(MATCH($I665,Tables!$B$193:$B$197,0)))),
Error!$B$17,
IF(AND(OR($E665="Tier 2",$E665="Tier 2 Grove"),$F665="Remove",$H665="Tree Protection Code: Other removal allowance or exemption",$I665&lt;&gt;"",ISNA(MATCH($I665,Tables!$B$215:$B$218,0))),
Error!$B$17,
IF(AND(OR($E665="Tier 2",$E665="Tier 2 Grove"),$F665="Remove",$H665="Tree Protection Code: Development Capacity",$I665&lt;&gt;"",ISNA(MATCH($I665,Tables!$B$193:$B$197,0))),
Error!$B$17,
IF(AND(OR($E665="Tier 2",$E665="Tier 2 Grove"),$F665="Remove",$H665="Tree Protection Code: Necessary for Construction",$I665&lt;&gt;"",ISNA(MATCH($I665,Tables!$B$193:$B$197,0))),
Error!$B$17,
IF(AND($E665="Tier 1",$F665="Remove",$H665="Tree Protection Code: Special Exception",$I665&lt;&gt;"",ISNA(MATCH($I665,Tables!$B$215:$B$218,0))),
Error!$B$17,
IF(AND($E665="Tier 1",$F665="Remove",$H665="Tree Protection Code: Other removal allowance or exemption",$I665&lt;&gt;"",ISNA(MATCH($I665,Tables!$B$215:$B$218,0))),
Error!$B$17,
IF(AND($E665="ECA / Shoreline Tree",$F665="Remove",$H665&lt;&gt;"",OR($H665="Shoreline",$H665="Environmental Critical Area (ECA)"),ISNA(MATCH($I665,Tables!$B$209:$B$212,0))),
Error!$B$17,
IF(AND(_xlpm.baseRow,$F665="Retain",$E665="ECA / Shoreline Tree",_xlpm.ECA_Short=0),
Error!$B$61,
IF(AND($F665="Remove",ISNUMBER(MATCH($E665,{"Tier 1","Tier 2","Tier 3","Tier 4","Tier 2 Grove"},0)),ISNUMBER(MATCH($I665,{"On-site replacement","Off-site replacement"},0)),$J665="",$H665&lt;&gt;""),
Error!$B$19,
IF(AND(_xlpm.baseRow,$E665&lt;&gt;"",$D665&lt;&gt;"",$F665&lt;&gt;"",COUNTBLANK($B665:$C665)&gt;0,COUNTBLANK(_xlpm.HRange)&lt;&gt;4),
Error!$B$22,
IF(AND($H665="Zoning: Tree Points",$K665&lt;&gt;"",ISNA(MATCH($K665,Tables!$B$242:$B$253,0))),
Error!$B$58,
IF(AND($H665="Zoning: Tree Points",$K665="Small",$L665&lt;&gt;"",ISNA(MATCH($L665,Tables!$C$243:$C$244,0))),
Error!$B$59,
IF(AND($H665="Zoning: Tree Points",$K665="Small/Medium",$L665&lt;&gt;"",ISNA(MATCH($L665,Tables!$C$246:$C$247,0))),
Error!$B$59,
IF(AND($H665="Zoning: Tree Points",$K665="Medium/Large",$L665&lt;&gt;"",ISNA(MATCH($L665,Tables!$C$249:$C$250,0))),
Error!$B$59,
IF(AND($H665="Zoning: Tree Points",$K665="Large",$L665&lt;&gt;"",ISNA(MATCH($L665,Tables!$C$252:$C$253,0))),
Error!$B$59,
IF(AND($F665="Retain",$H665="Zoning: Tree Points",$C665&lt;&gt;"",$D665&lt;&gt;"",OR($K665="",$L665="",$M665="")),
Error!$B$20,
""
)))))))))))))))))))))))))))))))))))))))))))))))))))))))),
Error!$B$23))</f>
        <v/>
      </c>
      <c r="O665" s="343" t="str" cm="1">
        <f t="array" aca="1" ref="O665" ca="1">IFERROR(_xlfn.LET(
    _xlpm.txt, $C665,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66" spans="1:15" ht="15" thickBot="1" x14ac:dyDescent="0.35">
      <c r="A666" s="331"/>
      <c r="B666" s="616" t="str">
        <f t="shared" si="781"/>
        <v/>
      </c>
      <c r="C666" s="617" t="str">
        <f t="shared" si="782"/>
        <v/>
      </c>
      <c r="D666" s="618" t="str">
        <f t="shared" si="783"/>
        <v/>
      </c>
      <c r="E666" s="616" t="str">
        <f t="shared" si="784"/>
        <v/>
      </c>
      <c r="F666" s="616" t="str">
        <f t="shared" si="785"/>
        <v/>
      </c>
      <c r="G666" s="619" t="str">
        <f>IF(Tree_Table1[[#This Row],[Tree Status  &amp;]]="Retain", Tables!$B$237, IF(Tree_Table1[[#This Row],[Tree Status  &amp;]]="Remove", Tables!$B$238, ""))</f>
        <v/>
      </c>
      <c r="H666" s="329"/>
      <c r="I666" s="330"/>
      <c r="J666" s="455"/>
      <c r="K666" s="327" t="str">
        <f>IFERROR(
    IF(
        AND($H666="Zoning: Tree Points", NOT(ISNUMBER(SEARCH("sp.", $C666)))),
        VLOOKUP($C666, 'Tree List'!$C$3:$F$601, 4, FALSE),
        ""
    ),
"")</f>
        <v/>
      </c>
      <c r="L666" s="328" t="str" cm="1">
        <f t="array" ref="L666">IFERROR(
IF(
    AND($H666="Zoning: Tree Points", NOT(ISNUMBER(SEARCH("sp.", $C666)))),
    _xlfn.IFS(
        (COUNTIFS('Tree List'!$C$3:$C$601,$C666,'Tree List'!$D$3:$D$601,"Coniferous")
        + COUNTIFS('Tree List'!$C$3:$C$601,$C666,'Tree List'!$D$3:$D$601,"Deciduous Conifer")) &gt; 0,
            _xlfn.IFS($K666="Small",0.5,$K666="Small/Medium",1,$K666="Medium/Large",1.4,$K666="Large",1.8),
        (COUNTIFS('Tree List'!$C$3:$C$601,$C666,'Tree List'!$D$3:$D$601,"Deciduous")
        + COUNTIFS('Tree List'!$C$3:$C$601,$C666,'Tree List'!$D$3:$D$601,"Broadleaf Evergreen")) &gt; 0,
            _xlfn.IFS($K666="Small",0.4,$K666="Small/Medium",0.8,$K666="Medium/Large",1.2,$K666="Large",1.6)
    ),
    ""
),
"")</f>
        <v/>
      </c>
      <c r="M666" s="476" t="str">
        <f t="shared" si="735"/>
        <v/>
      </c>
      <c r="N666" s="347" t="str" cm="1">
        <f t="array" aca="1" ref="N66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IF(AND(_xlpm.baseRow,ISNA(MATCH($C666,'Tree List'!$C$3:$C$601,0)),SUMPRODUCT(--ISNUMBER(SEARCH(Tables2!$C$677:$C$772,$O666)))&gt;0),
Error!$B$57,
IF(AND(_xlpm.hasDM,$F666="Remove",$H666&lt;&gt;"",OR($I666="On-site replacement",$I666="Off-site replacement",$I666="Payment In Lieu")),
Error!$B$56,
IF(AND(_xlpm.hasDM,$F666="Remove",$H666&lt;&gt;"",$I666="Relocation"),
Error!$B$66,
IF(AND(OR(_xlpm.hasCN,_xlpm.hasPH,_xlpm.hasGR),$H666&lt;&gt;"",COUNTIF(Tables!$B$132:$B$134,$H666)&gt;0,$I666="N/A (No replacement required)"),
Error!$B$62,
IF(AND(_xlpm.baseRow,$E666&lt;&gt;"",ISNA(MATCH($E666,Tables!$B$225:$B$232,0))),
Error!$B$2,
IF(AND(_xlpm.baseRow,$F666&lt;&gt;"",ISNA(MATCH($F666,Tables!$B$234:$B$235,0))),
Error!$B$24,
IF(AND(_xlpm.baseRow,_xlpm.ECA_H&gt;0,_xlpm.Shore_H&gt;0),
Error!$B$16,
IF(AND(_xlpm.baseRow,$E666&lt;&gt;"",$D666=""),
Error!$B$3,
IF(AND(_xlpm.baseRow,OR($E666="Tier 3",$E666="Tier 4"),$C666&lt;&gt;"",$D666&gt;=24,COUNTIF(Tables2!$B$166:$B$674,$C666)&gt;0),
Error!$B$44,
IF(AND(_xlpm.baseRow,OR($E666="Tier 3",$E666="Tier 4"),$C666&lt;&gt;"",$D666&lt;&gt;"",COUNTIF(Tables2!$B$73:$B$152,$C666)&gt;0,
$D666&gt;=IFERROR(INDEX(Tables2!$C$73:$C$152,MATCH($C666,Tables2!$B$73:$B$152,0)),-1)),
Error!$B$44,
IF(AND(_xlpm.baseRow,OR($E666="Tier 2",$E666="Tier 2 Grove"),$C666&lt;&gt;"",$D666&gt;=12,COUNTIF(Tables2!$B$153:$B$162,$C666)&gt;0),
Error!$B$45,
IF(AND(_xlpm.baseRow,$E666="Tier 2 Grove",$D666&lt;12),
Error!$B$41,
IF(AND(_xlpm.baseRow,$E666="Tier 2",$D666&lt;5.88),
Error!$B$40,
IF(AND(_xlpm.baseRow,OR($E666="Tier 2",$E666="Tier 2 Grove"),$C666&lt;&gt;"",$D666&lt;12,$D666&gt;=6,COUNTIF(Tables2!$B$153:$B$162,$C666)&gt;0),
Error!$B$54,
IF(AND(_xlpm.baseRow,$E666="Tier 2",COUNTIF(Tables2!$B$166:$B$674,$C666)&gt;0,$D666&lt;24),
Error!$B$54,
IF(AND(_xlpm.baseRow,$E666="Tier 3",ISNA(MATCH($C666,Tables2!$B$153:$B$162,0)),OR($D666&lt;12,$D666&gt;=24)),
Error!$B$9,
IF(AND(_xlpm.baseRow,$E666="Tier 3",COUNTIF(Tables2!$B$153:$B$162,$C666)&gt;0,$D666&lt;12),
Error!$B$46,
IF(AND(_xlpm.baseRow,$E666="Tier 4",OR($D666&lt;6,$D666&gt;=12)),
Error!$B$10,
IF(AND(_xlpm.baseRow,$E666="&lt;6in DSH for Tree Points",OR($D666&gt;=6,$D666="")),
Error!$B$8,
IF(AND(_xlpm.baseRow,$E666="Street Tree for Green Factor",$F666&lt;&gt;"",$F666&lt;&gt;"Retain"),
Error!$B$14,
IF(AND($E666="&lt;6in DSH for Tree Points",$F666="Retain",$H666&lt;&gt;"",ISNA(MATCH($H666,Tables!$B$174:$B$174,0))),
Error!$B$15,
IF(AND($E666="Street Tree for Green Factor",$F666="Retain",$H666&lt;&gt;"",$H666&lt;&gt;"Zoning: Green Factor"),
Error!$B$15,
IF(AND($E666="ECA / Shoreline Tree",$F666="Remove",$H666&lt;&gt;"",ISNA(MATCH($H666,Tables!$B$189:$B$190,0))),
Error!$B$15,
IF(AND($E666="ECA / Shoreline Tree",$F666="Retain",$H666&lt;&gt;"",ISNA(MATCH($H666,Tables!$B$184:$B$186,0))),
Error!$B$15,
IF(AND($E666="Tier 4",$F666="Remove",$H666&lt;&gt;"",ISNA(MATCH($H666,Tables!$B$171,0))),
Error!$B$15,
IF(AND($E666="Tier 4",$F666="Retain",$H666&lt;&gt;"",ISNA(MATCH($H666,Tables!$B$166:$B$168,0))),
Error!$B$15,
IF(AND($E666="Tier 3",$F666="Retain",$H666&lt;&gt;"",ISNA(MATCH($H666,Tables!$B$158:$B$160,0))),
Error!$B$15,
IF(AND($E666="Tier 3",$F666="Remove",$H666&lt;&gt;"",ISNA(MATCH($H666,Tables!$B$163,0))),
Error!$B$15,
IF(AND(OR($E666="Tier 2",$E666="Tier 2 Grove"),$F666="Remove",$H666&lt;&gt;"",ISNA(MATCH($H666,Tables!$B$153:$B$155,0))),
Error!$B$15,
IF(AND(OR($E666="Tier 2",$E666="Tier 2 Grove"),$F666="Retain",$H666&lt;&gt;"",ISNA(MATCH($H666,Tables!$B$147:$B$150,0))),
Error!$B$15,
IF(AND($E666="Tier 1",$F666="Remove",$H666&lt;&gt;"",ISNA(MATCH($H666,Tables!$B$143:$B$144,0))),
Error!$B$15,
IF(AND($E666="Tier 1",$F666="Retain",$H666&lt;&gt;"",ISNA(MATCH($H666,Tables!$B$137:$B$140,0))),
Error!$B$15,
IF(AND($E666&lt;&gt;"Tier 2",$E666&lt;&gt;"Tier 2 Grove",$E666&lt;&gt;"Tier 3",$E666&lt;&gt;"Tier 4",$H666="Zoning: Green Factor",OR($D666="",$D666&lt;6)),
Error!$B$11,
IF(AND(_xlpm.baseRow,$D666&lt;6,$E666="&lt;6in DSH for Tree Points",_xlpm.TreePoints_H=0),
Error!$B$21,
IF(AND(_xlpm.baseRow,$E666&lt;&gt;"",$D666&lt;&gt;"",$F666=""),
Error!$B$4,
IF(AND(_xlpm.baseRow,$F666="Remove",OR($E666="Tier 1",$E666="Tier 2",$E666="Tier 2 Grove"),COUNTBLANK(_xlpm.HRange)&lt;3,_xlpm.uniqueH&gt;=2),
Error!$B$48,
IF(AND(_xlpm.baseRow,$F666="Retain",OR($E666="Tier 1",$E666="Tier 2",$E666="Tier 2 Grove"),COUNTIF(_xlpm.HRange,"Tree Code: Required to Retain Tier 1-2 Tree")=0),
Error!$B$47,
IF(AND(_xlpm.baseRow,$E666&lt;&gt;"",$D666&lt;&gt;"",$F666&lt;&gt;"",COUNTBLANK(_xlpm.HRange)=4),
Error!$B$5,
IF(AND($F666="Remove",$H666&lt;&gt;"",$I666=""),
Error!$B$18,
IF(AND($E666="Tier 4",$F666="Remove",$H666="Tree Protection Code: Tier 3 or Tier 4 Allowance",$H666&lt;&gt;"",ISNA(MATCH($I666,Tables!$B$200,0))),
Error!$B$17,
IF(AND($E666="Tier 3",$F666="Remove",$H666&lt;&gt;"",$H666="Tree Protection Code: Tier 3 or Tier 4 Allowance",OR($I666="",ISNA(MATCH($I666,Tables!$B$193:$B$197,0)))),
Error!$B$17,
IF(AND(OR($E666="Tier 2",$E666="Tier 2 Grove"),$F666="Remove",$H666="Tree Protection Code: Other removal allowance or exemption",$I666&lt;&gt;"",ISNA(MATCH($I666,Tables!$B$215:$B$218,0))),
Error!$B$17,
IF(AND(OR($E666="Tier 2",$E666="Tier 2 Grove"),$F666="Remove",$H666="Tree Protection Code: Development Capacity",$I666&lt;&gt;"",ISNA(MATCH($I666,Tables!$B$193:$B$197,0))),
Error!$B$17,
IF(AND(OR($E666="Tier 2",$E666="Tier 2 Grove"),$F666="Remove",$H666="Tree Protection Code: Necessary for Construction",$I666&lt;&gt;"",ISNA(MATCH($I666,Tables!$B$193:$B$197,0))),
Error!$B$17,
IF(AND($E666="Tier 1",$F666="Remove",$H666="Tree Protection Code: Special Exception",$I666&lt;&gt;"",ISNA(MATCH($I666,Tables!$B$215:$B$218,0))),
Error!$B$17,
IF(AND($E666="Tier 1",$F666="Remove",$H666="Tree Protection Code: Other removal allowance or exemption",$I666&lt;&gt;"",ISNA(MATCH($I666,Tables!$B$215:$B$218,0))),
Error!$B$17,
IF(AND($E666="ECA / Shoreline Tree",$F666="Remove",$H666&lt;&gt;"",OR($H666="Shoreline",$H666="Environmental Critical Area (ECA)"),ISNA(MATCH($I666,Tables!$B$209:$B$212,0))),
Error!$B$17,
IF(AND(_xlpm.baseRow,$F666="Retain",$E666="ECA / Shoreline Tree",_xlpm.ECA_Short=0),
Error!$B$61,
IF(AND($F666="Remove",ISNUMBER(MATCH($E666,{"Tier 1","Tier 2","Tier 3","Tier 4","Tier 2 Grove"},0)),ISNUMBER(MATCH($I666,{"On-site replacement","Off-site replacement"},0)),$J666="",$H666&lt;&gt;""),
Error!$B$19,
IF(AND(_xlpm.baseRow,$E666&lt;&gt;"",$D666&lt;&gt;"",$F666&lt;&gt;"",COUNTBLANK($B666:$C666)&gt;0,COUNTBLANK(_xlpm.HRange)&lt;&gt;4),
Error!$B$22,
IF(AND($H666="Zoning: Tree Points",$K666&lt;&gt;"",ISNA(MATCH($K666,Tables!$B$242:$B$253,0))),
Error!$B$58,
IF(AND($H666="Zoning: Tree Points",$K666="Small",$L666&lt;&gt;"",ISNA(MATCH($L666,Tables!$C$243:$C$244,0))),
Error!$B$59,
IF(AND($H666="Zoning: Tree Points",$K666="Small/Medium",$L666&lt;&gt;"",ISNA(MATCH($L666,Tables!$C$246:$C$247,0))),
Error!$B$59,
IF(AND($H666="Zoning: Tree Points",$K666="Medium/Large",$L666&lt;&gt;"",ISNA(MATCH($L666,Tables!$C$249:$C$250,0))),
Error!$B$59,
IF(AND($H666="Zoning: Tree Points",$K666="Large",$L666&lt;&gt;"",ISNA(MATCH($L666,Tables!$C$252:$C$253,0))),
Error!$B$59,
IF(AND($F666="Retain",$H666="Zoning: Tree Points",$C666&lt;&gt;"",$D666&lt;&gt;"",OR($K666="",$L666="",$M666="")),
Error!$B$20,
""
)))))))))))))))))))))))))))))))))))))))))))))))))))))))),
Error!$B$23))</f>
        <v/>
      </c>
      <c r="O666" s="343" t="str" cm="1">
        <f t="array" aca="1" ref="O666" ca="1">IFERROR(_xlfn.LET(
    _xlpm.txt, $C666,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67" spans="1:15" ht="15" thickBot="1" x14ac:dyDescent="0.35">
      <c r="A667" s="311">
        <v>165</v>
      </c>
      <c r="B667" s="312"/>
      <c r="C667" s="313"/>
      <c r="D667" s="478"/>
      <c r="E667" s="314"/>
      <c r="F667" s="314"/>
      <c r="G667" s="315" t="str">
        <f>IF(Tree_Table1[[#This Row],[Tree Status  &amp;]]="Retain", Tables!$B$237, IF(Tree_Table1[[#This Row],[Tree Status  &amp;]]="Remove", Tables!$B$238, ""))</f>
        <v/>
      </c>
      <c r="H667" s="316"/>
      <c r="I667" s="317"/>
      <c r="J667" s="452"/>
      <c r="K667" s="318" t="str">
        <f>IFERROR(
    IF(
        AND($H667="Zoning: Tree Points", NOT(ISNUMBER(SEARCH("sp.", $C667)))),
        VLOOKUP($C667, 'Tree List'!$C$3:$F$601, 4, FALSE),
        ""
    ),
"")</f>
        <v/>
      </c>
      <c r="L667" s="319" t="str" cm="1">
        <f t="array" ref="L667">IFERROR(
IF(
    AND($H667="Zoning: Tree Points", NOT(ISNUMBER(SEARCH("sp.", $C667)))),
    _xlfn.IFS(
        (COUNTIFS('Tree List'!$C$3:$C$601,$C667,'Tree List'!$D$3:$D$601,"Coniferous")
        + COUNTIFS('Tree List'!$C$3:$C$601,$C667,'Tree List'!$D$3:$D$601,"Deciduous Conifer")) &gt; 0,
            _xlfn.IFS($K667="Small",0.5,$K667="Small/Medium",1,$K667="Medium/Large",1.4,$K667="Large",1.8),
        (COUNTIFS('Tree List'!$C$3:$C$601,$C667,'Tree List'!$D$3:$D$601,"Deciduous")
        + COUNTIFS('Tree List'!$C$3:$C$601,$C667,'Tree List'!$D$3:$D$601,"Broadleaf Evergreen")) &gt; 0,
            _xlfn.IFS($K667="Small",0.4,$K667="Small/Medium",0.8,$K667="Medium/Large",1.2,$K667="Large",1.6)
    ),
    ""
),
"")</f>
        <v/>
      </c>
      <c r="M667" s="474" t="str">
        <f t="shared" si="735"/>
        <v/>
      </c>
      <c r="N667" s="620" t="str" cm="1">
        <f t="array" aca="1" ref="N66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IF(AND(_xlpm.baseRow,ISNA(MATCH($C667,'Tree List'!$C$3:$C$601,0)),SUMPRODUCT(--ISNUMBER(SEARCH(Tables2!$C$677:$C$772,$O667)))&gt;0),
Error!$B$57,
IF(AND(_xlpm.hasDM,$F667="Remove",$H667&lt;&gt;"",OR($I667="On-site replacement",$I667="Off-site replacement",$I667="Payment In Lieu")),
Error!$B$56,
IF(AND(_xlpm.hasDM,$F667="Remove",$H667&lt;&gt;"",$I667="Relocation"),
Error!$B$66,
IF(AND(OR(_xlpm.hasCN,_xlpm.hasPH,_xlpm.hasGR),$H667&lt;&gt;"",COUNTIF(Tables!$B$132:$B$134,$H667)&gt;0,$I667="N/A (No replacement required)"),
Error!$B$62,
IF(AND(_xlpm.baseRow,$E667&lt;&gt;"",ISNA(MATCH($E667,Tables!$B$225:$B$232,0))),
Error!$B$2,
IF(AND(_xlpm.baseRow,$F667&lt;&gt;"",ISNA(MATCH($F667,Tables!$B$234:$B$235,0))),
Error!$B$24,
IF(AND(_xlpm.baseRow,_xlpm.ECA_H&gt;0,_xlpm.Shore_H&gt;0),
Error!$B$16,
IF(AND(_xlpm.baseRow,$E667&lt;&gt;"",$D667=""),
Error!$B$3,
IF(AND(_xlpm.baseRow,OR($E667="Tier 3",$E667="Tier 4"),$C667&lt;&gt;"",$D667&gt;=24,COUNTIF(Tables2!$B$166:$B$674,$C667)&gt;0),
Error!$B$44,
IF(AND(_xlpm.baseRow,OR($E667="Tier 3",$E667="Tier 4"),$C667&lt;&gt;"",$D667&lt;&gt;"",COUNTIF(Tables2!$B$73:$B$152,$C667)&gt;0,
$D667&gt;=IFERROR(INDEX(Tables2!$C$73:$C$152,MATCH($C667,Tables2!$B$73:$B$152,0)),-1)),
Error!$B$44,
IF(AND(_xlpm.baseRow,OR($E667="Tier 2",$E667="Tier 2 Grove"),$C667&lt;&gt;"",$D667&gt;=12,COUNTIF(Tables2!$B$153:$B$162,$C667)&gt;0),
Error!$B$45,
IF(AND(_xlpm.baseRow,$E667="Tier 2 Grove",$D667&lt;12),
Error!$B$41,
IF(AND(_xlpm.baseRow,$E667="Tier 2",$D667&lt;5.88),
Error!$B$40,
IF(AND(_xlpm.baseRow,OR($E667="Tier 2",$E667="Tier 2 Grove"),$C667&lt;&gt;"",$D667&lt;12,$D667&gt;=6,COUNTIF(Tables2!$B$153:$B$162,$C667)&gt;0),
Error!$B$54,
IF(AND(_xlpm.baseRow,$E667="Tier 2",COUNTIF(Tables2!$B$166:$B$674,$C667)&gt;0,$D667&lt;24),
Error!$B$54,
IF(AND(_xlpm.baseRow,$E667="Tier 3",ISNA(MATCH($C667,Tables2!$B$153:$B$162,0)),OR($D667&lt;12,$D667&gt;=24)),
Error!$B$9,
IF(AND(_xlpm.baseRow,$E667="Tier 3",COUNTIF(Tables2!$B$153:$B$162,$C667)&gt;0,$D667&lt;12),
Error!$B$46,
IF(AND(_xlpm.baseRow,$E667="Tier 4",OR($D667&lt;6,$D667&gt;=12)),
Error!$B$10,
IF(AND(_xlpm.baseRow,$E667="&lt;6in DSH for Tree Points",OR($D667&gt;=6,$D667="")),
Error!$B$8,
IF(AND(_xlpm.baseRow,$E667="Street Tree for Green Factor",$F667&lt;&gt;"",$F667&lt;&gt;"Retain"),
Error!$B$14,
IF(AND($E667="&lt;6in DSH for Tree Points",$F667="Retain",$H667&lt;&gt;"",ISNA(MATCH($H667,Tables!$B$174:$B$174,0))),
Error!$B$15,
IF(AND($E667="Street Tree for Green Factor",$F667="Retain",$H667&lt;&gt;"",$H667&lt;&gt;"Zoning: Green Factor"),
Error!$B$15,
IF(AND($E667="ECA / Shoreline Tree",$F667="Remove",$H667&lt;&gt;"",ISNA(MATCH($H667,Tables!$B$189:$B$190,0))),
Error!$B$15,
IF(AND($E667="ECA / Shoreline Tree",$F667="Retain",$H667&lt;&gt;"",ISNA(MATCH($H667,Tables!$B$184:$B$186,0))),
Error!$B$15,
IF(AND($E667="Tier 4",$F667="Remove",$H667&lt;&gt;"",ISNA(MATCH($H667,Tables!$B$171,0))),
Error!$B$15,
IF(AND($E667="Tier 4",$F667="Retain",$H667&lt;&gt;"",ISNA(MATCH($H667,Tables!$B$166:$B$168,0))),
Error!$B$15,
IF(AND($E667="Tier 3",$F667="Retain",$H667&lt;&gt;"",ISNA(MATCH($H667,Tables!$B$158:$B$160,0))),
Error!$B$15,
IF(AND($E667="Tier 3",$F667="Remove",$H667&lt;&gt;"",ISNA(MATCH($H667,Tables!$B$163,0))),
Error!$B$15,
IF(AND(OR($E667="Tier 2",$E667="Tier 2 Grove"),$F667="Remove",$H667&lt;&gt;"",ISNA(MATCH($H667,Tables!$B$153:$B$155,0))),
Error!$B$15,
IF(AND(OR($E667="Tier 2",$E667="Tier 2 Grove"),$F667="Retain",$H667&lt;&gt;"",ISNA(MATCH($H667,Tables!$B$147:$B$150,0))),
Error!$B$15,
IF(AND($E667="Tier 1",$F667="Remove",$H667&lt;&gt;"",ISNA(MATCH($H667,Tables!$B$143:$B$144,0))),
Error!$B$15,
IF(AND($E667="Tier 1",$F667="Retain",$H667&lt;&gt;"",ISNA(MATCH($H667,Tables!$B$137:$B$140,0))),
Error!$B$15,
IF(AND($E667&lt;&gt;"Tier 2",$E667&lt;&gt;"Tier 2 Grove",$E667&lt;&gt;"Tier 3",$E667&lt;&gt;"Tier 4",$H667="Zoning: Green Factor",OR($D667="",$D667&lt;6)),
Error!$B$11,
IF(AND(_xlpm.baseRow,$D667&lt;6,$E667="&lt;6in DSH for Tree Points",_xlpm.TreePoints_H=0),
Error!$B$21,
IF(AND(_xlpm.baseRow,$E667&lt;&gt;"",$D667&lt;&gt;"",$F667=""),
Error!$B$4,
IF(AND(_xlpm.baseRow,$F667="Remove",OR($E667="Tier 1",$E667="Tier 2",$E667="Tier 2 Grove"),COUNTBLANK(_xlpm.HRange)&lt;3,_xlpm.uniqueH&gt;=2),
Error!$B$48,
IF(AND(_xlpm.baseRow,$F667="Retain",OR($E667="Tier 1",$E667="Tier 2",$E667="Tier 2 Grove"),COUNTIF(_xlpm.HRange,"Tree Code: Required to Retain Tier 1-2 Tree")=0),
Error!$B$47,
IF(AND(_xlpm.baseRow,$E667&lt;&gt;"",$D667&lt;&gt;"",$F667&lt;&gt;"",COUNTBLANK(_xlpm.HRange)=4),
Error!$B$5,
IF(AND($F667="Remove",$H667&lt;&gt;"",$I667=""),
Error!$B$18,
IF(AND($E667="Tier 4",$F667="Remove",$H667="Tree Protection Code: Tier 3 or Tier 4 Allowance",$H667&lt;&gt;"",ISNA(MATCH($I667,Tables!$B$200,0))),
Error!$B$17,
IF(AND($E667="Tier 3",$F667="Remove",$H667&lt;&gt;"",$H667="Tree Protection Code: Tier 3 or Tier 4 Allowance",OR($I667="",ISNA(MATCH($I667,Tables!$B$193:$B$197,0)))),
Error!$B$17,
IF(AND(OR($E667="Tier 2",$E667="Tier 2 Grove"),$F667="Remove",$H667="Tree Protection Code: Other removal allowance or exemption",$I667&lt;&gt;"",ISNA(MATCH($I667,Tables!$B$215:$B$218,0))),
Error!$B$17,
IF(AND(OR($E667="Tier 2",$E667="Tier 2 Grove"),$F667="Remove",$H667="Tree Protection Code: Development Capacity",$I667&lt;&gt;"",ISNA(MATCH($I667,Tables!$B$193:$B$197,0))),
Error!$B$17,
IF(AND(OR($E667="Tier 2",$E667="Tier 2 Grove"),$F667="Remove",$H667="Tree Protection Code: Necessary for Construction",$I667&lt;&gt;"",ISNA(MATCH($I667,Tables!$B$193:$B$197,0))),
Error!$B$17,
IF(AND($E667="Tier 1",$F667="Remove",$H667="Tree Protection Code: Special Exception",$I667&lt;&gt;"",ISNA(MATCH($I667,Tables!$B$215:$B$218,0))),
Error!$B$17,
IF(AND($E667="Tier 1",$F667="Remove",$H667="Tree Protection Code: Other removal allowance or exemption",$I667&lt;&gt;"",ISNA(MATCH($I667,Tables!$B$215:$B$218,0))),
Error!$B$17,
IF(AND($E667="ECA / Shoreline Tree",$F667="Remove",$H667&lt;&gt;"",OR($H667="Shoreline",$H667="Environmental Critical Area (ECA)"),ISNA(MATCH($I667,Tables!$B$209:$B$212,0))),
Error!$B$17,
IF(AND(_xlpm.baseRow,$F667="Retain",$E667="ECA / Shoreline Tree",_xlpm.ECA_Short=0),
Error!$B$61,
IF(AND($F667="Remove",ISNUMBER(MATCH($E667,{"Tier 1","Tier 2","Tier 3","Tier 4","Tier 2 Grove"},0)),ISNUMBER(MATCH($I667,{"On-site replacement","Off-site replacement"},0)),$J667="",$H667&lt;&gt;""),
Error!$B$19,
IF(AND(_xlpm.baseRow,$E667&lt;&gt;"",$D667&lt;&gt;"",$F667&lt;&gt;"",COUNTBLANK($B667:$C667)&gt;0,COUNTBLANK(_xlpm.HRange)&lt;&gt;4),
Error!$B$22,
IF(AND($H667="Zoning: Tree Points",$K667&lt;&gt;"",ISNA(MATCH($K667,Tables!$B$242:$B$253,0))),
Error!$B$58,
IF(AND($H667="Zoning: Tree Points",$K667="Small",$L667&lt;&gt;"",ISNA(MATCH($L667,Tables!$C$243:$C$244,0))),
Error!$B$59,
IF(AND($H667="Zoning: Tree Points",$K667="Small/Medium",$L667&lt;&gt;"",ISNA(MATCH($L667,Tables!$C$246:$C$247,0))),
Error!$B$59,
IF(AND($H667="Zoning: Tree Points",$K667="Medium/Large",$L667&lt;&gt;"",ISNA(MATCH($L667,Tables!$C$249:$C$250,0))),
Error!$B$59,
IF(AND($H667="Zoning: Tree Points",$K667="Large",$L667&lt;&gt;"",ISNA(MATCH($L667,Tables!$C$252:$C$253,0))),
Error!$B$59,
IF(AND($F667="Retain",$H667="Zoning: Tree Points",$C667&lt;&gt;"",$D667&lt;&gt;"",OR($K667="",$L667="",$M667="")),
Error!$B$20,
""
)))))))))))))))))))))))))))))))))))))))))))))))))))))))),
Error!$B$23))</f>
        <v/>
      </c>
      <c r="O667" s="343" t="str" cm="1">
        <f t="array" aca="1" ref="O667" ca="1">IFERROR(_xlfn.LET(
    _xlpm.txt, $C667,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68" spans="1:15" x14ac:dyDescent="0.3">
      <c r="A668" s="320"/>
      <c r="B668" s="616" t="str">
        <f t="shared" ref="B668:B670" si="786">IF($B667="", "", $B667)</f>
        <v/>
      </c>
      <c r="C668" s="617" t="str">
        <f t="shared" ref="C668:C670" si="787">IF($C667="", "", $C667)</f>
        <v/>
      </c>
      <c r="D668" s="618" t="str">
        <f t="shared" ref="D668:D670" si="788">IF($D667="", "", $D667)</f>
        <v/>
      </c>
      <c r="E668" s="616" t="str">
        <f t="shared" ref="E668:E670" si="789">IF($E667="", "", $E667)</f>
        <v/>
      </c>
      <c r="F668" s="616" t="str">
        <f t="shared" ref="F668:F670" si="790">IF($F667="", "", $F667)</f>
        <v/>
      </c>
      <c r="G668" s="619" t="str">
        <f>IF(Tree_Table1[[#This Row],[Tree Status  &amp;]]="Retain", Tables!$B$237, IF(Tree_Table1[[#This Row],[Tree Status  &amp;]]="Remove", Tables!$B$238, ""))</f>
        <v/>
      </c>
      <c r="H668" s="321"/>
      <c r="I668" s="322"/>
      <c r="J668" s="453"/>
      <c r="K668" s="323" t="str">
        <f>IFERROR(
    IF(
        AND($H668="Zoning: Tree Points", NOT(ISNUMBER(SEARCH("sp.", $C668)))),
        VLOOKUP($C668, 'Tree List'!$C$3:$F$601, 4, FALSE),
        ""
    ),
"")</f>
        <v/>
      </c>
      <c r="L668" s="324" t="str" cm="1">
        <f t="array" ref="L668">IFERROR(
IF(
    AND($H668="Zoning: Tree Points", NOT(ISNUMBER(SEARCH("sp.", $C668)))),
    _xlfn.IFS(
        (COUNTIFS('Tree List'!$C$3:$C$601,$C668,'Tree List'!$D$3:$D$601,"Coniferous")
        + COUNTIFS('Tree List'!$C$3:$C$601,$C668,'Tree List'!$D$3:$D$601,"Deciduous Conifer")) &gt; 0,
            _xlfn.IFS($K668="Small",0.5,$K668="Small/Medium",1,$K668="Medium/Large",1.4,$K668="Large",1.8),
        (COUNTIFS('Tree List'!$C$3:$C$601,$C668,'Tree List'!$D$3:$D$601,"Deciduous")
        + COUNTIFS('Tree List'!$C$3:$C$601,$C668,'Tree List'!$D$3:$D$601,"Broadleaf Evergreen")) &gt; 0,
            _xlfn.IFS($K668="Small",0.4,$K668="Small/Medium",0.8,$K668="Medium/Large",1.2,$K668="Large",1.6)
    ),
    ""
),
"")</f>
        <v/>
      </c>
      <c r="M668" s="475" t="str">
        <f t="shared" si="735"/>
        <v/>
      </c>
      <c r="N668" s="346" t="str" cm="1">
        <f t="array" aca="1" ref="N66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IF(AND(_xlpm.baseRow,ISNA(MATCH($C668,'Tree List'!$C$3:$C$601,0)),SUMPRODUCT(--ISNUMBER(SEARCH(Tables2!$C$677:$C$772,$O668)))&gt;0),
Error!$B$57,
IF(AND(_xlpm.hasDM,$F668="Remove",$H668&lt;&gt;"",OR($I668="On-site replacement",$I668="Off-site replacement",$I668="Payment In Lieu")),
Error!$B$56,
IF(AND(_xlpm.hasDM,$F668="Remove",$H668&lt;&gt;"",$I668="Relocation"),
Error!$B$66,
IF(AND(OR(_xlpm.hasCN,_xlpm.hasPH,_xlpm.hasGR),$H668&lt;&gt;"",COUNTIF(Tables!$B$132:$B$134,$H668)&gt;0,$I668="N/A (No replacement required)"),
Error!$B$62,
IF(AND(_xlpm.baseRow,$E668&lt;&gt;"",ISNA(MATCH($E668,Tables!$B$225:$B$232,0))),
Error!$B$2,
IF(AND(_xlpm.baseRow,$F668&lt;&gt;"",ISNA(MATCH($F668,Tables!$B$234:$B$235,0))),
Error!$B$24,
IF(AND(_xlpm.baseRow,_xlpm.ECA_H&gt;0,_xlpm.Shore_H&gt;0),
Error!$B$16,
IF(AND(_xlpm.baseRow,$E668&lt;&gt;"",$D668=""),
Error!$B$3,
IF(AND(_xlpm.baseRow,OR($E668="Tier 3",$E668="Tier 4"),$C668&lt;&gt;"",$D668&gt;=24,COUNTIF(Tables2!$B$166:$B$674,$C668)&gt;0),
Error!$B$44,
IF(AND(_xlpm.baseRow,OR($E668="Tier 3",$E668="Tier 4"),$C668&lt;&gt;"",$D668&lt;&gt;"",COUNTIF(Tables2!$B$73:$B$152,$C668)&gt;0,
$D668&gt;=IFERROR(INDEX(Tables2!$C$73:$C$152,MATCH($C668,Tables2!$B$73:$B$152,0)),-1)),
Error!$B$44,
IF(AND(_xlpm.baseRow,OR($E668="Tier 2",$E668="Tier 2 Grove"),$C668&lt;&gt;"",$D668&gt;=12,COUNTIF(Tables2!$B$153:$B$162,$C668)&gt;0),
Error!$B$45,
IF(AND(_xlpm.baseRow,$E668="Tier 2 Grove",$D668&lt;12),
Error!$B$41,
IF(AND(_xlpm.baseRow,$E668="Tier 2",$D668&lt;5.88),
Error!$B$40,
IF(AND(_xlpm.baseRow,OR($E668="Tier 2",$E668="Tier 2 Grove"),$C668&lt;&gt;"",$D668&lt;12,$D668&gt;=6,COUNTIF(Tables2!$B$153:$B$162,$C668)&gt;0),
Error!$B$54,
IF(AND(_xlpm.baseRow,$E668="Tier 2",COUNTIF(Tables2!$B$166:$B$674,$C668)&gt;0,$D668&lt;24),
Error!$B$54,
IF(AND(_xlpm.baseRow,$E668="Tier 3",ISNA(MATCH($C668,Tables2!$B$153:$B$162,0)),OR($D668&lt;12,$D668&gt;=24)),
Error!$B$9,
IF(AND(_xlpm.baseRow,$E668="Tier 3",COUNTIF(Tables2!$B$153:$B$162,$C668)&gt;0,$D668&lt;12),
Error!$B$46,
IF(AND(_xlpm.baseRow,$E668="Tier 4",OR($D668&lt;6,$D668&gt;=12)),
Error!$B$10,
IF(AND(_xlpm.baseRow,$E668="&lt;6in DSH for Tree Points",OR($D668&gt;=6,$D668="")),
Error!$B$8,
IF(AND(_xlpm.baseRow,$E668="Street Tree for Green Factor",$F668&lt;&gt;"",$F668&lt;&gt;"Retain"),
Error!$B$14,
IF(AND($E668="&lt;6in DSH for Tree Points",$F668="Retain",$H668&lt;&gt;"",ISNA(MATCH($H668,Tables!$B$174:$B$174,0))),
Error!$B$15,
IF(AND($E668="Street Tree for Green Factor",$F668="Retain",$H668&lt;&gt;"",$H668&lt;&gt;"Zoning: Green Factor"),
Error!$B$15,
IF(AND($E668="ECA / Shoreline Tree",$F668="Remove",$H668&lt;&gt;"",ISNA(MATCH($H668,Tables!$B$189:$B$190,0))),
Error!$B$15,
IF(AND($E668="ECA / Shoreline Tree",$F668="Retain",$H668&lt;&gt;"",ISNA(MATCH($H668,Tables!$B$184:$B$186,0))),
Error!$B$15,
IF(AND($E668="Tier 4",$F668="Remove",$H668&lt;&gt;"",ISNA(MATCH($H668,Tables!$B$171,0))),
Error!$B$15,
IF(AND($E668="Tier 4",$F668="Retain",$H668&lt;&gt;"",ISNA(MATCH($H668,Tables!$B$166:$B$168,0))),
Error!$B$15,
IF(AND($E668="Tier 3",$F668="Retain",$H668&lt;&gt;"",ISNA(MATCH($H668,Tables!$B$158:$B$160,0))),
Error!$B$15,
IF(AND($E668="Tier 3",$F668="Remove",$H668&lt;&gt;"",ISNA(MATCH($H668,Tables!$B$163,0))),
Error!$B$15,
IF(AND(OR($E668="Tier 2",$E668="Tier 2 Grove"),$F668="Remove",$H668&lt;&gt;"",ISNA(MATCH($H668,Tables!$B$153:$B$155,0))),
Error!$B$15,
IF(AND(OR($E668="Tier 2",$E668="Tier 2 Grove"),$F668="Retain",$H668&lt;&gt;"",ISNA(MATCH($H668,Tables!$B$147:$B$150,0))),
Error!$B$15,
IF(AND($E668="Tier 1",$F668="Remove",$H668&lt;&gt;"",ISNA(MATCH($H668,Tables!$B$143:$B$144,0))),
Error!$B$15,
IF(AND($E668="Tier 1",$F668="Retain",$H668&lt;&gt;"",ISNA(MATCH($H668,Tables!$B$137:$B$140,0))),
Error!$B$15,
IF(AND($E668&lt;&gt;"Tier 2",$E668&lt;&gt;"Tier 2 Grove",$E668&lt;&gt;"Tier 3",$E668&lt;&gt;"Tier 4",$H668="Zoning: Green Factor",OR($D668="",$D668&lt;6)),
Error!$B$11,
IF(AND(_xlpm.baseRow,$D668&lt;6,$E668="&lt;6in DSH for Tree Points",_xlpm.TreePoints_H=0),
Error!$B$21,
IF(AND(_xlpm.baseRow,$E668&lt;&gt;"",$D668&lt;&gt;"",$F668=""),
Error!$B$4,
IF(AND(_xlpm.baseRow,$F668="Remove",OR($E668="Tier 1",$E668="Tier 2",$E668="Tier 2 Grove"),COUNTBLANK(_xlpm.HRange)&lt;3,_xlpm.uniqueH&gt;=2),
Error!$B$48,
IF(AND(_xlpm.baseRow,$F668="Retain",OR($E668="Tier 1",$E668="Tier 2",$E668="Tier 2 Grove"),COUNTIF(_xlpm.HRange,"Tree Code: Required to Retain Tier 1-2 Tree")=0),
Error!$B$47,
IF(AND(_xlpm.baseRow,$E668&lt;&gt;"",$D668&lt;&gt;"",$F668&lt;&gt;"",COUNTBLANK(_xlpm.HRange)=4),
Error!$B$5,
IF(AND($F668="Remove",$H668&lt;&gt;"",$I668=""),
Error!$B$18,
IF(AND($E668="Tier 4",$F668="Remove",$H668="Tree Protection Code: Tier 3 or Tier 4 Allowance",$H668&lt;&gt;"",ISNA(MATCH($I668,Tables!$B$200,0))),
Error!$B$17,
IF(AND($E668="Tier 3",$F668="Remove",$H668&lt;&gt;"",$H668="Tree Protection Code: Tier 3 or Tier 4 Allowance",OR($I668="",ISNA(MATCH($I668,Tables!$B$193:$B$197,0)))),
Error!$B$17,
IF(AND(OR($E668="Tier 2",$E668="Tier 2 Grove"),$F668="Remove",$H668="Tree Protection Code: Other removal allowance or exemption",$I668&lt;&gt;"",ISNA(MATCH($I668,Tables!$B$215:$B$218,0))),
Error!$B$17,
IF(AND(OR($E668="Tier 2",$E668="Tier 2 Grove"),$F668="Remove",$H668="Tree Protection Code: Development Capacity",$I668&lt;&gt;"",ISNA(MATCH($I668,Tables!$B$193:$B$197,0))),
Error!$B$17,
IF(AND(OR($E668="Tier 2",$E668="Tier 2 Grove"),$F668="Remove",$H668="Tree Protection Code: Necessary for Construction",$I668&lt;&gt;"",ISNA(MATCH($I668,Tables!$B$193:$B$197,0))),
Error!$B$17,
IF(AND($E668="Tier 1",$F668="Remove",$H668="Tree Protection Code: Special Exception",$I668&lt;&gt;"",ISNA(MATCH($I668,Tables!$B$215:$B$218,0))),
Error!$B$17,
IF(AND($E668="Tier 1",$F668="Remove",$H668="Tree Protection Code: Other removal allowance or exemption",$I668&lt;&gt;"",ISNA(MATCH($I668,Tables!$B$215:$B$218,0))),
Error!$B$17,
IF(AND($E668="ECA / Shoreline Tree",$F668="Remove",$H668&lt;&gt;"",OR($H668="Shoreline",$H668="Environmental Critical Area (ECA)"),ISNA(MATCH($I668,Tables!$B$209:$B$212,0))),
Error!$B$17,
IF(AND(_xlpm.baseRow,$F668="Retain",$E668="ECA / Shoreline Tree",_xlpm.ECA_Short=0),
Error!$B$61,
IF(AND($F668="Remove",ISNUMBER(MATCH($E668,{"Tier 1","Tier 2","Tier 3","Tier 4","Tier 2 Grove"},0)),ISNUMBER(MATCH($I668,{"On-site replacement","Off-site replacement"},0)),$J668="",$H668&lt;&gt;""),
Error!$B$19,
IF(AND(_xlpm.baseRow,$E668&lt;&gt;"",$D668&lt;&gt;"",$F668&lt;&gt;"",COUNTBLANK($B668:$C668)&gt;0,COUNTBLANK(_xlpm.HRange)&lt;&gt;4),
Error!$B$22,
IF(AND($H668="Zoning: Tree Points",$K668&lt;&gt;"",ISNA(MATCH($K668,Tables!$B$242:$B$253,0))),
Error!$B$58,
IF(AND($H668="Zoning: Tree Points",$K668="Small",$L668&lt;&gt;"",ISNA(MATCH($L668,Tables!$C$243:$C$244,0))),
Error!$B$59,
IF(AND($H668="Zoning: Tree Points",$K668="Small/Medium",$L668&lt;&gt;"",ISNA(MATCH($L668,Tables!$C$246:$C$247,0))),
Error!$B$59,
IF(AND($H668="Zoning: Tree Points",$K668="Medium/Large",$L668&lt;&gt;"",ISNA(MATCH($L668,Tables!$C$249:$C$250,0))),
Error!$B$59,
IF(AND($H668="Zoning: Tree Points",$K668="Large",$L668&lt;&gt;"",ISNA(MATCH($L668,Tables!$C$252:$C$253,0))),
Error!$B$59,
IF(AND($F668="Retain",$H668="Zoning: Tree Points",$C668&lt;&gt;"",$D668&lt;&gt;"",OR($K668="",$L668="",$M668="")),
Error!$B$20,
""
)))))))))))))))))))))))))))))))))))))))))))))))))))))))),
Error!$B$23))</f>
        <v/>
      </c>
      <c r="O668" s="343" t="str" cm="1">
        <f t="array" aca="1" ref="O668" ca="1">IFERROR(_xlfn.LET(
    _xlpm.txt, $C668,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69" spans="1:15" x14ac:dyDescent="0.3">
      <c r="A669" s="320"/>
      <c r="B669" s="616" t="str">
        <f t="shared" si="786"/>
        <v/>
      </c>
      <c r="C669" s="617" t="str">
        <f t="shared" si="787"/>
        <v/>
      </c>
      <c r="D669" s="618" t="str">
        <f t="shared" si="788"/>
        <v/>
      </c>
      <c r="E669" s="616" t="str">
        <f t="shared" si="789"/>
        <v/>
      </c>
      <c r="F669" s="616" t="str">
        <f t="shared" si="790"/>
        <v/>
      </c>
      <c r="G669" s="619" t="str">
        <f>IF(Tree_Table1[[#This Row],[Tree Status  &amp;]]="Retain", Tables!$B$237, IF(Tree_Table1[[#This Row],[Tree Status  &amp;]]="Remove", Tables!$B$238, ""))</f>
        <v/>
      </c>
      <c r="H669" s="321"/>
      <c r="I669" s="322"/>
      <c r="J669" s="453"/>
      <c r="K669" s="323" t="str">
        <f>IFERROR(
    IF(
        AND($H669="Zoning: Tree Points", NOT(ISNUMBER(SEARCH("sp.", $C669)))),
        VLOOKUP($C669, 'Tree List'!$C$3:$F$601, 4, FALSE),
        ""
    ),
"")</f>
        <v/>
      </c>
      <c r="L669" s="324" t="str" cm="1">
        <f t="array" ref="L669">IFERROR(
IF(
    AND($H669="Zoning: Tree Points", NOT(ISNUMBER(SEARCH("sp.", $C669)))),
    _xlfn.IFS(
        (COUNTIFS('Tree List'!$C$3:$C$601,$C669,'Tree List'!$D$3:$D$601,"Coniferous")
        + COUNTIFS('Tree List'!$C$3:$C$601,$C669,'Tree List'!$D$3:$D$601,"Deciduous Conifer")) &gt; 0,
            _xlfn.IFS($K669="Small",0.5,$K669="Small/Medium",1,$K669="Medium/Large",1.4,$K669="Large",1.8),
        (COUNTIFS('Tree List'!$C$3:$C$601,$C669,'Tree List'!$D$3:$D$601,"Deciduous")
        + COUNTIFS('Tree List'!$C$3:$C$601,$C669,'Tree List'!$D$3:$D$601,"Broadleaf Evergreen")) &gt; 0,
            _xlfn.IFS($K669="Small",0.4,$K669="Small/Medium",0.8,$K669="Medium/Large",1.2,$K669="Large",1.6)
    ),
    ""
),
"")</f>
        <v/>
      </c>
      <c r="M669" s="475" t="str">
        <f t="shared" si="735"/>
        <v/>
      </c>
      <c r="N669" s="346" t="str" cm="1">
        <f t="array" aca="1" ref="N66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IF(AND(_xlpm.baseRow,ISNA(MATCH($C669,'Tree List'!$C$3:$C$601,0)),SUMPRODUCT(--ISNUMBER(SEARCH(Tables2!$C$677:$C$772,$O669)))&gt;0),
Error!$B$57,
IF(AND(_xlpm.hasDM,$F669="Remove",$H669&lt;&gt;"",OR($I669="On-site replacement",$I669="Off-site replacement",$I669="Payment In Lieu")),
Error!$B$56,
IF(AND(_xlpm.hasDM,$F669="Remove",$H669&lt;&gt;"",$I669="Relocation"),
Error!$B$66,
IF(AND(OR(_xlpm.hasCN,_xlpm.hasPH,_xlpm.hasGR),$H669&lt;&gt;"",COUNTIF(Tables!$B$132:$B$134,$H669)&gt;0,$I669="N/A (No replacement required)"),
Error!$B$62,
IF(AND(_xlpm.baseRow,$E669&lt;&gt;"",ISNA(MATCH($E669,Tables!$B$225:$B$232,0))),
Error!$B$2,
IF(AND(_xlpm.baseRow,$F669&lt;&gt;"",ISNA(MATCH($F669,Tables!$B$234:$B$235,0))),
Error!$B$24,
IF(AND(_xlpm.baseRow,_xlpm.ECA_H&gt;0,_xlpm.Shore_H&gt;0),
Error!$B$16,
IF(AND(_xlpm.baseRow,$E669&lt;&gt;"",$D669=""),
Error!$B$3,
IF(AND(_xlpm.baseRow,OR($E669="Tier 3",$E669="Tier 4"),$C669&lt;&gt;"",$D669&gt;=24,COUNTIF(Tables2!$B$166:$B$674,$C669)&gt;0),
Error!$B$44,
IF(AND(_xlpm.baseRow,OR($E669="Tier 3",$E669="Tier 4"),$C669&lt;&gt;"",$D669&lt;&gt;"",COUNTIF(Tables2!$B$73:$B$152,$C669)&gt;0,
$D669&gt;=IFERROR(INDEX(Tables2!$C$73:$C$152,MATCH($C669,Tables2!$B$73:$B$152,0)),-1)),
Error!$B$44,
IF(AND(_xlpm.baseRow,OR($E669="Tier 2",$E669="Tier 2 Grove"),$C669&lt;&gt;"",$D669&gt;=12,COUNTIF(Tables2!$B$153:$B$162,$C669)&gt;0),
Error!$B$45,
IF(AND(_xlpm.baseRow,$E669="Tier 2 Grove",$D669&lt;12),
Error!$B$41,
IF(AND(_xlpm.baseRow,$E669="Tier 2",$D669&lt;5.88),
Error!$B$40,
IF(AND(_xlpm.baseRow,OR($E669="Tier 2",$E669="Tier 2 Grove"),$C669&lt;&gt;"",$D669&lt;12,$D669&gt;=6,COUNTIF(Tables2!$B$153:$B$162,$C669)&gt;0),
Error!$B$54,
IF(AND(_xlpm.baseRow,$E669="Tier 2",COUNTIF(Tables2!$B$166:$B$674,$C669)&gt;0,$D669&lt;24),
Error!$B$54,
IF(AND(_xlpm.baseRow,$E669="Tier 3",ISNA(MATCH($C669,Tables2!$B$153:$B$162,0)),OR($D669&lt;12,$D669&gt;=24)),
Error!$B$9,
IF(AND(_xlpm.baseRow,$E669="Tier 3",COUNTIF(Tables2!$B$153:$B$162,$C669)&gt;0,$D669&lt;12),
Error!$B$46,
IF(AND(_xlpm.baseRow,$E669="Tier 4",OR($D669&lt;6,$D669&gt;=12)),
Error!$B$10,
IF(AND(_xlpm.baseRow,$E669="&lt;6in DSH for Tree Points",OR($D669&gt;=6,$D669="")),
Error!$B$8,
IF(AND(_xlpm.baseRow,$E669="Street Tree for Green Factor",$F669&lt;&gt;"",$F669&lt;&gt;"Retain"),
Error!$B$14,
IF(AND($E669="&lt;6in DSH for Tree Points",$F669="Retain",$H669&lt;&gt;"",ISNA(MATCH($H669,Tables!$B$174:$B$174,0))),
Error!$B$15,
IF(AND($E669="Street Tree for Green Factor",$F669="Retain",$H669&lt;&gt;"",$H669&lt;&gt;"Zoning: Green Factor"),
Error!$B$15,
IF(AND($E669="ECA / Shoreline Tree",$F669="Remove",$H669&lt;&gt;"",ISNA(MATCH($H669,Tables!$B$189:$B$190,0))),
Error!$B$15,
IF(AND($E669="ECA / Shoreline Tree",$F669="Retain",$H669&lt;&gt;"",ISNA(MATCH($H669,Tables!$B$184:$B$186,0))),
Error!$B$15,
IF(AND($E669="Tier 4",$F669="Remove",$H669&lt;&gt;"",ISNA(MATCH($H669,Tables!$B$171,0))),
Error!$B$15,
IF(AND($E669="Tier 4",$F669="Retain",$H669&lt;&gt;"",ISNA(MATCH($H669,Tables!$B$166:$B$168,0))),
Error!$B$15,
IF(AND($E669="Tier 3",$F669="Retain",$H669&lt;&gt;"",ISNA(MATCH($H669,Tables!$B$158:$B$160,0))),
Error!$B$15,
IF(AND($E669="Tier 3",$F669="Remove",$H669&lt;&gt;"",ISNA(MATCH($H669,Tables!$B$163,0))),
Error!$B$15,
IF(AND(OR($E669="Tier 2",$E669="Tier 2 Grove"),$F669="Remove",$H669&lt;&gt;"",ISNA(MATCH($H669,Tables!$B$153:$B$155,0))),
Error!$B$15,
IF(AND(OR($E669="Tier 2",$E669="Tier 2 Grove"),$F669="Retain",$H669&lt;&gt;"",ISNA(MATCH($H669,Tables!$B$147:$B$150,0))),
Error!$B$15,
IF(AND($E669="Tier 1",$F669="Remove",$H669&lt;&gt;"",ISNA(MATCH($H669,Tables!$B$143:$B$144,0))),
Error!$B$15,
IF(AND($E669="Tier 1",$F669="Retain",$H669&lt;&gt;"",ISNA(MATCH($H669,Tables!$B$137:$B$140,0))),
Error!$B$15,
IF(AND($E669&lt;&gt;"Tier 2",$E669&lt;&gt;"Tier 2 Grove",$E669&lt;&gt;"Tier 3",$E669&lt;&gt;"Tier 4",$H669="Zoning: Green Factor",OR($D669="",$D669&lt;6)),
Error!$B$11,
IF(AND(_xlpm.baseRow,$D669&lt;6,$E669="&lt;6in DSH for Tree Points",_xlpm.TreePoints_H=0),
Error!$B$21,
IF(AND(_xlpm.baseRow,$E669&lt;&gt;"",$D669&lt;&gt;"",$F669=""),
Error!$B$4,
IF(AND(_xlpm.baseRow,$F669="Remove",OR($E669="Tier 1",$E669="Tier 2",$E669="Tier 2 Grove"),COUNTBLANK(_xlpm.HRange)&lt;3,_xlpm.uniqueH&gt;=2),
Error!$B$48,
IF(AND(_xlpm.baseRow,$F669="Retain",OR($E669="Tier 1",$E669="Tier 2",$E669="Tier 2 Grove"),COUNTIF(_xlpm.HRange,"Tree Code: Required to Retain Tier 1-2 Tree")=0),
Error!$B$47,
IF(AND(_xlpm.baseRow,$E669&lt;&gt;"",$D669&lt;&gt;"",$F669&lt;&gt;"",COUNTBLANK(_xlpm.HRange)=4),
Error!$B$5,
IF(AND($F669="Remove",$H669&lt;&gt;"",$I669=""),
Error!$B$18,
IF(AND($E669="Tier 4",$F669="Remove",$H669="Tree Protection Code: Tier 3 or Tier 4 Allowance",$H669&lt;&gt;"",ISNA(MATCH($I669,Tables!$B$200,0))),
Error!$B$17,
IF(AND($E669="Tier 3",$F669="Remove",$H669&lt;&gt;"",$H669="Tree Protection Code: Tier 3 or Tier 4 Allowance",OR($I669="",ISNA(MATCH($I669,Tables!$B$193:$B$197,0)))),
Error!$B$17,
IF(AND(OR($E669="Tier 2",$E669="Tier 2 Grove"),$F669="Remove",$H669="Tree Protection Code: Other removal allowance or exemption",$I669&lt;&gt;"",ISNA(MATCH($I669,Tables!$B$215:$B$218,0))),
Error!$B$17,
IF(AND(OR($E669="Tier 2",$E669="Tier 2 Grove"),$F669="Remove",$H669="Tree Protection Code: Development Capacity",$I669&lt;&gt;"",ISNA(MATCH($I669,Tables!$B$193:$B$197,0))),
Error!$B$17,
IF(AND(OR($E669="Tier 2",$E669="Tier 2 Grove"),$F669="Remove",$H669="Tree Protection Code: Necessary for Construction",$I669&lt;&gt;"",ISNA(MATCH($I669,Tables!$B$193:$B$197,0))),
Error!$B$17,
IF(AND($E669="Tier 1",$F669="Remove",$H669="Tree Protection Code: Special Exception",$I669&lt;&gt;"",ISNA(MATCH($I669,Tables!$B$215:$B$218,0))),
Error!$B$17,
IF(AND($E669="Tier 1",$F669="Remove",$H669="Tree Protection Code: Other removal allowance or exemption",$I669&lt;&gt;"",ISNA(MATCH($I669,Tables!$B$215:$B$218,0))),
Error!$B$17,
IF(AND($E669="ECA / Shoreline Tree",$F669="Remove",$H669&lt;&gt;"",OR($H669="Shoreline",$H669="Environmental Critical Area (ECA)"),ISNA(MATCH($I669,Tables!$B$209:$B$212,0))),
Error!$B$17,
IF(AND(_xlpm.baseRow,$F669="Retain",$E669="ECA / Shoreline Tree",_xlpm.ECA_Short=0),
Error!$B$61,
IF(AND($F669="Remove",ISNUMBER(MATCH($E669,{"Tier 1","Tier 2","Tier 3","Tier 4","Tier 2 Grove"},0)),ISNUMBER(MATCH($I669,{"On-site replacement","Off-site replacement"},0)),$J669="",$H669&lt;&gt;""),
Error!$B$19,
IF(AND(_xlpm.baseRow,$E669&lt;&gt;"",$D669&lt;&gt;"",$F669&lt;&gt;"",COUNTBLANK($B669:$C669)&gt;0,COUNTBLANK(_xlpm.HRange)&lt;&gt;4),
Error!$B$22,
IF(AND($H669="Zoning: Tree Points",$K669&lt;&gt;"",ISNA(MATCH($K669,Tables!$B$242:$B$253,0))),
Error!$B$58,
IF(AND($H669="Zoning: Tree Points",$K669="Small",$L669&lt;&gt;"",ISNA(MATCH($L669,Tables!$C$243:$C$244,0))),
Error!$B$59,
IF(AND($H669="Zoning: Tree Points",$K669="Small/Medium",$L669&lt;&gt;"",ISNA(MATCH($L669,Tables!$C$246:$C$247,0))),
Error!$B$59,
IF(AND($H669="Zoning: Tree Points",$K669="Medium/Large",$L669&lt;&gt;"",ISNA(MATCH($L669,Tables!$C$249:$C$250,0))),
Error!$B$59,
IF(AND($H669="Zoning: Tree Points",$K669="Large",$L669&lt;&gt;"",ISNA(MATCH($L669,Tables!$C$252:$C$253,0))),
Error!$B$59,
IF(AND($F669="Retain",$H669="Zoning: Tree Points",$C669&lt;&gt;"",$D669&lt;&gt;"",OR($K669="",$L669="",$M669="")),
Error!$B$20,
""
)))))))))))))))))))))))))))))))))))))))))))))))))))))))),
Error!$B$23))</f>
        <v/>
      </c>
      <c r="O669" s="343" t="str" cm="1">
        <f t="array" aca="1" ref="O669" ca="1">IFERROR(_xlfn.LET(
    _xlpm.txt, $C669,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70" spans="1:15" ht="15" thickBot="1" x14ac:dyDescent="0.35">
      <c r="A670" s="331"/>
      <c r="B670" s="616" t="str">
        <f t="shared" si="786"/>
        <v/>
      </c>
      <c r="C670" s="617" t="str">
        <f t="shared" si="787"/>
        <v/>
      </c>
      <c r="D670" s="618" t="str">
        <f t="shared" si="788"/>
        <v/>
      </c>
      <c r="E670" s="616" t="str">
        <f t="shared" si="789"/>
        <v/>
      </c>
      <c r="F670" s="616" t="str">
        <f t="shared" si="790"/>
        <v/>
      </c>
      <c r="G670" s="619" t="str">
        <f>IF(Tree_Table1[[#This Row],[Tree Status  &amp;]]="Retain", Tables!$B$237, IF(Tree_Table1[[#This Row],[Tree Status  &amp;]]="Remove", Tables!$B$238, ""))</f>
        <v/>
      </c>
      <c r="H670" s="329"/>
      <c r="I670" s="330"/>
      <c r="J670" s="455"/>
      <c r="K670" s="327" t="str">
        <f>IFERROR(
    IF(
        AND($H670="Zoning: Tree Points", NOT(ISNUMBER(SEARCH("sp.", $C670)))),
        VLOOKUP($C670, 'Tree List'!$C$3:$F$601, 4, FALSE),
        ""
    ),
"")</f>
        <v/>
      </c>
      <c r="L670" s="328" t="str" cm="1">
        <f t="array" ref="L670">IFERROR(
IF(
    AND($H670="Zoning: Tree Points", NOT(ISNUMBER(SEARCH("sp.", $C670)))),
    _xlfn.IFS(
        (COUNTIFS('Tree List'!$C$3:$C$601,$C670,'Tree List'!$D$3:$D$601,"Coniferous")
        + COUNTIFS('Tree List'!$C$3:$C$601,$C670,'Tree List'!$D$3:$D$601,"Deciduous Conifer")) &gt; 0,
            _xlfn.IFS($K670="Small",0.5,$K670="Small/Medium",1,$K670="Medium/Large",1.4,$K670="Large",1.8),
        (COUNTIFS('Tree List'!$C$3:$C$601,$C670,'Tree List'!$D$3:$D$601,"Deciduous")
        + COUNTIFS('Tree List'!$C$3:$C$601,$C670,'Tree List'!$D$3:$D$601,"Broadleaf Evergreen")) &gt; 0,
            _xlfn.IFS($K670="Small",0.4,$K670="Small/Medium",0.8,$K670="Medium/Large",1.2,$K670="Large",1.6)
    ),
    ""
),
"")</f>
        <v/>
      </c>
      <c r="M670" s="476" t="str">
        <f t="shared" si="735"/>
        <v/>
      </c>
      <c r="N670" s="347" t="str" cm="1">
        <f t="array" aca="1" ref="N67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IF(AND(_xlpm.baseRow,ISNA(MATCH($C670,'Tree List'!$C$3:$C$601,0)),SUMPRODUCT(--ISNUMBER(SEARCH(Tables2!$C$677:$C$772,$O670)))&gt;0),
Error!$B$57,
IF(AND(_xlpm.hasDM,$F670="Remove",$H670&lt;&gt;"",OR($I670="On-site replacement",$I670="Off-site replacement",$I670="Payment In Lieu")),
Error!$B$56,
IF(AND(_xlpm.hasDM,$F670="Remove",$H670&lt;&gt;"",$I670="Relocation"),
Error!$B$66,
IF(AND(OR(_xlpm.hasCN,_xlpm.hasPH,_xlpm.hasGR),$H670&lt;&gt;"",COUNTIF(Tables!$B$132:$B$134,$H670)&gt;0,$I670="N/A (No replacement required)"),
Error!$B$62,
IF(AND(_xlpm.baseRow,$E670&lt;&gt;"",ISNA(MATCH($E670,Tables!$B$225:$B$232,0))),
Error!$B$2,
IF(AND(_xlpm.baseRow,$F670&lt;&gt;"",ISNA(MATCH($F670,Tables!$B$234:$B$235,0))),
Error!$B$24,
IF(AND(_xlpm.baseRow,_xlpm.ECA_H&gt;0,_xlpm.Shore_H&gt;0),
Error!$B$16,
IF(AND(_xlpm.baseRow,$E670&lt;&gt;"",$D670=""),
Error!$B$3,
IF(AND(_xlpm.baseRow,OR($E670="Tier 3",$E670="Tier 4"),$C670&lt;&gt;"",$D670&gt;=24,COUNTIF(Tables2!$B$166:$B$674,$C670)&gt;0),
Error!$B$44,
IF(AND(_xlpm.baseRow,OR($E670="Tier 3",$E670="Tier 4"),$C670&lt;&gt;"",$D670&lt;&gt;"",COUNTIF(Tables2!$B$73:$B$152,$C670)&gt;0,
$D670&gt;=IFERROR(INDEX(Tables2!$C$73:$C$152,MATCH($C670,Tables2!$B$73:$B$152,0)),-1)),
Error!$B$44,
IF(AND(_xlpm.baseRow,OR($E670="Tier 2",$E670="Tier 2 Grove"),$C670&lt;&gt;"",$D670&gt;=12,COUNTIF(Tables2!$B$153:$B$162,$C670)&gt;0),
Error!$B$45,
IF(AND(_xlpm.baseRow,$E670="Tier 2 Grove",$D670&lt;12),
Error!$B$41,
IF(AND(_xlpm.baseRow,$E670="Tier 2",$D670&lt;5.88),
Error!$B$40,
IF(AND(_xlpm.baseRow,OR($E670="Tier 2",$E670="Tier 2 Grove"),$C670&lt;&gt;"",$D670&lt;12,$D670&gt;=6,COUNTIF(Tables2!$B$153:$B$162,$C670)&gt;0),
Error!$B$54,
IF(AND(_xlpm.baseRow,$E670="Tier 2",COUNTIF(Tables2!$B$166:$B$674,$C670)&gt;0,$D670&lt;24),
Error!$B$54,
IF(AND(_xlpm.baseRow,$E670="Tier 3",ISNA(MATCH($C670,Tables2!$B$153:$B$162,0)),OR($D670&lt;12,$D670&gt;=24)),
Error!$B$9,
IF(AND(_xlpm.baseRow,$E670="Tier 3",COUNTIF(Tables2!$B$153:$B$162,$C670)&gt;0,$D670&lt;12),
Error!$B$46,
IF(AND(_xlpm.baseRow,$E670="Tier 4",OR($D670&lt;6,$D670&gt;=12)),
Error!$B$10,
IF(AND(_xlpm.baseRow,$E670="&lt;6in DSH for Tree Points",OR($D670&gt;=6,$D670="")),
Error!$B$8,
IF(AND(_xlpm.baseRow,$E670="Street Tree for Green Factor",$F670&lt;&gt;"",$F670&lt;&gt;"Retain"),
Error!$B$14,
IF(AND($E670="&lt;6in DSH for Tree Points",$F670="Retain",$H670&lt;&gt;"",ISNA(MATCH($H670,Tables!$B$174:$B$174,0))),
Error!$B$15,
IF(AND($E670="Street Tree for Green Factor",$F670="Retain",$H670&lt;&gt;"",$H670&lt;&gt;"Zoning: Green Factor"),
Error!$B$15,
IF(AND($E670="ECA / Shoreline Tree",$F670="Remove",$H670&lt;&gt;"",ISNA(MATCH($H670,Tables!$B$189:$B$190,0))),
Error!$B$15,
IF(AND($E670="ECA / Shoreline Tree",$F670="Retain",$H670&lt;&gt;"",ISNA(MATCH($H670,Tables!$B$184:$B$186,0))),
Error!$B$15,
IF(AND($E670="Tier 4",$F670="Remove",$H670&lt;&gt;"",ISNA(MATCH($H670,Tables!$B$171,0))),
Error!$B$15,
IF(AND($E670="Tier 4",$F670="Retain",$H670&lt;&gt;"",ISNA(MATCH($H670,Tables!$B$166:$B$168,0))),
Error!$B$15,
IF(AND($E670="Tier 3",$F670="Retain",$H670&lt;&gt;"",ISNA(MATCH($H670,Tables!$B$158:$B$160,0))),
Error!$B$15,
IF(AND($E670="Tier 3",$F670="Remove",$H670&lt;&gt;"",ISNA(MATCH($H670,Tables!$B$163,0))),
Error!$B$15,
IF(AND(OR($E670="Tier 2",$E670="Tier 2 Grove"),$F670="Remove",$H670&lt;&gt;"",ISNA(MATCH($H670,Tables!$B$153:$B$155,0))),
Error!$B$15,
IF(AND(OR($E670="Tier 2",$E670="Tier 2 Grove"),$F670="Retain",$H670&lt;&gt;"",ISNA(MATCH($H670,Tables!$B$147:$B$150,0))),
Error!$B$15,
IF(AND($E670="Tier 1",$F670="Remove",$H670&lt;&gt;"",ISNA(MATCH($H670,Tables!$B$143:$B$144,0))),
Error!$B$15,
IF(AND($E670="Tier 1",$F670="Retain",$H670&lt;&gt;"",ISNA(MATCH($H670,Tables!$B$137:$B$140,0))),
Error!$B$15,
IF(AND($E670&lt;&gt;"Tier 2",$E670&lt;&gt;"Tier 2 Grove",$E670&lt;&gt;"Tier 3",$E670&lt;&gt;"Tier 4",$H670="Zoning: Green Factor",OR($D670="",$D670&lt;6)),
Error!$B$11,
IF(AND(_xlpm.baseRow,$D670&lt;6,$E670="&lt;6in DSH for Tree Points",_xlpm.TreePoints_H=0),
Error!$B$21,
IF(AND(_xlpm.baseRow,$E670&lt;&gt;"",$D670&lt;&gt;"",$F670=""),
Error!$B$4,
IF(AND(_xlpm.baseRow,$F670="Remove",OR($E670="Tier 1",$E670="Tier 2",$E670="Tier 2 Grove"),COUNTBLANK(_xlpm.HRange)&lt;3,_xlpm.uniqueH&gt;=2),
Error!$B$48,
IF(AND(_xlpm.baseRow,$F670="Retain",OR($E670="Tier 1",$E670="Tier 2",$E670="Tier 2 Grove"),COUNTIF(_xlpm.HRange,"Tree Code: Required to Retain Tier 1-2 Tree")=0),
Error!$B$47,
IF(AND(_xlpm.baseRow,$E670&lt;&gt;"",$D670&lt;&gt;"",$F670&lt;&gt;"",COUNTBLANK(_xlpm.HRange)=4),
Error!$B$5,
IF(AND($F670="Remove",$H670&lt;&gt;"",$I670=""),
Error!$B$18,
IF(AND($E670="Tier 4",$F670="Remove",$H670="Tree Protection Code: Tier 3 or Tier 4 Allowance",$H670&lt;&gt;"",ISNA(MATCH($I670,Tables!$B$200,0))),
Error!$B$17,
IF(AND($E670="Tier 3",$F670="Remove",$H670&lt;&gt;"",$H670="Tree Protection Code: Tier 3 or Tier 4 Allowance",OR($I670="",ISNA(MATCH($I670,Tables!$B$193:$B$197,0)))),
Error!$B$17,
IF(AND(OR($E670="Tier 2",$E670="Tier 2 Grove"),$F670="Remove",$H670="Tree Protection Code: Other removal allowance or exemption",$I670&lt;&gt;"",ISNA(MATCH($I670,Tables!$B$215:$B$218,0))),
Error!$B$17,
IF(AND(OR($E670="Tier 2",$E670="Tier 2 Grove"),$F670="Remove",$H670="Tree Protection Code: Development Capacity",$I670&lt;&gt;"",ISNA(MATCH($I670,Tables!$B$193:$B$197,0))),
Error!$B$17,
IF(AND(OR($E670="Tier 2",$E670="Tier 2 Grove"),$F670="Remove",$H670="Tree Protection Code: Necessary for Construction",$I670&lt;&gt;"",ISNA(MATCH($I670,Tables!$B$193:$B$197,0))),
Error!$B$17,
IF(AND($E670="Tier 1",$F670="Remove",$H670="Tree Protection Code: Special Exception",$I670&lt;&gt;"",ISNA(MATCH($I670,Tables!$B$215:$B$218,0))),
Error!$B$17,
IF(AND($E670="Tier 1",$F670="Remove",$H670="Tree Protection Code: Other removal allowance or exemption",$I670&lt;&gt;"",ISNA(MATCH($I670,Tables!$B$215:$B$218,0))),
Error!$B$17,
IF(AND($E670="ECA / Shoreline Tree",$F670="Remove",$H670&lt;&gt;"",OR($H670="Shoreline",$H670="Environmental Critical Area (ECA)"),ISNA(MATCH($I670,Tables!$B$209:$B$212,0))),
Error!$B$17,
IF(AND(_xlpm.baseRow,$F670="Retain",$E670="ECA / Shoreline Tree",_xlpm.ECA_Short=0),
Error!$B$61,
IF(AND($F670="Remove",ISNUMBER(MATCH($E670,{"Tier 1","Tier 2","Tier 3","Tier 4","Tier 2 Grove"},0)),ISNUMBER(MATCH($I670,{"On-site replacement","Off-site replacement"},0)),$J670="",$H670&lt;&gt;""),
Error!$B$19,
IF(AND(_xlpm.baseRow,$E670&lt;&gt;"",$D670&lt;&gt;"",$F670&lt;&gt;"",COUNTBLANK($B670:$C670)&gt;0,COUNTBLANK(_xlpm.HRange)&lt;&gt;4),
Error!$B$22,
IF(AND($H670="Zoning: Tree Points",$K670&lt;&gt;"",ISNA(MATCH($K670,Tables!$B$242:$B$253,0))),
Error!$B$58,
IF(AND($H670="Zoning: Tree Points",$K670="Small",$L670&lt;&gt;"",ISNA(MATCH($L670,Tables!$C$243:$C$244,0))),
Error!$B$59,
IF(AND($H670="Zoning: Tree Points",$K670="Small/Medium",$L670&lt;&gt;"",ISNA(MATCH($L670,Tables!$C$246:$C$247,0))),
Error!$B$59,
IF(AND($H670="Zoning: Tree Points",$K670="Medium/Large",$L670&lt;&gt;"",ISNA(MATCH($L670,Tables!$C$249:$C$250,0))),
Error!$B$59,
IF(AND($H670="Zoning: Tree Points",$K670="Large",$L670&lt;&gt;"",ISNA(MATCH($L670,Tables!$C$252:$C$253,0))),
Error!$B$59,
IF(AND($F670="Retain",$H670="Zoning: Tree Points",$C670&lt;&gt;"",$D670&lt;&gt;"",OR($K670="",$L670="",$M670="")),
Error!$B$20,
""
)))))))))))))))))))))))))))))))))))))))))))))))))))))))),
Error!$B$23))</f>
        <v/>
      </c>
      <c r="O670" s="343" t="str" cm="1">
        <f t="array" aca="1" ref="O670" ca="1">IFERROR(_xlfn.LET(
    _xlpm.txt, $C670,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71" spans="1:15" ht="15" thickBot="1" x14ac:dyDescent="0.35">
      <c r="A671" s="311">
        <v>166</v>
      </c>
      <c r="B671" s="312"/>
      <c r="C671" s="313"/>
      <c r="D671" s="478"/>
      <c r="E671" s="314"/>
      <c r="F671" s="314"/>
      <c r="G671" s="315" t="str">
        <f>IF(Tree_Table1[[#This Row],[Tree Status  &amp;]]="Retain", Tables!$B$237, IF(Tree_Table1[[#This Row],[Tree Status  &amp;]]="Remove", Tables!$B$238, ""))</f>
        <v/>
      </c>
      <c r="H671" s="316"/>
      <c r="I671" s="317"/>
      <c r="J671" s="452"/>
      <c r="K671" s="318" t="str">
        <f>IFERROR(
    IF(
        AND($H671="Zoning: Tree Points", NOT(ISNUMBER(SEARCH("sp.", $C671)))),
        VLOOKUP($C671, 'Tree List'!$C$3:$F$601, 4, FALSE),
        ""
    ),
"")</f>
        <v/>
      </c>
      <c r="L671" s="319" t="str" cm="1">
        <f t="array" ref="L671">IFERROR(
IF(
    AND($H671="Zoning: Tree Points", NOT(ISNUMBER(SEARCH("sp.", $C671)))),
    _xlfn.IFS(
        (COUNTIFS('Tree List'!$C$3:$C$601,$C671,'Tree List'!$D$3:$D$601,"Coniferous")
        + COUNTIFS('Tree List'!$C$3:$C$601,$C671,'Tree List'!$D$3:$D$601,"Deciduous Conifer")) &gt; 0,
            _xlfn.IFS($K671="Small",0.5,$K671="Small/Medium",1,$K671="Medium/Large",1.4,$K671="Large",1.8),
        (COUNTIFS('Tree List'!$C$3:$C$601,$C671,'Tree List'!$D$3:$D$601,"Deciduous")
        + COUNTIFS('Tree List'!$C$3:$C$601,$C671,'Tree List'!$D$3:$D$601,"Broadleaf Evergreen")) &gt; 0,
            _xlfn.IFS($K671="Small",0.4,$K671="Small/Medium",0.8,$K671="Medium/Large",1.2,$K671="Large",1.6)
    ),
    ""
),
"")</f>
        <v/>
      </c>
      <c r="M671" s="474" t="str">
        <f t="shared" si="735"/>
        <v/>
      </c>
      <c r="N671" s="620" t="str" cm="1">
        <f t="array" aca="1" ref="N67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IF(AND(_xlpm.baseRow,ISNA(MATCH($C671,'Tree List'!$C$3:$C$601,0)),SUMPRODUCT(--ISNUMBER(SEARCH(Tables2!$C$677:$C$772,$O671)))&gt;0),
Error!$B$57,
IF(AND(_xlpm.hasDM,$F671="Remove",$H671&lt;&gt;"",OR($I671="On-site replacement",$I671="Off-site replacement",$I671="Payment In Lieu")),
Error!$B$56,
IF(AND(_xlpm.hasDM,$F671="Remove",$H671&lt;&gt;"",$I671="Relocation"),
Error!$B$66,
IF(AND(OR(_xlpm.hasCN,_xlpm.hasPH,_xlpm.hasGR),$H671&lt;&gt;"",COUNTIF(Tables!$B$132:$B$134,$H671)&gt;0,$I671="N/A (No replacement required)"),
Error!$B$62,
IF(AND(_xlpm.baseRow,$E671&lt;&gt;"",ISNA(MATCH($E671,Tables!$B$225:$B$232,0))),
Error!$B$2,
IF(AND(_xlpm.baseRow,$F671&lt;&gt;"",ISNA(MATCH($F671,Tables!$B$234:$B$235,0))),
Error!$B$24,
IF(AND(_xlpm.baseRow,_xlpm.ECA_H&gt;0,_xlpm.Shore_H&gt;0),
Error!$B$16,
IF(AND(_xlpm.baseRow,$E671&lt;&gt;"",$D671=""),
Error!$B$3,
IF(AND(_xlpm.baseRow,OR($E671="Tier 3",$E671="Tier 4"),$C671&lt;&gt;"",$D671&gt;=24,COUNTIF(Tables2!$B$166:$B$674,$C671)&gt;0),
Error!$B$44,
IF(AND(_xlpm.baseRow,OR($E671="Tier 3",$E671="Tier 4"),$C671&lt;&gt;"",$D671&lt;&gt;"",COUNTIF(Tables2!$B$73:$B$152,$C671)&gt;0,
$D671&gt;=IFERROR(INDEX(Tables2!$C$73:$C$152,MATCH($C671,Tables2!$B$73:$B$152,0)),-1)),
Error!$B$44,
IF(AND(_xlpm.baseRow,OR($E671="Tier 2",$E671="Tier 2 Grove"),$C671&lt;&gt;"",$D671&gt;=12,COUNTIF(Tables2!$B$153:$B$162,$C671)&gt;0),
Error!$B$45,
IF(AND(_xlpm.baseRow,$E671="Tier 2 Grove",$D671&lt;12),
Error!$B$41,
IF(AND(_xlpm.baseRow,$E671="Tier 2",$D671&lt;5.88),
Error!$B$40,
IF(AND(_xlpm.baseRow,OR($E671="Tier 2",$E671="Tier 2 Grove"),$C671&lt;&gt;"",$D671&lt;12,$D671&gt;=6,COUNTIF(Tables2!$B$153:$B$162,$C671)&gt;0),
Error!$B$54,
IF(AND(_xlpm.baseRow,$E671="Tier 2",COUNTIF(Tables2!$B$166:$B$674,$C671)&gt;0,$D671&lt;24),
Error!$B$54,
IF(AND(_xlpm.baseRow,$E671="Tier 3",ISNA(MATCH($C671,Tables2!$B$153:$B$162,0)),OR($D671&lt;12,$D671&gt;=24)),
Error!$B$9,
IF(AND(_xlpm.baseRow,$E671="Tier 3",COUNTIF(Tables2!$B$153:$B$162,$C671)&gt;0,$D671&lt;12),
Error!$B$46,
IF(AND(_xlpm.baseRow,$E671="Tier 4",OR($D671&lt;6,$D671&gt;=12)),
Error!$B$10,
IF(AND(_xlpm.baseRow,$E671="&lt;6in DSH for Tree Points",OR($D671&gt;=6,$D671="")),
Error!$B$8,
IF(AND(_xlpm.baseRow,$E671="Street Tree for Green Factor",$F671&lt;&gt;"",$F671&lt;&gt;"Retain"),
Error!$B$14,
IF(AND($E671="&lt;6in DSH for Tree Points",$F671="Retain",$H671&lt;&gt;"",ISNA(MATCH($H671,Tables!$B$174:$B$174,0))),
Error!$B$15,
IF(AND($E671="Street Tree for Green Factor",$F671="Retain",$H671&lt;&gt;"",$H671&lt;&gt;"Zoning: Green Factor"),
Error!$B$15,
IF(AND($E671="ECA / Shoreline Tree",$F671="Remove",$H671&lt;&gt;"",ISNA(MATCH($H671,Tables!$B$189:$B$190,0))),
Error!$B$15,
IF(AND($E671="ECA / Shoreline Tree",$F671="Retain",$H671&lt;&gt;"",ISNA(MATCH($H671,Tables!$B$184:$B$186,0))),
Error!$B$15,
IF(AND($E671="Tier 4",$F671="Remove",$H671&lt;&gt;"",ISNA(MATCH($H671,Tables!$B$171,0))),
Error!$B$15,
IF(AND($E671="Tier 4",$F671="Retain",$H671&lt;&gt;"",ISNA(MATCH($H671,Tables!$B$166:$B$168,0))),
Error!$B$15,
IF(AND($E671="Tier 3",$F671="Retain",$H671&lt;&gt;"",ISNA(MATCH($H671,Tables!$B$158:$B$160,0))),
Error!$B$15,
IF(AND($E671="Tier 3",$F671="Remove",$H671&lt;&gt;"",ISNA(MATCH($H671,Tables!$B$163,0))),
Error!$B$15,
IF(AND(OR($E671="Tier 2",$E671="Tier 2 Grove"),$F671="Remove",$H671&lt;&gt;"",ISNA(MATCH($H671,Tables!$B$153:$B$155,0))),
Error!$B$15,
IF(AND(OR($E671="Tier 2",$E671="Tier 2 Grove"),$F671="Retain",$H671&lt;&gt;"",ISNA(MATCH($H671,Tables!$B$147:$B$150,0))),
Error!$B$15,
IF(AND($E671="Tier 1",$F671="Remove",$H671&lt;&gt;"",ISNA(MATCH($H671,Tables!$B$143:$B$144,0))),
Error!$B$15,
IF(AND($E671="Tier 1",$F671="Retain",$H671&lt;&gt;"",ISNA(MATCH($H671,Tables!$B$137:$B$140,0))),
Error!$B$15,
IF(AND($E671&lt;&gt;"Tier 2",$E671&lt;&gt;"Tier 2 Grove",$E671&lt;&gt;"Tier 3",$E671&lt;&gt;"Tier 4",$H671="Zoning: Green Factor",OR($D671="",$D671&lt;6)),
Error!$B$11,
IF(AND(_xlpm.baseRow,$D671&lt;6,$E671="&lt;6in DSH for Tree Points",_xlpm.TreePoints_H=0),
Error!$B$21,
IF(AND(_xlpm.baseRow,$E671&lt;&gt;"",$D671&lt;&gt;"",$F671=""),
Error!$B$4,
IF(AND(_xlpm.baseRow,$F671="Remove",OR($E671="Tier 1",$E671="Tier 2",$E671="Tier 2 Grove"),COUNTBLANK(_xlpm.HRange)&lt;3,_xlpm.uniqueH&gt;=2),
Error!$B$48,
IF(AND(_xlpm.baseRow,$F671="Retain",OR($E671="Tier 1",$E671="Tier 2",$E671="Tier 2 Grove"),COUNTIF(_xlpm.HRange,"Tree Code: Required to Retain Tier 1-2 Tree")=0),
Error!$B$47,
IF(AND(_xlpm.baseRow,$E671&lt;&gt;"",$D671&lt;&gt;"",$F671&lt;&gt;"",COUNTBLANK(_xlpm.HRange)=4),
Error!$B$5,
IF(AND($F671="Remove",$H671&lt;&gt;"",$I671=""),
Error!$B$18,
IF(AND($E671="Tier 4",$F671="Remove",$H671="Tree Protection Code: Tier 3 or Tier 4 Allowance",$H671&lt;&gt;"",ISNA(MATCH($I671,Tables!$B$200,0))),
Error!$B$17,
IF(AND($E671="Tier 3",$F671="Remove",$H671&lt;&gt;"",$H671="Tree Protection Code: Tier 3 or Tier 4 Allowance",OR($I671="",ISNA(MATCH($I671,Tables!$B$193:$B$197,0)))),
Error!$B$17,
IF(AND(OR($E671="Tier 2",$E671="Tier 2 Grove"),$F671="Remove",$H671="Tree Protection Code: Other removal allowance or exemption",$I671&lt;&gt;"",ISNA(MATCH($I671,Tables!$B$215:$B$218,0))),
Error!$B$17,
IF(AND(OR($E671="Tier 2",$E671="Tier 2 Grove"),$F671="Remove",$H671="Tree Protection Code: Development Capacity",$I671&lt;&gt;"",ISNA(MATCH($I671,Tables!$B$193:$B$197,0))),
Error!$B$17,
IF(AND(OR($E671="Tier 2",$E671="Tier 2 Grove"),$F671="Remove",$H671="Tree Protection Code: Necessary for Construction",$I671&lt;&gt;"",ISNA(MATCH($I671,Tables!$B$193:$B$197,0))),
Error!$B$17,
IF(AND($E671="Tier 1",$F671="Remove",$H671="Tree Protection Code: Special Exception",$I671&lt;&gt;"",ISNA(MATCH($I671,Tables!$B$215:$B$218,0))),
Error!$B$17,
IF(AND($E671="Tier 1",$F671="Remove",$H671="Tree Protection Code: Other removal allowance or exemption",$I671&lt;&gt;"",ISNA(MATCH($I671,Tables!$B$215:$B$218,0))),
Error!$B$17,
IF(AND($E671="ECA / Shoreline Tree",$F671="Remove",$H671&lt;&gt;"",OR($H671="Shoreline",$H671="Environmental Critical Area (ECA)"),ISNA(MATCH($I671,Tables!$B$209:$B$212,0))),
Error!$B$17,
IF(AND(_xlpm.baseRow,$F671="Retain",$E671="ECA / Shoreline Tree",_xlpm.ECA_Short=0),
Error!$B$61,
IF(AND($F671="Remove",ISNUMBER(MATCH($E671,{"Tier 1","Tier 2","Tier 3","Tier 4","Tier 2 Grove"},0)),ISNUMBER(MATCH($I671,{"On-site replacement","Off-site replacement"},0)),$J671="",$H671&lt;&gt;""),
Error!$B$19,
IF(AND(_xlpm.baseRow,$E671&lt;&gt;"",$D671&lt;&gt;"",$F671&lt;&gt;"",COUNTBLANK($B671:$C671)&gt;0,COUNTBLANK(_xlpm.HRange)&lt;&gt;4),
Error!$B$22,
IF(AND($H671="Zoning: Tree Points",$K671&lt;&gt;"",ISNA(MATCH($K671,Tables!$B$242:$B$253,0))),
Error!$B$58,
IF(AND($H671="Zoning: Tree Points",$K671="Small",$L671&lt;&gt;"",ISNA(MATCH($L671,Tables!$C$243:$C$244,0))),
Error!$B$59,
IF(AND($H671="Zoning: Tree Points",$K671="Small/Medium",$L671&lt;&gt;"",ISNA(MATCH($L671,Tables!$C$246:$C$247,0))),
Error!$B$59,
IF(AND($H671="Zoning: Tree Points",$K671="Medium/Large",$L671&lt;&gt;"",ISNA(MATCH($L671,Tables!$C$249:$C$250,0))),
Error!$B$59,
IF(AND($H671="Zoning: Tree Points",$K671="Large",$L671&lt;&gt;"",ISNA(MATCH($L671,Tables!$C$252:$C$253,0))),
Error!$B$59,
IF(AND($F671="Retain",$H671="Zoning: Tree Points",$C671&lt;&gt;"",$D671&lt;&gt;"",OR($K671="",$L671="",$M671="")),
Error!$B$20,
""
)))))))))))))))))))))))))))))))))))))))))))))))))))))))),
Error!$B$23))</f>
        <v/>
      </c>
      <c r="O671" s="343" t="str" cm="1">
        <f t="array" aca="1" ref="O671" ca="1">IFERROR(_xlfn.LET(
    _xlpm.txt, $C671,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72" spans="1:15" x14ac:dyDescent="0.3">
      <c r="A672" s="320"/>
      <c r="B672" s="616" t="str">
        <f t="shared" ref="B672:B674" si="791">IF($B671="", "", $B671)</f>
        <v/>
      </c>
      <c r="C672" s="617" t="str">
        <f t="shared" ref="C672:C674" si="792">IF($C671="", "", $C671)</f>
        <v/>
      </c>
      <c r="D672" s="618" t="str">
        <f t="shared" ref="D672:D674" si="793">IF($D671="", "", $D671)</f>
        <v/>
      </c>
      <c r="E672" s="616" t="str">
        <f t="shared" ref="E672:E674" si="794">IF($E671="", "", $E671)</f>
        <v/>
      </c>
      <c r="F672" s="616" t="str">
        <f t="shared" ref="F672:F674" si="795">IF($F671="", "", $F671)</f>
        <v/>
      </c>
      <c r="G672" s="619" t="str">
        <f>IF(Tree_Table1[[#This Row],[Tree Status  &amp;]]="Retain", Tables!$B$237, IF(Tree_Table1[[#This Row],[Tree Status  &amp;]]="Remove", Tables!$B$238, ""))</f>
        <v/>
      </c>
      <c r="H672" s="321"/>
      <c r="I672" s="322"/>
      <c r="J672" s="453"/>
      <c r="K672" s="323" t="str">
        <f>IFERROR(
    IF(
        AND($H672="Zoning: Tree Points", NOT(ISNUMBER(SEARCH("sp.", $C672)))),
        VLOOKUP($C672, 'Tree List'!$C$3:$F$601, 4, FALSE),
        ""
    ),
"")</f>
        <v/>
      </c>
      <c r="L672" s="324" t="str" cm="1">
        <f t="array" ref="L672">IFERROR(
IF(
    AND($H672="Zoning: Tree Points", NOT(ISNUMBER(SEARCH("sp.", $C672)))),
    _xlfn.IFS(
        (COUNTIFS('Tree List'!$C$3:$C$601,$C672,'Tree List'!$D$3:$D$601,"Coniferous")
        + COUNTIFS('Tree List'!$C$3:$C$601,$C672,'Tree List'!$D$3:$D$601,"Deciduous Conifer")) &gt; 0,
            _xlfn.IFS($K672="Small",0.5,$K672="Small/Medium",1,$K672="Medium/Large",1.4,$K672="Large",1.8),
        (COUNTIFS('Tree List'!$C$3:$C$601,$C672,'Tree List'!$D$3:$D$601,"Deciduous")
        + COUNTIFS('Tree List'!$C$3:$C$601,$C672,'Tree List'!$D$3:$D$601,"Broadleaf Evergreen")) &gt; 0,
            _xlfn.IFS($K672="Small",0.4,$K672="Small/Medium",0.8,$K672="Medium/Large",1.2,$K672="Large",1.6)
    ),
    ""
),
"")</f>
        <v/>
      </c>
      <c r="M672" s="475" t="str">
        <f t="shared" si="735"/>
        <v/>
      </c>
      <c r="N672" s="346" t="str" cm="1">
        <f t="array" aca="1" ref="N67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IF(AND(_xlpm.baseRow,ISNA(MATCH($C672,'Tree List'!$C$3:$C$601,0)),SUMPRODUCT(--ISNUMBER(SEARCH(Tables2!$C$677:$C$772,$O672)))&gt;0),
Error!$B$57,
IF(AND(_xlpm.hasDM,$F672="Remove",$H672&lt;&gt;"",OR($I672="On-site replacement",$I672="Off-site replacement",$I672="Payment In Lieu")),
Error!$B$56,
IF(AND(_xlpm.hasDM,$F672="Remove",$H672&lt;&gt;"",$I672="Relocation"),
Error!$B$66,
IF(AND(OR(_xlpm.hasCN,_xlpm.hasPH,_xlpm.hasGR),$H672&lt;&gt;"",COUNTIF(Tables!$B$132:$B$134,$H672)&gt;0,$I672="N/A (No replacement required)"),
Error!$B$62,
IF(AND(_xlpm.baseRow,$E672&lt;&gt;"",ISNA(MATCH($E672,Tables!$B$225:$B$232,0))),
Error!$B$2,
IF(AND(_xlpm.baseRow,$F672&lt;&gt;"",ISNA(MATCH($F672,Tables!$B$234:$B$235,0))),
Error!$B$24,
IF(AND(_xlpm.baseRow,_xlpm.ECA_H&gt;0,_xlpm.Shore_H&gt;0),
Error!$B$16,
IF(AND(_xlpm.baseRow,$E672&lt;&gt;"",$D672=""),
Error!$B$3,
IF(AND(_xlpm.baseRow,OR($E672="Tier 3",$E672="Tier 4"),$C672&lt;&gt;"",$D672&gt;=24,COUNTIF(Tables2!$B$166:$B$674,$C672)&gt;0),
Error!$B$44,
IF(AND(_xlpm.baseRow,OR($E672="Tier 3",$E672="Tier 4"),$C672&lt;&gt;"",$D672&lt;&gt;"",COUNTIF(Tables2!$B$73:$B$152,$C672)&gt;0,
$D672&gt;=IFERROR(INDEX(Tables2!$C$73:$C$152,MATCH($C672,Tables2!$B$73:$B$152,0)),-1)),
Error!$B$44,
IF(AND(_xlpm.baseRow,OR($E672="Tier 2",$E672="Tier 2 Grove"),$C672&lt;&gt;"",$D672&gt;=12,COUNTIF(Tables2!$B$153:$B$162,$C672)&gt;0),
Error!$B$45,
IF(AND(_xlpm.baseRow,$E672="Tier 2 Grove",$D672&lt;12),
Error!$B$41,
IF(AND(_xlpm.baseRow,$E672="Tier 2",$D672&lt;5.88),
Error!$B$40,
IF(AND(_xlpm.baseRow,OR($E672="Tier 2",$E672="Tier 2 Grove"),$C672&lt;&gt;"",$D672&lt;12,$D672&gt;=6,COUNTIF(Tables2!$B$153:$B$162,$C672)&gt;0),
Error!$B$54,
IF(AND(_xlpm.baseRow,$E672="Tier 2",COUNTIF(Tables2!$B$166:$B$674,$C672)&gt;0,$D672&lt;24),
Error!$B$54,
IF(AND(_xlpm.baseRow,$E672="Tier 3",ISNA(MATCH($C672,Tables2!$B$153:$B$162,0)),OR($D672&lt;12,$D672&gt;=24)),
Error!$B$9,
IF(AND(_xlpm.baseRow,$E672="Tier 3",COUNTIF(Tables2!$B$153:$B$162,$C672)&gt;0,$D672&lt;12),
Error!$B$46,
IF(AND(_xlpm.baseRow,$E672="Tier 4",OR($D672&lt;6,$D672&gt;=12)),
Error!$B$10,
IF(AND(_xlpm.baseRow,$E672="&lt;6in DSH for Tree Points",OR($D672&gt;=6,$D672="")),
Error!$B$8,
IF(AND(_xlpm.baseRow,$E672="Street Tree for Green Factor",$F672&lt;&gt;"",$F672&lt;&gt;"Retain"),
Error!$B$14,
IF(AND($E672="&lt;6in DSH for Tree Points",$F672="Retain",$H672&lt;&gt;"",ISNA(MATCH($H672,Tables!$B$174:$B$174,0))),
Error!$B$15,
IF(AND($E672="Street Tree for Green Factor",$F672="Retain",$H672&lt;&gt;"",$H672&lt;&gt;"Zoning: Green Factor"),
Error!$B$15,
IF(AND($E672="ECA / Shoreline Tree",$F672="Remove",$H672&lt;&gt;"",ISNA(MATCH($H672,Tables!$B$189:$B$190,0))),
Error!$B$15,
IF(AND($E672="ECA / Shoreline Tree",$F672="Retain",$H672&lt;&gt;"",ISNA(MATCH($H672,Tables!$B$184:$B$186,0))),
Error!$B$15,
IF(AND($E672="Tier 4",$F672="Remove",$H672&lt;&gt;"",ISNA(MATCH($H672,Tables!$B$171,0))),
Error!$B$15,
IF(AND($E672="Tier 4",$F672="Retain",$H672&lt;&gt;"",ISNA(MATCH($H672,Tables!$B$166:$B$168,0))),
Error!$B$15,
IF(AND($E672="Tier 3",$F672="Retain",$H672&lt;&gt;"",ISNA(MATCH($H672,Tables!$B$158:$B$160,0))),
Error!$B$15,
IF(AND($E672="Tier 3",$F672="Remove",$H672&lt;&gt;"",ISNA(MATCH($H672,Tables!$B$163,0))),
Error!$B$15,
IF(AND(OR($E672="Tier 2",$E672="Tier 2 Grove"),$F672="Remove",$H672&lt;&gt;"",ISNA(MATCH($H672,Tables!$B$153:$B$155,0))),
Error!$B$15,
IF(AND(OR($E672="Tier 2",$E672="Tier 2 Grove"),$F672="Retain",$H672&lt;&gt;"",ISNA(MATCH($H672,Tables!$B$147:$B$150,0))),
Error!$B$15,
IF(AND($E672="Tier 1",$F672="Remove",$H672&lt;&gt;"",ISNA(MATCH($H672,Tables!$B$143:$B$144,0))),
Error!$B$15,
IF(AND($E672="Tier 1",$F672="Retain",$H672&lt;&gt;"",ISNA(MATCH($H672,Tables!$B$137:$B$140,0))),
Error!$B$15,
IF(AND($E672&lt;&gt;"Tier 2",$E672&lt;&gt;"Tier 2 Grove",$E672&lt;&gt;"Tier 3",$E672&lt;&gt;"Tier 4",$H672="Zoning: Green Factor",OR($D672="",$D672&lt;6)),
Error!$B$11,
IF(AND(_xlpm.baseRow,$D672&lt;6,$E672="&lt;6in DSH for Tree Points",_xlpm.TreePoints_H=0),
Error!$B$21,
IF(AND(_xlpm.baseRow,$E672&lt;&gt;"",$D672&lt;&gt;"",$F672=""),
Error!$B$4,
IF(AND(_xlpm.baseRow,$F672="Remove",OR($E672="Tier 1",$E672="Tier 2",$E672="Tier 2 Grove"),COUNTBLANK(_xlpm.HRange)&lt;3,_xlpm.uniqueH&gt;=2),
Error!$B$48,
IF(AND(_xlpm.baseRow,$F672="Retain",OR($E672="Tier 1",$E672="Tier 2",$E672="Tier 2 Grove"),COUNTIF(_xlpm.HRange,"Tree Code: Required to Retain Tier 1-2 Tree")=0),
Error!$B$47,
IF(AND(_xlpm.baseRow,$E672&lt;&gt;"",$D672&lt;&gt;"",$F672&lt;&gt;"",COUNTBLANK(_xlpm.HRange)=4),
Error!$B$5,
IF(AND($F672="Remove",$H672&lt;&gt;"",$I672=""),
Error!$B$18,
IF(AND($E672="Tier 4",$F672="Remove",$H672="Tree Protection Code: Tier 3 or Tier 4 Allowance",$H672&lt;&gt;"",ISNA(MATCH($I672,Tables!$B$200,0))),
Error!$B$17,
IF(AND($E672="Tier 3",$F672="Remove",$H672&lt;&gt;"",$H672="Tree Protection Code: Tier 3 or Tier 4 Allowance",OR($I672="",ISNA(MATCH($I672,Tables!$B$193:$B$197,0)))),
Error!$B$17,
IF(AND(OR($E672="Tier 2",$E672="Tier 2 Grove"),$F672="Remove",$H672="Tree Protection Code: Other removal allowance or exemption",$I672&lt;&gt;"",ISNA(MATCH($I672,Tables!$B$215:$B$218,0))),
Error!$B$17,
IF(AND(OR($E672="Tier 2",$E672="Tier 2 Grove"),$F672="Remove",$H672="Tree Protection Code: Development Capacity",$I672&lt;&gt;"",ISNA(MATCH($I672,Tables!$B$193:$B$197,0))),
Error!$B$17,
IF(AND(OR($E672="Tier 2",$E672="Tier 2 Grove"),$F672="Remove",$H672="Tree Protection Code: Necessary for Construction",$I672&lt;&gt;"",ISNA(MATCH($I672,Tables!$B$193:$B$197,0))),
Error!$B$17,
IF(AND($E672="Tier 1",$F672="Remove",$H672="Tree Protection Code: Special Exception",$I672&lt;&gt;"",ISNA(MATCH($I672,Tables!$B$215:$B$218,0))),
Error!$B$17,
IF(AND($E672="Tier 1",$F672="Remove",$H672="Tree Protection Code: Other removal allowance or exemption",$I672&lt;&gt;"",ISNA(MATCH($I672,Tables!$B$215:$B$218,0))),
Error!$B$17,
IF(AND($E672="ECA / Shoreline Tree",$F672="Remove",$H672&lt;&gt;"",OR($H672="Shoreline",$H672="Environmental Critical Area (ECA)"),ISNA(MATCH($I672,Tables!$B$209:$B$212,0))),
Error!$B$17,
IF(AND(_xlpm.baseRow,$F672="Retain",$E672="ECA / Shoreline Tree",_xlpm.ECA_Short=0),
Error!$B$61,
IF(AND($F672="Remove",ISNUMBER(MATCH($E672,{"Tier 1","Tier 2","Tier 3","Tier 4","Tier 2 Grove"},0)),ISNUMBER(MATCH($I672,{"On-site replacement","Off-site replacement"},0)),$J672="",$H672&lt;&gt;""),
Error!$B$19,
IF(AND(_xlpm.baseRow,$E672&lt;&gt;"",$D672&lt;&gt;"",$F672&lt;&gt;"",COUNTBLANK($B672:$C672)&gt;0,COUNTBLANK(_xlpm.HRange)&lt;&gt;4),
Error!$B$22,
IF(AND($H672="Zoning: Tree Points",$K672&lt;&gt;"",ISNA(MATCH($K672,Tables!$B$242:$B$253,0))),
Error!$B$58,
IF(AND($H672="Zoning: Tree Points",$K672="Small",$L672&lt;&gt;"",ISNA(MATCH($L672,Tables!$C$243:$C$244,0))),
Error!$B$59,
IF(AND($H672="Zoning: Tree Points",$K672="Small/Medium",$L672&lt;&gt;"",ISNA(MATCH($L672,Tables!$C$246:$C$247,0))),
Error!$B$59,
IF(AND($H672="Zoning: Tree Points",$K672="Medium/Large",$L672&lt;&gt;"",ISNA(MATCH($L672,Tables!$C$249:$C$250,0))),
Error!$B$59,
IF(AND($H672="Zoning: Tree Points",$K672="Large",$L672&lt;&gt;"",ISNA(MATCH($L672,Tables!$C$252:$C$253,0))),
Error!$B$59,
IF(AND($F672="Retain",$H672="Zoning: Tree Points",$C672&lt;&gt;"",$D672&lt;&gt;"",OR($K672="",$L672="",$M672="")),
Error!$B$20,
""
)))))))))))))))))))))))))))))))))))))))))))))))))))))))),
Error!$B$23))</f>
        <v/>
      </c>
      <c r="O672" s="343" t="str" cm="1">
        <f t="array" aca="1" ref="O672" ca="1">IFERROR(_xlfn.LET(
    _xlpm.txt, $C672,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73" spans="1:15" x14ac:dyDescent="0.3">
      <c r="A673" s="320"/>
      <c r="B673" s="616" t="str">
        <f t="shared" si="791"/>
        <v/>
      </c>
      <c r="C673" s="617" t="str">
        <f t="shared" si="792"/>
        <v/>
      </c>
      <c r="D673" s="618" t="str">
        <f t="shared" si="793"/>
        <v/>
      </c>
      <c r="E673" s="616" t="str">
        <f t="shared" si="794"/>
        <v/>
      </c>
      <c r="F673" s="616" t="str">
        <f t="shared" si="795"/>
        <v/>
      </c>
      <c r="G673" s="619" t="str">
        <f>IF(Tree_Table1[[#This Row],[Tree Status  &amp;]]="Retain", Tables!$B$237, IF(Tree_Table1[[#This Row],[Tree Status  &amp;]]="Remove", Tables!$B$238, ""))</f>
        <v/>
      </c>
      <c r="H673" s="321"/>
      <c r="I673" s="322"/>
      <c r="J673" s="453"/>
      <c r="K673" s="323" t="str">
        <f>IFERROR(
    IF(
        AND($H673="Zoning: Tree Points", NOT(ISNUMBER(SEARCH("sp.", $C673)))),
        VLOOKUP($C673, 'Tree List'!$C$3:$F$601, 4, FALSE),
        ""
    ),
"")</f>
        <v/>
      </c>
      <c r="L673" s="324" t="str" cm="1">
        <f t="array" ref="L673">IFERROR(
IF(
    AND($H673="Zoning: Tree Points", NOT(ISNUMBER(SEARCH("sp.", $C673)))),
    _xlfn.IFS(
        (COUNTIFS('Tree List'!$C$3:$C$601,$C673,'Tree List'!$D$3:$D$601,"Coniferous")
        + COUNTIFS('Tree List'!$C$3:$C$601,$C673,'Tree List'!$D$3:$D$601,"Deciduous Conifer")) &gt; 0,
            _xlfn.IFS($K673="Small",0.5,$K673="Small/Medium",1,$K673="Medium/Large",1.4,$K673="Large",1.8),
        (COUNTIFS('Tree List'!$C$3:$C$601,$C673,'Tree List'!$D$3:$D$601,"Deciduous")
        + COUNTIFS('Tree List'!$C$3:$C$601,$C673,'Tree List'!$D$3:$D$601,"Broadleaf Evergreen")) &gt; 0,
            _xlfn.IFS($K673="Small",0.4,$K673="Small/Medium",0.8,$K673="Medium/Large",1.2,$K673="Large",1.6)
    ),
    ""
),
"")</f>
        <v/>
      </c>
      <c r="M673" s="475" t="str">
        <f t="shared" si="735"/>
        <v/>
      </c>
      <c r="N673" s="346" t="str" cm="1">
        <f t="array" aca="1" ref="N67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IF(AND(_xlpm.baseRow,ISNA(MATCH($C673,'Tree List'!$C$3:$C$601,0)),SUMPRODUCT(--ISNUMBER(SEARCH(Tables2!$C$677:$C$772,$O673)))&gt;0),
Error!$B$57,
IF(AND(_xlpm.hasDM,$F673="Remove",$H673&lt;&gt;"",OR($I673="On-site replacement",$I673="Off-site replacement",$I673="Payment In Lieu")),
Error!$B$56,
IF(AND(_xlpm.hasDM,$F673="Remove",$H673&lt;&gt;"",$I673="Relocation"),
Error!$B$66,
IF(AND(OR(_xlpm.hasCN,_xlpm.hasPH,_xlpm.hasGR),$H673&lt;&gt;"",COUNTIF(Tables!$B$132:$B$134,$H673)&gt;0,$I673="N/A (No replacement required)"),
Error!$B$62,
IF(AND(_xlpm.baseRow,$E673&lt;&gt;"",ISNA(MATCH($E673,Tables!$B$225:$B$232,0))),
Error!$B$2,
IF(AND(_xlpm.baseRow,$F673&lt;&gt;"",ISNA(MATCH($F673,Tables!$B$234:$B$235,0))),
Error!$B$24,
IF(AND(_xlpm.baseRow,_xlpm.ECA_H&gt;0,_xlpm.Shore_H&gt;0),
Error!$B$16,
IF(AND(_xlpm.baseRow,$E673&lt;&gt;"",$D673=""),
Error!$B$3,
IF(AND(_xlpm.baseRow,OR($E673="Tier 3",$E673="Tier 4"),$C673&lt;&gt;"",$D673&gt;=24,COUNTIF(Tables2!$B$166:$B$674,$C673)&gt;0),
Error!$B$44,
IF(AND(_xlpm.baseRow,OR($E673="Tier 3",$E673="Tier 4"),$C673&lt;&gt;"",$D673&lt;&gt;"",COUNTIF(Tables2!$B$73:$B$152,$C673)&gt;0,
$D673&gt;=IFERROR(INDEX(Tables2!$C$73:$C$152,MATCH($C673,Tables2!$B$73:$B$152,0)),-1)),
Error!$B$44,
IF(AND(_xlpm.baseRow,OR($E673="Tier 2",$E673="Tier 2 Grove"),$C673&lt;&gt;"",$D673&gt;=12,COUNTIF(Tables2!$B$153:$B$162,$C673)&gt;0),
Error!$B$45,
IF(AND(_xlpm.baseRow,$E673="Tier 2 Grove",$D673&lt;12),
Error!$B$41,
IF(AND(_xlpm.baseRow,$E673="Tier 2",$D673&lt;5.88),
Error!$B$40,
IF(AND(_xlpm.baseRow,OR($E673="Tier 2",$E673="Tier 2 Grove"),$C673&lt;&gt;"",$D673&lt;12,$D673&gt;=6,COUNTIF(Tables2!$B$153:$B$162,$C673)&gt;0),
Error!$B$54,
IF(AND(_xlpm.baseRow,$E673="Tier 2",COUNTIF(Tables2!$B$166:$B$674,$C673)&gt;0,$D673&lt;24),
Error!$B$54,
IF(AND(_xlpm.baseRow,$E673="Tier 3",ISNA(MATCH($C673,Tables2!$B$153:$B$162,0)),OR($D673&lt;12,$D673&gt;=24)),
Error!$B$9,
IF(AND(_xlpm.baseRow,$E673="Tier 3",COUNTIF(Tables2!$B$153:$B$162,$C673)&gt;0,$D673&lt;12),
Error!$B$46,
IF(AND(_xlpm.baseRow,$E673="Tier 4",OR($D673&lt;6,$D673&gt;=12)),
Error!$B$10,
IF(AND(_xlpm.baseRow,$E673="&lt;6in DSH for Tree Points",OR($D673&gt;=6,$D673="")),
Error!$B$8,
IF(AND(_xlpm.baseRow,$E673="Street Tree for Green Factor",$F673&lt;&gt;"",$F673&lt;&gt;"Retain"),
Error!$B$14,
IF(AND($E673="&lt;6in DSH for Tree Points",$F673="Retain",$H673&lt;&gt;"",ISNA(MATCH($H673,Tables!$B$174:$B$174,0))),
Error!$B$15,
IF(AND($E673="Street Tree for Green Factor",$F673="Retain",$H673&lt;&gt;"",$H673&lt;&gt;"Zoning: Green Factor"),
Error!$B$15,
IF(AND($E673="ECA / Shoreline Tree",$F673="Remove",$H673&lt;&gt;"",ISNA(MATCH($H673,Tables!$B$189:$B$190,0))),
Error!$B$15,
IF(AND($E673="ECA / Shoreline Tree",$F673="Retain",$H673&lt;&gt;"",ISNA(MATCH($H673,Tables!$B$184:$B$186,0))),
Error!$B$15,
IF(AND($E673="Tier 4",$F673="Remove",$H673&lt;&gt;"",ISNA(MATCH($H673,Tables!$B$171,0))),
Error!$B$15,
IF(AND($E673="Tier 4",$F673="Retain",$H673&lt;&gt;"",ISNA(MATCH($H673,Tables!$B$166:$B$168,0))),
Error!$B$15,
IF(AND($E673="Tier 3",$F673="Retain",$H673&lt;&gt;"",ISNA(MATCH($H673,Tables!$B$158:$B$160,0))),
Error!$B$15,
IF(AND($E673="Tier 3",$F673="Remove",$H673&lt;&gt;"",ISNA(MATCH($H673,Tables!$B$163,0))),
Error!$B$15,
IF(AND(OR($E673="Tier 2",$E673="Tier 2 Grove"),$F673="Remove",$H673&lt;&gt;"",ISNA(MATCH($H673,Tables!$B$153:$B$155,0))),
Error!$B$15,
IF(AND(OR($E673="Tier 2",$E673="Tier 2 Grove"),$F673="Retain",$H673&lt;&gt;"",ISNA(MATCH($H673,Tables!$B$147:$B$150,0))),
Error!$B$15,
IF(AND($E673="Tier 1",$F673="Remove",$H673&lt;&gt;"",ISNA(MATCH($H673,Tables!$B$143:$B$144,0))),
Error!$B$15,
IF(AND($E673="Tier 1",$F673="Retain",$H673&lt;&gt;"",ISNA(MATCH($H673,Tables!$B$137:$B$140,0))),
Error!$B$15,
IF(AND($E673&lt;&gt;"Tier 2",$E673&lt;&gt;"Tier 2 Grove",$E673&lt;&gt;"Tier 3",$E673&lt;&gt;"Tier 4",$H673="Zoning: Green Factor",OR($D673="",$D673&lt;6)),
Error!$B$11,
IF(AND(_xlpm.baseRow,$D673&lt;6,$E673="&lt;6in DSH for Tree Points",_xlpm.TreePoints_H=0),
Error!$B$21,
IF(AND(_xlpm.baseRow,$E673&lt;&gt;"",$D673&lt;&gt;"",$F673=""),
Error!$B$4,
IF(AND(_xlpm.baseRow,$F673="Remove",OR($E673="Tier 1",$E673="Tier 2",$E673="Tier 2 Grove"),COUNTBLANK(_xlpm.HRange)&lt;3,_xlpm.uniqueH&gt;=2),
Error!$B$48,
IF(AND(_xlpm.baseRow,$F673="Retain",OR($E673="Tier 1",$E673="Tier 2",$E673="Tier 2 Grove"),COUNTIF(_xlpm.HRange,"Tree Code: Required to Retain Tier 1-2 Tree")=0),
Error!$B$47,
IF(AND(_xlpm.baseRow,$E673&lt;&gt;"",$D673&lt;&gt;"",$F673&lt;&gt;"",COUNTBLANK(_xlpm.HRange)=4),
Error!$B$5,
IF(AND($F673="Remove",$H673&lt;&gt;"",$I673=""),
Error!$B$18,
IF(AND($E673="Tier 4",$F673="Remove",$H673="Tree Protection Code: Tier 3 or Tier 4 Allowance",$H673&lt;&gt;"",ISNA(MATCH($I673,Tables!$B$200,0))),
Error!$B$17,
IF(AND($E673="Tier 3",$F673="Remove",$H673&lt;&gt;"",$H673="Tree Protection Code: Tier 3 or Tier 4 Allowance",OR($I673="",ISNA(MATCH($I673,Tables!$B$193:$B$197,0)))),
Error!$B$17,
IF(AND(OR($E673="Tier 2",$E673="Tier 2 Grove"),$F673="Remove",$H673="Tree Protection Code: Other removal allowance or exemption",$I673&lt;&gt;"",ISNA(MATCH($I673,Tables!$B$215:$B$218,0))),
Error!$B$17,
IF(AND(OR($E673="Tier 2",$E673="Tier 2 Grove"),$F673="Remove",$H673="Tree Protection Code: Development Capacity",$I673&lt;&gt;"",ISNA(MATCH($I673,Tables!$B$193:$B$197,0))),
Error!$B$17,
IF(AND(OR($E673="Tier 2",$E673="Tier 2 Grove"),$F673="Remove",$H673="Tree Protection Code: Necessary for Construction",$I673&lt;&gt;"",ISNA(MATCH($I673,Tables!$B$193:$B$197,0))),
Error!$B$17,
IF(AND($E673="Tier 1",$F673="Remove",$H673="Tree Protection Code: Special Exception",$I673&lt;&gt;"",ISNA(MATCH($I673,Tables!$B$215:$B$218,0))),
Error!$B$17,
IF(AND($E673="Tier 1",$F673="Remove",$H673="Tree Protection Code: Other removal allowance or exemption",$I673&lt;&gt;"",ISNA(MATCH($I673,Tables!$B$215:$B$218,0))),
Error!$B$17,
IF(AND($E673="ECA / Shoreline Tree",$F673="Remove",$H673&lt;&gt;"",OR($H673="Shoreline",$H673="Environmental Critical Area (ECA)"),ISNA(MATCH($I673,Tables!$B$209:$B$212,0))),
Error!$B$17,
IF(AND(_xlpm.baseRow,$F673="Retain",$E673="ECA / Shoreline Tree",_xlpm.ECA_Short=0),
Error!$B$61,
IF(AND($F673="Remove",ISNUMBER(MATCH($E673,{"Tier 1","Tier 2","Tier 3","Tier 4","Tier 2 Grove"},0)),ISNUMBER(MATCH($I673,{"On-site replacement","Off-site replacement"},0)),$J673="",$H673&lt;&gt;""),
Error!$B$19,
IF(AND(_xlpm.baseRow,$E673&lt;&gt;"",$D673&lt;&gt;"",$F673&lt;&gt;"",COUNTBLANK($B673:$C673)&gt;0,COUNTBLANK(_xlpm.HRange)&lt;&gt;4),
Error!$B$22,
IF(AND($H673="Zoning: Tree Points",$K673&lt;&gt;"",ISNA(MATCH($K673,Tables!$B$242:$B$253,0))),
Error!$B$58,
IF(AND($H673="Zoning: Tree Points",$K673="Small",$L673&lt;&gt;"",ISNA(MATCH($L673,Tables!$C$243:$C$244,0))),
Error!$B$59,
IF(AND($H673="Zoning: Tree Points",$K673="Small/Medium",$L673&lt;&gt;"",ISNA(MATCH($L673,Tables!$C$246:$C$247,0))),
Error!$B$59,
IF(AND($H673="Zoning: Tree Points",$K673="Medium/Large",$L673&lt;&gt;"",ISNA(MATCH($L673,Tables!$C$249:$C$250,0))),
Error!$B$59,
IF(AND($H673="Zoning: Tree Points",$K673="Large",$L673&lt;&gt;"",ISNA(MATCH($L673,Tables!$C$252:$C$253,0))),
Error!$B$59,
IF(AND($F673="Retain",$H673="Zoning: Tree Points",$C673&lt;&gt;"",$D673&lt;&gt;"",OR($K673="",$L673="",$M673="")),
Error!$B$20,
""
)))))))))))))))))))))))))))))))))))))))))))))))))))))))),
Error!$B$23))</f>
        <v/>
      </c>
      <c r="O673" s="343" t="str" cm="1">
        <f t="array" aca="1" ref="O673" ca="1">IFERROR(_xlfn.LET(
    _xlpm.txt, $C673,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74" spans="1:15" ht="15" thickBot="1" x14ac:dyDescent="0.35">
      <c r="A674" s="331"/>
      <c r="B674" s="616" t="str">
        <f t="shared" si="791"/>
        <v/>
      </c>
      <c r="C674" s="617" t="str">
        <f t="shared" si="792"/>
        <v/>
      </c>
      <c r="D674" s="618" t="str">
        <f t="shared" si="793"/>
        <v/>
      </c>
      <c r="E674" s="616" t="str">
        <f t="shared" si="794"/>
        <v/>
      </c>
      <c r="F674" s="616" t="str">
        <f t="shared" si="795"/>
        <v/>
      </c>
      <c r="G674" s="619" t="str">
        <f>IF(Tree_Table1[[#This Row],[Tree Status  &amp;]]="Retain", Tables!$B$237, IF(Tree_Table1[[#This Row],[Tree Status  &amp;]]="Remove", Tables!$B$238, ""))</f>
        <v/>
      </c>
      <c r="H674" s="329"/>
      <c r="I674" s="330"/>
      <c r="J674" s="455"/>
      <c r="K674" s="327" t="str">
        <f>IFERROR(
    IF(
        AND($H674="Zoning: Tree Points", NOT(ISNUMBER(SEARCH("sp.", $C674)))),
        VLOOKUP($C674, 'Tree List'!$C$3:$F$601, 4, FALSE),
        ""
    ),
"")</f>
        <v/>
      </c>
      <c r="L674" s="328" t="str" cm="1">
        <f t="array" ref="L674">IFERROR(
IF(
    AND($H674="Zoning: Tree Points", NOT(ISNUMBER(SEARCH("sp.", $C674)))),
    _xlfn.IFS(
        (COUNTIFS('Tree List'!$C$3:$C$601,$C674,'Tree List'!$D$3:$D$601,"Coniferous")
        + COUNTIFS('Tree List'!$C$3:$C$601,$C674,'Tree List'!$D$3:$D$601,"Deciduous Conifer")) &gt; 0,
            _xlfn.IFS($K674="Small",0.5,$K674="Small/Medium",1,$K674="Medium/Large",1.4,$K674="Large",1.8),
        (COUNTIFS('Tree List'!$C$3:$C$601,$C674,'Tree List'!$D$3:$D$601,"Deciduous")
        + COUNTIFS('Tree List'!$C$3:$C$601,$C674,'Tree List'!$D$3:$D$601,"Broadleaf Evergreen")) &gt; 0,
            _xlfn.IFS($K674="Small",0.4,$K674="Small/Medium",0.8,$K674="Medium/Large",1.2,$K674="Large",1.6)
    ),
    ""
),
"")</f>
        <v/>
      </c>
      <c r="M674" s="476" t="str">
        <f t="shared" si="735"/>
        <v/>
      </c>
      <c r="N674" s="347" t="str" cm="1">
        <f t="array" aca="1" ref="N67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IF(AND(_xlpm.baseRow,ISNA(MATCH($C674,'Tree List'!$C$3:$C$601,0)),SUMPRODUCT(--ISNUMBER(SEARCH(Tables2!$C$677:$C$772,$O674)))&gt;0),
Error!$B$57,
IF(AND(_xlpm.hasDM,$F674="Remove",$H674&lt;&gt;"",OR($I674="On-site replacement",$I674="Off-site replacement",$I674="Payment In Lieu")),
Error!$B$56,
IF(AND(_xlpm.hasDM,$F674="Remove",$H674&lt;&gt;"",$I674="Relocation"),
Error!$B$66,
IF(AND(OR(_xlpm.hasCN,_xlpm.hasPH,_xlpm.hasGR),$H674&lt;&gt;"",COUNTIF(Tables!$B$132:$B$134,$H674)&gt;0,$I674="N/A (No replacement required)"),
Error!$B$62,
IF(AND(_xlpm.baseRow,$E674&lt;&gt;"",ISNA(MATCH($E674,Tables!$B$225:$B$232,0))),
Error!$B$2,
IF(AND(_xlpm.baseRow,$F674&lt;&gt;"",ISNA(MATCH($F674,Tables!$B$234:$B$235,0))),
Error!$B$24,
IF(AND(_xlpm.baseRow,_xlpm.ECA_H&gt;0,_xlpm.Shore_H&gt;0),
Error!$B$16,
IF(AND(_xlpm.baseRow,$E674&lt;&gt;"",$D674=""),
Error!$B$3,
IF(AND(_xlpm.baseRow,OR($E674="Tier 3",$E674="Tier 4"),$C674&lt;&gt;"",$D674&gt;=24,COUNTIF(Tables2!$B$166:$B$674,$C674)&gt;0),
Error!$B$44,
IF(AND(_xlpm.baseRow,OR($E674="Tier 3",$E674="Tier 4"),$C674&lt;&gt;"",$D674&lt;&gt;"",COUNTIF(Tables2!$B$73:$B$152,$C674)&gt;0,
$D674&gt;=IFERROR(INDEX(Tables2!$C$73:$C$152,MATCH($C674,Tables2!$B$73:$B$152,0)),-1)),
Error!$B$44,
IF(AND(_xlpm.baseRow,OR($E674="Tier 2",$E674="Tier 2 Grove"),$C674&lt;&gt;"",$D674&gt;=12,COUNTIF(Tables2!$B$153:$B$162,$C674)&gt;0),
Error!$B$45,
IF(AND(_xlpm.baseRow,$E674="Tier 2 Grove",$D674&lt;12),
Error!$B$41,
IF(AND(_xlpm.baseRow,$E674="Tier 2",$D674&lt;5.88),
Error!$B$40,
IF(AND(_xlpm.baseRow,OR($E674="Tier 2",$E674="Tier 2 Grove"),$C674&lt;&gt;"",$D674&lt;12,$D674&gt;=6,COUNTIF(Tables2!$B$153:$B$162,$C674)&gt;0),
Error!$B$54,
IF(AND(_xlpm.baseRow,$E674="Tier 2",COUNTIF(Tables2!$B$166:$B$674,$C674)&gt;0,$D674&lt;24),
Error!$B$54,
IF(AND(_xlpm.baseRow,$E674="Tier 3",ISNA(MATCH($C674,Tables2!$B$153:$B$162,0)),OR($D674&lt;12,$D674&gt;=24)),
Error!$B$9,
IF(AND(_xlpm.baseRow,$E674="Tier 3",COUNTIF(Tables2!$B$153:$B$162,$C674)&gt;0,$D674&lt;12),
Error!$B$46,
IF(AND(_xlpm.baseRow,$E674="Tier 4",OR($D674&lt;6,$D674&gt;=12)),
Error!$B$10,
IF(AND(_xlpm.baseRow,$E674="&lt;6in DSH for Tree Points",OR($D674&gt;=6,$D674="")),
Error!$B$8,
IF(AND(_xlpm.baseRow,$E674="Street Tree for Green Factor",$F674&lt;&gt;"",$F674&lt;&gt;"Retain"),
Error!$B$14,
IF(AND($E674="&lt;6in DSH for Tree Points",$F674="Retain",$H674&lt;&gt;"",ISNA(MATCH($H674,Tables!$B$174:$B$174,0))),
Error!$B$15,
IF(AND($E674="Street Tree for Green Factor",$F674="Retain",$H674&lt;&gt;"",$H674&lt;&gt;"Zoning: Green Factor"),
Error!$B$15,
IF(AND($E674="ECA / Shoreline Tree",$F674="Remove",$H674&lt;&gt;"",ISNA(MATCH($H674,Tables!$B$189:$B$190,0))),
Error!$B$15,
IF(AND($E674="ECA / Shoreline Tree",$F674="Retain",$H674&lt;&gt;"",ISNA(MATCH($H674,Tables!$B$184:$B$186,0))),
Error!$B$15,
IF(AND($E674="Tier 4",$F674="Remove",$H674&lt;&gt;"",ISNA(MATCH($H674,Tables!$B$171,0))),
Error!$B$15,
IF(AND($E674="Tier 4",$F674="Retain",$H674&lt;&gt;"",ISNA(MATCH($H674,Tables!$B$166:$B$168,0))),
Error!$B$15,
IF(AND($E674="Tier 3",$F674="Retain",$H674&lt;&gt;"",ISNA(MATCH($H674,Tables!$B$158:$B$160,0))),
Error!$B$15,
IF(AND($E674="Tier 3",$F674="Remove",$H674&lt;&gt;"",ISNA(MATCH($H674,Tables!$B$163,0))),
Error!$B$15,
IF(AND(OR($E674="Tier 2",$E674="Tier 2 Grove"),$F674="Remove",$H674&lt;&gt;"",ISNA(MATCH($H674,Tables!$B$153:$B$155,0))),
Error!$B$15,
IF(AND(OR($E674="Tier 2",$E674="Tier 2 Grove"),$F674="Retain",$H674&lt;&gt;"",ISNA(MATCH($H674,Tables!$B$147:$B$150,0))),
Error!$B$15,
IF(AND($E674="Tier 1",$F674="Remove",$H674&lt;&gt;"",ISNA(MATCH($H674,Tables!$B$143:$B$144,0))),
Error!$B$15,
IF(AND($E674="Tier 1",$F674="Retain",$H674&lt;&gt;"",ISNA(MATCH($H674,Tables!$B$137:$B$140,0))),
Error!$B$15,
IF(AND($E674&lt;&gt;"Tier 2",$E674&lt;&gt;"Tier 2 Grove",$E674&lt;&gt;"Tier 3",$E674&lt;&gt;"Tier 4",$H674="Zoning: Green Factor",OR($D674="",$D674&lt;6)),
Error!$B$11,
IF(AND(_xlpm.baseRow,$D674&lt;6,$E674="&lt;6in DSH for Tree Points",_xlpm.TreePoints_H=0),
Error!$B$21,
IF(AND(_xlpm.baseRow,$E674&lt;&gt;"",$D674&lt;&gt;"",$F674=""),
Error!$B$4,
IF(AND(_xlpm.baseRow,$F674="Remove",OR($E674="Tier 1",$E674="Tier 2",$E674="Tier 2 Grove"),COUNTBLANK(_xlpm.HRange)&lt;3,_xlpm.uniqueH&gt;=2),
Error!$B$48,
IF(AND(_xlpm.baseRow,$F674="Retain",OR($E674="Tier 1",$E674="Tier 2",$E674="Tier 2 Grove"),COUNTIF(_xlpm.HRange,"Tree Code: Required to Retain Tier 1-2 Tree")=0),
Error!$B$47,
IF(AND(_xlpm.baseRow,$E674&lt;&gt;"",$D674&lt;&gt;"",$F674&lt;&gt;"",COUNTBLANK(_xlpm.HRange)=4),
Error!$B$5,
IF(AND($F674="Remove",$H674&lt;&gt;"",$I674=""),
Error!$B$18,
IF(AND($E674="Tier 4",$F674="Remove",$H674="Tree Protection Code: Tier 3 or Tier 4 Allowance",$H674&lt;&gt;"",ISNA(MATCH($I674,Tables!$B$200,0))),
Error!$B$17,
IF(AND($E674="Tier 3",$F674="Remove",$H674&lt;&gt;"",$H674="Tree Protection Code: Tier 3 or Tier 4 Allowance",OR($I674="",ISNA(MATCH($I674,Tables!$B$193:$B$197,0)))),
Error!$B$17,
IF(AND(OR($E674="Tier 2",$E674="Tier 2 Grove"),$F674="Remove",$H674="Tree Protection Code: Other removal allowance or exemption",$I674&lt;&gt;"",ISNA(MATCH($I674,Tables!$B$215:$B$218,0))),
Error!$B$17,
IF(AND(OR($E674="Tier 2",$E674="Tier 2 Grove"),$F674="Remove",$H674="Tree Protection Code: Development Capacity",$I674&lt;&gt;"",ISNA(MATCH($I674,Tables!$B$193:$B$197,0))),
Error!$B$17,
IF(AND(OR($E674="Tier 2",$E674="Tier 2 Grove"),$F674="Remove",$H674="Tree Protection Code: Necessary for Construction",$I674&lt;&gt;"",ISNA(MATCH($I674,Tables!$B$193:$B$197,0))),
Error!$B$17,
IF(AND($E674="Tier 1",$F674="Remove",$H674="Tree Protection Code: Special Exception",$I674&lt;&gt;"",ISNA(MATCH($I674,Tables!$B$215:$B$218,0))),
Error!$B$17,
IF(AND($E674="Tier 1",$F674="Remove",$H674="Tree Protection Code: Other removal allowance or exemption",$I674&lt;&gt;"",ISNA(MATCH($I674,Tables!$B$215:$B$218,0))),
Error!$B$17,
IF(AND($E674="ECA / Shoreline Tree",$F674="Remove",$H674&lt;&gt;"",OR($H674="Shoreline",$H674="Environmental Critical Area (ECA)"),ISNA(MATCH($I674,Tables!$B$209:$B$212,0))),
Error!$B$17,
IF(AND(_xlpm.baseRow,$F674="Retain",$E674="ECA / Shoreline Tree",_xlpm.ECA_Short=0),
Error!$B$61,
IF(AND($F674="Remove",ISNUMBER(MATCH($E674,{"Tier 1","Tier 2","Tier 3","Tier 4","Tier 2 Grove"},0)),ISNUMBER(MATCH($I674,{"On-site replacement","Off-site replacement"},0)),$J674="",$H674&lt;&gt;""),
Error!$B$19,
IF(AND(_xlpm.baseRow,$E674&lt;&gt;"",$D674&lt;&gt;"",$F674&lt;&gt;"",COUNTBLANK($B674:$C674)&gt;0,COUNTBLANK(_xlpm.HRange)&lt;&gt;4),
Error!$B$22,
IF(AND($H674="Zoning: Tree Points",$K674&lt;&gt;"",ISNA(MATCH($K674,Tables!$B$242:$B$253,0))),
Error!$B$58,
IF(AND($H674="Zoning: Tree Points",$K674="Small",$L674&lt;&gt;"",ISNA(MATCH($L674,Tables!$C$243:$C$244,0))),
Error!$B$59,
IF(AND($H674="Zoning: Tree Points",$K674="Small/Medium",$L674&lt;&gt;"",ISNA(MATCH($L674,Tables!$C$246:$C$247,0))),
Error!$B$59,
IF(AND($H674="Zoning: Tree Points",$K674="Medium/Large",$L674&lt;&gt;"",ISNA(MATCH($L674,Tables!$C$249:$C$250,0))),
Error!$B$59,
IF(AND($H674="Zoning: Tree Points",$K674="Large",$L674&lt;&gt;"",ISNA(MATCH($L674,Tables!$C$252:$C$253,0))),
Error!$B$59,
IF(AND($F674="Retain",$H674="Zoning: Tree Points",$C674&lt;&gt;"",$D674&lt;&gt;"",OR($K674="",$L674="",$M674="")),
Error!$B$20,
""
)))))))))))))))))))))))))))))))))))))))))))))))))))))))),
Error!$B$23))</f>
        <v/>
      </c>
      <c r="O674" s="343" t="str" cm="1">
        <f t="array" aca="1" ref="O674" ca="1">IFERROR(_xlfn.LET(
    _xlpm.txt, $C674,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75" spans="1:15" ht="15" thickBot="1" x14ac:dyDescent="0.35">
      <c r="A675" s="311">
        <v>167</v>
      </c>
      <c r="B675" s="312"/>
      <c r="C675" s="313"/>
      <c r="D675" s="478"/>
      <c r="E675" s="314"/>
      <c r="F675" s="314"/>
      <c r="G675" s="315" t="str">
        <f>IF(Tree_Table1[[#This Row],[Tree Status  &amp;]]="Retain", Tables!$B$237, IF(Tree_Table1[[#This Row],[Tree Status  &amp;]]="Remove", Tables!$B$238, ""))</f>
        <v/>
      </c>
      <c r="H675" s="316"/>
      <c r="I675" s="317"/>
      <c r="J675" s="452"/>
      <c r="K675" s="318" t="str">
        <f>IFERROR(
    IF(
        AND($H675="Zoning: Tree Points", NOT(ISNUMBER(SEARCH("sp.", $C675)))),
        VLOOKUP($C675, 'Tree List'!$C$3:$F$601, 4, FALSE),
        ""
    ),
"")</f>
        <v/>
      </c>
      <c r="L675" s="319" t="str" cm="1">
        <f t="array" ref="L675">IFERROR(
IF(
    AND($H675="Zoning: Tree Points", NOT(ISNUMBER(SEARCH("sp.", $C675)))),
    _xlfn.IFS(
        (COUNTIFS('Tree List'!$C$3:$C$601,$C675,'Tree List'!$D$3:$D$601,"Coniferous")
        + COUNTIFS('Tree List'!$C$3:$C$601,$C675,'Tree List'!$D$3:$D$601,"Deciduous Conifer")) &gt; 0,
            _xlfn.IFS($K675="Small",0.5,$K675="Small/Medium",1,$K675="Medium/Large",1.4,$K675="Large",1.8),
        (COUNTIFS('Tree List'!$C$3:$C$601,$C675,'Tree List'!$D$3:$D$601,"Deciduous")
        + COUNTIFS('Tree List'!$C$3:$C$601,$C675,'Tree List'!$D$3:$D$601,"Broadleaf Evergreen")) &gt; 0,
            _xlfn.IFS($K675="Small",0.4,$K675="Small/Medium",0.8,$K675="Medium/Large",1.2,$K675="Large",1.6)
    ),
    ""
),
"")</f>
        <v/>
      </c>
      <c r="M675" s="474" t="str">
        <f t="shared" si="735"/>
        <v/>
      </c>
      <c r="N675" s="620" t="str" cm="1">
        <f t="array" aca="1" ref="N67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IF(AND(_xlpm.baseRow,ISNA(MATCH($C675,'Tree List'!$C$3:$C$601,0)),SUMPRODUCT(--ISNUMBER(SEARCH(Tables2!$C$677:$C$772,$O675)))&gt;0),
Error!$B$57,
IF(AND(_xlpm.hasDM,$F675="Remove",$H675&lt;&gt;"",OR($I675="On-site replacement",$I675="Off-site replacement",$I675="Payment In Lieu")),
Error!$B$56,
IF(AND(_xlpm.hasDM,$F675="Remove",$H675&lt;&gt;"",$I675="Relocation"),
Error!$B$66,
IF(AND(OR(_xlpm.hasCN,_xlpm.hasPH,_xlpm.hasGR),$H675&lt;&gt;"",COUNTIF(Tables!$B$132:$B$134,$H675)&gt;0,$I675="N/A (No replacement required)"),
Error!$B$62,
IF(AND(_xlpm.baseRow,$E675&lt;&gt;"",ISNA(MATCH($E675,Tables!$B$225:$B$232,0))),
Error!$B$2,
IF(AND(_xlpm.baseRow,$F675&lt;&gt;"",ISNA(MATCH($F675,Tables!$B$234:$B$235,0))),
Error!$B$24,
IF(AND(_xlpm.baseRow,_xlpm.ECA_H&gt;0,_xlpm.Shore_H&gt;0),
Error!$B$16,
IF(AND(_xlpm.baseRow,$E675&lt;&gt;"",$D675=""),
Error!$B$3,
IF(AND(_xlpm.baseRow,OR($E675="Tier 3",$E675="Tier 4"),$C675&lt;&gt;"",$D675&gt;=24,COUNTIF(Tables2!$B$166:$B$674,$C675)&gt;0),
Error!$B$44,
IF(AND(_xlpm.baseRow,OR($E675="Tier 3",$E675="Tier 4"),$C675&lt;&gt;"",$D675&lt;&gt;"",COUNTIF(Tables2!$B$73:$B$152,$C675)&gt;0,
$D675&gt;=IFERROR(INDEX(Tables2!$C$73:$C$152,MATCH($C675,Tables2!$B$73:$B$152,0)),-1)),
Error!$B$44,
IF(AND(_xlpm.baseRow,OR($E675="Tier 2",$E675="Tier 2 Grove"),$C675&lt;&gt;"",$D675&gt;=12,COUNTIF(Tables2!$B$153:$B$162,$C675)&gt;0),
Error!$B$45,
IF(AND(_xlpm.baseRow,$E675="Tier 2 Grove",$D675&lt;12),
Error!$B$41,
IF(AND(_xlpm.baseRow,$E675="Tier 2",$D675&lt;5.88),
Error!$B$40,
IF(AND(_xlpm.baseRow,OR($E675="Tier 2",$E675="Tier 2 Grove"),$C675&lt;&gt;"",$D675&lt;12,$D675&gt;=6,COUNTIF(Tables2!$B$153:$B$162,$C675)&gt;0),
Error!$B$54,
IF(AND(_xlpm.baseRow,$E675="Tier 2",COUNTIF(Tables2!$B$166:$B$674,$C675)&gt;0,$D675&lt;24),
Error!$B$54,
IF(AND(_xlpm.baseRow,$E675="Tier 3",ISNA(MATCH($C675,Tables2!$B$153:$B$162,0)),OR($D675&lt;12,$D675&gt;=24)),
Error!$B$9,
IF(AND(_xlpm.baseRow,$E675="Tier 3",COUNTIF(Tables2!$B$153:$B$162,$C675)&gt;0,$D675&lt;12),
Error!$B$46,
IF(AND(_xlpm.baseRow,$E675="Tier 4",OR($D675&lt;6,$D675&gt;=12)),
Error!$B$10,
IF(AND(_xlpm.baseRow,$E675="&lt;6in DSH for Tree Points",OR($D675&gt;=6,$D675="")),
Error!$B$8,
IF(AND(_xlpm.baseRow,$E675="Street Tree for Green Factor",$F675&lt;&gt;"",$F675&lt;&gt;"Retain"),
Error!$B$14,
IF(AND($E675="&lt;6in DSH for Tree Points",$F675="Retain",$H675&lt;&gt;"",ISNA(MATCH($H675,Tables!$B$174:$B$174,0))),
Error!$B$15,
IF(AND($E675="Street Tree for Green Factor",$F675="Retain",$H675&lt;&gt;"",$H675&lt;&gt;"Zoning: Green Factor"),
Error!$B$15,
IF(AND($E675="ECA / Shoreline Tree",$F675="Remove",$H675&lt;&gt;"",ISNA(MATCH($H675,Tables!$B$189:$B$190,0))),
Error!$B$15,
IF(AND($E675="ECA / Shoreline Tree",$F675="Retain",$H675&lt;&gt;"",ISNA(MATCH($H675,Tables!$B$184:$B$186,0))),
Error!$B$15,
IF(AND($E675="Tier 4",$F675="Remove",$H675&lt;&gt;"",ISNA(MATCH($H675,Tables!$B$171,0))),
Error!$B$15,
IF(AND($E675="Tier 4",$F675="Retain",$H675&lt;&gt;"",ISNA(MATCH($H675,Tables!$B$166:$B$168,0))),
Error!$B$15,
IF(AND($E675="Tier 3",$F675="Retain",$H675&lt;&gt;"",ISNA(MATCH($H675,Tables!$B$158:$B$160,0))),
Error!$B$15,
IF(AND($E675="Tier 3",$F675="Remove",$H675&lt;&gt;"",ISNA(MATCH($H675,Tables!$B$163,0))),
Error!$B$15,
IF(AND(OR($E675="Tier 2",$E675="Tier 2 Grove"),$F675="Remove",$H675&lt;&gt;"",ISNA(MATCH($H675,Tables!$B$153:$B$155,0))),
Error!$B$15,
IF(AND(OR($E675="Tier 2",$E675="Tier 2 Grove"),$F675="Retain",$H675&lt;&gt;"",ISNA(MATCH($H675,Tables!$B$147:$B$150,0))),
Error!$B$15,
IF(AND($E675="Tier 1",$F675="Remove",$H675&lt;&gt;"",ISNA(MATCH($H675,Tables!$B$143:$B$144,0))),
Error!$B$15,
IF(AND($E675="Tier 1",$F675="Retain",$H675&lt;&gt;"",ISNA(MATCH($H675,Tables!$B$137:$B$140,0))),
Error!$B$15,
IF(AND($E675&lt;&gt;"Tier 2",$E675&lt;&gt;"Tier 2 Grove",$E675&lt;&gt;"Tier 3",$E675&lt;&gt;"Tier 4",$H675="Zoning: Green Factor",OR($D675="",$D675&lt;6)),
Error!$B$11,
IF(AND(_xlpm.baseRow,$D675&lt;6,$E675="&lt;6in DSH for Tree Points",_xlpm.TreePoints_H=0),
Error!$B$21,
IF(AND(_xlpm.baseRow,$E675&lt;&gt;"",$D675&lt;&gt;"",$F675=""),
Error!$B$4,
IF(AND(_xlpm.baseRow,$F675="Remove",OR($E675="Tier 1",$E675="Tier 2",$E675="Tier 2 Grove"),COUNTBLANK(_xlpm.HRange)&lt;3,_xlpm.uniqueH&gt;=2),
Error!$B$48,
IF(AND(_xlpm.baseRow,$F675="Retain",OR($E675="Tier 1",$E675="Tier 2",$E675="Tier 2 Grove"),COUNTIF(_xlpm.HRange,"Tree Code: Required to Retain Tier 1-2 Tree")=0),
Error!$B$47,
IF(AND(_xlpm.baseRow,$E675&lt;&gt;"",$D675&lt;&gt;"",$F675&lt;&gt;"",COUNTBLANK(_xlpm.HRange)=4),
Error!$B$5,
IF(AND($F675="Remove",$H675&lt;&gt;"",$I675=""),
Error!$B$18,
IF(AND($E675="Tier 4",$F675="Remove",$H675="Tree Protection Code: Tier 3 or Tier 4 Allowance",$H675&lt;&gt;"",ISNA(MATCH($I675,Tables!$B$200,0))),
Error!$B$17,
IF(AND($E675="Tier 3",$F675="Remove",$H675&lt;&gt;"",$H675="Tree Protection Code: Tier 3 or Tier 4 Allowance",OR($I675="",ISNA(MATCH($I675,Tables!$B$193:$B$197,0)))),
Error!$B$17,
IF(AND(OR($E675="Tier 2",$E675="Tier 2 Grove"),$F675="Remove",$H675="Tree Protection Code: Other removal allowance or exemption",$I675&lt;&gt;"",ISNA(MATCH($I675,Tables!$B$215:$B$218,0))),
Error!$B$17,
IF(AND(OR($E675="Tier 2",$E675="Tier 2 Grove"),$F675="Remove",$H675="Tree Protection Code: Development Capacity",$I675&lt;&gt;"",ISNA(MATCH($I675,Tables!$B$193:$B$197,0))),
Error!$B$17,
IF(AND(OR($E675="Tier 2",$E675="Tier 2 Grove"),$F675="Remove",$H675="Tree Protection Code: Necessary for Construction",$I675&lt;&gt;"",ISNA(MATCH($I675,Tables!$B$193:$B$197,0))),
Error!$B$17,
IF(AND($E675="Tier 1",$F675="Remove",$H675="Tree Protection Code: Special Exception",$I675&lt;&gt;"",ISNA(MATCH($I675,Tables!$B$215:$B$218,0))),
Error!$B$17,
IF(AND($E675="Tier 1",$F675="Remove",$H675="Tree Protection Code: Other removal allowance or exemption",$I675&lt;&gt;"",ISNA(MATCH($I675,Tables!$B$215:$B$218,0))),
Error!$B$17,
IF(AND($E675="ECA / Shoreline Tree",$F675="Remove",$H675&lt;&gt;"",OR($H675="Shoreline",$H675="Environmental Critical Area (ECA)"),ISNA(MATCH($I675,Tables!$B$209:$B$212,0))),
Error!$B$17,
IF(AND(_xlpm.baseRow,$F675="Retain",$E675="ECA / Shoreline Tree",_xlpm.ECA_Short=0),
Error!$B$61,
IF(AND($F675="Remove",ISNUMBER(MATCH($E675,{"Tier 1","Tier 2","Tier 3","Tier 4","Tier 2 Grove"},0)),ISNUMBER(MATCH($I675,{"On-site replacement","Off-site replacement"},0)),$J675="",$H675&lt;&gt;""),
Error!$B$19,
IF(AND(_xlpm.baseRow,$E675&lt;&gt;"",$D675&lt;&gt;"",$F675&lt;&gt;"",COUNTBLANK($B675:$C675)&gt;0,COUNTBLANK(_xlpm.HRange)&lt;&gt;4),
Error!$B$22,
IF(AND($H675="Zoning: Tree Points",$K675&lt;&gt;"",ISNA(MATCH($K675,Tables!$B$242:$B$253,0))),
Error!$B$58,
IF(AND($H675="Zoning: Tree Points",$K675="Small",$L675&lt;&gt;"",ISNA(MATCH($L675,Tables!$C$243:$C$244,0))),
Error!$B$59,
IF(AND($H675="Zoning: Tree Points",$K675="Small/Medium",$L675&lt;&gt;"",ISNA(MATCH($L675,Tables!$C$246:$C$247,0))),
Error!$B$59,
IF(AND($H675="Zoning: Tree Points",$K675="Medium/Large",$L675&lt;&gt;"",ISNA(MATCH($L675,Tables!$C$249:$C$250,0))),
Error!$B$59,
IF(AND($H675="Zoning: Tree Points",$K675="Large",$L675&lt;&gt;"",ISNA(MATCH($L675,Tables!$C$252:$C$253,0))),
Error!$B$59,
IF(AND($F675="Retain",$H675="Zoning: Tree Points",$C675&lt;&gt;"",$D675&lt;&gt;"",OR($K675="",$L675="",$M675="")),
Error!$B$20,
""
)))))))))))))))))))))))))))))))))))))))))))))))))))))))),
Error!$B$23))</f>
        <v/>
      </c>
      <c r="O675" s="343" t="str" cm="1">
        <f t="array" aca="1" ref="O675" ca="1">IFERROR(_xlfn.LET(
    _xlpm.txt, $C675,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76" spans="1:15" x14ac:dyDescent="0.3">
      <c r="A676" s="320"/>
      <c r="B676" s="616" t="str">
        <f t="shared" ref="B676:B678" si="796">IF($B675="", "", $B675)</f>
        <v/>
      </c>
      <c r="C676" s="617" t="str">
        <f t="shared" ref="C676:C678" si="797">IF($C675="", "", $C675)</f>
        <v/>
      </c>
      <c r="D676" s="618" t="str">
        <f t="shared" ref="D676:D678" si="798">IF($D675="", "", $D675)</f>
        <v/>
      </c>
      <c r="E676" s="616" t="str">
        <f t="shared" ref="E676:E678" si="799">IF($E675="", "", $E675)</f>
        <v/>
      </c>
      <c r="F676" s="616" t="str">
        <f t="shared" ref="F676:F678" si="800">IF($F675="", "", $F675)</f>
        <v/>
      </c>
      <c r="G676" s="619" t="str">
        <f>IF(Tree_Table1[[#This Row],[Tree Status  &amp;]]="Retain", Tables!$B$237, IF(Tree_Table1[[#This Row],[Tree Status  &amp;]]="Remove", Tables!$B$238, ""))</f>
        <v/>
      </c>
      <c r="H676" s="321"/>
      <c r="I676" s="322"/>
      <c r="J676" s="453"/>
      <c r="K676" s="323" t="str">
        <f>IFERROR(
    IF(
        AND($H676="Zoning: Tree Points", NOT(ISNUMBER(SEARCH("sp.", $C676)))),
        VLOOKUP($C676, 'Tree List'!$C$3:$F$601, 4, FALSE),
        ""
    ),
"")</f>
        <v/>
      </c>
      <c r="L676" s="324" t="str" cm="1">
        <f t="array" ref="L676">IFERROR(
IF(
    AND($H676="Zoning: Tree Points", NOT(ISNUMBER(SEARCH("sp.", $C676)))),
    _xlfn.IFS(
        (COUNTIFS('Tree List'!$C$3:$C$601,$C676,'Tree List'!$D$3:$D$601,"Coniferous")
        + COUNTIFS('Tree List'!$C$3:$C$601,$C676,'Tree List'!$D$3:$D$601,"Deciduous Conifer")) &gt; 0,
            _xlfn.IFS($K676="Small",0.5,$K676="Small/Medium",1,$K676="Medium/Large",1.4,$K676="Large",1.8),
        (COUNTIFS('Tree List'!$C$3:$C$601,$C676,'Tree List'!$D$3:$D$601,"Deciduous")
        + COUNTIFS('Tree List'!$C$3:$C$601,$C676,'Tree List'!$D$3:$D$601,"Broadleaf Evergreen")) &gt; 0,
            _xlfn.IFS($K676="Small",0.4,$K676="Small/Medium",0.8,$K676="Medium/Large",1.2,$K676="Large",1.6)
    ),
    ""
),
"")</f>
        <v/>
      </c>
      <c r="M676" s="475" t="str">
        <f t="shared" si="735"/>
        <v/>
      </c>
      <c r="N676" s="346" t="str" cm="1">
        <f t="array" aca="1" ref="N67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IF(AND(_xlpm.baseRow,ISNA(MATCH($C676,'Tree List'!$C$3:$C$601,0)),SUMPRODUCT(--ISNUMBER(SEARCH(Tables2!$C$677:$C$772,$O676)))&gt;0),
Error!$B$57,
IF(AND(_xlpm.hasDM,$F676="Remove",$H676&lt;&gt;"",OR($I676="On-site replacement",$I676="Off-site replacement",$I676="Payment In Lieu")),
Error!$B$56,
IF(AND(_xlpm.hasDM,$F676="Remove",$H676&lt;&gt;"",$I676="Relocation"),
Error!$B$66,
IF(AND(OR(_xlpm.hasCN,_xlpm.hasPH,_xlpm.hasGR),$H676&lt;&gt;"",COUNTIF(Tables!$B$132:$B$134,$H676)&gt;0,$I676="N/A (No replacement required)"),
Error!$B$62,
IF(AND(_xlpm.baseRow,$E676&lt;&gt;"",ISNA(MATCH($E676,Tables!$B$225:$B$232,0))),
Error!$B$2,
IF(AND(_xlpm.baseRow,$F676&lt;&gt;"",ISNA(MATCH($F676,Tables!$B$234:$B$235,0))),
Error!$B$24,
IF(AND(_xlpm.baseRow,_xlpm.ECA_H&gt;0,_xlpm.Shore_H&gt;0),
Error!$B$16,
IF(AND(_xlpm.baseRow,$E676&lt;&gt;"",$D676=""),
Error!$B$3,
IF(AND(_xlpm.baseRow,OR($E676="Tier 3",$E676="Tier 4"),$C676&lt;&gt;"",$D676&gt;=24,COUNTIF(Tables2!$B$166:$B$674,$C676)&gt;0),
Error!$B$44,
IF(AND(_xlpm.baseRow,OR($E676="Tier 3",$E676="Tier 4"),$C676&lt;&gt;"",$D676&lt;&gt;"",COUNTIF(Tables2!$B$73:$B$152,$C676)&gt;0,
$D676&gt;=IFERROR(INDEX(Tables2!$C$73:$C$152,MATCH($C676,Tables2!$B$73:$B$152,0)),-1)),
Error!$B$44,
IF(AND(_xlpm.baseRow,OR($E676="Tier 2",$E676="Tier 2 Grove"),$C676&lt;&gt;"",$D676&gt;=12,COUNTIF(Tables2!$B$153:$B$162,$C676)&gt;0),
Error!$B$45,
IF(AND(_xlpm.baseRow,$E676="Tier 2 Grove",$D676&lt;12),
Error!$B$41,
IF(AND(_xlpm.baseRow,$E676="Tier 2",$D676&lt;5.88),
Error!$B$40,
IF(AND(_xlpm.baseRow,OR($E676="Tier 2",$E676="Tier 2 Grove"),$C676&lt;&gt;"",$D676&lt;12,$D676&gt;=6,COUNTIF(Tables2!$B$153:$B$162,$C676)&gt;0),
Error!$B$54,
IF(AND(_xlpm.baseRow,$E676="Tier 2",COUNTIF(Tables2!$B$166:$B$674,$C676)&gt;0,$D676&lt;24),
Error!$B$54,
IF(AND(_xlpm.baseRow,$E676="Tier 3",ISNA(MATCH($C676,Tables2!$B$153:$B$162,0)),OR($D676&lt;12,$D676&gt;=24)),
Error!$B$9,
IF(AND(_xlpm.baseRow,$E676="Tier 3",COUNTIF(Tables2!$B$153:$B$162,$C676)&gt;0,$D676&lt;12),
Error!$B$46,
IF(AND(_xlpm.baseRow,$E676="Tier 4",OR($D676&lt;6,$D676&gt;=12)),
Error!$B$10,
IF(AND(_xlpm.baseRow,$E676="&lt;6in DSH for Tree Points",OR($D676&gt;=6,$D676="")),
Error!$B$8,
IF(AND(_xlpm.baseRow,$E676="Street Tree for Green Factor",$F676&lt;&gt;"",$F676&lt;&gt;"Retain"),
Error!$B$14,
IF(AND($E676="&lt;6in DSH for Tree Points",$F676="Retain",$H676&lt;&gt;"",ISNA(MATCH($H676,Tables!$B$174:$B$174,0))),
Error!$B$15,
IF(AND($E676="Street Tree for Green Factor",$F676="Retain",$H676&lt;&gt;"",$H676&lt;&gt;"Zoning: Green Factor"),
Error!$B$15,
IF(AND($E676="ECA / Shoreline Tree",$F676="Remove",$H676&lt;&gt;"",ISNA(MATCH($H676,Tables!$B$189:$B$190,0))),
Error!$B$15,
IF(AND($E676="ECA / Shoreline Tree",$F676="Retain",$H676&lt;&gt;"",ISNA(MATCH($H676,Tables!$B$184:$B$186,0))),
Error!$B$15,
IF(AND($E676="Tier 4",$F676="Remove",$H676&lt;&gt;"",ISNA(MATCH($H676,Tables!$B$171,0))),
Error!$B$15,
IF(AND($E676="Tier 4",$F676="Retain",$H676&lt;&gt;"",ISNA(MATCH($H676,Tables!$B$166:$B$168,0))),
Error!$B$15,
IF(AND($E676="Tier 3",$F676="Retain",$H676&lt;&gt;"",ISNA(MATCH($H676,Tables!$B$158:$B$160,0))),
Error!$B$15,
IF(AND($E676="Tier 3",$F676="Remove",$H676&lt;&gt;"",ISNA(MATCH($H676,Tables!$B$163,0))),
Error!$B$15,
IF(AND(OR($E676="Tier 2",$E676="Tier 2 Grove"),$F676="Remove",$H676&lt;&gt;"",ISNA(MATCH($H676,Tables!$B$153:$B$155,0))),
Error!$B$15,
IF(AND(OR($E676="Tier 2",$E676="Tier 2 Grove"),$F676="Retain",$H676&lt;&gt;"",ISNA(MATCH($H676,Tables!$B$147:$B$150,0))),
Error!$B$15,
IF(AND($E676="Tier 1",$F676="Remove",$H676&lt;&gt;"",ISNA(MATCH($H676,Tables!$B$143:$B$144,0))),
Error!$B$15,
IF(AND($E676="Tier 1",$F676="Retain",$H676&lt;&gt;"",ISNA(MATCH($H676,Tables!$B$137:$B$140,0))),
Error!$B$15,
IF(AND($E676&lt;&gt;"Tier 2",$E676&lt;&gt;"Tier 2 Grove",$E676&lt;&gt;"Tier 3",$E676&lt;&gt;"Tier 4",$H676="Zoning: Green Factor",OR($D676="",$D676&lt;6)),
Error!$B$11,
IF(AND(_xlpm.baseRow,$D676&lt;6,$E676="&lt;6in DSH for Tree Points",_xlpm.TreePoints_H=0),
Error!$B$21,
IF(AND(_xlpm.baseRow,$E676&lt;&gt;"",$D676&lt;&gt;"",$F676=""),
Error!$B$4,
IF(AND(_xlpm.baseRow,$F676="Remove",OR($E676="Tier 1",$E676="Tier 2",$E676="Tier 2 Grove"),COUNTBLANK(_xlpm.HRange)&lt;3,_xlpm.uniqueH&gt;=2),
Error!$B$48,
IF(AND(_xlpm.baseRow,$F676="Retain",OR($E676="Tier 1",$E676="Tier 2",$E676="Tier 2 Grove"),COUNTIF(_xlpm.HRange,"Tree Code: Required to Retain Tier 1-2 Tree")=0),
Error!$B$47,
IF(AND(_xlpm.baseRow,$E676&lt;&gt;"",$D676&lt;&gt;"",$F676&lt;&gt;"",COUNTBLANK(_xlpm.HRange)=4),
Error!$B$5,
IF(AND($F676="Remove",$H676&lt;&gt;"",$I676=""),
Error!$B$18,
IF(AND($E676="Tier 4",$F676="Remove",$H676="Tree Protection Code: Tier 3 or Tier 4 Allowance",$H676&lt;&gt;"",ISNA(MATCH($I676,Tables!$B$200,0))),
Error!$B$17,
IF(AND($E676="Tier 3",$F676="Remove",$H676&lt;&gt;"",$H676="Tree Protection Code: Tier 3 or Tier 4 Allowance",OR($I676="",ISNA(MATCH($I676,Tables!$B$193:$B$197,0)))),
Error!$B$17,
IF(AND(OR($E676="Tier 2",$E676="Tier 2 Grove"),$F676="Remove",$H676="Tree Protection Code: Other removal allowance or exemption",$I676&lt;&gt;"",ISNA(MATCH($I676,Tables!$B$215:$B$218,0))),
Error!$B$17,
IF(AND(OR($E676="Tier 2",$E676="Tier 2 Grove"),$F676="Remove",$H676="Tree Protection Code: Development Capacity",$I676&lt;&gt;"",ISNA(MATCH($I676,Tables!$B$193:$B$197,0))),
Error!$B$17,
IF(AND(OR($E676="Tier 2",$E676="Tier 2 Grove"),$F676="Remove",$H676="Tree Protection Code: Necessary for Construction",$I676&lt;&gt;"",ISNA(MATCH($I676,Tables!$B$193:$B$197,0))),
Error!$B$17,
IF(AND($E676="Tier 1",$F676="Remove",$H676="Tree Protection Code: Special Exception",$I676&lt;&gt;"",ISNA(MATCH($I676,Tables!$B$215:$B$218,0))),
Error!$B$17,
IF(AND($E676="Tier 1",$F676="Remove",$H676="Tree Protection Code: Other removal allowance or exemption",$I676&lt;&gt;"",ISNA(MATCH($I676,Tables!$B$215:$B$218,0))),
Error!$B$17,
IF(AND($E676="ECA / Shoreline Tree",$F676="Remove",$H676&lt;&gt;"",OR($H676="Shoreline",$H676="Environmental Critical Area (ECA)"),ISNA(MATCH($I676,Tables!$B$209:$B$212,0))),
Error!$B$17,
IF(AND(_xlpm.baseRow,$F676="Retain",$E676="ECA / Shoreline Tree",_xlpm.ECA_Short=0),
Error!$B$61,
IF(AND($F676="Remove",ISNUMBER(MATCH($E676,{"Tier 1","Tier 2","Tier 3","Tier 4","Tier 2 Grove"},0)),ISNUMBER(MATCH($I676,{"On-site replacement","Off-site replacement"},0)),$J676="",$H676&lt;&gt;""),
Error!$B$19,
IF(AND(_xlpm.baseRow,$E676&lt;&gt;"",$D676&lt;&gt;"",$F676&lt;&gt;"",COUNTBLANK($B676:$C676)&gt;0,COUNTBLANK(_xlpm.HRange)&lt;&gt;4),
Error!$B$22,
IF(AND($H676="Zoning: Tree Points",$K676&lt;&gt;"",ISNA(MATCH($K676,Tables!$B$242:$B$253,0))),
Error!$B$58,
IF(AND($H676="Zoning: Tree Points",$K676="Small",$L676&lt;&gt;"",ISNA(MATCH($L676,Tables!$C$243:$C$244,0))),
Error!$B$59,
IF(AND($H676="Zoning: Tree Points",$K676="Small/Medium",$L676&lt;&gt;"",ISNA(MATCH($L676,Tables!$C$246:$C$247,0))),
Error!$B$59,
IF(AND($H676="Zoning: Tree Points",$K676="Medium/Large",$L676&lt;&gt;"",ISNA(MATCH($L676,Tables!$C$249:$C$250,0))),
Error!$B$59,
IF(AND($H676="Zoning: Tree Points",$K676="Large",$L676&lt;&gt;"",ISNA(MATCH($L676,Tables!$C$252:$C$253,0))),
Error!$B$59,
IF(AND($F676="Retain",$H676="Zoning: Tree Points",$C676&lt;&gt;"",$D676&lt;&gt;"",OR($K676="",$L676="",$M676="")),
Error!$B$20,
""
)))))))))))))))))))))))))))))))))))))))))))))))))))))))),
Error!$B$23))</f>
        <v/>
      </c>
      <c r="O676" s="343" t="str" cm="1">
        <f t="array" aca="1" ref="O676" ca="1">IFERROR(_xlfn.LET(
    _xlpm.txt, $C676,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77" spans="1:15" x14ac:dyDescent="0.3">
      <c r="A677" s="320"/>
      <c r="B677" s="616" t="str">
        <f t="shared" si="796"/>
        <v/>
      </c>
      <c r="C677" s="617" t="str">
        <f t="shared" si="797"/>
        <v/>
      </c>
      <c r="D677" s="618" t="str">
        <f t="shared" si="798"/>
        <v/>
      </c>
      <c r="E677" s="616" t="str">
        <f t="shared" si="799"/>
        <v/>
      </c>
      <c r="F677" s="616" t="str">
        <f t="shared" si="800"/>
        <v/>
      </c>
      <c r="G677" s="619" t="str">
        <f>IF(Tree_Table1[[#This Row],[Tree Status  &amp;]]="Retain", Tables!$B$237, IF(Tree_Table1[[#This Row],[Tree Status  &amp;]]="Remove", Tables!$B$238, ""))</f>
        <v/>
      </c>
      <c r="H677" s="321"/>
      <c r="I677" s="322"/>
      <c r="J677" s="453"/>
      <c r="K677" s="323" t="str">
        <f>IFERROR(
    IF(
        AND($H677="Zoning: Tree Points", NOT(ISNUMBER(SEARCH("sp.", $C677)))),
        VLOOKUP($C677, 'Tree List'!$C$3:$F$601, 4, FALSE),
        ""
    ),
"")</f>
        <v/>
      </c>
      <c r="L677" s="324" t="str" cm="1">
        <f t="array" ref="L677">IFERROR(
IF(
    AND($H677="Zoning: Tree Points", NOT(ISNUMBER(SEARCH("sp.", $C677)))),
    _xlfn.IFS(
        (COUNTIFS('Tree List'!$C$3:$C$601,$C677,'Tree List'!$D$3:$D$601,"Coniferous")
        + COUNTIFS('Tree List'!$C$3:$C$601,$C677,'Tree List'!$D$3:$D$601,"Deciduous Conifer")) &gt; 0,
            _xlfn.IFS($K677="Small",0.5,$K677="Small/Medium",1,$K677="Medium/Large",1.4,$K677="Large",1.8),
        (COUNTIFS('Tree List'!$C$3:$C$601,$C677,'Tree List'!$D$3:$D$601,"Deciduous")
        + COUNTIFS('Tree List'!$C$3:$C$601,$C677,'Tree List'!$D$3:$D$601,"Broadleaf Evergreen")) &gt; 0,
            _xlfn.IFS($K677="Small",0.4,$K677="Small/Medium",0.8,$K677="Medium/Large",1.2,$K677="Large",1.6)
    ),
    ""
),
"")</f>
        <v/>
      </c>
      <c r="M677" s="475" t="str">
        <f t="shared" si="735"/>
        <v/>
      </c>
      <c r="N677" s="346" t="str" cm="1">
        <f t="array" aca="1" ref="N67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IF(AND(_xlpm.baseRow,ISNA(MATCH($C677,'Tree List'!$C$3:$C$601,0)),SUMPRODUCT(--ISNUMBER(SEARCH(Tables2!$C$677:$C$772,$O677)))&gt;0),
Error!$B$57,
IF(AND(_xlpm.hasDM,$F677="Remove",$H677&lt;&gt;"",OR($I677="On-site replacement",$I677="Off-site replacement",$I677="Payment In Lieu")),
Error!$B$56,
IF(AND(_xlpm.hasDM,$F677="Remove",$H677&lt;&gt;"",$I677="Relocation"),
Error!$B$66,
IF(AND(OR(_xlpm.hasCN,_xlpm.hasPH,_xlpm.hasGR),$H677&lt;&gt;"",COUNTIF(Tables!$B$132:$B$134,$H677)&gt;0,$I677="N/A (No replacement required)"),
Error!$B$62,
IF(AND(_xlpm.baseRow,$E677&lt;&gt;"",ISNA(MATCH($E677,Tables!$B$225:$B$232,0))),
Error!$B$2,
IF(AND(_xlpm.baseRow,$F677&lt;&gt;"",ISNA(MATCH($F677,Tables!$B$234:$B$235,0))),
Error!$B$24,
IF(AND(_xlpm.baseRow,_xlpm.ECA_H&gt;0,_xlpm.Shore_H&gt;0),
Error!$B$16,
IF(AND(_xlpm.baseRow,$E677&lt;&gt;"",$D677=""),
Error!$B$3,
IF(AND(_xlpm.baseRow,OR($E677="Tier 3",$E677="Tier 4"),$C677&lt;&gt;"",$D677&gt;=24,COUNTIF(Tables2!$B$166:$B$674,$C677)&gt;0),
Error!$B$44,
IF(AND(_xlpm.baseRow,OR($E677="Tier 3",$E677="Tier 4"),$C677&lt;&gt;"",$D677&lt;&gt;"",COUNTIF(Tables2!$B$73:$B$152,$C677)&gt;0,
$D677&gt;=IFERROR(INDEX(Tables2!$C$73:$C$152,MATCH($C677,Tables2!$B$73:$B$152,0)),-1)),
Error!$B$44,
IF(AND(_xlpm.baseRow,OR($E677="Tier 2",$E677="Tier 2 Grove"),$C677&lt;&gt;"",$D677&gt;=12,COUNTIF(Tables2!$B$153:$B$162,$C677)&gt;0),
Error!$B$45,
IF(AND(_xlpm.baseRow,$E677="Tier 2 Grove",$D677&lt;12),
Error!$B$41,
IF(AND(_xlpm.baseRow,$E677="Tier 2",$D677&lt;5.88),
Error!$B$40,
IF(AND(_xlpm.baseRow,OR($E677="Tier 2",$E677="Tier 2 Grove"),$C677&lt;&gt;"",$D677&lt;12,$D677&gt;=6,COUNTIF(Tables2!$B$153:$B$162,$C677)&gt;0),
Error!$B$54,
IF(AND(_xlpm.baseRow,$E677="Tier 2",COUNTIF(Tables2!$B$166:$B$674,$C677)&gt;0,$D677&lt;24),
Error!$B$54,
IF(AND(_xlpm.baseRow,$E677="Tier 3",ISNA(MATCH($C677,Tables2!$B$153:$B$162,0)),OR($D677&lt;12,$D677&gt;=24)),
Error!$B$9,
IF(AND(_xlpm.baseRow,$E677="Tier 3",COUNTIF(Tables2!$B$153:$B$162,$C677)&gt;0,$D677&lt;12),
Error!$B$46,
IF(AND(_xlpm.baseRow,$E677="Tier 4",OR($D677&lt;6,$D677&gt;=12)),
Error!$B$10,
IF(AND(_xlpm.baseRow,$E677="&lt;6in DSH for Tree Points",OR($D677&gt;=6,$D677="")),
Error!$B$8,
IF(AND(_xlpm.baseRow,$E677="Street Tree for Green Factor",$F677&lt;&gt;"",$F677&lt;&gt;"Retain"),
Error!$B$14,
IF(AND($E677="&lt;6in DSH for Tree Points",$F677="Retain",$H677&lt;&gt;"",ISNA(MATCH($H677,Tables!$B$174:$B$174,0))),
Error!$B$15,
IF(AND($E677="Street Tree for Green Factor",$F677="Retain",$H677&lt;&gt;"",$H677&lt;&gt;"Zoning: Green Factor"),
Error!$B$15,
IF(AND($E677="ECA / Shoreline Tree",$F677="Remove",$H677&lt;&gt;"",ISNA(MATCH($H677,Tables!$B$189:$B$190,0))),
Error!$B$15,
IF(AND($E677="ECA / Shoreline Tree",$F677="Retain",$H677&lt;&gt;"",ISNA(MATCH($H677,Tables!$B$184:$B$186,0))),
Error!$B$15,
IF(AND($E677="Tier 4",$F677="Remove",$H677&lt;&gt;"",ISNA(MATCH($H677,Tables!$B$171,0))),
Error!$B$15,
IF(AND($E677="Tier 4",$F677="Retain",$H677&lt;&gt;"",ISNA(MATCH($H677,Tables!$B$166:$B$168,0))),
Error!$B$15,
IF(AND($E677="Tier 3",$F677="Retain",$H677&lt;&gt;"",ISNA(MATCH($H677,Tables!$B$158:$B$160,0))),
Error!$B$15,
IF(AND($E677="Tier 3",$F677="Remove",$H677&lt;&gt;"",ISNA(MATCH($H677,Tables!$B$163,0))),
Error!$B$15,
IF(AND(OR($E677="Tier 2",$E677="Tier 2 Grove"),$F677="Remove",$H677&lt;&gt;"",ISNA(MATCH($H677,Tables!$B$153:$B$155,0))),
Error!$B$15,
IF(AND(OR($E677="Tier 2",$E677="Tier 2 Grove"),$F677="Retain",$H677&lt;&gt;"",ISNA(MATCH($H677,Tables!$B$147:$B$150,0))),
Error!$B$15,
IF(AND($E677="Tier 1",$F677="Remove",$H677&lt;&gt;"",ISNA(MATCH($H677,Tables!$B$143:$B$144,0))),
Error!$B$15,
IF(AND($E677="Tier 1",$F677="Retain",$H677&lt;&gt;"",ISNA(MATCH($H677,Tables!$B$137:$B$140,0))),
Error!$B$15,
IF(AND($E677&lt;&gt;"Tier 2",$E677&lt;&gt;"Tier 2 Grove",$E677&lt;&gt;"Tier 3",$E677&lt;&gt;"Tier 4",$H677="Zoning: Green Factor",OR($D677="",$D677&lt;6)),
Error!$B$11,
IF(AND(_xlpm.baseRow,$D677&lt;6,$E677="&lt;6in DSH for Tree Points",_xlpm.TreePoints_H=0),
Error!$B$21,
IF(AND(_xlpm.baseRow,$E677&lt;&gt;"",$D677&lt;&gt;"",$F677=""),
Error!$B$4,
IF(AND(_xlpm.baseRow,$F677="Remove",OR($E677="Tier 1",$E677="Tier 2",$E677="Tier 2 Grove"),COUNTBLANK(_xlpm.HRange)&lt;3,_xlpm.uniqueH&gt;=2),
Error!$B$48,
IF(AND(_xlpm.baseRow,$F677="Retain",OR($E677="Tier 1",$E677="Tier 2",$E677="Tier 2 Grove"),COUNTIF(_xlpm.HRange,"Tree Code: Required to Retain Tier 1-2 Tree")=0),
Error!$B$47,
IF(AND(_xlpm.baseRow,$E677&lt;&gt;"",$D677&lt;&gt;"",$F677&lt;&gt;"",COUNTBLANK(_xlpm.HRange)=4),
Error!$B$5,
IF(AND($F677="Remove",$H677&lt;&gt;"",$I677=""),
Error!$B$18,
IF(AND($E677="Tier 4",$F677="Remove",$H677="Tree Protection Code: Tier 3 or Tier 4 Allowance",$H677&lt;&gt;"",ISNA(MATCH($I677,Tables!$B$200,0))),
Error!$B$17,
IF(AND($E677="Tier 3",$F677="Remove",$H677&lt;&gt;"",$H677="Tree Protection Code: Tier 3 or Tier 4 Allowance",OR($I677="",ISNA(MATCH($I677,Tables!$B$193:$B$197,0)))),
Error!$B$17,
IF(AND(OR($E677="Tier 2",$E677="Tier 2 Grove"),$F677="Remove",$H677="Tree Protection Code: Other removal allowance or exemption",$I677&lt;&gt;"",ISNA(MATCH($I677,Tables!$B$215:$B$218,0))),
Error!$B$17,
IF(AND(OR($E677="Tier 2",$E677="Tier 2 Grove"),$F677="Remove",$H677="Tree Protection Code: Development Capacity",$I677&lt;&gt;"",ISNA(MATCH($I677,Tables!$B$193:$B$197,0))),
Error!$B$17,
IF(AND(OR($E677="Tier 2",$E677="Tier 2 Grove"),$F677="Remove",$H677="Tree Protection Code: Necessary for Construction",$I677&lt;&gt;"",ISNA(MATCH($I677,Tables!$B$193:$B$197,0))),
Error!$B$17,
IF(AND($E677="Tier 1",$F677="Remove",$H677="Tree Protection Code: Special Exception",$I677&lt;&gt;"",ISNA(MATCH($I677,Tables!$B$215:$B$218,0))),
Error!$B$17,
IF(AND($E677="Tier 1",$F677="Remove",$H677="Tree Protection Code: Other removal allowance or exemption",$I677&lt;&gt;"",ISNA(MATCH($I677,Tables!$B$215:$B$218,0))),
Error!$B$17,
IF(AND($E677="ECA / Shoreline Tree",$F677="Remove",$H677&lt;&gt;"",OR($H677="Shoreline",$H677="Environmental Critical Area (ECA)"),ISNA(MATCH($I677,Tables!$B$209:$B$212,0))),
Error!$B$17,
IF(AND(_xlpm.baseRow,$F677="Retain",$E677="ECA / Shoreline Tree",_xlpm.ECA_Short=0),
Error!$B$61,
IF(AND($F677="Remove",ISNUMBER(MATCH($E677,{"Tier 1","Tier 2","Tier 3","Tier 4","Tier 2 Grove"},0)),ISNUMBER(MATCH($I677,{"On-site replacement","Off-site replacement"},0)),$J677="",$H677&lt;&gt;""),
Error!$B$19,
IF(AND(_xlpm.baseRow,$E677&lt;&gt;"",$D677&lt;&gt;"",$F677&lt;&gt;"",COUNTBLANK($B677:$C677)&gt;0,COUNTBLANK(_xlpm.HRange)&lt;&gt;4),
Error!$B$22,
IF(AND($H677="Zoning: Tree Points",$K677&lt;&gt;"",ISNA(MATCH($K677,Tables!$B$242:$B$253,0))),
Error!$B$58,
IF(AND($H677="Zoning: Tree Points",$K677="Small",$L677&lt;&gt;"",ISNA(MATCH($L677,Tables!$C$243:$C$244,0))),
Error!$B$59,
IF(AND($H677="Zoning: Tree Points",$K677="Small/Medium",$L677&lt;&gt;"",ISNA(MATCH($L677,Tables!$C$246:$C$247,0))),
Error!$B$59,
IF(AND($H677="Zoning: Tree Points",$K677="Medium/Large",$L677&lt;&gt;"",ISNA(MATCH($L677,Tables!$C$249:$C$250,0))),
Error!$B$59,
IF(AND($H677="Zoning: Tree Points",$K677="Large",$L677&lt;&gt;"",ISNA(MATCH($L677,Tables!$C$252:$C$253,0))),
Error!$B$59,
IF(AND($F677="Retain",$H677="Zoning: Tree Points",$C677&lt;&gt;"",$D677&lt;&gt;"",OR($K677="",$L677="",$M677="")),
Error!$B$20,
""
)))))))))))))))))))))))))))))))))))))))))))))))))))))))),
Error!$B$23))</f>
        <v/>
      </c>
      <c r="O677" s="343" t="str" cm="1">
        <f t="array" aca="1" ref="O677" ca="1">IFERROR(_xlfn.LET(
    _xlpm.txt, $C677,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78" spans="1:15" ht="15" thickBot="1" x14ac:dyDescent="0.35">
      <c r="A678" s="331"/>
      <c r="B678" s="616" t="str">
        <f t="shared" si="796"/>
        <v/>
      </c>
      <c r="C678" s="617" t="str">
        <f t="shared" si="797"/>
        <v/>
      </c>
      <c r="D678" s="618" t="str">
        <f t="shared" si="798"/>
        <v/>
      </c>
      <c r="E678" s="616" t="str">
        <f t="shared" si="799"/>
        <v/>
      </c>
      <c r="F678" s="616" t="str">
        <f t="shared" si="800"/>
        <v/>
      </c>
      <c r="G678" s="619" t="str">
        <f>IF(Tree_Table1[[#This Row],[Tree Status  &amp;]]="Retain", Tables!$B$237, IF(Tree_Table1[[#This Row],[Tree Status  &amp;]]="Remove", Tables!$B$238, ""))</f>
        <v/>
      </c>
      <c r="H678" s="329"/>
      <c r="I678" s="330"/>
      <c r="J678" s="455"/>
      <c r="K678" s="327" t="str">
        <f>IFERROR(
    IF(
        AND($H678="Zoning: Tree Points", NOT(ISNUMBER(SEARCH("sp.", $C678)))),
        VLOOKUP($C678, 'Tree List'!$C$3:$F$601, 4, FALSE),
        ""
    ),
"")</f>
        <v/>
      </c>
      <c r="L678" s="328" t="str" cm="1">
        <f t="array" ref="L678">IFERROR(
IF(
    AND($H678="Zoning: Tree Points", NOT(ISNUMBER(SEARCH("sp.", $C678)))),
    _xlfn.IFS(
        (COUNTIFS('Tree List'!$C$3:$C$601,$C678,'Tree List'!$D$3:$D$601,"Coniferous")
        + COUNTIFS('Tree List'!$C$3:$C$601,$C678,'Tree List'!$D$3:$D$601,"Deciduous Conifer")) &gt; 0,
            _xlfn.IFS($K678="Small",0.5,$K678="Small/Medium",1,$K678="Medium/Large",1.4,$K678="Large",1.8),
        (COUNTIFS('Tree List'!$C$3:$C$601,$C678,'Tree List'!$D$3:$D$601,"Deciduous")
        + COUNTIFS('Tree List'!$C$3:$C$601,$C678,'Tree List'!$D$3:$D$601,"Broadleaf Evergreen")) &gt; 0,
            _xlfn.IFS($K678="Small",0.4,$K678="Small/Medium",0.8,$K678="Medium/Large",1.2,$K678="Large",1.6)
    ),
    ""
),
"")</f>
        <v/>
      </c>
      <c r="M678" s="476" t="str">
        <f t="shared" si="735"/>
        <v/>
      </c>
      <c r="N678" s="347" t="str" cm="1">
        <f t="array" aca="1" ref="N67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IF(AND(_xlpm.baseRow,ISNA(MATCH($C678,'Tree List'!$C$3:$C$601,0)),SUMPRODUCT(--ISNUMBER(SEARCH(Tables2!$C$677:$C$772,$O678)))&gt;0),
Error!$B$57,
IF(AND(_xlpm.hasDM,$F678="Remove",$H678&lt;&gt;"",OR($I678="On-site replacement",$I678="Off-site replacement",$I678="Payment In Lieu")),
Error!$B$56,
IF(AND(_xlpm.hasDM,$F678="Remove",$H678&lt;&gt;"",$I678="Relocation"),
Error!$B$66,
IF(AND(OR(_xlpm.hasCN,_xlpm.hasPH,_xlpm.hasGR),$H678&lt;&gt;"",COUNTIF(Tables!$B$132:$B$134,$H678)&gt;0,$I678="N/A (No replacement required)"),
Error!$B$62,
IF(AND(_xlpm.baseRow,$E678&lt;&gt;"",ISNA(MATCH($E678,Tables!$B$225:$B$232,0))),
Error!$B$2,
IF(AND(_xlpm.baseRow,$F678&lt;&gt;"",ISNA(MATCH($F678,Tables!$B$234:$B$235,0))),
Error!$B$24,
IF(AND(_xlpm.baseRow,_xlpm.ECA_H&gt;0,_xlpm.Shore_H&gt;0),
Error!$B$16,
IF(AND(_xlpm.baseRow,$E678&lt;&gt;"",$D678=""),
Error!$B$3,
IF(AND(_xlpm.baseRow,OR($E678="Tier 3",$E678="Tier 4"),$C678&lt;&gt;"",$D678&gt;=24,COUNTIF(Tables2!$B$166:$B$674,$C678)&gt;0),
Error!$B$44,
IF(AND(_xlpm.baseRow,OR($E678="Tier 3",$E678="Tier 4"),$C678&lt;&gt;"",$D678&lt;&gt;"",COUNTIF(Tables2!$B$73:$B$152,$C678)&gt;0,
$D678&gt;=IFERROR(INDEX(Tables2!$C$73:$C$152,MATCH($C678,Tables2!$B$73:$B$152,0)),-1)),
Error!$B$44,
IF(AND(_xlpm.baseRow,OR($E678="Tier 2",$E678="Tier 2 Grove"),$C678&lt;&gt;"",$D678&gt;=12,COUNTIF(Tables2!$B$153:$B$162,$C678)&gt;0),
Error!$B$45,
IF(AND(_xlpm.baseRow,$E678="Tier 2 Grove",$D678&lt;12),
Error!$B$41,
IF(AND(_xlpm.baseRow,$E678="Tier 2",$D678&lt;5.88),
Error!$B$40,
IF(AND(_xlpm.baseRow,OR($E678="Tier 2",$E678="Tier 2 Grove"),$C678&lt;&gt;"",$D678&lt;12,$D678&gt;=6,COUNTIF(Tables2!$B$153:$B$162,$C678)&gt;0),
Error!$B$54,
IF(AND(_xlpm.baseRow,$E678="Tier 2",COUNTIF(Tables2!$B$166:$B$674,$C678)&gt;0,$D678&lt;24),
Error!$B$54,
IF(AND(_xlpm.baseRow,$E678="Tier 3",ISNA(MATCH($C678,Tables2!$B$153:$B$162,0)),OR($D678&lt;12,$D678&gt;=24)),
Error!$B$9,
IF(AND(_xlpm.baseRow,$E678="Tier 3",COUNTIF(Tables2!$B$153:$B$162,$C678)&gt;0,$D678&lt;12),
Error!$B$46,
IF(AND(_xlpm.baseRow,$E678="Tier 4",OR($D678&lt;6,$D678&gt;=12)),
Error!$B$10,
IF(AND(_xlpm.baseRow,$E678="&lt;6in DSH for Tree Points",OR($D678&gt;=6,$D678="")),
Error!$B$8,
IF(AND(_xlpm.baseRow,$E678="Street Tree for Green Factor",$F678&lt;&gt;"",$F678&lt;&gt;"Retain"),
Error!$B$14,
IF(AND($E678="&lt;6in DSH for Tree Points",$F678="Retain",$H678&lt;&gt;"",ISNA(MATCH($H678,Tables!$B$174:$B$174,0))),
Error!$B$15,
IF(AND($E678="Street Tree for Green Factor",$F678="Retain",$H678&lt;&gt;"",$H678&lt;&gt;"Zoning: Green Factor"),
Error!$B$15,
IF(AND($E678="ECA / Shoreline Tree",$F678="Remove",$H678&lt;&gt;"",ISNA(MATCH($H678,Tables!$B$189:$B$190,0))),
Error!$B$15,
IF(AND($E678="ECA / Shoreline Tree",$F678="Retain",$H678&lt;&gt;"",ISNA(MATCH($H678,Tables!$B$184:$B$186,0))),
Error!$B$15,
IF(AND($E678="Tier 4",$F678="Remove",$H678&lt;&gt;"",ISNA(MATCH($H678,Tables!$B$171,0))),
Error!$B$15,
IF(AND($E678="Tier 4",$F678="Retain",$H678&lt;&gt;"",ISNA(MATCH($H678,Tables!$B$166:$B$168,0))),
Error!$B$15,
IF(AND($E678="Tier 3",$F678="Retain",$H678&lt;&gt;"",ISNA(MATCH($H678,Tables!$B$158:$B$160,0))),
Error!$B$15,
IF(AND($E678="Tier 3",$F678="Remove",$H678&lt;&gt;"",ISNA(MATCH($H678,Tables!$B$163,0))),
Error!$B$15,
IF(AND(OR($E678="Tier 2",$E678="Tier 2 Grove"),$F678="Remove",$H678&lt;&gt;"",ISNA(MATCH($H678,Tables!$B$153:$B$155,0))),
Error!$B$15,
IF(AND(OR($E678="Tier 2",$E678="Tier 2 Grove"),$F678="Retain",$H678&lt;&gt;"",ISNA(MATCH($H678,Tables!$B$147:$B$150,0))),
Error!$B$15,
IF(AND($E678="Tier 1",$F678="Remove",$H678&lt;&gt;"",ISNA(MATCH($H678,Tables!$B$143:$B$144,0))),
Error!$B$15,
IF(AND($E678="Tier 1",$F678="Retain",$H678&lt;&gt;"",ISNA(MATCH($H678,Tables!$B$137:$B$140,0))),
Error!$B$15,
IF(AND($E678&lt;&gt;"Tier 2",$E678&lt;&gt;"Tier 2 Grove",$E678&lt;&gt;"Tier 3",$E678&lt;&gt;"Tier 4",$H678="Zoning: Green Factor",OR($D678="",$D678&lt;6)),
Error!$B$11,
IF(AND(_xlpm.baseRow,$D678&lt;6,$E678="&lt;6in DSH for Tree Points",_xlpm.TreePoints_H=0),
Error!$B$21,
IF(AND(_xlpm.baseRow,$E678&lt;&gt;"",$D678&lt;&gt;"",$F678=""),
Error!$B$4,
IF(AND(_xlpm.baseRow,$F678="Remove",OR($E678="Tier 1",$E678="Tier 2",$E678="Tier 2 Grove"),COUNTBLANK(_xlpm.HRange)&lt;3,_xlpm.uniqueH&gt;=2),
Error!$B$48,
IF(AND(_xlpm.baseRow,$F678="Retain",OR($E678="Tier 1",$E678="Tier 2",$E678="Tier 2 Grove"),COUNTIF(_xlpm.HRange,"Tree Code: Required to Retain Tier 1-2 Tree")=0),
Error!$B$47,
IF(AND(_xlpm.baseRow,$E678&lt;&gt;"",$D678&lt;&gt;"",$F678&lt;&gt;"",COUNTBLANK(_xlpm.HRange)=4),
Error!$B$5,
IF(AND($F678="Remove",$H678&lt;&gt;"",$I678=""),
Error!$B$18,
IF(AND($E678="Tier 4",$F678="Remove",$H678="Tree Protection Code: Tier 3 or Tier 4 Allowance",$H678&lt;&gt;"",ISNA(MATCH($I678,Tables!$B$200,0))),
Error!$B$17,
IF(AND($E678="Tier 3",$F678="Remove",$H678&lt;&gt;"",$H678="Tree Protection Code: Tier 3 or Tier 4 Allowance",OR($I678="",ISNA(MATCH($I678,Tables!$B$193:$B$197,0)))),
Error!$B$17,
IF(AND(OR($E678="Tier 2",$E678="Tier 2 Grove"),$F678="Remove",$H678="Tree Protection Code: Other removal allowance or exemption",$I678&lt;&gt;"",ISNA(MATCH($I678,Tables!$B$215:$B$218,0))),
Error!$B$17,
IF(AND(OR($E678="Tier 2",$E678="Tier 2 Grove"),$F678="Remove",$H678="Tree Protection Code: Development Capacity",$I678&lt;&gt;"",ISNA(MATCH($I678,Tables!$B$193:$B$197,0))),
Error!$B$17,
IF(AND(OR($E678="Tier 2",$E678="Tier 2 Grove"),$F678="Remove",$H678="Tree Protection Code: Necessary for Construction",$I678&lt;&gt;"",ISNA(MATCH($I678,Tables!$B$193:$B$197,0))),
Error!$B$17,
IF(AND($E678="Tier 1",$F678="Remove",$H678="Tree Protection Code: Special Exception",$I678&lt;&gt;"",ISNA(MATCH($I678,Tables!$B$215:$B$218,0))),
Error!$B$17,
IF(AND($E678="Tier 1",$F678="Remove",$H678="Tree Protection Code: Other removal allowance or exemption",$I678&lt;&gt;"",ISNA(MATCH($I678,Tables!$B$215:$B$218,0))),
Error!$B$17,
IF(AND($E678="ECA / Shoreline Tree",$F678="Remove",$H678&lt;&gt;"",OR($H678="Shoreline",$H678="Environmental Critical Area (ECA)"),ISNA(MATCH($I678,Tables!$B$209:$B$212,0))),
Error!$B$17,
IF(AND(_xlpm.baseRow,$F678="Retain",$E678="ECA / Shoreline Tree",_xlpm.ECA_Short=0),
Error!$B$61,
IF(AND($F678="Remove",ISNUMBER(MATCH($E678,{"Tier 1","Tier 2","Tier 3","Tier 4","Tier 2 Grove"},0)),ISNUMBER(MATCH($I678,{"On-site replacement","Off-site replacement"},0)),$J678="",$H678&lt;&gt;""),
Error!$B$19,
IF(AND(_xlpm.baseRow,$E678&lt;&gt;"",$D678&lt;&gt;"",$F678&lt;&gt;"",COUNTBLANK($B678:$C678)&gt;0,COUNTBLANK(_xlpm.HRange)&lt;&gt;4),
Error!$B$22,
IF(AND($H678="Zoning: Tree Points",$K678&lt;&gt;"",ISNA(MATCH($K678,Tables!$B$242:$B$253,0))),
Error!$B$58,
IF(AND($H678="Zoning: Tree Points",$K678="Small",$L678&lt;&gt;"",ISNA(MATCH($L678,Tables!$C$243:$C$244,0))),
Error!$B$59,
IF(AND($H678="Zoning: Tree Points",$K678="Small/Medium",$L678&lt;&gt;"",ISNA(MATCH($L678,Tables!$C$246:$C$247,0))),
Error!$B$59,
IF(AND($H678="Zoning: Tree Points",$K678="Medium/Large",$L678&lt;&gt;"",ISNA(MATCH($L678,Tables!$C$249:$C$250,0))),
Error!$B$59,
IF(AND($H678="Zoning: Tree Points",$K678="Large",$L678&lt;&gt;"",ISNA(MATCH($L678,Tables!$C$252:$C$253,0))),
Error!$B$59,
IF(AND($F678="Retain",$H678="Zoning: Tree Points",$C678&lt;&gt;"",$D678&lt;&gt;"",OR($K678="",$L678="",$M678="")),
Error!$B$20,
""
)))))))))))))))))))))))))))))))))))))))))))))))))))))))),
Error!$B$23))</f>
        <v/>
      </c>
      <c r="O678" s="343" t="str" cm="1">
        <f t="array" aca="1" ref="O678" ca="1">IFERROR(_xlfn.LET(
    _xlpm.txt, $C678,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79" spans="1:15" ht="15" thickBot="1" x14ac:dyDescent="0.35">
      <c r="A679" s="311">
        <v>168</v>
      </c>
      <c r="B679" s="312"/>
      <c r="C679" s="313"/>
      <c r="D679" s="478"/>
      <c r="E679" s="314"/>
      <c r="F679" s="314"/>
      <c r="G679" s="315" t="str">
        <f>IF(Tree_Table1[[#This Row],[Tree Status  &amp;]]="Retain", Tables!$B$237, IF(Tree_Table1[[#This Row],[Tree Status  &amp;]]="Remove", Tables!$B$238, ""))</f>
        <v/>
      </c>
      <c r="H679" s="316"/>
      <c r="I679" s="317"/>
      <c r="J679" s="452"/>
      <c r="K679" s="318" t="str">
        <f>IFERROR(
    IF(
        AND($H679="Zoning: Tree Points", NOT(ISNUMBER(SEARCH("sp.", $C679)))),
        VLOOKUP($C679, 'Tree List'!$C$3:$F$601, 4, FALSE),
        ""
    ),
"")</f>
        <v/>
      </c>
      <c r="L679" s="319" t="str" cm="1">
        <f t="array" ref="L679">IFERROR(
IF(
    AND($H679="Zoning: Tree Points", NOT(ISNUMBER(SEARCH("sp.", $C679)))),
    _xlfn.IFS(
        (COUNTIFS('Tree List'!$C$3:$C$601,$C679,'Tree List'!$D$3:$D$601,"Coniferous")
        + COUNTIFS('Tree List'!$C$3:$C$601,$C679,'Tree List'!$D$3:$D$601,"Deciduous Conifer")) &gt; 0,
            _xlfn.IFS($K679="Small",0.5,$K679="Small/Medium",1,$K679="Medium/Large",1.4,$K679="Large",1.8),
        (COUNTIFS('Tree List'!$C$3:$C$601,$C679,'Tree List'!$D$3:$D$601,"Deciduous")
        + COUNTIFS('Tree List'!$C$3:$C$601,$C679,'Tree List'!$D$3:$D$601,"Broadleaf Evergreen")) &gt; 0,
            _xlfn.IFS($K679="Small",0.4,$K679="Small/Medium",0.8,$K679="Medium/Large",1.2,$K679="Large",1.6)
    ),
    ""
),
"")</f>
        <v/>
      </c>
      <c r="M679" s="474" t="str">
        <f t="shared" si="735"/>
        <v/>
      </c>
      <c r="N679" s="620" t="str" cm="1">
        <f t="array" aca="1" ref="N67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IF(AND(_xlpm.baseRow,ISNA(MATCH($C679,'Tree List'!$C$3:$C$601,0)),SUMPRODUCT(--ISNUMBER(SEARCH(Tables2!$C$677:$C$772,$O679)))&gt;0),
Error!$B$57,
IF(AND(_xlpm.hasDM,$F679="Remove",$H679&lt;&gt;"",OR($I679="On-site replacement",$I679="Off-site replacement",$I679="Payment In Lieu")),
Error!$B$56,
IF(AND(_xlpm.hasDM,$F679="Remove",$H679&lt;&gt;"",$I679="Relocation"),
Error!$B$66,
IF(AND(OR(_xlpm.hasCN,_xlpm.hasPH,_xlpm.hasGR),$H679&lt;&gt;"",COUNTIF(Tables!$B$132:$B$134,$H679)&gt;0,$I679="N/A (No replacement required)"),
Error!$B$62,
IF(AND(_xlpm.baseRow,$E679&lt;&gt;"",ISNA(MATCH($E679,Tables!$B$225:$B$232,0))),
Error!$B$2,
IF(AND(_xlpm.baseRow,$F679&lt;&gt;"",ISNA(MATCH($F679,Tables!$B$234:$B$235,0))),
Error!$B$24,
IF(AND(_xlpm.baseRow,_xlpm.ECA_H&gt;0,_xlpm.Shore_H&gt;0),
Error!$B$16,
IF(AND(_xlpm.baseRow,$E679&lt;&gt;"",$D679=""),
Error!$B$3,
IF(AND(_xlpm.baseRow,OR($E679="Tier 3",$E679="Tier 4"),$C679&lt;&gt;"",$D679&gt;=24,COUNTIF(Tables2!$B$166:$B$674,$C679)&gt;0),
Error!$B$44,
IF(AND(_xlpm.baseRow,OR($E679="Tier 3",$E679="Tier 4"),$C679&lt;&gt;"",$D679&lt;&gt;"",COUNTIF(Tables2!$B$73:$B$152,$C679)&gt;0,
$D679&gt;=IFERROR(INDEX(Tables2!$C$73:$C$152,MATCH($C679,Tables2!$B$73:$B$152,0)),-1)),
Error!$B$44,
IF(AND(_xlpm.baseRow,OR($E679="Tier 2",$E679="Tier 2 Grove"),$C679&lt;&gt;"",$D679&gt;=12,COUNTIF(Tables2!$B$153:$B$162,$C679)&gt;0),
Error!$B$45,
IF(AND(_xlpm.baseRow,$E679="Tier 2 Grove",$D679&lt;12),
Error!$B$41,
IF(AND(_xlpm.baseRow,$E679="Tier 2",$D679&lt;5.88),
Error!$B$40,
IF(AND(_xlpm.baseRow,OR($E679="Tier 2",$E679="Tier 2 Grove"),$C679&lt;&gt;"",$D679&lt;12,$D679&gt;=6,COUNTIF(Tables2!$B$153:$B$162,$C679)&gt;0),
Error!$B$54,
IF(AND(_xlpm.baseRow,$E679="Tier 2",COUNTIF(Tables2!$B$166:$B$674,$C679)&gt;0,$D679&lt;24),
Error!$B$54,
IF(AND(_xlpm.baseRow,$E679="Tier 3",ISNA(MATCH($C679,Tables2!$B$153:$B$162,0)),OR($D679&lt;12,$D679&gt;=24)),
Error!$B$9,
IF(AND(_xlpm.baseRow,$E679="Tier 3",COUNTIF(Tables2!$B$153:$B$162,$C679)&gt;0,$D679&lt;12),
Error!$B$46,
IF(AND(_xlpm.baseRow,$E679="Tier 4",OR($D679&lt;6,$D679&gt;=12)),
Error!$B$10,
IF(AND(_xlpm.baseRow,$E679="&lt;6in DSH for Tree Points",OR($D679&gt;=6,$D679="")),
Error!$B$8,
IF(AND(_xlpm.baseRow,$E679="Street Tree for Green Factor",$F679&lt;&gt;"",$F679&lt;&gt;"Retain"),
Error!$B$14,
IF(AND($E679="&lt;6in DSH for Tree Points",$F679="Retain",$H679&lt;&gt;"",ISNA(MATCH($H679,Tables!$B$174:$B$174,0))),
Error!$B$15,
IF(AND($E679="Street Tree for Green Factor",$F679="Retain",$H679&lt;&gt;"",$H679&lt;&gt;"Zoning: Green Factor"),
Error!$B$15,
IF(AND($E679="ECA / Shoreline Tree",$F679="Remove",$H679&lt;&gt;"",ISNA(MATCH($H679,Tables!$B$189:$B$190,0))),
Error!$B$15,
IF(AND($E679="ECA / Shoreline Tree",$F679="Retain",$H679&lt;&gt;"",ISNA(MATCH($H679,Tables!$B$184:$B$186,0))),
Error!$B$15,
IF(AND($E679="Tier 4",$F679="Remove",$H679&lt;&gt;"",ISNA(MATCH($H679,Tables!$B$171,0))),
Error!$B$15,
IF(AND($E679="Tier 4",$F679="Retain",$H679&lt;&gt;"",ISNA(MATCH($H679,Tables!$B$166:$B$168,0))),
Error!$B$15,
IF(AND($E679="Tier 3",$F679="Retain",$H679&lt;&gt;"",ISNA(MATCH($H679,Tables!$B$158:$B$160,0))),
Error!$B$15,
IF(AND($E679="Tier 3",$F679="Remove",$H679&lt;&gt;"",ISNA(MATCH($H679,Tables!$B$163,0))),
Error!$B$15,
IF(AND(OR($E679="Tier 2",$E679="Tier 2 Grove"),$F679="Remove",$H679&lt;&gt;"",ISNA(MATCH($H679,Tables!$B$153:$B$155,0))),
Error!$B$15,
IF(AND(OR($E679="Tier 2",$E679="Tier 2 Grove"),$F679="Retain",$H679&lt;&gt;"",ISNA(MATCH($H679,Tables!$B$147:$B$150,0))),
Error!$B$15,
IF(AND($E679="Tier 1",$F679="Remove",$H679&lt;&gt;"",ISNA(MATCH($H679,Tables!$B$143:$B$144,0))),
Error!$B$15,
IF(AND($E679="Tier 1",$F679="Retain",$H679&lt;&gt;"",ISNA(MATCH($H679,Tables!$B$137:$B$140,0))),
Error!$B$15,
IF(AND($E679&lt;&gt;"Tier 2",$E679&lt;&gt;"Tier 2 Grove",$E679&lt;&gt;"Tier 3",$E679&lt;&gt;"Tier 4",$H679="Zoning: Green Factor",OR($D679="",$D679&lt;6)),
Error!$B$11,
IF(AND(_xlpm.baseRow,$D679&lt;6,$E679="&lt;6in DSH for Tree Points",_xlpm.TreePoints_H=0),
Error!$B$21,
IF(AND(_xlpm.baseRow,$E679&lt;&gt;"",$D679&lt;&gt;"",$F679=""),
Error!$B$4,
IF(AND(_xlpm.baseRow,$F679="Remove",OR($E679="Tier 1",$E679="Tier 2",$E679="Tier 2 Grove"),COUNTBLANK(_xlpm.HRange)&lt;3,_xlpm.uniqueH&gt;=2),
Error!$B$48,
IF(AND(_xlpm.baseRow,$F679="Retain",OR($E679="Tier 1",$E679="Tier 2",$E679="Tier 2 Grove"),COUNTIF(_xlpm.HRange,"Tree Code: Required to Retain Tier 1-2 Tree")=0),
Error!$B$47,
IF(AND(_xlpm.baseRow,$E679&lt;&gt;"",$D679&lt;&gt;"",$F679&lt;&gt;"",COUNTBLANK(_xlpm.HRange)=4),
Error!$B$5,
IF(AND($F679="Remove",$H679&lt;&gt;"",$I679=""),
Error!$B$18,
IF(AND($E679="Tier 4",$F679="Remove",$H679="Tree Protection Code: Tier 3 or Tier 4 Allowance",$H679&lt;&gt;"",ISNA(MATCH($I679,Tables!$B$200,0))),
Error!$B$17,
IF(AND($E679="Tier 3",$F679="Remove",$H679&lt;&gt;"",$H679="Tree Protection Code: Tier 3 or Tier 4 Allowance",OR($I679="",ISNA(MATCH($I679,Tables!$B$193:$B$197,0)))),
Error!$B$17,
IF(AND(OR($E679="Tier 2",$E679="Tier 2 Grove"),$F679="Remove",$H679="Tree Protection Code: Other removal allowance or exemption",$I679&lt;&gt;"",ISNA(MATCH($I679,Tables!$B$215:$B$218,0))),
Error!$B$17,
IF(AND(OR($E679="Tier 2",$E679="Tier 2 Grove"),$F679="Remove",$H679="Tree Protection Code: Development Capacity",$I679&lt;&gt;"",ISNA(MATCH($I679,Tables!$B$193:$B$197,0))),
Error!$B$17,
IF(AND(OR($E679="Tier 2",$E679="Tier 2 Grove"),$F679="Remove",$H679="Tree Protection Code: Necessary for Construction",$I679&lt;&gt;"",ISNA(MATCH($I679,Tables!$B$193:$B$197,0))),
Error!$B$17,
IF(AND($E679="Tier 1",$F679="Remove",$H679="Tree Protection Code: Special Exception",$I679&lt;&gt;"",ISNA(MATCH($I679,Tables!$B$215:$B$218,0))),
Error!$B$17,
IF(AND($E679="Tier 1",$F679="Remove",$H679="Tree Protection Code: Other removal allowance or exemption",$I679&lt;&gt;"",ISNA(MATCH($I679,Tables!$B$215:$B$218,0))),
Error!$B$17,
IF(AND($E679="ECA / Shoreline Tree",$F679="Remove",$H679&lt;&gt;"",OR($H679="Shoreline",$H679="Environmental Critical Area (ECA)"),ISNA(MATCH($I679,Tables!$B$209:$B$212,0))),
Error!$B$17,
IF(AND(_xlpm.baseRow,$F679="Retain",$E679="ECA / Shoreline Tree",_xlpm.ECA_Short=0),
Error!$B$61,
IF(AND($F679="Remove",ISNUMBER(MATCH($E679,{"Tier 1","Tier 2","Tier 3","Tier 4","Tier 2 Grove"},0)),ISNUMBER(MATCH($I679,{"On-site replacement","Off-site replacement"},0)),$J679="",$H679&lt;&gt;""),
Error!$B$19,
IF(AND(_xlpm.baseRow,$E679&lt;&gt;"",$D679&lt;&gt;"",$F679&lt;&gt;"",COUNTBLANK($B679:$C679)&gt;0,COUNTBLANK(_xlpm.HRange)&lt;&gt;4),
Error!$B$22,
IF(AND($H679="Zoning: Tree Points",$K679&lt;&gt;"",ISNA(MATCH($K679,Tables!$B$242:$B$253,0))),
Error!$B$58,
IF(AND($H679="Zoning: Tree Points",$K679="Small",$L679&lt;&gt;"",ISNA(MATCH($L679,Tables!$C$243:$C$244,0))),
Error!$B$59,
IF(AND($H679="Zoning: Tree Points",$K679="Small/Medium",$L679&lt;&gt;"",ISNA(MATCH($L679,Tables!$C$246:$C$247,0))),
Error!$B$59,
IF(AND($H679="Zoning: Tree Points",$K679="Medium/Large",$L679&lt;&gt;"",ISNA(MATCH($L679,Tables!$C$249:$C$250,0))),
Error!$B$59,
IF(AND($H679="Zoning: Tree Points",$K679="Large",$L679&lt;&gt;"",ISNA(MATCH($L679,Tables!$C$252:$C$253,0))),
Error!$B$59,
IF(AND($F679="Retain",$H679="Zoning: Tree Points",$C679&lt;&gt;"",$D679&lt;&gt;"",OR($K679="",$L679="",$M679="")),
Error!$B$20,
""
)))))))))))))))))))))))))))))))))))))))))))))))))))))))),
Error!$B$23))</f>
        <v/>
      </c>
      <c r="O679" s="343" t="str" cm="1">
        <f t="array" aca="1" ref="O679" ca="1">IFERROR(_xlfn.LET(
    _xlpm.txt, $C679,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80" spans="1:15" x14ac:dyDescent="0.3">
      <c r="A680" s="320"/>
      <c r="B680" s="616" t="str">
        <f t="shared" ref="B680:B682" si="801">IF($B679="", "", $B679)</f>
        <v/>
      </c>
      <c r="C680" s="617" t="str">
        <f t="shared" ref="C680:C682" si="802">IF($C679="", "", $C679)</f>
        <v/>
      </c>
      <c r="D680" s="618" t="str">
        <f t="shared" ref="D680:D682" si="803">IF($D679="", "", $D679)</f>
        <v/>
      </c>
      <c r="E680" s="616" t="str">
        <f t="shared" ref="E680:E682" si="804">IF($E679="", "", $E679)</f>
        <v/>
      </c>
      <c r="F680" s="616" t="str">
        <f t="shared" ref="F680:F682" si="805">IF($F679="", "", $F679)</f>
        <v/>
      </c>
      <c r="G680" s="619" t="str">
        <f>IF(Tree_Table1[[#This Row],[Tree Status  &amp;]]="Retain", Tables!$B$237, IF(Tree_Table1[[#This Row],[Tree Status  &amp;]]="Remove", Tables!$B$238, ""))</f>
        <v/>
      </c>
      <c r="H680" s="321"/>
      <c r="I680" s="322"/>
      <c r="J680" s="453"/>
      <c r="K680" s="323" t="str">
        <f>IFERROR(
    IF(
        AND($H680="Zoning: Tree Points", NOT(ISNUMBER(SEARCH("sp.", $C680)))),
        VLOOKUP($C680, 'Tree List'!$C$3:$F$601, 4, FALSE),
        ""
    ),
"")</f>
        <v/>
      </c>
      <c r="L680" s="324" t="str" cm="1">
        <f t="array" ref="L680">IFERROR(
IF(
    AND($H680="Zoning: Tree Points", NOT(ISNUMBER(SEARCH("sp.", $C680)))),
    _xlfn.IFS(
        (COUNTIFS('Tree List'!$C$3:$C$601,$C680,'Tree List'!$D$3:$D$601,"Coniferous")
        + COUNTIFS('Tree List'!$C$3:$C$601,$C680,'Tree List'!$D$3:$D$601,"Deciduous Conifer")) &gt; 0,
            _xlfn.IFS($K680="Small",0.5,$K680="Small/Medium",1,$K680="Medium/Large",1.4,$K680="Large",1.8),
        (COUNTIFS('Tree List'!$C$3:$C$601,$C680,'Tree List'!$D$3:$D$601,"Deciduous")
        + COUNTIFS('Tree List'!$C$3:$C$601,$C680,'Tree List'!$D$3:$D$601,"Broadleaf Evergreen")) &gt; 0,
            _xlfn.IFS($K680="Small",0.4,$K680="Small/Medium",0.8,$K680="Medium/Large",1.2,$K680="Large",1.6)
    ),
    ""
),
"")</f>
        <v/>
      </c>
      <c r="M680" s="475" t="str">
        <f t="shared" si="735"/>
        <v/>
      </c>
      <c r="N680" s="346" t="str" cm="1">
        <f t="array" aca="1" ref="N68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IF(AND(_xlpm.baseRow,ISNA(MATCH($C680,'Tree List'!$C$3:$C$601,0)),SUMPRODUCT(--ISNUMBER(SEARCH(Tables2!$C$677:$C$772,$O680)))&gt;0),
Error!$B$57,
IF(AND(_xlpm.hasDM,$F680="Remove",$H680&lt;&gt;"",OR($I680="On-site replacement",$I680="Off-site replacement",$I680="Payment In Lieu")),
Error!$B$56,
IF(AND(_xlpm.hasDM,$F680="Remove",$H680&lt;&gt;"",$I680="Relocation"),
Error!$B$66,
IF(AND(OR(_xlpm.hasCN,_xlpm.hasPH,_xlpm.hasGR),$H680&lt;&gt;"",COUNTIF(Tables!$B$132:$B$134,$H680)&gt;0,$I680="N/A (No replacement required)"),
Error!$B$62,
IF(AND(_xlpm.baseRow,$E680&lt;&gt;"",ISNA(MATCH($E680,Tables!$B$225:$B$232,0))),
Error!$B$2,
IF(AND(_xlpm.baseRow,$F680&lt;&gt;"",ISNA(MATCH($F680,Tables!$B$234:$B$235,0))),
Error!$B$24,
IF(AND(_xlpm.baseRow,_xlpm.ECA_H&gt;0,_xlpm.Shore_H&gt;0),
Error!$B$16,
IF(AND(_xlpm.baseRow,$E680&lt;&gt;"",$D680=""),
Error!$B$3,
IF(AND(_xlpm.baseRow,OR($E680="Tier 3",$E680="Tier 4"),$C680&lt;&gt;"",$D680&gt;=24,COUNTIF(Tables2!$B$166:$B$674,$C680)&gt;0),
Error!$B$44,
IF(AND(_xlpm.baseRow,OR($E680="Tier 3",$E680="Tier 4"),$C680&lt;&gt;"",$D680&lt;&gt;"",COUNTIF(Tables2!$B$73:$B$152,$C680)&gt;0,
$D680&gt;=IFERROR(INDEX(Tables2!$C$73:$C$152,MATCH($C680,Tables2!$B$73:$B$152,0)),-1)),
Error!$B$44,
IF(AND(_xlpm.baseRow,OR($E680="Tier 2",$E680="Tier 2 Grove"),$C680&lt;&gt;"",$D680&gt;=12,COUNTIF(Tables2!$B$153:$B$162,$C680)&gt;0),
Error!$B$45,
IF(AND(_xlpm.baseRow,$E680="Tier 2 Grove",$D680&lt;12),
Error!$B$41,
IF(AND(_xlpm.baseRow,$E680="Tier 2",$D680&lt;5.88),
Error!$B$40,
IF(AND(_xlpm.baseRow,OR($E680="Tier 2",$E680="Tier 2 Grove"),$C680&lt;&gt;"",$D680&lt;12,$D680&gt;=6,COUNTIF(Tables2!$B$153:$B$162,$C680)&gt;0),
Error!$B$54,
IF(AND(_xlpm.baseRow,$E680="Tier 2",COUNTIF(Tables2!$B$166:$B$674,$C680)&gt;0,$D680&lt;24),
Error!$B$54,
IF(AND(_xlpm.baseRow,$E680="Tier 3",ISNA(MATCH($C680,Tables2!$B$153:$B$162,0)),OR($D680&lt;12,$D680&gt;=24)),
Error!$B$9,
IF(AND(_xlpm.baseRow,$E680="Tier 3",COUNTIF(Tables2!$B$153:$B$162,$C680)&gt;0,$D680&lt;12),
Error!$B$46,
IF(AND(_xlpm.baseRow,$E680="Tier 4",OR($D680&lt;6,$D680&gt;=12)),
Error!$B$10,
IF(AND(_xlpm.baseRow,$E680="&lt;6in DSH for Tree Points",OR($D680&gt;=6,$D680="")),
Error!$B$8,
IF(AND(_xlpm.baseRow,$E680="Street Tree for Green Factor",$F680&lt;&gt;"",$F680&lt;&gt;"Retain"),
Error!$B$14,
IF(AND($E680="&lt;6in DSH for Tree Points",$F680="Retain",$H680&lt;&gt;"",ISNA(MATCH($H680,Tables!$B$174:$B$174,0))),
Error!$B$15,
IF(AND($E680="Street Tree for Green Factor",$F680="Retain",$H680&lt;&gt;"",$H680&lt;&gt;"Zoning: Green Factor"),
Error!$B$15,
IF(AND($E680="ECA / Shoreline Tree",$F680="Remove",$H680&lt;&gt;"",ISNA(MATCH($H680,Tables!$B$189:$B$190,0))),
Error!$B$15,
IF(AND($E680="ECA / Shoreline Tree",$F680="Retain",$H680&lt;&gt;"",ISNA(MATCH($H680,Tables!$B$184:$B$186,0))),
Error!$B$15,
IF(AND($E680="Tier 4",$F680="Remove",$H680&lt;&gt;"",ISNA(MATCH($H680,Tables!$B$171,0))),
Error!$B$15,
IF(AND($E680="Tier 4",$F680="Retain",$H680&lt;&gt;"",ISNA(MATCH($H680,Tables!$B$166:$B$168,0))),
Error!$B$15,
IF(AND($E680="Tier 3",$F680="Retain",$H680&lt;&gt;"",ISNA(MATCH($H680,Tables!$B$158:$B$160,0))),
Error!$B$15,
IF(AND($E680="Tier 3",$F680="Remove",$H680&lt;&gt;"",ISNA(MATCH($H680,Tables!$B$163,0))),
Error!$B$15,
IF(AND(OR($E680="Tier 2",$E680="Tier 2 Grove"),$F680="Remove",$H680&lt;&gt;"",ISNA(MATCH($H680,Tables!$B$153:$B$155,0))),
Error!$B$15,
IF(AND(OR($E680="Tier 2",$E680="Tier 2 Grove"),$F680="Retain",$H680&lt;&gt;"",ISNA(MATCH($H680,Tables!$B$147:$B$150,0))),
Error!$B$15,
IF(AND($E680="Tier 1",$F680="Remove",$H680&lt;&gt;"",ISNA(MATCH($H680,Tables!$B$143:$B$144,0))),
Error!$B$15,
IF(AND($E680="Tier 1",$F680="Retain",$H680&lt;&gt;"",ISNA(MATCH($H680,Tables!$B$137:$B$140,0))),
Error!$B$15,
IF(AND($E680&lt;&gt;"Tier 2",$E680&lt;&gt;"Tier 2 Grove",$E680&lt;&gt;"Tier 3",$E680&lt;&gt;"Tier 4",$H680="Zoning: Green Factor",OR($D680="",$D680&lt;6)),
Error!$B$11,
IF(AND(_xlpm.baseRow,$D680&lt;6,$E680="&lt;6in DSH for Tree Points",_xlpm.TreePoints_H=0),
Error!$B$21,
IF(AND(_xlpm.baseRow,$E680&lt;&gt;"",$D680&lt;&gt;"",$F680=""),
Error!$B$4,
IF(AND(_xlpm.baseRow,$F680="Remove",OR($E680="Tier 1",$E680="Tier 2",$E680="Tier 2 Grove"),COUNTBLANK(_xlpm.HRange)&lt;3,_xlpm.uniqueH&gt;=2),
Error!$B$48,
IF(AND(_xlpm.baseRow,$F680="Retain",OR($E680="Tier 1",$E680="Tier 2",$E680="Tier 2 Grove"),COUNTIF(_xlpm.HRange,"Tree Code: Required to Retain Tier 1-2 Tree")=0),
Error!$B$47,
IF(AND(_xlpm.baseRow,$E680&lt;&gt;"",$D680&lt;&gt;"",$F680&lt;&gt;"",COUNTBLANK(_xlpm.HRange)=4),
Error!$B$5,
IF(AND($F680="Remove",$H680&lt;&gt;"",$I680=""),
Error!$B$18,
IF(AND($E680="Tier 4",$F680="Remove",$H680="Tree Protection Code: Tier 3 or Tier 4 Allowance",$H680&lt;&gt;"",ISNA(MATCH($I680,Tables!$B$200,0))),
Error!$B$17,
IF(AND($E680="Tier 3",$F680="Remove",$H680&lt;&gt;"",$H680="Tree Protection Code: Tier 3 or Tier 4 Allowance",OR($I680="",ISNA(MATCH($I680,Tables!$B$193:$B$197,0)))),
Error!$B$17,
IF(AND(OR($E680="Tier 2",$E680="Tier 2 Grove"),$F680="Remove",$H680="Tree Protection Code: Other removal allowance or exemption",$I680&lt;&gt;"",ISNA(MATCH($I680,Tables!$B$215:$B$218,0))),
Error!$B$17,
IF(AND(OR($E680="Tier 2",$E680="Tier 2 Grove"),$F680="Remove",$H680="Tree Protection Code: Development Capacity",$I680&lt;&gt;"",ISNA(MATCH($I680,Tables!$B$193:$B$197,0))),
Error!$B$17,
IF(AND(OR($E680="Tier 2",$E680="Tier 2 Grove"),$F680="Remove",$H680="Tree Protection Code: Necessary for Construction",$I680&lt;&gt;"",ISNA(MATCH($I680,Tables!$B$193:$B$197,0))),
Error!$B$17,
IF(AND($E680="Tier 1",$F680="Remove",$H680="Tree Protection Code: Special Exception",$I680&lt;&gt;"",ISNA(MATCH($I680,Tables!$B$215:$B$218,0))),
Error!$B$17,
IF(AND($E680="Tier 1",$F680="Remove",$H680="Tree Protection Code: Other removal allowance or exemption",$I680&lt;&gt;"",ISNA(MATCH($I680,Tables!$B$215:$B$218,0))),
Error!$B$17,
IF(AND($E680="ECA / Shoreline Tree",$F680="Remove",$H680&lt;&gt;"",OR($H680="Shoreline",$H680="Environmental Critical Area (ECA)"),ISNA(MATCH($I680,Tables!$B$209:$B$212,0))),
Error!$B$17,
IF(AND(_xlpm.baseRow,$F680="Retain",$E680="ECA / Shoreline Tree",_xlpm.ECA_Short=0),
Error!$B$61,
IF(AND($F680="Remove",ISNUMBER(MATCH($E680,{"Tier 1","Tier 2","Tier 3","Tier 4","Tier 2 Grove"},0)),ISNUMBER(MATCH($I680,{"On-site replacement","Off-site replacement"},0)),$J680="",$H680&lt;&gt;""),
Error!$B$19,
IF(AND(_xlpm.baseRow,$E680&lt;&gt;"",$D680&lt;&gt;"",$F680&lt;&gt;"",COUNTBLANK($B680:$C680)&gt;0,COUNTBLANK(_xlpm.HRange)&lt;&gt;4),
Error!$B$22,
IF(AND($H680="Zoning: Tree Points",$K680&lt;&gt;"",ISNA(MATCH($K680,Tables!$B$242:$B$253,0))),
Error!$B$58,
IF(AND($H680="Zoning: Tree Points",$K680="Small",$L680&lt;&gt;"",ISNA(MATCH($L680,Tables!$C$243:$C$244,0))),
Error!$B$59,
IF(AND($H680="Zoning: Tree Points",$K680="Small/Medium",$L680&lt;&gt;"",ISNA(MATCH($L680,Tables!$C$246:$C$247,0))),
Error!$B$59,
IF(AND($H680="Zoning: Tree Points",$K680="Medium/Large",$L680&lt;&gt;"",ISNA(MATCH($L680,Tables!$C$249:$C$250,0))),
Error!$B$59,
IF(AND($H680="Zoning: Tree Points",$K680="Large",$L680&lt;&gt;"",ISNA(MATCH($L680,Tables!$C$252:$C$253,0))),
Error!$B$59,
IF(AND($F680="Retain",$H680="Zoning: Tree Points",$C680&lt;&gt;"",$D680&lt;&gt;"",OR($K680="",$L680="",$M680="")),
Error!$B$20,
""
)))))))))))))))))))))))))))))))))))))))))))))))))))))))),
Error!$B$23))</f>
        <v/>
      </c>
      <c r="O680" s="343" t="str" cm="1">
        <f t="array" aca="1" ref="O680" ca="1">IFERROR(_xlfn.LET(
    _xlpm.txt, $C680,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81" spans="1:15" x14ac:dyDescent="0.3">
      <c r="A681" s="320"/>
      <c r="B681" s="616" t="str">
        <f t="shared" si="801"/>
        <v/>
      </c>
      <c r="C681" s="617" t="str">
        <f t="shared" si="802"/>
        <v/>
      </c>
      <c r="D681" s="618" t="str">
        <f t="shared" si="803"/>
        <v/>
      </c>
      <c r="E681" s="616" t="str">
        <f t="shared" si="804"/>
        <v/>
      </c>
      <c r="F681" s="616" t="str">
        <f t="shared" si="805"/>
        <v/>
      </c>
      <c r="G681" s="619" t="str">
        <f>IF(Tree_Table1[[#This Row],[Tree Status  &amp;]]="Retain", Tables!$B$237, IF(Tree_Table1[[#This Row],[Tree Status  &amp;]]="Remove", Tables!$B$238, ""))</f>
        <v/>
      </c>
      <c r="H681" s="321"/>
      <c r="I681" s="322"/>
      <c r="J681" s="453"/>
      <c r="K681" s="323" t="str">
        <f>IFERROR(
    IF(
        AND($H681="Zoning: Tree Points", NOT(ISNUMBER(SEARCH("sp.", $C681)))),
        VLOOKUP($C681, 'Tree List'!$C$3:$F$601, 4, FALSE),
        ""
    ),
"")</f>
        <v/>
      </c>
      <c r="L681" s="324" t="str" cm="1">
        <f t="array" ref="L681">IFERROR(
IF(
    AND($H681="Zoning: Tree Points", NOT(ISNUMBER(SEARCH("sp.", $C681)))),
    _xlfn.IFS(
        (COUNTIFS('Tree List'!$C$3:$C$601,$C681,'Tree List'!$D$3:$D$601,"Coniferous")
        + COUNTIFS('Tree List'!$C$3:$C$601,$C681,'Tree List'!$D$3:$D$601,"Deciduous Conifer")) &gt; 0,
            _xlfn.IFS($K681="Small",0.5,$K681="Small/Medium",1,$K681="Medium/Large",1.4,$K681="Large",1.8),
        (COUNTIFS('Tree List'!$C$3:$C$601,$C681,'Tree List'!$D$3:$D$601,"Deciduous")
        + COUNTIFS('Tree List'!$C$3:$C$601,$C681,'Tree List'!$D$3:$D$601,"Broadleaf Evergreen")) &gt; 0,
            _xlfn.IFS($K681="Small",0.4,$K681="Small/Medium",0.8,$K681="Medium/Large",1.2,$K681="Large",1.6)
    ),
    ""
),
"")</f>
        <v/>
      </c>
      <c r="M681" s="475" t="str">
        <f t="shared" si="735"/>
        <v/>
      </c>
      <c r="N681" s="346" t="str" cm="1">
        <f t="array" aca="1" ref="N68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IF(AND(_xlpm.baseRow,ISNA(MATCH($C681,'Tree List'!$C$3:$C$601,0)),SUMPRODUCT(--ISNUMBER(SEARCH(Tables2!$C$677:$C$772,$O681)))&gt;0),
Error!$B$57,
IF(AND(_xlpm.hasDM,$F681="Remove",$H681&lt;&gt;"",OR($I681="On-site replacement",$I681="Off-site replacement",$I681="Payment In Lieu")),
Error!$B$56,
IF(AND(_xlpm.hasDM,$F681="Remove",$H681&lt;&gt;"",$I681="Relocation"),
Error!$B$66,
IF(AND(OR(_xlpm.hasCN,_xlpm.hasPH,_xlpm.hasGR),$H681&lt;&gt;"",COUNTIF(Tables!$B$132:$B$134,$H681)&gt;0,$I681="N/A (No replacement required)"),
Error!$B$62,
IF(AND(_xlpm.baseRow,$E681&lt;&gt;"",ISNA(MATCH($E681,Tables!$B$225:$B$232,0))),
Error!$B$2,
IF(AND(_xlpm.baseRow,$F681&lt;&gt;"",ISNA(MATCH($F681,Tables!$B$234:$B$235,0))),
Error!$B$24,
IF(AND(_xlpm.baseRow,_xlpm.ECA_H&gt;0,_xlpm.Shore_H&gt;0),
Error!$B$16,
IF(AND(_xlpm.baseRow,$E681&lt;&gt;"",$D681=""),
Error!$B$3,
IF(AND(_xlpm.baseRow,OR($E681="Tier 3",$E681="Tier 4"),$C681&lt;&gt;"",$D681&gt;=24,COUNTIF(Tables2!$B$166:$B$674,$C681)&gt;0),
Error!$B$44,
IF(AND(_xlpm.baseRow,OR($E681="Tier 3",$E681="Tier 4"),$C681&lt;&gt;"",$D681&lt;&gt;"",COUNTIF(Tables2!$B$73:$B$152,$C681)&gt;0,
$D681&gt;=IFERROR(INDEX(Tables2!$C$73:$C$152,MATCH($C681,Tables2!$B$73:$B$152,0)),-1)),
Error!$B$44,
IF(AND(_xlpm.baseRow,OR($E681="Tier 2",$E681="Tier 2 Grove"),$C681&lt;&gt;"",$D681&gt;=12,COUNTIF(Tables2!$B$153:$B$162,$C681)&gt;0),
Error!$B$45,
IF(AND(_xlpm.baseRow,$E681="Tier 2 Grove",$D681&lt;12),
Error!$B$41,
IF(AND(_xlpm.baseRow,$E681="Tier 2",$D681&lt;5.88),
Error!$B$40,
IF(AND(_xlpm.baseRow,OR($E681="Tier 2",$E681="Tier 2 Grove"),$C681&lt;&gt;"",$D681&lt;12,$D681&gt;=6,COUNTIF(Tables2!$B$153:$B$162,$C681)&gt;0),
Error!$B$54,
IF(AND(_xlpm.baseRow,$E681="Tier 2",COUNTIF(Tables2!$B$166:$B$674,$C681)&gt;0,$D681&lt;24),
Error!$B$54,
IF(AND(_xlpm.baseRow,$E681="Tier 3",ISNA(MATCH($C681,Tables2!$B$153:$B$162,0)),OR($D681&lt;12,$D681&gt;=24)),
Error!$B$9,
IF(AND(_xlpm.baseRow,$E681="Tier 3",COUNTIF(Tables2!$B$153:$B$162,$C681)&gt;0,$D681&lt;12),
Error!$B$46,
IF(AND(_xlpm.baseRow,$E681="Tier 4",OR($D681&lt;6,$D681&gt;=12)),
Error!$B$10,
IF(AND(_xlpm.baseRow,$E681="&lt;6in DSH for Tree Points",OR($D681&gt;=6,$D681="")),
Error!$B$8,
IF(AND(_xlpm.baseRow,$E681="Street Tree for Green Factor",$F681&lt;&gt;"",$F681&lt;&gt;"Retain"),
Error!$B$14,
IF(AND($E681="&lt;6in DSH for Tree Points",$F681="Retain",$H681&lt;&gt;"",ISNA(MATCH($H681,Tables!$B$174:$B$174,0))),
Error!$B$15,
IF(AND($E681="Street Tree for Green Factor",$F681="Retain",$H681&lt;&gt;"",$H681&lt;&gt;"Zoning: Green Factor"),
Error!$B$15,
IF(AND($E681="ECA / Shoreline Tree",$F681="Remove",$H681&lt;&gt;"",ISNA(MATCH($H681,Tables!$B$189:$B$190,0))),
Error!$B$15,
IF(AND($E681="ECA / Shoreline Tree",$F681="Retain",$H681&lt;&gt;"",ISNA(MATCH($H681,Tables!$B$184:$B$186,0))),
Error!$B$15,
IF(AND($E681="Tier 4",$F681="Remove",$H681&lt;&gt;"",ISNA(MATCH($H681,Tables!$B$171,0))),
Error!$B$15,
IF(AND($E681="Tier 4",$F681="Retain",$H681&lt;&gt;"",ISNA(MATCH($H681,Tables!$B$166:$B$168,0))),
Error!$B$15,
IF(AND($E681="Tier 3",$F681="Retain",$H681&lt;&gt;"",ISNA(MATCH($H681,Tables!$B$158:$B$160,0))),
Error!$B$15,
IF(AND($E681="Tier 3",$F681="Remove",$H681&lt;&gt;"",ISNA(MATCH($H681,Tables!$B$163,0))),
Error!$B$15,
IF(AND(OR($E681="Tier 2",$E681="Tier 2 Grove"),$F681="Remove",$H681&lt;&gt;"",ISNA(MATCH($H681,Tables!$B$153:$B$155,0))),
Error!$B$15,
IF(AND(OR($E681="Tier 2",$E681="Tier 2 Grove"),$F681="Retain",$H681&lt;&gt;"",ISNA(MATCH($H681,Tables!$B$147:$B$150,0))),
Error!$B$15,
IF(AND($E681="Tier 1",$F681="Remove",$H681&lt;&gt;"",ISNA(MATCH($H681,Tables!$B$143:$B$144,0))),
Error!$B$15,
IF(AND($E681="Tier 1",$F681="Retain",$H681&lt;&gt;"",ISNA(MATCH($H681,Tables!$B$137:$B$140,0))),
Error!$B$15,
IF(AND($E681&lt;&gt;"Tier 2",$E681&lt;&gt;"Tier 2 Grove",$E681&lt;&gt;"Tier 3",$E681&lt;&gt;"Tier 4",$H681="Zoning: Green Factor",OR($D681="",$D681&lt;6)),
Error!$B$11,
IF(AND(_xlpm.baseRow,$D681&lt;6,$E681="&lt;6in DSH for Tree Points",_xlpm.TreePoints_H=0),
Error!$B$21,
IF(AND(_xlpm.baseRow,$E681&lt;&gt;"",$D681&lt;&gt;"",$F681=""),
Error!$B$4,
IF(AND(_xlpm.baseRow,$F681="Remove",OR($E681="Tier 1",$E681="Tier 2",$E681="Tier 2 Grove"),COUNTBLANK(_xlpm.HRange)&lt;3,_xlpm.uniqueH&gt;=2),
Error!$B$48,
IF(AND(_xlpm.baseRow,$F681="Retain",OR($E681="Tier 1",$E681="Tier 2",$E681="Tier 2 Grove"),COUNTIF(_xlpm.HRange,"Tree Code: Required to Retain Tier 1-2 Tree")=0),
Error!$B$47,
IF(AND(_xlpm.baseRow,$E681&lt;&gt;"",$D681&lt;&gt;"",$F681&lt;&gt;"",COUNTBLANK(_xlpm.HRange)=4),
Error!$B$5,
IF(AND($F681="Remove",$H681&lt;&gt;"",$I681=""),
Error!$B$18,
IF(AND($E681="Tier 4",$F681="Remove",$H681="Tree Protection Code: Tier 3 or Tier 4 Allowance",$H681&lt;&gt;"",ISNA(MATCH($I681,Tables!$B$200,0))),
Error!$B$17,
IF(AND($E681="Tier 3",$F681="Remove",$H681&lt;&gt;"",$H681="Tree Protection Code: Tier 3 or Tier 4 Allowance",OR($I681="",ISNA(MATCH($I681,Tables!$B$193:$B$197,0)))),
Error!$B$17,
IF(AND(OR($E681="Tier 2",$E681="Tier 2 Grove"),$F681="Remove",$H681="Tree Protection Code: Other removal allowance or exemption",$I681&lt;&gt;"",ISNA(MATCH($I681,Tables!$B$215:$B$218,0))),
Error!$B$17,
IF(AND(OR($E681="Tier 2",$E681="Tier 2 Grove"),$F681="Remove",$H681="Tree Protection Code: Development Capacity",$I681&lt;&gt;"",ISNA(MATCH($I681,Tables!$B$193:$B$197,0))),
Error!$B$17,
IF(AND(OR($E681="Tier 2",$E681="Tier 2 Grove"),$F681="Remove",$H681="Tree Protection Code: Necessary for Construction",$I681&lt;&gt;"",ISNA(MATCH($I681,Tables!$B$193:$B$197,0))),
Error!$B$17,
IF(AND($E681="Tier 1",$F681="Remove",$H681="Tree Protection Code: Special Exception",$I681&lt;&gt;"",ISNA(MATCH($I681,Tables!$B$215:$B$218,0))),
Error!$B$17,
IF(AND($E681="Tier 1",$F681="Remove",$H681="Tree Protection Code: Other removal allowance or exemption",$I681&lt;&gt;"",ISNA(MATCH($I681,Tables!$B$215:$B$218,0))),
Error!$B$17,
IF(AND($E681="ECA / Shoreline Tree",$F681="Remove",$H681&lt;&gt;"",OR($H681="Shoreline",$H681="Environmental Critical Area (ECA)"),ISNA(MATCH($I681,Tables!$B$209:$B$212,0))),
Error!$B$17,
IF(AND(_xlpm.baseRow,$F681="Retain",$E681="ECA / Shoreline Tree",_xlpm.ECA_Short=0),
Error!$B$61,
IF(AND($F681="Remove",ISNUMBER(MATCH($E681,{"Tier 1","Tier 2","Tier 3","Tier 4","Tier 2 Grove"},0)),ISNUMBER(MATCH($I681,{"On-site replacement","Off-site replacement"},0)),$J681="",$H681&lt;&gt;""),
Error!$B$19,
IF(AND(_xlpm.baseRow,$E681&lt;&gt;"",$D681&lt;&gt;"",$F681&lt;&gt;"",COUNTBLANK($B681:$C681)&gt;0,COUNTBLANK(_xlpm.HRange)&lt;&gt;4),
Error!$B$22,
IF(AND($H681="Zoning: Tree Points",$K681&lt;&gt;"",ISNA(MATCH($K681,Tables!$B$242:$B$253,0))),
Error!$B$58,
IF(AND($H681="Zoning: Tree Points",$K681="Small",$L681&lt;&gt;"",ISNA(MATCH($L681,Tables!$C$243:$C$244,0))),
Error!$B$59,
IF(AND($H681="Zoning: Tree Points",$K681="Small/Medium",$L681&lt;&gt;"",ISNA(MATCH($L681,Tables!$C$246:$C$247,0))),
Error!$B$59,
IF(AND($H681="Zoning: Tree Points",$K681="Medium/Large",$L681&lt;&gt;"",ISNA(MATCH($L681,Tables!$C$249:$C$250,0))),
Error!$B$59,
IF(AND($H681="Zoning: Tree Points",$K681="Large",$L681&lt;&gt;"",ISNA(MATCH($L681,Tables!$C$252:$C$253,0))),
Error!$B$59,
IF(AND($F681="Retain",$H681="Zoning: Tree Points",$C681&lt;&gt;"",$D681&lt;&gt;"",OR($K681="",$L681="",$M681="")),
Error!$B$20,
""
)))))))))))))))))))))))))))))))))))))))))))))))))))))))),
Error!$B$23))</f>
        <v/>
      </c>
      <c r="O681" s="343" t="str" cm="1">
        <f t="array" aca="1" ref="O681" ca="1">IFERROR(_xlfn.LET(
    _xlpm.txt, $C681,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82" spans="1:15" ht="15" thickBot="1" x14ac:dyDescent="0.35">
      <c r="A682" s="331"/>
      <c r="B682" s="616" t="str">
        <f t="shared" si="801"/>
        <v/>
      </c>
      <c r="C682" s="617" t="str">
        <f t="shared" si="802"/>
        <v/>
      </c>
      <c r="D682" s="618" t="str">
        <f t="shared" si="803"/>
        <v/>
      </c>
      <c r="E682" s="616" t="str">
        <f t="shared" si="804"/>
        <v/>
      </c>
      <c r="F682" s="616" t="str">
        <f t="shared" si="805"/>
        <v/>
      </c>
      <c r="G682" s="619" t="str">
        <f>IF(Tree_Table1[[#This Row],[Tree Status  &amp;]]="Retain", Tables!$B$237, IF(Tree_Table1[[#This Row],[Tree Status  &amp;]]="Remove", Tables!$B$238, ""))</f>
        <v/>
      </c>
      <c r="H682" s="329"/>
      <c r="I682" s="330"/>
      <c r="J682" s="455"/>
      <c r="K682" s="327" t="str">
        <f>IFERROR(
    IF(
        AND($H682="Zoning: Tree Points", NOT(ISNUMBER(SEARCH("sp.", $C682)))),
        VLOOKUP($C682, 'Tree List'!$C$3:$F$601, 4, FALSE),
        ""
    ),
"")</f>
        <v/>
      </c>
      <c r="L682" s="328" t="str" cm="1">
        <f t="array" ref="L682">IFERROR(
IF(
    AND($H682="Zoning: Tree Points", NOT(ISNUMBER(SEARCH("sp.", $C682)))),
    _xlfn.IFS(
        (COUNTIFS('Tree List'!$C$3:$C$601,$C682,'Tree List'!$D$3:$D$601,"Coniferous")
        + COUNTIFS('Tree List'!$C$3:$C$601,$C682,'Tree List'!$D$3:$D$601,"Deciduous Conifer")) &gt; 0,
            _xlfn.IFS($K682="Small",0.5,$K682="Small/Medium",1,$K682="Medium/Large",1.4,$K682="Large",1.8),
        (COUNTIFS('Tree List'!$C$3:$C$601,$C682,'Tree List'!$D$3:$D$601,"Deciduous")
        + COUNTIFS('Tree List'!$C$3:$C$601,$C682,'Tree List'!$D$3:$D$601,"Broadleaf Evergreen")) &gt; 0,
            _xlfn.IFS($K682="Small",0.4,$K682="Small/Medium",0.8,$K682="Medium/Large",1.2,$K682="Large",1.6)
    ),
    ""
),
"")</f>
        <v/>
      </c>
      <c r="M682" s="476" t="str">
        <f t="shared" si="735"/>
        <v/>
      </c>
      <c r="N682" s="347" t="str" cm="1">
        <f t="array" aca="1" ref="N68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IF(AND(_xlpm.baseRow,ISNA(MATCH($C682,'Tree List'!$C$3:$C$601,0)),SUMPRODUCT(--ISNUMBER(SEARCH(Tables2!$C$677:$C$772,$O682)))&gt;0),
Error!$B$57,
IF(AND(_xlpm.hasDM,$F682="Remove",$H682&lt;&gt;"",OR($I682="On-site replacement",$I682="Off-site replacement",$I682="Payment In Lieu")),
Error!$B$56,
IF(AND(_xlpm.hasDM,$F682="Remove",$H682&lt;&gt;"",$I682="Relocation"),
Error!$B$66,
IF(AND(OR(_xlpm.hasCN,_xlpm.hasPH,_xlpm.hasGR),$H682&lt;&gt;"",COUNTIF(Tables!$B$132:$B$134,$H682)&gt;0,$I682="N/A (No replacement required)"),
Error!$B$62,
IF(AND(_xlpm.baseRow,$E682&lt;&gt;"",ISNA(MATCH($E682,Tables!$B$225:$B$232,0))),
Error!$B$2,
IF(AND(_xlpm.baseRow,$F682&lt;&gt;"",ISNA(MATCH($F682,Tables!$B$234:$B$235,0))),
Error!$B$24,
IF(AND(_xlpm.baseRow,_xlpm.ECA_H&gt;0,_xlpm.Shore_H&gt;0),
Error!$B$16,
IF(AND(_xlpm.baseRow,$E682&lt;&gt;"",$D682=""),
Error!$B$3,
IF(AND(_xlpm.baseRow,OR($E682="Tier 3",$E682="Tier 4"),$C682&lt;&gt;"",$D682&gt;=24,COUNTIF(Tables2!$B$166:$B$674,$C682)&gt;0),
Error!$B$44,
IF(AND(_xlpm.baseRow,OR($E682="Tier 3",$E682="Tier 4"),$C682&lt;&gt;"",$D682&lt;&gt;"",COUNTIF(Tables2!$B$73:$B$152,$C682)&gt;0,
$D682&gt;=IFERROR(INDEX(Tables2!$C$73:$C$152,MATCH($C682,Tables2!$B$73:$B$152,0)),-1)),
Error!$B$44,
IF(AND(_xlpm.baseRow,OR($E682="Tier 2",$E682="Tier 2 Grove"),$C682&lt;&gt;"",$D682&gt;=12,COUNTIF(Tables2!$B$153:$B$162,$C682)&gt;0),
Error!$B$45,
IF(AND(_xlpm.baseRow,$E682="Tier 2 Grove",$D682&lt;12),
Error!$B$41,
IF(AND(_xlpm.baseRow,$E682="Tier 2",$D682&lt;5.88),
Error!$B$40,
IF(AND(_xlpm.baseRow,OR($E682="Tier 2",$E682="Tier 2 Grove"),$C682&lt;&gt;"",$D682&lt;12,$D682&gt;=6,COUNTIF(Tables2!$B$153:$B$162,$C682)&gt;0),
Error!$B$54,
IF(AND(_xlpm.baseRow,$E682="Tier 2",COUNTIF(Tables2!$B$166:$B$674,$C682)&gt;0,$D682&lt;24),
Error!$B$54,
IF(AND(_xlpm.baseRow,$E682="Tier 3",ISNA(MATCH($C682,Tables2!$B$153:$B$162,0)),OR($D682&lt;12,$D682&gt;=24)),
Error!$B$9,
IF(AND(_xlpm.baseRow,$E682="Tier 3",COUNTIF(Tables2!$B$153:$B$162,$C682)&gt;0,$D682&lt;12),
Error!$B$46,
IF(AND(_xlpm.baseRow,$E682="Tier 4",OR($D682&lt;6,$D682&gt;=12)),
Error!$B$10,
IF(AND(_xlpm.baseRow,$E682="&lt;6in DSH for Tree Points",OR($D682&gt;=6,$D682="")),
Error!$B$8,
IF(AND(_xlpm.baseRow,$E682="Street Tree for Green Factor",$F682&lt;&gt;"",$F682&lt;&gt;"Retain"),
Error!$B$14,
IF(AND($E682="&lt;6in DSH for Tree Points",$F682="Retain",$H682&lt;&gt;"",ISNA(MATCH($H682,Tables!$B$174:$B$174,0))),
Error!$B$15,
IF(AND($E682="Street Tree for Green Factor",$F682="Retain",$H682&lt;&gt;"",$H682&lt;&gt;"Zoning: Green Factor"),
Error!$B$15,
IF(AND($E682="ECA / Shoreline Tree",$F682="Remove",$H682&lt;&gt;"",ISNA(MATCH($H682,Tables!$B$189:$B$190,0))),
Error!$B$15,
IF(AND($E682="ECA / Shoreline Tree",$F682="Retain",$H682&lt;&gt;"",ISNA(MATCH($H682,Tables!$B$184:$B$186,0))),
Error!$B$15,
IF(AND($E682="Tier 4",$F682="Remove",$H682&lt;&gt;"",ISNA(MATCH($H682,Tables!$B$171,0))),
Error!$B$15,
IF(AND($E682="Tier 4",$F682="Retain",$H682&lt;&gt;"",ISNA(MATCH($H682,Tables!$B$166:$B$168,0))),
Error!$B$15,
IF(AND($E682="Tier 3",$F682="Retain",$H682&lt;&gt;"",ISNA(MATCH($H682,Tables!$B$158:$B$160,0))),
Error!$B$15,
IF(AND($E682="Tier 3",$F682="Remove",$H682&lt;&gt;"",ISNA(MATCH($H682,Tables!$B$163,0))),
Error!$B$15,
IF(AND(OR($E682="Tier 2",$E682="Tier 2 Grove"),$F682="Remove",$H682&lt;&gt;"",ISNA(MATCH($H682,Tables!$B$153:$B$155,0))),
Error!$B$15,
IF(AND(OR($E682="Tier 2",$E682="Tier 2 Grove"),$F682="Retain",$H682&lt;&gt;"",ISNA(MATCH($H682,Tables!$B$147:$B$150,0))),
Error!$B$15,
IF(AND($E682="Tier 1",$F682="Remove",$H682&lt;&gt;"",ISNA(MATCH($H682,Tables!$B$143:$B$144,0))),
Error!$B$15,
IF(AND($E682="Tier 1",$F682="Retain",$H682&lt;&gt;"",ISNA(MATCH($H682,Tables!$B$137:$B$140,0))),
Error!$B$15,
IF(AND($E682&lt;&gt;"Tier 2",$E682&lt;&gt;"Tier 2 Grove",$E682&lt;&gt;"Tier 3",$E682&lt;&gt;"Tier 4",$H682="Zoning: Green Factor",OR($D682="",$D682&lt;6)),
Error!$B$11,
IF(AND(_xlpm.baseRow,$D682&lt;6,$E682="&lt;6in DSH for Tree Points",_xlpm.TreePoints_H=0),
Error!$B$21,
IF(AND(_xlpm.baseRow,$E682&lt;&gt;"",$D682&lt;&gt;"",$F682=""),
Error!$B$4,
IF(AND(_xlpm.baseRow,$F682="Remove",OR($E682="Tier 1",$E682="Tier 2",$E682="Tier 2 Grove"),COUNTBLANK(_xlpm.HRange)&lt;3,_xlpm.uniqueH&gt;=2),
Error!$B$48,
IF(AND(_xlpm.baseRow,$F682="Retain",OR($E682="Tier 1",$E682="Tier 2",$E682="Tier 2 Grove"),COUNTIF(_xlpm.HRange,"Tree Code: Required to Retain Tier 1-2 Tree")=0),
Error!$B$47,
IF(AND(_xlpm.baseRow,$E682&lt;&gt;"",$D682&lt;&gt;"",$F682&lt;&gt;"",COUNTBLANK(_xlpm.HRange)=4),
Error!$B$5,
IF(AND($F682="Remove",$H682&lt;&gt;"",$I682=""),
Error!$B$18,
IF(AND($E682="Tier 4",$F682="Remove",$H682="Tree Protection Code: Tier 3 or Tier 4 Allowance",$H682&lt;&gt;"",ISNA(MATCH($I682,Tables!$B$200,0))),
Error!$B$17,
IF(AND($E682="Tier 3",$F682="Remove",$H682&lt;&gt;"",$H682="Tree Protection Code: Tier 3 or Tier 4 Allowance",OR($I682="",ISNA(MATCH($I682,Tables!$B$193:$B$197,0)))),
Error!$B$17,
IF(AND(OR($E682="Tier 2",$E682="Tier 2 Grove"),$F682="Remove",$H682="Tree Protection Code: Other removal allowance or exemption",$I682&lt;&gt;"",ISNA(MATCH($I682,Tables!$B$215:$B$218,0))),
Error!$B$17,
IF(AND(OR($E682="Tier 2",$E682="Tier 2 Grove"),$F682="Remove",$H682="Tree Protection Code: Development Capacity",$I682&lt;&gt;"",ISNA(MATCH($I682,Tables!$B$193:$B$197,0))),
Error!$B$17,
IF(AND(OR($E682="Tier 2",$E682="Tier 2 Grove"),$F682="Remove",$H682="Tree Protection Code: Necessary for Construction",$I682&lt;&gt;"",ISNA(MATCH($I682,Tables!$B$193:$B$197,0))),
Error!$B$17,
IF(AND($E682="Tier 1",$F682="Remove",$H682="Tree Protection Code: Special Exception",$I682&lt;&gt;"",ISNA(MATCH($I682,Tables!$B$215:$B$218,0))),
Error!$B$17,
IF(AND($E682="Tier 1",$F682="Remove",$H682="Tree Protection Code: Other removal allowance or exemption",$I682&lt;&gt;"",ISNA(MATCH($I682,Tables!$B$215:$B$218,0))),
Error!$B$17,
IF(AND($E682="ECA / Shoreline Tree",$F682="Remove",$H682&lt;&gt;"",OR($H682="Shoreline",$H682="Environmental Critical Area (ECA)"),ISNA(MATCH($I682,Tables!$B$209:$B$212,0))),
Error!$B$17,
IF(AND(_xlpm.baseRow,$F682="Retain",$E682="ECA / Shoreline Tree",_xlpm.ECA_Short=0),
Error!$B$61,
IF(AND($F682="Remove",ISNUMBER(MATCH($E682,{"Tier 1","Tier 2","Tier 3","Tier 4","Tier 2 Grove"},0)),ISNUMBER(MATCH($I682,{"On-site replacement","Off-site replacement"},0)),$J682="",$H682&lt;&gt;""),
Error!$B$19,
IF(AND(_xlpm.baseRow,$E682&lt;&gt;"",$D682&lt;&gt;"",$F682&lt;&gt;"",COUNTBLANK($B682:$C682)&gt;0,COUNTBLANK(_xlpm.HRange)&lt;&gt;4),
Error!$B$22,
IF(AND($H682="Zoning: Tree Points",$K682&lt;&gt;"",ISNA(MATCH($K682,Tables!$B$242:$B$253,0))),
Error!$B$58,
IF(AND($H682="Zoning: Tree Points",$K682="Small",$L682&lt;&gt;"",ISNA(MATCH($L682,Tables!$C$243:$C$244,0))),
Error!$B$59,
IF(AND($H682="Zoning: Tree Points",$K682="Small/Medium",$L682&lt;&gt;"",ISNA(MATCH($L682,Tables!$C$246:$C$247,0))),
Error!$B$59,
IF(AND($H682="Zoning: Tree Points",$K682="Medium/Large",$L682&lt;&gt;"",ISNA(MATCH($L682,Tables!$C$249:$C$250,0))),
Error!$B$59,
IF(AND($H682="Zoning: Tree Points",$K682="Large",$L682&lt;&gt;"",ISNA(MATCH($L682,Tables!$C$252:$C$253,0))),
Error!$B$59,
IF(AND($F682="Retain",$H682="Zoning: Tree Points",$C682&lt;&gt;"",$D682&lt;&gt;"",OR($K682="",$L682="",$M682="")),
Error!$B$20,
""
)))))))))))))))))))))))))))))))))))))))))))))))))))))))),
Error!$B$23))</f>
        <v/>
      </c>
      <c r="O682" s="343" t="str" cm="1">
        <f t="array" aca="1" ref="O682" ca="1">IFERROR(_xlfn.LET(
    _xlpm.txt, $C682,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83" spans="1:15" ht="15" thickBot="1" x14ac:dyDescent="0.35">
      <c r="A683" s="311">
        <v>169</v>
      </c>
      <c r="B683" s="312"/>
      <c r="C683" s="313"/>
      <c r="D683" s="478"/>
      <c r="E683" s="314"/>
      <c r="F683" s="314"/>
      <c r="G683" s="315" t="str">
        <f>IF(Tree_Table1[[#This Row],[Tree Status  &amp;]]="Retain", Tables!$B$237, IF(Tree_Table1[[#This Row],[Tree Status  &amp;]]="Remove", Tables!$B$238, ""))</f>
        <v/>
      </c>
      <c r="H683" s="316"/>
      <c r="I683" s="317"/>
      <c r="J683" s="452"/>
      <c r="K683" s="318" t="str">
        <f>IFERROR(
    IF(
        AND($H683="Zoning: Tree Points", NOT(ISNUMBER(SEARCH("sp.", $C683)))),
        VLOOKUP($C683, 'Tree List'!$C$3:$F$601, 4, FALSE),
        ""
    ),
"")</f>
        <v/>
      </c>
      <c r="L683" s="319" t="str" cm="1">
        <f t="array" ref="L683">IFERROR(
IF(
    AND($H683="Zoning: Tree Points", NOT(ISNUMBER(SEARCH("sp.", $C683)))),
    _xlfn.IFS(
        (COUNTIFS('Tree List'!$C$3:$C$601,$C683,'Tree List'!$D$3:$D$601,"Coniferous")
        + COUNTIFS('Tree List'!$C$3:$C$601,$C683,'Tree List'!$D$3:$D$601,"Deciduous Conifer")) &gt; 0,
            _xlfn.IFS($K683="Small",0.5,$K683="Small/Medium",1,$K683="Medium/Large",1.4,$K683="Large",1.8),
        (COUNTIFS('Tree List'!$C$3:$C$601,$C683,'Tree List'!$D$3:$D$601,"Deciduous")
        + COUNTIFS('Tree List'!$C$3:$C$601,$C683,'Tree List'!$D$3:$D$601,"Broadleaf Evergreen")) &gt; 0,
            _xlfn.IFS($K683="Small",0.4,$K683="Small/Medium",0.8,$K683="Medium/Large",1.2,$K683="Large",1.6)
    ),
    ""
),
"")</f>
        <v/>
      </c>
      <c r="M683" s="474" t="str">
        <f t="shared" si="735"/>
        <v/>
      </c>
      <c r="N683" s="620" t="str" cm="1">
        <f t="array" aca="1" ref="N68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IF(AND(_xlpm.baseRow,ISNA(MATCH($C683,'Tree List'!$C$3:$C$601,0)),SUMPRODUCT(--ISNUMBER(SEARCH(Tables2!$C$677:$C$772,$O683)))&gt;0),
Error!$B$57,
IF(AND(_xlpm.hasDM,$F683="Remove",$H683&lt;&gt;"",OR($I683="On-site replacement",$I683="Off-site replacement",$I683="Payment In Lieu")),
Error!$B$56,
IF(AND(_xlpm.hasDM,$F683="Remove",$H683&lt;&gt;"",$I683="Relocation"),
Error!$B$66,
IF(AND(OR(_xlpm.hasCN,_xlpm.hasPH,_xlpm.hasGR),$H683&lt;&gt;"",COUNTIF(Tables!$B$132:$B$134,$H683)&gt;0,$I683="N/A (No replacement required)"),
Error!$B$62,
IF(AND(_xlpm.baseRow,$E683&lt;&gt;"",ISNA(MATCH($E683,Tables!$B$225:$B$232,0))),
Error!$B$2,
IF(AND(_xlpm.baseRow,$F683&lt;&gt;"",ISNA(MATCH($F683,Tables!$B$234:$B$235,0))),
Error!$B$24,
IF(AND(_xlpm.baseRow,_xlpm.ECA_H&gt;0,_xlpm.Shore_H&gt;0),
Error!$B$16,
IF(AND(_xlpm.baseRow,$E683&lt;&gt;"",$D683=""),
Error!$B$3,
IF(AND(_xlpm.baseRow,OR($E683="Tier 3",$E683="Tier 4"),$C683&lt;&gt;"",$D683&gt;=24,COUNTIF(Tables2!$B$166:$B$674,$C683)&gt;0),
Error!$B$44,
IF(AND(_xlpm.baseRow,OR($E683="Tier 3",$E683="Tier 4"),$C683&lt;&gt;"",$D683&lt;&gt;"",COUNTIF(Tables2!$B$73:$B$152,$C683)&gt;0,
$D683&gt;=IFERROR(INDEX(Tables2!$C$73:$C$152,MATCH($C683,Tables2!$B$73:$B$152,0)),-1)),
Error!$B$44,
IF(AND(_xlpm.baseRow,OR($E683="Tier 2",$E683="Tier 2 Grove"),$C683&lt;&gt;"",$D683&gt;=12,COUNTIF(Tables2!$B$153:$B$162,$C683)&gt;0),
Error!$B$45,
IF(AND(_xlpm.baseRow,$E683="Tier 2 Grove",$D683&lt;12),
Error!$B$41,
IF(AND(_xlpm.baseRow,$E683="Tier 2",$D683&lt;5.88),
Error!$B$40,
IF(AND(_xlpm.baseRow,OR($E683="Tier 2",$E683="Tier 2 Grove"),$C683&lt;&gt;"",$D683&lt;12,$D683&gt;=6,COUNTIF(Tables2!$B$153:$B$162,$C683)&gt;0),
Error!$B$54,
IF(AND(_xlpm.baseRow,$E683="Tier 2",COUNTIF(Tables2!$B$166:$B$674,$C683)&gt;0,$D683&lt;24),
Error!$B$54,
IF(AND(_xlpm.baseRow,$E683="Tier 3",ISNA(MATCH($C683,Tables2!$B$153:$B$162,0)),OR($D683&lt;12,$D683&gt;=24)),
Error!$B$9,
IF(AND(_xlpm.baseRow,$E683="Tier 3",COUNTIF(Tables2!$B$153:$B$162,$C683)&gt;0,$D683&lt;12),
Error!$B$46,
IF(AND(_xlpm.baseRow,$E683="Tier 4",OR($D683&lt;6,$D683&gt;=12)),
Error!$B$10,
IF(AND(_xlpm.baseRow,$E683="&lt;6in DSH for Tree Points",OR($D683&gt;=6,$D683="")),
Error!$B$8,
IF(AND(_xlpm.baseRow,$E683="Street Tree for Green Factor",$F683&lt;&gt;"",$F683&lt;&gt;"Retain"),
Error!$B$14,
IF(AND($E683="&lt;6in DSH for Tree Points",$F683="Retain",$H683&lt;&gt;"",ISNA(MATCH($H683,Tables!$B$174:$B$174,0))),
Error!$B$15,
IF(AND($E683="Street Tree for Green Factor",$F683="Retain",$H683&lt;&gt;"",$H683&lt;&gt;"Zoning: Green Factor"),
Error!$B$15,
IF(AND($E683="ECA / Shoreline Tree",$F683="Remove",$H683&lt;&gt;"",ISNA(MATCH($H683,Tables!$B$189:$B$190,0))),
Error!$B$15,
IF(AND($E683="ECA / Shoreline Tree",$F683="Retain",$H683&lt;&gt;"",ISNA(MATCH($H683,Tables!$B$184:$B$186,0))),
Error!$B$15,
IF(AND($E683="Tier 4",$F683="Remove",$H683&lt;&gt;"",ISNA(MATCH($H683,Tables!$B$171,0))),
Error!$B$15,
IF(AND($E683="Tier 4",$F683="Retain",$H683&lt;&gt;"",ISNA(MATCH($H683,Tables!$B$166:$B$168,0))),
Error!$B$15,
IF(AND($E683="Tier 3",$F683="Retain",$H683&lt;&gt;"",ISNA(MATCH($H683,Tables!$B$158:$B$160,0))),
Error!$B$15,
IF(AND($E683="Tier 3",$F683="Remove",$H683&lt;&gt;"",ISNA(MATCH($H683,Tables!$B$163,0))),
Error!$B$15,
IF(AND(OR($E683="Tier 2",$E683="Tier 2 Grove"),$F683="Remove",$H683&lt;&gt;"",ISNA(MATCH($H683,Tables!$B$153:$B$155,0))),
Error!$B$15,
IF(AND(OR($E683="Tier 2",$E683="Tier 2 Grove"),$F683="Retain",$H683&lt;&gt;"",ISNA(MATCH($H683,Tables!$B$147:$B$150,0))),
Error!$B$15,
IF(AND($E683="Tier 1",$F683="Remove",$H683&lt;&gt;"",ISNA(MATCH($H683,Tables!$B$143:$B$144,0))),
Error!$B$15,
IF(AND($E683="Tier 1",$F683="Retain",$H683&lt;&gt;"",ISNA(MATCH($H683,Tables!$B$137:$B$140,0))),
Error!$B$15,
IF(AND($E683&lt;&gt;"Tier 2",$E683&lt;&gt;"Tier 2 Grove",$E683&lt;&gt;"Tier 3",$E683&lt;&gt;"Tier 4",$H683="Zoning: Green Factor",OR($D683="",$D683&lt;6)),
Error!$B$11,
IF(AND(_xlpm.baseRow,$D683&lt;6,$E683="&lt;6in DSH for Tree Points",_xlpm.TreePoints_H=0),
Error!$B$21,
IF(AND(_xlpm.baseRow,$E683&lt;&gt;"",$D683&lt;&gt;"",$F683=""),
Error!$B$4,
IF(AND(_xlpm.baseRow,$F683="Remove",OR($E683="Tier 1",$E683="Tier 2",$E683="Tier 2 Grove"),COUNTBLANK(_xlpm.HRange)&lt;3,_xlpm.uniqueH&gt;=2),
Error!$B$48,
IF(AND(_xlpm.baseRow,$F683="Retain",OR($E683="Tier 1",$E683="Tier 2",$E683="Tier 2 Grove"),COUNTIF(_xlpm.HRange,"Tree Code: Required to Retain Tier 1-2 Tree")=0),
Error!$B$47,
IF(AND(_xlpm.baseRow,$E683&lt;&gt;"",$D683&lt;&gt;"",$F683&lt;&gt;"",COUNTBLANK(_xlpm.HRange)=4),
Error!$B$5,
IF(AND($F683="Remove",$H683&lt;&gt;"",$I683=""),
Error!$B$18,
IF(AND($E683="Tier 4",$F683="Remove",$H683="Tree Protection Code: Tier 3 or Tier 4 Allowance",$H683&lt;&gt;"",ISNA(MATCH($I683,Tables!$B$200,0))),
Error!$B$17,
IF(AND($E683="Tier 3",$F683="Remove",$H683&lt;&gt;"",$H683="Tree Protection Code: Tier 3 or Tier 4 Allowance",OR($I683="",ISNA(MATCH($I683,Tables!$B$193:$B$197,0)))),
Error!$B$17,
IF(AND(OR($E683="Tier 2",$E683="Tier 2 Grove"),$F683="Remove",$H683="Tree Protection Code: Other removal allowance or exemption",$I683&lt;&gt;"",ISNA(MATCH($I683,Tables!$B$215:$B$218,0))),
Error!$B$17,
IF(AND(OR($E683="Tier 2",$E683="Tier 2 Grove"),$F683="Remove",$H683="Tree Protection Code: Development Capacity",$I683&lt;&gt;"",ISNA(MATCH($I683,Tables!$B$193:$B$197,0))),
Error!$B$17,
IF(AND(OR($E683="Tier 2",$E683="Tier 2 Grove"),$F683="Remove",$H683="Tree Protection Code: Necessary for Construction",$I683&lt;&gt;"",ISNA(MATCH($I683,Tables!$B$193:$B$197,0))),
Error!$B$17,
IF(AND($E683="Tier 1",$F683="Remove",$H683="Tree Protection Code: Special Exception",$I683&lt;&gt;"",ISNA(MATCH($I683,Tables!$B$215:$B$218,0))),
Error!$B$17,
IF(AND($E683="Tier 1",$F683="Remove",$H683="Tree Protection Code: Other removal allowance or exemption",$I683&lt;&gt;"",ISNA(MATCH($I683,Tables!$B$215:$B$218,0))),
Error!$B$17,
IF(AND($E683="ECA / Shoreline Tree",$F683="Remove",$H683&lt;&gt;"",OR($H683="Shoreline",$H683="Environmental Critical Area (ECA)"),ISNA(MATCH($I683,Tables!$B$209:$B$212,0))),
Error!$B$17,
IF(AND(_xlpm.baseRow,$F683="Retain",$E683="ECA / Shoreline Tree",_xlpm.ECA_Short=0),
Error!$B$61,
IF(AND($F683="Remove",ISNUMBER(MATCH($E683,{"Tier 1","Tier 2","Tier 3","Tier 4","Tier 2 Grove"},0)),ISNUMBER(MATCH($I683,{"On-site replacement","Off-site replacement"},0)),$J683="",$H683&lt;&gt;""),
Error!$B$19,
IF(AND(_xlpm.baseRow,$E683&lt;&gt;"",$D683&lt;&gt;"",$F683&lt;&gt;"",COUNTBLANK($B683:$C683)&gt;0,COUNTBLANK(_xlpm.HRange)&lt;&gt;4),
Error!$B$22,
IF(AND($H683="Zoning: Tree Points",$K683&lt;&gt;"",ISNA(MATCH($K683,Tables!$B$242:$B$253,0))),
Error!$B$58,
IF(AND($H683="Zoning: Tree Points",$K683="Small",$L683&lt;&gt;"",ISNA(MATCH($L683,Tables!$C$243:$C$244,0))),
Error!$B$59,
IF(AND($H683="Zoning: Tree Points",$K683="Small/Medium",$L683&lt;&gt;"",ISNA(MATCH($L683,Tables!$C$246:$C$247,0))),
Error!$B$59,
IF(AND($H683="Zoning: Tree Points",$K683="Medium/Large",$L683&lt;&gt;"",ISNA(MATCH($L683,Tables!$C$249:$C$250,0))),
Error!$B$59,
IF(AND($H683="Zoning: Tree Points",$K683="Large",$L683&lt;&gt;"",ISNA(MATCH($L683,Tables!$C$252:$C$253,0))),
Error!$B$59,
IF(AND($F683="Retain",$H683="Zoning: Tree Points",$C683&lt;&gt;"",$D683&lt;&gt;"",OR($K683="",$L683="",$M683="")),
Error!$B$20,
""
)))))))))))))))))))))))))))))))))))))))))))))))))))))))),
Error!$B$23))</f>
        <v/>
      </c>
      <c r="O683" s="343" t="str" cm="1">
        <f t="array" aca="1" ref="O683" ca="1">IFERROR(_xlfn.LET(
    _xlpm.txt, $C683,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84" spans="1:15" x14ac:dyDescent="0.3">
      <c r="A684" s="320"/>
      <c r="B684" s="616" t="str">
        <f t="shared" ref="B684:B686" si="806">IF($B683="", "", $B683)</f>
        <v/>
      </c>
      <c r="C684" s="617" t="str">
        <f t="shared" ref="C684:C686" si="807">IF($C683="", "", $C683)</f>
        <v/>
      </c>
      <c r="D684" s="618" t="str">
        <f t="shared" ref="D684:D686" si="808">IF($D683="", "", $D683)</f>
        <v/>
      </c>
      <c r="E684" s="616" t="str">
        <f t="shared" ref="E684:E686" si="809">IF($E683="", "", $E683)</f>
        <v/>
      </c>
      <c r="F684" s="616" t="str">
        <f t="shared" ref="F684:F686" si="810">IF($F683="", "", $F683)</f>
        <v/>
      </c>
      <c r="G684" s="619" t="str">
        <f>IF(Tree_Table1[[#This Row],[Tree Status  &amp;]]="Retain", Tables!$B$237, IF(Tree_Table1[[#This Row],[Tree Status  &amp;]]="Remove", Tables!$B$238, ""))</f>
        <v/>
      </c>
      <c r="H684" s="321"/>
      <c r="I684" s="322"/>
      <c r="J684" s="453"/>
      <c r="K684" s="323" t="str">
        <f>IFERROR(
    IF(
        AND($H684="Zoning: Tree Points", NOT(ISNUMBER(SEARCH("sp.", $C684)))),
        VLOOKUP($C684, 'Tree List'!$C$3:$F$601, 4, FALSE),
        ""
    ),
"")</f>
        <v/>
      </c>
      <c r="L684" s="324" t="str" cm="1">
        <f t="array" ref="L684">IFERROR(
IF(
    AND($H684="Zoning: Tree Points", NOT(ISNUMBER(SEARCH("sp.", $C684)))),
    _xlfn.IFS(
        (COUNTIFS('Tree List'!$C$3:$C$601,$C684,'Tree List'!$D$3:$D$601,"Coniferous")
        + COUNTIFS('Tree List'!$C$3:$C$601,$C684,'Tree List'!$D$3:$D$601,"Deciduous Conifer")) &gt; 0,
            _xlfn.IFS($K684="Small",0.5,$K684="Small/Medium",1,$K684="Medium/Large",1.4,$K684="Large",1.8),
        (COUNTIFS('Tree List'!$C$3:$C$601,$C684,'Tree List'!$D$3:$D$601,"Deciduous")
        + COUNTIFS('Tree List'!$C$3:$C$601,$C684,'Tree List'!$D$3:$D$601,"Broadleaf Evergreen")) &gt; 0,
            _xlfn.IFS($K684="Small",0.4,$K684="Small/Medium",0.8,$K684="Medium/Large",1.2,$K684="Large",1.6)
    ),
    ""
),
"")</f>
        <v/>
      </c>
      <c r="M684" s="475" t="str">
        <f t="shared" si="735"/>
        <v/>
      </c>
      <c r="N684" s="346" t="str" cm="1">
        <f t="array" aca="1" ref="N68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IF(AND(_xlpm.baseRow,ISNA(MATCH($C684,'Tree List'!$C$3:$C$601,0)),SUMPRODUCT(--ISNUMBER(SEARCH(Tables2!$C$677:$C$772,$O684)))&gt;0),
Error!$B$57,
IF(AND(_xlpm.hasDM,$F684="Remove",$H684&lt;&gt;"",OR($I684="On-site replacement",$I684="Off-site replacement",$I684="Payment In Lieu")),
Error!$B$56,
IF(AND(_xlpm.hasDM,$F684="Remove",$H684&lt;&gt;"",$I684="Relocation"),
Error!$B$66,
IF(AND(OR(_xlpm.hasCN,_xlpm.hasPH,_xlpm.hasGR),$H684&lt;&gt;"",COUNTIF(Tables!$B$132:$B$134,$H684)&gt;0,$I684="N/A (No replacement required)"),
Error!$B$62,
IF(AND(_xlpm.baseRow,$E684&lt;&gt;"",ISNA(MATCH($E684,Tables!$B$225:$B$232,0))),
Error!$B$2,
IF(AND(_xlpm.baseRow,$F684&lt;&gt;"",ISNA(MATCH($F684,Tables!$B$234:$B$235,0))),
Error!$B$24,
IF(AND(_xlpm.baseRow,_xlpm.ECA_H&gt;0,_xlpm.Shore_H&gt;0),
Error!$B$16,
IF(AND(_xlpm.baseRow,$E684&lt;&gt;"",$D684=""),
Error!$B$3,
IF(AND(_xlpm.baseRow,OR($E684="Tier 3",$E684="Tier 4"),$C684&lt;&gt;"",$D684&gt;=24,COUNTIF(Tables2!$B$166:$B$674,$C684)&gt;0),
Error!$B$44,
IF(AND(_xlpm.baseRow,OR($E684="Tier 3",$E684="Tier 4"),$C684&lt;&gt;"",$D684&lt;&gt;"",COUNTIF(Tables2!$B$73:$B$152,$C684)&gt;0,
$D684&gt;=IFERROR(INDEX(Tables2!$C$73:$C$152,MATCH($C684,Tables2!$B$73:$B$152,0)),-1)),
Error!$B$44,
IF(AND(_xlpm.baseRow,OR($E684="Tier 2",$E684="Tier 2 Grove"),$C684&lt;&gt;"",$D684&gt;=12,COUNTIF(Tables2!$B$153:$B$162,$C684)&gt;0),
Error!$B$45,
IF(AND(_xlpm.baseRow,$E684="Tier 2 Grove",$D684&lt;12),
Error!$B$41,
IF(AND(_xlpm.baseRow,$E684="Tier 2",$D684&lt;5.88),
Error!$B$40,
IF(AND(_xlpm.baseRow,OR($E684="Tier 2",$E684="Tier 2 Grove"),$C684&lt;&gt;"",$D684&lt;12,$D684&gt;=6,COUNTIF(Tables2!$B$153:$B$162,$C684)&gt;0),
Error!$B$54,
IF(AND(_xlpm.baseRow,$E684="Tier 2",COUNTIF(Tables2!$B$166:$B$674,$C684)&gt;0,$D684&lt;24),
Error!$B$54,
IF(AND(_xlpm.baseRow,$E684="Tier 3",ISNA(MATCH($C684,Tables2!$B$153:$B$162,0)),OR($D684&lt;12,$D684&gt;=24)),
Error!$B$9,
IF(AND(_xlpm.baseRow,$E684="Tier 3",COUNTIF(Tables2!$B$153:$B$162,$C684)&gt;0,$D684&lt;12),
Error!$B$46,
IF(AND(_xlpm.baseRow,$E684="Tier 4",OR($D684&lt;6,$D684&gt;=12)),
Error!$B$10,
IF(AND(_xlpm.baseRow,$E684="&lt;6in DSH for Tree Points",OR($D684&gt;=6,$D684="")),
Error!$B$8,
IF(AND(_xlpm.baseRow,$E684="Street Tree for Green Factor",$F684&lt;&gt;"",$F684&lt;&gt;"Retain"),
Error!$B$14,
IF(AND($E684="&lt;6in DSH for Tree Points",$F684="Retain",$H684&lt;&gt;"",ISNA(MATCH($H684,Tables!$B$174:$B$174,0))),
Error!$B$15,
IF(AND($E684="Street Tree for Green Factor",$F684="Retain",$H684&lt;&gt;"",$H684&lt;&gt;"Zoning: Green Factor"),
Error!$B$15,
IF(AND($E684="ECA / Shoreline Tree",$F684="Remove",$H684&lt;&gt;"",ISNA(MATCH($H684,Tables!$B$189:$B$190,0))),
Error!$B$15,
IF(AND($E684="ECA / Shoreline Tree",$F684="Retain",$H684&lt;&gt;"",ISNA(MATCH($H684,Tables!$B$184:$B$186,0))),
Error!$B$15,
IF(AND($E684="Tier 4",$F684="Remove",$H684&lt;&gt;"",ISNA(MATCH($H684,Tables!$B$171,0))),
Error!$B$15,
IF(AND($E684="Tier 4",$F684="Retain",$H684&lt;&gt;"",ISNA(MATCH($H684,Tables!$B$166:$B$168,0))),
Error!$B$15,
IF(AND($E684="Tier 3",$F684="Retain",$H684&lt;&gt;"",ISNA(MATCH($H684,Tables!$B$158:$B$160,0))),
Error!$B$15,
IF(AND($E684="Tier 3",$F684="Remove",$H684&lt;&gt;"",ISNA(MATCH($H684,Tables!$B$163,0))),
Error!$B$15,
IF(AND(OR($E684="Tier 2",$E684="Tier 2 Grove"),$F684="Remove",$H684&lt;&gt;"",ISNA(MATCH($H684,Tables!$B$153:$B$155,0))),
Error!$B$15,
IF(AND(OR($E684="Tier 2",$E684="Tier 2 Grove"),$F684="Retain",$H684&lt;&gt;"",ISNA(MATCH($H684,Tables!$B$147:$B$150,0))),
Error!$B$15,
IF(AND($E684="Tier 1",$F684="Remove",$H684&lt;&gt;"",ISNA(MATCH($H684,Tables!$B$143:$B$144,0))),
Error!$B$15,
IF(AND($E684="Tier 1",$F684="Retain",$H684&lt;&gt;"",ISNA(MATCH($H684,Tables!$B$137:$B$140,0))),
Error!$B$15,
IF(AND($E684&lt;&gt;"Tier 2",$E684&lt;&gt;"Tier 2 Grove",$E684&lt;&gt;"Tier 3",$E684&lt;&gt;"Tier 4",$H684="Zoning: Green Factor",OR($D684="",$D684&lt;6)),
Error!$B$11,
IF(AND(_xlpm.baseRow,$D684&lt;6,$E684="&lt;6in DSH for Tree Points",_xlpm.TreePoints_H=0),
Error!$B$21,
IF(AND(_xlpm.baseRow,$E684&lt;&gt;"",$D684&lt;&gt;"",$F684=""),
Error!$B$4,
IF(AND(_xlpm.baseRow,$F684="Remove",OR($E684="Tier 1",$E684="Tier 2",$E684="Tier 2 Grove"),COUNTBLANK(_xlpm.HRange)&lt;3,_xlpm.uniqueH&gt;=2),
Error!$B$48,
IF(AND(_xlpm.baseRow,$F684="Retain",OR($E684="Tier 1",$E684="Tier 2",$E684="Tier 2 Grove"),COUNTIF(_xlpm.HRange,"Tree Code: Required to Retain Tier 1-2 Tree")=0),
Error!$B$47,
IF(AND(_xlpm.baseRow,$E684&lt;&gt;"",$D684&lt;&gt;"",$F684&lt;&gt;"",COUNTBLANK(_xlpm.HRange)=4),
Error!$B$5,
IF(AND($F684="Remove",$H684&lt;&gt;"",$I684=""),
Error!$B$18,
IF(AND($E684="Tier 4",$F684="Remove",$H684="Tree Protection Code: Tier 3 or Tier 4 Allowance",$H684&lt;&gt;"",ISNA(MATCH($I684,Tables!$B$200,0))),
Error!$B$17,
IF(AND($E684="Tier 3",$F684="Remove",$H684&lt;&gt;"",$H684="Tree Protection Code: Tier 3 or Tier 4 Allowance",OR($I684="",ISNA(MATCH($I684,Tables!$B$193:$B$197,0)))),
Error!$B$17,
IF(AND(OR($E684="Tier 2",$E684="Tier 2 Grove"),$F684="Remove",$H684="Tree Protection Code: Other removal allowance or exemption",$I684&lt;&gt;"",ISNA(MATCH($I684,Tables!$B$215:$B$218,0))),
Error!$B$17,
IF(AND(OR($E684="Tier 2",$E684="Tier 2 Grove"),$F684="Remove",$H684="Tree Protection Code: Development Capacity",$I684&lt;&gt;"",ISNA(MATCH($I684,Tables!$B$193:$B$197,0))),
Error!$B$17,
IF(AND(OR($E684="Tier 2",$E684="Tier 2 Grove"),$F684="Remove",$H684="Tree Protection Code: Necessary for Construction",$I684&lt;&gt;"",ISNA(MATCH($I684,Tables!$B$193:$B$197,0))),
Error!$B$17,
IF(AND($E684="Tier 1",$F684="Remove",$H684="Tree Protection Code: Special Exception",$I684&lt;&gt;"",ISNA(MATCH($I684,Tables!$B$215:$B$218,0))),
Error!$B$17,
IF(AND($E684="Tier 1",$F684="Remove",$H684="Tree Protection Code: Other removal allowance or exemption",$I684&lt;&gt;"",ISNA(MATCH($I684,Tables!$B$215:$B$218,0))),
Error!$B$17,
IF(AND($E684="ECA / Shoreline Tree",$F684="Remove",$H684&lt;&gt;"",OR($H684="Shoreline",$H684="Environmental Critical Area (ECA)"),ISNA(MATCH($I684,Tables!$B$209:$B$212,0))),
Error!$B$17,
IF(AND(_xlpm.baseRow,$F684="Retain",$E684="ECA / Shoreline Tree",_xlpm.ECA_Short=0),
Error!$B$61,
IF(AND($F684="Remove",ISNUMBER(MATCH($E684,{"Tier 1","Tier 2","Tier 3","Tier 4","Tier 2 Grove"},0)),ISNUMBER(MATCH($I684,{"On-site replacement","Off-site replacement"},0)),$J684="",$H684&lt;&gt;""),
Error!$B$19,
IF(AND(_xlpm.baseRow,$E684&lt;&gt;"",$D684&lt;&gt;"",$F684&lt;&gt;"",COUNTBLANK($B684:$C684)&gt;0,COUNTBLANK(_xlpm.HRange)&lt;&gt;4),
Error!$B$22,
IF(AND($H684="Zoning: Tree Points",$K684&lt;&gt;"",ISNA(MATCH($K684,Tables!$B$242:$B$253,0))),
Error!$B$58,
IF(AND($H684="Zoning: Tree Points",$K684="Small",$L684&lt;&gt;"",ISNA(MATCH($L684,Tables!$C$243:$C$244,0))),
Error!$B$59,
IF(AND($H684="Zoning: Tree Points",$K684="Small/Medium",$L684&lt;&gt;"",ISNA(MATCH($L684,Tables!$C$246:$C$247,0))),
Error!$B$59,
IF(AND($H684="Zoning: Tree Points",$K684="Medium/Large",$L684&lt;&gt;"",ISNA(MATCH($L684,Tables!$C$249:$C$250,0))),
Error!$B$59,
IF(AND($H684="Zoning: Tree Points",$K684="Large",$L684&lt;&gt;"",ISNA(MATCH($L684,Tables!$C$252:$C$253,0))),
Error!$B$59,
IF(AND($F684="Retain",$H684="Zoning: Tree Points",$C684&lt;&gt;"",$D684&lt;&gt;"",OR($K684="",$L684="",$M684="")),
Error!$B$20,
""
)))))))))))))))))))))))))))))))))))))))))))))))))))))))),
Error!$B$23))</f>
        <v/>
      </c>
      <c r="O684" s="343" t="str" cm="1">
        <f t="array" aca="1" ref="O684" ca="1">IFERROR(_xlfn.LET(
    _xlpm.txt, $C684,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85" spans="1:15" x14ac:dyDescent="0.3">
      <c r="A685" s="320"/>
      <c r="B685" s="616" t="str">
        <f t="shared" si="806"/>
        <v/>
      </c>
      <c r="C685" s="617" t="str">
        <f t="shared" si="807"/>
        <v/>
      </c>
      <c r="D685" s="618" t="str">
        <f t="shared" si="808"/>
        <v/>
      </c>
      <c r="E685" s="616" t="str">
        <f t="shared" si="809"/>
        <v/>
      </c>
      <c r="F685" s="616" t="str">
        <f t="shared" si="810"/>
        <v/>
      </c>
      <c r="G685" s="619" t="str">
        <f>IF(Tree_Table1[[#This Row],[Tree Status  &amp;]]="Retain", Tables!$B$237, IF(Tree_Table1[[#This Row],[Tree Status  &amp;]]="Remove", Tables!$B$238, ""))</f>
        <v/>
      </c>
      <c r="H685" s="321"/>
      <c r="I685" s="322"/>
      <c r="J685" s="453"/>
      <c r="K685" s="323" t="str">
        <f>IFERROR(
    IF(
        AND($H685="Zoning: Tree Points", NOT(ISNUMBER(SEARCH("sp.", $C685)))),
        VLOOKUP($C685, 'Tree List'!$C$3:$F$601, 4, FALSE),
        ""
    ),
"")</f>
        <v/>
      </c>
      <c r="L685" s="324" t="str" cm="1">
        <f t="array" ref="L685">IFERROR(
IF(
    AND($H685="Zoning: Tree Points", NOT(ISNUMBER(SEARCH("sp.", $C685)))),
    _xlfn.IFS(
        (COUNTIFS('Tree List'!$C$3:$C$601,$C685,'Tree List'!$D$3:$D$601,"Coniferous")
        + COUNTIFS('Tree List'!$C$3:$C$601,$C685,'Tree List'!$D$3:$D$601,"Deciduous Conifer")) &gt; 0,
            _xlfn.IFS($K685="Small",0.5,$K685="Small/Medium",1,$K685="Medium/Large",1.4,$K685="Large",1.8),
        (COUNTIFS('Tree List'!$C$3:$C$601,$C685,'Tree List'!$D$3:$D$601,"Deciduous")
        + COUNTIFS('Tree List'!$C$3:$C$601,$C685,'Tree List'!$D$3:$D$601,"Broadleaf Evergreen")) &gt; 0,
            _xlfn.IFS($K685="Small",0.4,$K685="Small/Medium",0.8,$K685="Medium/Large",1.2,$K685="Large",1.6)
    ),
    ""
),
"")</f>
        <v/>
      </c>
      <c r="M685" s="475" t="str">
        <f t="shared" si="735"/>
        <v/>
      </c>
      <c r="N685" s="346" t="str" cm="1">
        <f t="array" aca="1" ref="N68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IF(AND(_xlpm.baseRow,ISNA(MATCH($C685,'Tree List'!$C$3:$C$601,0)),SUMPRODUCT(--ISNUMBER(SEARCH(Tables2!$C$677:$C$772,$O685)))&gt;0),
Error!$B$57,
IF(AND(_xlpm.hasDM,$F685="Remove",$H685&lt;&gt;"",OR($I685="On-site replacement",$I685="Off-site replacement",$I685="Payment In Lieu")),
Error!$B$56,
IF(AND(_xlpm.hasDM,$F685="Remove",$H685&lt;&gt;"",$I685="Relocation"),
Error!$B$66,
IF(AND(OR(_xlpm.hasCN,_xlpm.hasPH,_xlpm.hasGR),$H685&lt;&gt;"",COUNTIF(Tables!$B$132:$B$134,$H685)&gt;0,$I685="N/A (No replacement required)"),
Error!$B$62,
IF(AND(_xlpm.baseRow,$E685&lt;&gt;"",ISNA(MATCH($E685,Tables!$B$225:$B$232,0))),
Error!$B$2,
IF(AND(_xlpm.baseRow,$F685&lt;&gt;"",ISNA(MATCH($F685,Tables!$B$234:$B$235,0))),
Error!$B$24,
IF(AND(_xlpm.baseRow,_xlpm.ECA_H&gt;0,_xlpm.Shore_H&gt;0),
Error!$B$16,
IF(AND(_xlpm.baseRow,$E685&lt;&gt;"",$D685=""),
Error!$B$3,
IF(AND(_xlpm.baseRow,OR($E685="Tier 3",$E685="Tier 4"),$C685&lt;&gt;"",$D685&gt;=24,COUNTIF(Tables2!$B$166:$B$674,$C685)&gt;0),
Error!$B$44,
IF(AND(_xlpm.baseRow,OR($E685="Tier 3",$E685="Tier 4"),$C685&lt;&gt;"",$D685&lt;&gt;"",COUNTIF(Tables2!$B$73:$B$152,$C685)&gt;0,
$D685&gt;=IFERROR(INDEX(Tables2!$C$73:$C$152,MATCH($C685,Tables2!$B$73:$B$152,0)),-1)),
Error!$B$44,
IF(AND(_xlpm.baseRow,OR($E685="Tier 2",$E685="Tier 2 Grove"),$C685&lt;&gt;"",$D685&gt;=12,COUNTIF(Tables2!$B$153:$B$162,$C685)&gt;0),
Error!$B$45,
IF(AND(_xlpm.baseRow,$E685="Tier 2 Grove",$D685&lt;12),
Error!$B$41,
IF(AND(_xlpm.baseRow,$E685="Tier 2",$D685&lt;5.88),
Error!$B$40,
IF(AND(_xlpm.baseRow,OR($E685="Tier 2",$E685="Tier 2 Grove"),$C685&lt;&gt;"",$D685&lt;12,$D685&gt;=6,COUNTIF(Tables2!$B$153:$B$162,$C685)&gt;0),
Error!$B$54,
IF(AND(_xlpm.baseRow,$E685="Tier 2",COUNTIF(Tables2!$B$166:$B$674,$C685)&gt;0,$D685&lt;24),
Error!$B$54,
IF(AND(_xlpm.baseRow,$E685="Tier 3",ISNA(MATCH($C685,Tables2!$B$153:$B$162,0)),OR($D685&lt;12,$D685&gt;=24)),
Error!$B$9,
IF(AND(_xlpm.baseRow,$E685="Tier 3",COUNTIF(Tables2!$B$153:$B$162,$C685)&gt;0,$D685&lt;12),
Error!$B$46,
IF(AND(_xlpm.baseRow,$E685="Tier 4",OR($D685&lt;6,$D685&gt;=12)),
Error!$B$10,
IF(AND(_xlpm.baseRow,$E685="&lt;6in DSH for Tree Points",OR($D685&gt;=6,$D685="")),
Error!$B$8,
IF(AND(_xlpm.baseRow,$E685="Street Tree for Green Factor",$F685&lt;&gt;"",$F685&lt;&gt;"Retain"),
Error!$B$14,
IF(AND($E685="&lt;6in DSH for Tree Points",$F685="Retain",$H685&lt;&gt;"",ISNA(MATCH($H685,Tables!$B$174:$B$174,0))),
Error!$B$15,
IF(AND($E685="Street Tree for Green Factor",$F685="Retain",$H685&lt;&gt;"",$H685&lt;&gt;"Zoning: Green Factor"),
Error!$B$15,
IF(AND($E685="ECA / Shoreline Tree",$F685="Remove",$H685&lt;&gt;"",ISNA(MATCH($H685,Tables!$B$189:$B$190,0))),
Error!$B$15,
IF(AND($E685="ECA / Shoreline Tree",$F685="Retain",$H685&lt;&gt;"",ISNA(MATCH($H685,Tables!$B$184:$B$186,0))),
Error!$B$15,
IF(AND($E685="Tier 4",$F685="Remove",$H685&lt;&gt;"",ISNA(MATCH($H685,Tables!$B$171,0))),
Error!$B$15,
IF(AND($E685="Tier 4",$F685="Retain",$H685&lt;&gt;"",ISNA(MATCH($H685,Tables!$B$166:$B$168,0))),
Error!$B$15,
IF(AND($E685="Tier 3",$F685="Retain",$H685&lt;&gt;"",ISNA(MATCH($H685,Tables!$B$158:$B$160,0))),
Error!$B$15,
IF(AND($E685="Tier 3",$F685="Remove",$H685&lt;&gt;"",ISNA(MATCH($H685,Tables!$B$163,0))),
Error!$B$15,
IF(AND(OR($E685="Tier 2",$E685="Tier 2 Grove"),$F685="Remove",$H685&lt;&gt;"",ISNA(MATCH($H685,Tables!$B$153:$B$155,0))),
Error!$B$15,
IF(AND(OR($E685="Tier 2",$E685="Tier 2 Grove"),$F685="Retain",$H685&lt;&gt;"",ISNA(MATCH($H685,Tables!$B$147:$B$150,0))),
Error!$B$15,
IF(AND($E685="Tier 1",$F685="Remove",$H685&lt;&gt;"",ISNA(MATCH($H685,Tables!$B$143:$B$144,0))),
Error!$B$15,
IF(AND($E685="Tier 1",$F685="Retain",$H685&lt;&gt;"",ISNA(MATCH($H685,Tables!$B$137:$B$140,0))),
Error!$B$15,
IF(AND($E685&lt;&gt;"Tier 2",$E685&lt;&gt;"Tier 2 Grove",$E685&lt;&gt;"Tier 3",$E685&lt;&gt;"Tier 4",$H685="Zoning: Green Factor",OR($D685="",$D685&lt;6)),
Error!$B$11,
IF(AND(_xlpm.baseRow,$D685&lt;6,$E685="&lt;6in DSH for Tree Points",_xlpm.TreePoints_H=0),
Error!$B$21,
IF(AND(_xlpm.baseRow,$E685&lt;&gt;"",$D685&lt;&gt;"",$F685=""),
Error!$B$4,
IF(AND(_xlpm.baseRow,$F685="Remove",OR($E685="Tier 1",$E685="Tier 2",$E685="Tier 2 Grove"),COUNTBLANK(_xlpm.HRange)&lt;3,_xlpm.uniqueH&gt;=2),
Error!$B$48,
IF(AND(_xlpm.baseRow,$F685="Retain",OR($E685="Tier 1",$E685="Tier 2",$E685="Tier 2 Grove"),COUNTIF(_xlpm.HRange,"Tree Code: Required to Retain Tier 1-2 Tree")=0),
Error!$B$47,
IF(AND(_xlpm.baseRow,$E685&lt;&gt;"",$D685&lt;&gt;"",$F685&lt;&gt;"",COUNTBLANK(_xlpm.HRange)=4),
Error!$B$5,
IF(AND($F685="Remove",$H685&lt;&gt;"",$I685=""),
Error!$B$18,
IF(AND($E685="Tier 4",$F685="Remove",$H685="Tree Protection Code: Tier 3 or Tier 4 Allowance",$H685&lt;&gt;"",ISNA(MATCH($I685,Tables!$B$200,0))),
Error!$B$17,
IF(AND($E685="Tier 3",$F685="Remove",$H685&lt;&gt;"",$H685="Tree Protection Code: Tier 3 or Tier 4 Allowance",OR($I685="",ISNA(MATCH($I685,Tables!$B$193:$B$197,0)))),
Error!$B$17,
IF(AND(OR($E685="Tier 2",$E685="Tier 2 Grove"),$F685="Remove",$H685="Tree Protection Code: Other removal allowance or exemption",$I685&lt;&gt;"",ISNA(MATCH($I685,Tables!$B$215:$B$218,0))),
Error!$B$17,
IF(AND(OR($E685="Tier 2",$E685="Tier 2 Grove"),$F685="Remove",$H685="Tree Protection Code: Development Capacity",$I685&lt;&gt;"",ISNA(MATCH($I685,Tables!$B$193:$B$197,0))),
Error!$B$17,
IF(AND(OR($E685="Tier 2",$E685="Tier 2 Grove"),$F685="Remove",$H685="Tree Protection Code: Necessary for Construction",$I685&lt;&gt;"",ISNA(MATCH($I685,Tables!$B$193:$B$197,0))),
Error!$B$17,
IF(AND($E685="Tier 1",$F685="Remove",$H685="Tree Protection Code: Special Exception",$I685&lt;&gt;"",ISNA(MATCH($I685,Tables!$B$215:$B$218,0))),
Error!$B$17,
IF(AND($E685="Tier 1",$F685="Remove",$H685="Tree Protection Code: Other removal allowance or exemption",$I685&lt;&gt;"",ISNA(MATCH($I685,Tables!$B$215:$B$218,0))),
Error!$B$17,
IF(AND($E685="ECA / Shoreline Tree",$F685="Remove",$H685&lt;&gt;"",OR($H685="Shoreline",$H685="Environmental Critical Area (ECA)"),ISNA(MATCH($I685,Tables!$B$209:$B$212,0))),
Error!$B$17,
IF(AND(_xlpm.baseRow,$F685="Retain",$E685="ECA / Shoreline Tree",_xlpm.ECA_Short=0),
Error!$B$61,
IF(AND($F685="Remove",ISNUMBER(MATCH($E685,{"Tier 1","Tier 2","Tier 3","Tier 4","Tier 2 Grove"},0)),ISNUMBER(MATCH($I685,{"On-site replacement","Off-site replacement"},0)),$J685="",$H685&lt;&gt;""),
Error!$B$19,
IF(AND(_xlpm.baseRow,$E685&lt;&gt;"",$D685&lt;&gt;"",$F685&lt;&gt;"",COUNTBLANK($B685:$C685)&gt;0,COUNTBLANK(_xlpm.HRange)&lt;&gt;4),
Error!$B$22,
IF(AND($H685="Zoning: Tree Points",$K685&lt;&gt;"",ISNA(MATCH($K685,Tables!$B$242:$B$253,0))),
Error!$B$58,
IF(AND($H685="Zoning: Tree Points",$K685="Small",$L685&lt;&gt;"",ISNA(MATCH($L685,Tables!$C$243:$C$244,0))),
Error!$B$59,
IF(AND($H685="Zoning: Tree Points",$K685="Small/Medium",$L685&lt;&gt;"",ISNA(MATCH($L685,Tables!$C$246:$C$247,0))),
Error!$B$59,
IF(AND($H685="Zoning: Tree Points",$K685="Medium/Large",$L685&lt;&gt;"",ISNA(MATCH($L685,Tables!$C$249:$C$250,0))),
Error!$B$59,
IF(AND($H685="Zoning: Tree Points",$K685="Large",$L685&lt;&gt;"",ISNA(MATCH($L685,Tables!$C$252:$C$253,0))),
Error!$B$59,
IF(AND($F685="Retain",$H685="Zoning: Tree Points",$C685&lt;&gt;"",$D685&lt;&gt;"",OR($K685="",$L685="",$M685="")),
Error!$B$20,
""
)))))))))))))))))))))))))))))))))))))))))))))))))))))))),
Error!$B$23))</f>
        <v/>
      </c>
      <c r="O685" s="343" t="str" cm="1">
        <f t="array" aca="1" ref="O685" ca="1">IFERROR(_xlfn.LET(
    _xlpm.txt, $C685,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86" spans="1:15" ht="15" thickBot="1" x14ac:dyDescent="0.35">
      <c r="A686" s="331"/>
      <c r="B686" s="616" t="str">
        <f t="shared" si="806"/>
        <v/>
      </c>
      <c r="C686" s="617" t="str">
        <f t="shared" si="807"/>
        <v/>
      </c>
      <c r="D686" s="618" t="str">
        <f t="shared" si="808"/>
        <v/>
      </c>
      <c r="E686" s="616" t="str">
        <f t="shared" si="809"/>
        <v/>
      </c>
      <c r="F686" s="616" t="str">
        <f t="shared" si="810"/>
        <v/>
      </c>
      <c r="G686" s="619" t="str">
        <f>IF(Tree_Table1[[#This Row],[Tree Status  &amp;]]="Retain", Tables!$B$237, IF(Tree_Table1[[#This Row],[Tree Status  &amp;]]="Remove", Tables!$B$238, ""))</f>
        <v/>
      </c>
      <c r="H686" s="329"/>
      <c r="I686" s="330"/>
      <c r="J686" s="455"/>
      <c r="K686" s="327" t="str">
        <f>IFERROR(
    IF(
        AND($H686="Zoning: Tree Points", NOT(ISNUMBER(SEARCH("sp.", $C686)))),
        VLOOKUP($C686, 'Tree List'!$C$3:$F$601, 4, FALSE),
        ""
    ),
"")</f>
        <v/>
      </c>
      <c r="L686" s="328" t="str" cm="1">
        <f t="array" ref="L686">IFERROR(
IF(
    AND($H686="Zoning: Tree Points", NOT(ISNUMBER(SEARCH("sp.", $C686)))),
    _xlfn.IFS(
        (COUNTIFS('Tree List'!$C$3:$C$601,$C686,'Tree List'!$D$3:$D$601,"Coniferous")
        + COUNTIFS('Tree List'!$C$3:$C$601,$C686,'Tree List'!$D$3:$D$601,"Deciduous Conifer")) &gt; 0,
            _xlfn.IFS($K686="Small",0.5,$K686="Small/Medium",1,$K686="Medium/Large",1.4,$K686="Large",1.8),
        (COUNTIFS('Tree List'!$C$3:$C$601,$C686,'Tree List'!$D$3:$D$601,"Deciduous")
        + COUNTIFS('Tree List'!$C$3:$C$601,$C686,'Tree List'!$D$3:$D$601,"Broadleaf Evergreen")) &gt; 0,
            _xlfn.IFS($K686="Small",0.4,$K686="Small/Medium",0.8,$K686="Medium/Large",1.2,$K686="Large",1.6)
    ),
    ""
),
"")</f>
        <v/>
      </c>
      <c r="M686" s="476" t="str">
        <f t="shared" si="735"/>
        <v/>
      </c>
      <c r="N686" s="347" t="str" cm="1">
        <f t="array" aca="1" ref="N68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IF(AND(_xlpm.baseRow,ISNA(MATCH($C686,'Tree List'!$C$3:$C$601,0)),SUMPRODUCT(--ISNUMBER(SEARCH(Tables2!$C$677:$C$772,$O686)))&gt;0),
Error!$B$57,
IF(AND(_xlpm.hasDM,$F686="Remove",$H686&lt;&gt;"",OR($I686="On-site replacement",$I686="Off-site replacement",$I686="Payment In Lieu")),
Error!$B$56,
IF(AND(_xlpm.hasDM,$F686="Remove",$H686&lt;&gt;"",$I686="Relocation"),
Error!$B$66,
IF(AND(OR(_xlpm.hasCN,_xlpm.hasPH,_xlpm.hasGR),$H686&lt;&gt;"",COUNTIF(Tables!$B$132:$B$134,$H686)&gt;0,$I686="N/A (No replacement required)"),
Error!$B$62,
IF(AND(_xlpm.baseRow,$E686&lt;&gt;"",ISNA(MATCH($E686,Tables!$B$225:$B$232,0))),
Error!$B$2,
IF(AND(_xlpm.baseRow,$F686&lt;&gt;"",ISNA(MATCH($F686,Tables!$B$234:$B$235,0))),
Error!$B$24,
IF(AND(_xlpm.baseRow,_xlpm.ECA_H&gt;0,_xlpm.Shore_H&gt;0),
Error!$B$16,
IF(AND(_xlpm.baseRow,$E686&lt;&gt;"",$D686=""),
Error!$B$3,
IF(AND(_xlpm.baseRow,OR($E686="Tier 3",$E686="Tier 4"),$C686&lt;&gt;"",$D686&gt;=24,COUNTIF(Tables2!$B$166:$B$674,$C686)&gt;0),
Error!$B$44,
IF(AND(_xlpm.baseRow,OR($E686="Tier 3",$E686="Tier 4"),$C686&lt;&gt;"",$D686&lt;&gt;"",COUNTIF(Tables2!$B$73:$B$152,$C686)&gt;0,
$D686&gt;=IFERROR(INDEX(Tables2!$C$73:$C$152,MATCH($C686,Tables2!$B$73:$B$152,0)),-1)),
Error!$B$44,
IF(AND(_xlpm.baseRow,OR($E686="Tier 2",$E686="Tier 2 Grove"),$C686&lt;&gt;"",$D686&gt;=12,COUNTIF(Tables2!$B$153:$B$162,$C686)&gt;0),
Error!$B$45,
IF(AND(_xlpm.baseRow,$E686="Tier 2 Grove",$D686&lt;12),
Error!$B$41,
IF(AND(_xlpm.baseRow,$E686="Tier 2",$D686&lt;5.88),
Error!$B$40,
IF(AND(_xlpm.baseRow,OR($E686="Tier 2",$E686="Tier 2 Grove"),$C686&lt;&gt;"",$D686&lt;12,$D686&gt;=6,COUNTIF(Tables2!$B$153:$B$162,$C686)&gt;0),
Error!$B$54,
IF(AND(_xlpm.baseRow,$E686="Tier 2",COUNTIF(Tables2!$B$166:$B$674,$C686)&gt;0,$D686&lt;24),
Error!$B$54,
IF(AND(_xlpm.baseRow,$E686="Tier 3",ISNA(MATCH($C686,Tables2!$B$153:$B$162,0)),OR($D686&lt;12,$D686&gt;=24)),
Error!$B$9,
IF(AND(_xlpm.baseRow,$E686="Tier 3",COUNTIF(Tables2!$B$153:$B$162,$C686)&gt;0,$D686&lt;12),
Error!$B$46,
IF(AND(_xlpm.baseRow,$E686="Tier 4",OR($D686&lt;6,$D686&gt;=12)),
Error!$B$10,
IF(AND(_xlpm.baseRow,$E686="&lt;6in DSH for Tree Points",OR($D686&gt;=6,$D686="")),
Error!$B$8,
IF(AND(_xlpm.baseRow,$E686="Street Tree for Green Factor",$F686&lt;&gt;"",$F686&lt;&gt;"Retain"),
Error!$B$14,
IF(AND($E686="&lt;6in DSH for Tree Points",$F686="Retain",$H686&lt;&gt;"",ISNA(MATCH($H686,Tables!$B$174:$B$174,0))),
Error!$B$15,
IF(AND($E686="Street Tree for Green Factor",$F686="Retain",$H686&lt;&gt;"",$H686&lt;&gt;"Zoning: Green Factor"),
Error!$B$15,
IF(AND($E686="ECA / Shoreline Tree",$F686="Remove",$H686&lt;&gt;"",ISNA(MATCH($H686,Tables!$B$189:$B$190,0))),
Error!$B$15,
IF(AND($E686="ECA / Shoreline Tree",$F686="Retain",$H686&lt;&gt;"",ISNA(MATCH($H686,Tables!$B$184:$B$186,0))),
Error!$B$15,
IF(AND($E686="Tier 4",$F686="Remove",$H686&lt;&gt;"",ISNA(MATCH($H686,Tables!$B$171,0))),
Error!$B$15,
IF(AND($E686="Tier 4",$F686="Retain",$H686&lt;&gt;"",ISNA(MATCH($H686,Tables!$B$166:$B$168,0))),
Error!$B$15,
IF(AND($E686="Tier 3",$F686="Retain",$H686&lt;&gt;"",ISNA(MATCH($H686,Tables!$B$158:$B$160,0))),
Error!$B$15,
IF(AND($E686="Tier 3",$F686="Remove",$H686&lt;&gt;"",ISNA(MATCH($H686,Tables!$B$163,0))),
Error!$B$15,
IF(AND(OR($E686="Tier 2",$E686="Tier 2 Grove"),$F686="Remove",$H686&lt;&gt;"",ISNA(MATCH($H686,Tables!$B$153:$B$155,0))),
Error!$B$15,
IF(AND(OR($E686="Tier 2",$E686="Tier 2 Grove"),$F686="Retain",$H686&lt;&gt;"",ISNA(MATCH($H686,Tables!$B$147:$B$150,0))),
Error!$B$15,
IF(AND($E686="Tier 1",$F686="Remove",$H686&lt;&gt;"",ISNA(MATCH($H686,Tables!$B$143:$B$144,0))),
Error!$B$15,
IF(AND($E686="Tier 1",$F686="Retain",$H686&lt;&gt;"",ISNA(MATCH($H686,Tables!$B$137:$B$140,0))),
Error!$B$15,
IF(AND($E686&lt;&gt;"Tier 2",$E686&lt;&gt;"Tier 2 Grove",$E686&lt;&gt;"Tier 3",$E686&lt;&gt;"Tier 4",$H686="Zoning: Green Factor",OR($D686="",$D686&lt;6)),
Error!$B$11,
IF(AND(_xlpm.baseRow,$D686&lt;6,$E686="&lt;6in DSH for Tree Points",_xlpm.TreePoints_H=0),
Error!$B$21,
IF(AND(_xlpm.baseRow,$E686&lt;&gt;"",$D686&lt;&gt;"",$F686=""),
Error!$B$4,
IF(AND(_xlpm.baseRow,$F686="Remove",OR($E686="Tier 1",$E686="Tier 2",$E686="Tier 2 Grove"),COUNTBLANK(_xlpm.HRange)&lt;3,_xlpm.uniqueH&gt;=2),
Error!$B$48,
IF(AND(_xlpm.baseRow,$F686="Retain",OR($E686="Tier 1",$E686="Tier 2",$E686="Tier 2 Grove"),COUNTIF(_xlpm.HRange,"Tree Code: Required to Retain Tier 1-2 Tree")=0),
Error!$B$47,
IF(AND(_xlpm.baseRow,$E686&lt;&gt;"",$D686&lt;&gt;"",$F686&lt;&gt;"",COUNTBLANK(_xlpm.HRange)=4),
Error!$B$5,
IF(AND($F686="Remove",$H686&lt;&gt;"",$I686=""),
Error!$B$18,
IF(AND($E686="Tier 4",$F686="Remove",$H686="Tree Protection Code: Tier 3 or Tier 4 Allowance",$H686&lt;&gt;"",ISNA(MATCH($I686,Tables!$B$200,0))),
Error!$B$17,
IF(AND($E686="Tier 3",$F686="Remove",$H686&lt;&gt;"",$H686="Tree Protection Code: Tier 3 or Tier 4 Allowance",OR($I686="",ISNA(MATCH($I686,Tables!$B$193:$B$197,0)))),
Error!$B$17,
IF(AND(OR($E686="Tier 2",$E686="Tier 2 Grove"),$F686="Remove",$H686="Tree Protection Code: Other removal allowance or exemption",$I686&lt;&gt;"",ISNA(MATCH($I686,Tables!$B$215:$B$218,0))),
Error!$B$17,
IF(AND(OR($E686="Tier 2",$E686="Tier 2 Grove"),$F686="Remove",$H686="Tree Protection Code: Development Capacity",$I686&lt;&gt;"",ISNA(MATCH($I686,Tables!$B$193:$B$197,0))),
Error!$B$17,
IF(AND(OR($E686="Tier 2",$E686="Tier 2 Grove"),$F686="Remove",$H686="Tree Protection Code: Necessary for Construction",$I686&lt;&gt;"",ISNA(MATCH($I686,Tables!$B$193:$B$197,0))),
Error!$B$17,
IF(AND($E686="Tier 1",$F686="Remove",$H686="Tree Protection Code: Special Exception",$I686&lt;&gt;"",ISNA(MATCH($I686,Tables!$B$215:$B$218,0))),
Error!$B$17,
IF(AND($E686="Tier 1",$F686="Remove",$H686="Tree Protection Code: Other removal allowance or exemption",$I686&lt;&gt;"",ISNA(MATCH($I686,Tables!$B$215:$B$218,0))),
Error!$B$17,
IF(AND($E686="ECA / Shoreline Tree",$F686="Remove",$H686&lt;&gt;"",OR($H686="Shoreline",$H686="Environmental Critical Area (ECA)"),ISNA(MATCH($I686,Tables!$B$209:$B$212,0))),
Error!$B$17,
IF(AND(_xlpm.baseRow,$F686="Retain",$E686="ECA / Shoreline Tree",_xlpm.ECA_Short=0),
Error!$B$61,
IF(AND($F686="Remove",ISNUMBER(MATCH($E686,{"Tier 1","Tier 2","Tier 3","Tier 4","Tier 2 Grove"},0)),ISNUMBER(MATCH($I686,{"On-site replacement","Off-site replacement"},0)),$J686="",$H686&lt;&gt;""),
Error!$B$19,
IF(AND(_xlpm.baseRow,$E686&lt;&gt;"",$D686&lt;&gt;"",$F686&lt;&gt;"",COUNTBLANK($B686:$C686)&gt;0,COUNTBLANK(_xlpm.HRange)&lt;&gt;4),
Error!$B$22,
IF(AND($H686="Zoning: Tree Points",$K686&lt;&gt;"",ISNA(MATCH($K686,Tables!$B$242:$B$253,0))),
Error!$B$58,
IF(AND($H686="Zoning: Tree Points",$K686="Small",$L686&lt;&gt;"",ISNA(MATCH($L686,Tables!$C$243:$C$244,0))),
Error!$B$59,
IF(AND($H686="Zoning: Tree Points",$K686="Small/Medium",$L686&lt;&gt;"",ISNA(MATCH($L686,Tables!$C$246:$C$247,0))),
Error!$B$59,
IF(AND($H686="Zoning: Tree Points",$K686="Medium/Large",$L686&lt;&gt;"",ISNA(MATCH($L686,Tables!$C$249:$C$250,0))),
Error!$B$59,
IF(AND($H686="Zoning: Tree Points",$K686="Large",$L686&lt;&gt;"",ISNA(MATCH($L686,Tables!$C$252:$C$253,0))),
Error!$B$59,
IF(AND($F686="Retain",$H686="Zoning: Tree Points",$C686&lt;&gt;"",$D686&lt;&gt;"",OR($K686="",$L686="",$M686="")),
Error!$B$20,
""
)))))))))))))))))))))))))))))))))))))))))))))))))))))))),
Error!$B$23))</f>
        <v/>
      </c>
      <c r="O686" s="343" t="str" cm="1">
        <f t="array" aca="1" ref="O686" ca="1">IFERROR(_xlfn.LET(
    _xlpm.txt, $C686,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87" spans="1:15" ht="15" thickBot="1" x14ac:dyDescent="0.35">
      <c r="A687" s="311">
        <v>170</v>
      </c>
      <c r="B687" s="312"/>
      <c r="C687" s="313"/>
      <c r="D687" s="478"/>
      <c r="E687" s="314"/>
      <c r="F687" s="314"/>
      <c r="G687" s="315" t="str">
        <f>IF(Tree_Table1[[#This Row],[Tree Status  &amp;]]="Retain", Tables!$B$237, IF(Tree_Table1[[#This Row],[Tree Status  &amp;]]="Remove", Tables!$B$238, ""))</f>
        <v/>
      </c>
      <c r="H687" s="316"/>
      <c r="I687" s="317"/>
      <c r="J687" s="452"/>
      <c r="K687" s="318" t="str">
        <f>IFERROR(
    IF(
        AND($H687="Zoning: Tree Points", NOT(ISNUMBER(SEARCH("sp.", $C687)))),
        VLOOKUP($C687, 'Tree List'!$C$3:$F$601, 4, FALSE),
        ""
    ),
"")</f>
        <v/>
      </c>
      <c r="L687" s="319" t="str" cm="1">
        <f t="array" ref="L687">IFERROR(
IF(
    AND($H687="Zoning: Tree Points", NOT(ISNUMBER(SEARCH("sp.", $C687)))),
    _xlfn.IFS(
        (COUNTIFS('Tree List'!$C$3:$C$601,$C687,'Tree List'!$D$3:$D$601,"Coniferous")
        + COUNTIFS('Tree List'!$C$3:$C$601,$C687,'Tree List'!$D$3:$D$601,"Deciduous Conifer")) &gt; 0,
            _xlfn.IFS($K687="Small",0.5,$K687="Small/Medium",1,$K687="Medium/Large",1.4,$K687="Large",1.8),
        (COUNTIFS('Tree List'!$C$3:$C$601,$C687,'Tree List'!$D$3:$D$601,"Deciduous")
        + COUNTIFS('Tree List'!$C$3:$C$601,$C687,'Tree List'!$D$3:$D$601,"Broadleaf Evergreen")) &gt; 0,
            _xlfn.IFS($K687="Small",0.4,$K687="Small/Medium",0.8,$K687="Medium/Large",1.2,$K687="Large",1.6)
    ),
    ""
),
"")</f>
        <v/>
      </c>
      <c r="M687" s="474" t="str">
        <f t="shared" si="735"/>
        <v/>
      </c>
      <c r="N687" s="620" t="str" cm="1">
        <f t="array" aca="1" ref="N68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IF(AND(_xlpm.baseRow,ISNA(MATCH($C687,'Tree List'!$C$3:$C$601,0)),SUMPRODUCT(--ISNUMBER(SEARCH(Tables2!$C$677:$C$772,$O687)))&gt;0),
Error!$B$57,
IF(AND(_xlpm.hasDM,$F687="Remove",$H687&lt;&gt;"",OR($I687="On-site replacement",$I687="Off-site replacement",$I687="Payment In Lieu")),
Error!$B$56,
IF(AND(_xlpm.hasDM,$F687="Remove",$H687&lt;&gt;"",$I687="Relocation"),
Error!$B$66,
IF(AND(OR(_xlpm.hasCN,_xlpm.hasPH,_xlpm.hasGR),$H687&lt;&gt;"",COUNTIF(Tables!$B$132:$B$134,$H687)&gt;0,$I687="N/A (No replacement required)"),
Error!$B$62,
IF(AND(_xlpm.baseRow,$E687&lt;&gt;"",ISNA(MATCH($E687,Tables!$B$225:$B$232,0))),
Error!$B$2,
IF(AND(_xlpm.baseRow,$F687&lt;&gt;"",ISNA(MATCH($F687,Tables!$B$234:$B$235,0))),
Error!$B$24,
IF(AND(_xlpm.baseRow,_xlpm.ECA_H&gt;0,_xlpm.Shore_H&gt;0),
Error!$B$16,
IF(AND(_xlpm.baseRow,$E687&lt;&gt;"",$D687=""),
Error!$B$3,
IF(AND(_xlpm.baseRow,OR($E687="Tier 3",$E687="Tier 4"),$C687&lt;&gt;"",$D687&gt;=24,COUNTIF(Tables2!$B$166:$B$674,$C687)&gt;0),
Error!$B$44,
IF(AND(_xlpm.baseRow,OR($E687="Tier 3",$E687="Tier 4"),$C687&lt;&gt;"",$D687&lt;&gt;"",COUNTIF(Tables2!$B$73:$B$152,$C687)&gt;0,
$D687&gt;=IFERROR(INDEX(Tables2!$C$73:$C$152,MATCH($C687,Tables2!$B$73:$B$152,0)),-1)),
Error!$B$44,
IF(AND(_xlpm.baseRow,OR($E687="Tier 2",$E687="Tier 2 Grove"),$C687&lt;&gt;"",$D687&gt;=12,COUNTIF(Tables2!$B$153:$B$162,$C687)&gt;0),
Error!$B$45,
IF(AND(_xlpm.baseRow,$E687="Tier 2 Grove",$D687&lt;12),
Error!$B$41,
IF(AND(_xlpm.baseRow,$E687="Tier 2",$D687&lt;5.88),
Error!$B$40,
IF(AND(_xlpm.baseRow,OR($E687="Tier 2",$E687="Tier 2 Grove"),$C687&lt;&gt;"",$D687&lt;12,$D687&gt;=6,COUNTIF(Tables2!$B$153:$B$162,$C687)&gt;0),
Error!$B$54,
IF(AND(_xlpm.baseRow,$E687="Tier 2",COUNTIF(Tables2!$B$166:$B$674,$C687)&gt;0,$D687&lt;24),
Error!$B$54,
IF(AND(_xlpm.baseRow,$E687="Tier 3",ISNA(MATCH($C687,Tables2!$B$153:$B$162,0)),OR($D687&lt;12,$D687&gt;=24)),
Error!$B$9,
IF(AND(_xlpm.baseRow,$E687="Tier 3",COUNTIF(Tables2!$B$153:$B$162,$C687)&gt;0,$D687&lt;12),
Error!$B$46,
IF(AND(_xlpm.baseRow,$E687="Tier 4",OR($D687&lt;6,$D687&gt;=12)),
Error!$B$10,
IF(AND(_xlpm.baseRow,$E687="&lt;6in DSH for Tree Points",OR($D687&gt;=6,$D687="")),
Error!$B$8,
IF(AND(_xlpm.baseRow,$E687="Street Tree for Green Factor",$F687&lt;&gt;"",$F687&lt;&gt;"Retain"),
Error!$B$14,
IF(AND($E687="&lt;6in DSH for Tree Points",$F687="Retain",$H687&lt;&gt;"",ISNA(MATCH($H687,Tables!$B$174:$B$174,0))),
Error!$B$15,
IF(AND($E687="Street Tree for Green Factor",$F687="Retain",$H687&lt;&gt;"",$H687&lt;&gt;"Zoning: Green Factor"),
Error!$B$15,
IF(AND($E687="ECA / Shoreline Tree",$F687="Remove",$H687&lt;&gt;"",ISNA(MATCH($H687,Tables!$B$189:$B$190,0))),
Error!$B$15,
IF(AND($E687="ECA / Shoreline Tree",$F687="Retain",$H687&lt;&gt;"",ISNA(MATCH($H687,Tables!$B$184:$B$186,0))),
Error!$B$15,
IF(AND($E687="Tier 4",$F687="Remove",$H687&lt;&gt;"",ISNA(MATCH($H687,Tables!$B$171,0))),
Error!$B$15,
IF(AND($E687="Tier 4",$F687="Retain",$H687&lt;&gt;"",ISNA(MATCH($H687,Tables!$B$166:$B$168,0))),
Error!$B$15,
IF(AND($E687="Tier 3",$F687="Retain",$H687&lt;&gt;"",ISNA(MATCH($H687,Tables!$B$158:$B$160,0))),
Error!$B$15,
IF(AND($E687="Tier 3",$F687="Remove",$H687&lt;&gt;"",ISNA(MATCH($H687,Tables!$B$163,0))),
Error!$B$15,
IF(AND(OR($E687="Tier 2",$E687="Tier 2 Grove"),$F687="Remove",$H687&lt;&gt;"",ISNA(MATCH($H687,Tables!$B$153:$B$155,0))),
Error!$B$15,
IF(AND(OR($E687="Tier 2",$E687="Tier 2 Grove"),$F687="Retain",$H687&lt;&gt;"",ISNA(MATCH($H687,Tables!$B$147:$B$150,0))),
Error!$B$15,
IF(AND($E687="Tier 1",$F687="Remove",$H687&lt;&gt;"",ISNA(MATCH($H687,Tables!$B$143:$B$144,0))),
Error!$B$15,
IF(AND($E687="Tier 1",$F687="Retain",$H687&lt;&gt;"",ISNA(MATCH($H687,Tables!$B$137:$B$140,0))),
Error!$B$15,
IF(AND($E687&lt;&gt;"Tier 2",$E687&lt;&gt;"Tier 2 Grove",$E687&lt;&gt;"Tier 3",$E687&lt;&gt;"Tier 4",$H687="Zoning: Green Factor",OR($D687="",$D687&lt;6)),
Error!$B$11,
IF(AND(_xlpm.baseRow,$D687&lt;6,$E687="&lt;6in DSH for Tree Points",_xlpm.TreePoints_H=0),
Error!$B$21,
IF(AND(_xlpm.baseRow,$E687&lt;&gt;"",$D687&lt;&gt;"",$F687=""),
Error!$B$4,
IF(AND(_xlpm.baseRow,$F687="Remove",OR($E687="Tier 1",$E687="Tier 2",$E687="Tier 2 Grove"),COUNTBLANK(_xlpm.HRange)&lt;3,_xlpm.uniqueH&gt;=2),
Error!$B$48,
IF(AND(_xlpm.baseRow,$F687="Retain",OR($E687="Tier 1",$E687="Tier 2",$E687="Tier 2 Grove"),COUNTIF(_xlpm.HRange,"Tree Code: Required to Retain Tier 1-2 Tree")=0),
Error!$B$47,
IF(AND(_xlpm.baseRow,$E687&lt;&gt;"",$D687&lt;&gt;"",$F687&lt;&gt;"",COUNTBLANK(_xlpm.HRange)=4),
Error!$B$5,
IF(AND($F687="Remove",$H687&lt;&gt;"",$I687=""),
Error!$B$18,
IF(AND($E687="Tier 4",$F687="Remove",$H687="Tree Protection Code: Tier 3 or Tier 4 Allowance",$H687&lt;&gt;"",ISNA(MATCH($I687,Tables!$B$200,0))),
Error!$B$17,
IF(AND($E687="Tier 3",$F687="Remove",$H687&lt;&gt;"",$H687="Tree Protection Code: Tier 3 or Tier 4 Allowance",OR($I687="",ISNA(MATCH($I687,Tables!$B$193:$B$197,0)))),
Error!$B$17,
IF(AND(OR($E687="Tier 2",$E687="Tier 2 Grove"),$F687="Remove",$H687="Tree Protection Code: Other removal allowance or exemption",$I687&lt;&gt;"",ISNA(MATCH($I687,Tables!$B$215:$B$218,0))),
Error!$B$17,
IF(AND(OR($E687="Tier 2",$E687="Tier 2 Grove"),$F687="Remove",$H687="Tree Protection Code: Development Capacity",$I687&lt;&gt;"",ISNA(MATCH($I687,Tables!$B$193:$B$197,0))),
Error!$B$17,
IF(AND(OR($E687="Tier 2",$E687="Tier 2 Grove"),$F687="Remove",$H687="Tree Protection Code: Necessary for Construction",$I687&lt;&gt;"",ISNA(MATCH($I687,Tables!$B$193:$B$197,0))),
Error!$B$17,
IF(AND($E687="Tier 1",$F687="Remove",$H687="Tree Protection Code: Special Exception",$I687&lt;&gt;"",ISNA(MATCH($I687,Tables!$B$215:$B$218,0))),
Error!$B$17,
IF(AND($E687="Tier 1",$F687="Remove",$H687="Tree Protection Code: Other removal allowance or exemption",$I687&lt;&gt;"",ISNA(MATCH($I687,Tables!$B$215:$B$218,0))),
Error!$B$17,
IF(AND($E687="ECA / Shoreline Tree",$F687="Remove",$H687&lt;&gt;"",OR($H687="Shoreline",$H687="Environmental Critical Area (ECA)"),ISNA(MATCH($I687,Tables!$B$209:$B$212,0))),
Error!$B$17,
IF(AND(_xlpm.baseRow,$F687="Retain",$E687="ECA / Shoreline Tree",_xlpm.ECA_Short=0),
Error!$B$61,
IF(AND($F687="Remove",ISNUMBER(MATCH($E687,{"Tier 1","Tier 2","Tier 3","Tier 4","Tier 2 Grove"},0)),ISNUMBER(MATCH($I687,{"On-site replacement","Off-site replacement"},0)),$J687="",$H687&lt;&gt;""),
Error!$B$19,
IF(AND(_xlpm.baseRow,$E687&lt;&gt;"",$D687&lt;&gt;"",$F687&lt;&gt;"",COUNTBLANK($B687:$C687)&gt;0,COUNTBLANK(_xlpm.HRange)&lt;&gt;4),
Error!$B$22,
IF(AND($H687="Zoning: Tree Points",$K687&lt;&gt;"",ISNA(MATCH($K687,Tables!$B$242:$B$253,0))),
Error!$B$58,
IF(AND($H687="Zoning: Tree Points",$K687="Small",$L687&lt;&gt;"",ISNA(MATCH($L687,Tables!$C$243:$C$244,0))),
Error!$B$59,
IF(AND($H687="Zoning: Tree Points",$K687="Small/Medium",$L687&lt;&gt;"",ISNA(MATCH($L687,Tables!$C$246:$C$247,0))),
Error!$B$59,
IF(AND($H687="Zoning: Tree Points",$K687="Medium/Large",$L687&lt;&gt;"",ISNA(MATCH($L687,Tables!$C$249:$C$250,0))),
Error!$B$59,
IF(AND($H687="Zoning: Tree Points",$K687="Large",$L687&lt;&gt;"",ISNA(MATCH($L687,Tables!$C$252:$C$253,0))),
Error!$B$59,
IF(AND($F687="Retain",$H687="Zoning: Tree Points",$C687&lt;&gt;"",$D687&lt;&gt;"",OR($K687="",$L687="",$M687="")),
Error!$B$20,
""
)))))))))))))))))))))))))))))))))))))))))))))))))))))))),
Error!$B$23))</f>
        <v/>
      </c>
      <c r="O687" s="343" t="str" cm="1">
        <f t="array" aca="1" ref="O687" ca="1">IFERROR(_xlfn.LET(
    _xlpm.txt, $C687,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88" spans="1:15" x14ac:dyDescent="0.3">
      <c r="A688" s="320"/>
      <c r="B688" s="616" t="str">
        <f t="shared" ref="B688:B690" si="811">IF($B687="", "", $B687)</f>
        <v/>
      </c>
      <c r="C688" s="617" t="str">
        <f t="shared" ref="C688:C690" si="812">IF($C687="", "", $C687)</f>
        <v/>
      </c>
      <c r="D688" s="618" t="str">
        <f t="shared" ref="D688:D690" si="813">IF($D687="", "", $D687)</f>
        <v/>
      </c>
      <c r="E688" s="616" t="str">
        <f t="shared" ref="E688:E690" si="814">IF($E687="", "", $E687)</f>
        <v/>
      </c>
      <c r="F688" s="616" t="str">
        <f t="shared" ref="F688:F690" si="815">IF($F687="", "", $F687)</f>
        <v/>
      </c>
      <c r="G688" s="619" t="str">
        <f>IF(Tree_Table1[[#This Row],[Tree Status  &amp;]]="Retain", Tables!$B$237, IF(Tree_Table1[[#This Row],[Tree Status  &amp;]]="Remove", Tables!$B$238, ""))</f>
        <v/>
      </c>
      <c r="H688" s="321"/>
      <c r="I688" s="322"/>
      <c r="J688" s="453"/>
      <c r="K688" s="323" t="str">
        <f>IFERROR(
    IF(
        AND($H688="Zoning: Tree Points", NOT(ISNUMBER(SEARCH("sp.", $C688)))),
        VLOOKUP($C688, 'Tree List'!$C$3:$F$601, 4, FALSE),
        ""
    ),
"")</f>
        <v/>
      </c>
      <c r="L688" s="324" t="str" cm="1">
        <f t="array" ref="L688">IFERROR(
IF(
    AND($H688="Zoning: Tree Points", NOT(ISNUMBER(SEARCH("sp.", $C688)))),
    _xlfn.IFS(
        (COUNTIFS('Tree List'!$C$3:$C$601,$C688,'Tree List'!$D$3:$D$601,"Coniferous")
        + COUNTIFS('Tree List'!$C$3:$C$601,$C688,'Tree List'!$D$3:$D$601,"Deciduous Conifer")) &gt; 0,
            _xlfn.IFS($K688="Small",0.5,$K688="Small/Medium",1,$K688="Medium/Large",1.4,$K688="Large",1.8),
        (COUNTIFS('Tree List'!$C$3:$C$601,$C688,'Tree List'!$D$3:$D$601,"Deciduous")
        + COUNTIFS('Tree List'!$C$3:$C$601,$C688,'Tree List'!$D$3:$D$601,"Broadleaf Evergreen")) &gt; 0,
            _xlfn.IFS($K688="Small",0.4,$K688="Small/Medium",0.8,$K688="Medium/Large",1.2,$K688="Large",1.6)
    ),
    ""
),
"")</f>
        <v/>
      </c>
      <c r="M688" s="475" t="str">
        <f t="shared" si="735"/>
        <v/>
      </c>
      <c r="N688" s="346" t="str" cm="1">
        <f t="array" aca="1" ref="N68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IF(AND(_xlpm.baseRow,ISNA(MATCH($C688,'Tree List'!$C$3:$C$601,0)),SUMPRODUCT(--ISNUMBER(SEARCH(Tables2!$C$677:$C$772,$O688)))&gt;0),
Error!$B$57,
IF(AND(_xlpm.hasDM,$F688="Remove",$H688&lt;&gt;"",OR($I688="On-site replacement",$I688="Off-site replacement",$I688="Payment In Lieu")),
Error!$B$56,
IF(AND(_xlpm.hasDM,$F688="Remove",$H688&lt;&gt;"",$I688="Relocation"),
Error!$B$66,
IF(AND(OR(_xlpm.hasCN,_xlpm.hasPH,_xlpm.hasGR),$H688&lt;&gt;"",COUNTIF(Tables!$B$132:$B$134,$H688)&gt;0,$I688="N/A (No replacement required)"),
Error!$B$62,
IF(AND(_xlpm.baseRow,$E688&lt;&gt;"",ISNA(MATCH($E688,Tables!$B$225:$B$232,0))),
Error!$B$2,
IF(AND(_xlpm.baseRow,$F688&lt;&gt;"",ISNA(MATCH($F688,Tables!$B$234:$B$235,0))),
Error!$B$24,
IF(AND(_xlpm.baseRow,_xlpm.ECA_H&gt;0,_xlpm.Shore_H&gt;0),
Error!$B$16,
IF(AND(_xlpm.baseRow,$E688&lt;&gt;"",$D688=""),
Error!$B$3,
IF(AND(_xlpm.baseRow,OR($E688="Tier 3",$E688="Tier 4"),$C688&lt;&gt;"",$D688&gt;=24,COUNTIF(Tables2!$B$166:$B$674,$C688)&gt;0),
Error!$B$44,
IF(AND(_xlpm.baseRow,OR($E688="Tier 3",$E688="Tier 4"),$C688&lt;&gt;"",$D688&lt;&gt;"",COUNTIF(Tables2!$B$73:$B$152,$C688)&gt;0,
$D688&gt;=IFERROR(INDEX(Tables2!$C$73:$C$152,MATCH($C688,Tables2!$B$73:$B$152,0)),-1)),
Error!$B$44,
IF(AND(_xlpm.baseRow,OR($E688="Tier 2",$E688="Tier 2 Grove"),$C688&lt;&gt;"",$D688&gt;=12,COUNTIF(Tables2!$B$153:$B$162,$C688)&gt;0),
Error!$B$45,
IF(AND(_xlpm.baseRow,$E688="Tier 2 Grove",$D688&lt;12),
Error!$B$41,
IF(AND(_xlpm.baseRow,$E688="Tier 2",$D688&lt;5.88),
Error!$B$40,
IF(AND(_xlpm.baseRow,OR($E688="Tier 2",$E688="Tier 2 Grove"),$C688&lt;&gt;"",$D688&lt;12,$D688&gt;=6,COUNTIF(Tables2!$B$153:$B$162,$C688)&gt;0),
Error!$B$54,
IF(AND(_xlpm.baseRow,$E688="Tier 2",COUNTIF(Tables2!$B$166:$B$674,$C688)&gt;0,$D688&lt;24),
Error!$B$54,
IF(AND(_xlpm.baseRow,$E688="Tier 3",ISNA(MATCH($C688,Tables2!$B$153:$B$162,0)),OR($D688&lt;12,$D688&gt;=24)),
Error!$B$9,
IF(AND(_xlpm.baseRow,$E688="Tier 3",COUNTIF(Tables2!$B$153:$B$162,$C688)&gt;0,$D688&lt;12),
Error!$B$46,
IF(AND(_xlpm.baseRow,$E688="Tier 4",OR($D688&lt;6,$D688&gt;=12)),
Error!$B$10,
IF(AND(_xlpm.baseRow,$E688="&lt;6in DSH for Tree Points",OR($D688&gt;=6,$D688="")),
Error!$B$8,
IF(AND(_xlpm.baseRow,$E688="Street Tree for Green Factor",$F688&lt;&gt;"",$F688&lt;&gt;"Retain"),
Error!$B$14,
IF(AND($E688="&lt;6in DSH for Tree Points",$F688="Retain",$H688&lt;&gt;"",ISNA(MATCH($H688,Tables!$B$174:$B$174,0))),
Error!$B$15,
IF(AND($E688="Street Tree for Green Factor",$F688="Retain",$H688&lt;&gt;"",$H688&lt;&gt;"Zoning: Green Factor"),
Error!$B$15,
IF(AND($E688="ECA / Shoreline Tree",$F688="Remove",$H688&lt;&gt;"",ISNA(MATCH($H688,Tables!$B$189:$B$190,0))),
Error!$B$15,
IF(AND($E688="ECA / Shoreline Tree",$F688="Retain",$H688&lt;&gt;"",ISNA(MATCH($H688,Tables!$B$184:$B$186,0))),
Error!$B$15,
IF(AND($E688="Tier 4",$F688="Remove",$H688&lt;&gt;"",ISNA(MATCH($H688,Tables!$B$171,0))),
Error!$B$15,
IF(AND($E688="Tier 4",$F688="Retain",$H688&lt;&gt;"",ISNA(MATCH($H688,Tables!$B$166:$B$168,0))),
Error!$B$15,
IF(AND($E688="Tier 3",$F688="Retain",$H688&lt;&gt;"",ISNA(MATCH($H688,Tables!$B$158:$B$160,0))),
Error!$B$15,
IF(AND($E688="Tier 3",$F688="Remove",$H688&lt;&gt;"",ISNA(MATCH($H688,Tables!$B$163,0))),
Error!$B$15,
IF(AND(OR($E688="Tier 2",$E688="Tier 2 Grove"),$F688="Remove",$H688&lt;&gt;"",ISNA(MATCH($H688,Tables!$B$153:$B$155,0))),
Error!$B$15,
IF(AND(OR($E688="Tier 2",$E688="Tier 2 Grove"),$F688="Retain",$H688&lt;&gt;"",ISNA(MATCH($H688,Tables!$B$147:$B$150,0))),
Error!$B$15,
IF(AND($E688="Tier 1",$F688="Remove",$H688&lt;&gt;"",ISNA(MATCH($H688,Tables!$B$143:$B$144,0))),
Error!$B$15,
IF(AND($E688="Tier 1",$F688="Retain",$H688&lt;&gt;"",ISNA(MATCH($H688,Tables!$B$137:$B$140,0))),
Error!$B$15,
IF(AND($E688&lt;&gt;"Tier 2",$E688&lt;&gt;"Tier 2 Grove",$E688&lt;&gt;"Tier 3",$E688&lt;&gt;"Tier 4",$H688="Zoning: Green Factor",OR($D688="",$D688&lt;6)),
Error!$B$11,
IF(AND(_xlpm.baseRow,$D688&lt;6,$E688="&lt;6in DSH for Tree Points",_xlpm.TreePoints_H=0),
Error!$B$21,
IF(AND(_xlpm.baseRow,$E688&lt;&gt;"",$D688&lt;&gt;"",$F688=""),
Error!$B$4,
IF(AND(_xlpm.baseRow,$F688="Remove",OR($E688="Tier 1",$E688="Tier 2",$E688="Tier 2 Grove"),COUNTBLANK(_xlpm.HRange)&lt;3,_xlpm.uniqueH&gt;=2),
Error!$B$48,
IF(AND(_xlpm.baseRow,$F688="Retain",OR($E688="Tier 1",$E688="Tier 2",$E688="Tier 2 Grove"),COUNTIF(_xlpm.HRange,"Tree Code: Required to Retain Tier 1-2 Tree")=0),
Error!$B$47,
IF(AND(_xlpm.baseRow,$E688&lt;&gt;"",$D688&lt;&gt;"",$F688&lt;&gt;"",COUNTBLANK(_xlpm.HRange)=4),
Error!$B$5,
IF(AND($F688="Remove",$H688&lt;&gt;"",$I688=""),
Error!$B$18,
IF(AND($E688="Tier 4",$F688="Remove",$H688="Tree Protection Code: Tier 3 or Tier 4 Allowance",$H688&lt;&gt;"",ISNA(MATCH($I688,Tables!$B$200,0))),
Error!$B$17,
IF(AND($E688="Tier 3",$F688="Remove",$H688&lt;&gt;"",$H688="Tree Protection Code: Tier 3 or Tier 4 Allowance",OR($I688="",ISNA(MATCH($I688,Tables!$B$193:$B$197,0)))),
Error!$B$17,
IF(AND(OR($E688="Tier 2",$E688="Tier 2 Grove"),$F688="Remove",$H688="Tree Protection Code: Other removal allowance or exemption",$I688&lt;&gt;"",ISNA(MATCH($I688,Tables!$B$215:$B$218,0))),
Error!$B$17,
IF(AND(OR($E688="Tier 2",$E688="Tier 2 Grove"),$F688="Remove",$H688="Tree Protection Code: Development Capacity",$I688&lt;&gt;"",ISNA(MATCH($I688,Tables!$B$193:$B$197,0))),
Error!$B$17,
IF(AND(OR($E688="Tier 2",$E688="Tier 2 Grove"),$F688="Remove",$H688="Tree Protection Code: Necessary for Construction",$I688&lt;&gt;"",ISNA(MATCH($I688,Tables!$B$193:$B$197,0))),
Error!$B$17,
IF(AND($E688="Tier 1",$F688="Remove",$H688="Tree Protection Code: Special Exception",$I688&lt;&gt;"",ISNA(MATCH($I688,Tables!$B$215:$B$218,0))),
Error!$B$17,
IF(AND($E688="Tier 1",$F688="Remove",$H688="Tree Protection Code: Other removal allowance or exemption",$I688&lt;&gt;"",ISNA(MATCH($I688,Tables!$B$215:$B$218,0))),
Error!$B$17,
IF(AND($E688="ECA / Shoreline Tree",$F688="Remove",$H688&lt;&gt;"",OR($H688="Shoreline",$H688="Environmental Critical Area (ECA)"),ISNA(MATCH($I688,Tables!$B$209:$B$212,0))),
Error!$B$17,
IF(AND(_xlpm.baseRow,$F688="Retain",$E688="ECA / Shoreline Tree",_xlpm.ECA_Short=0),
Error!$B$61,
IF(AND($F688="Remove",ISNUMBER(MATCH($E688,{"Tier 1","Tier 2","Tier 3","Tier 4","Tier 2 Grove"},0)),ISNUMBER(MATCH($I688,{"On-site replacement","Off-site replacement"},0)),$J688="",$H688&lt;&gt;""),
Error!$B$19,
IF(AND(_xlpm.baseRow,$E688&lt;&gt;"",$D688&lt;&gt;"",$F688&lt;&gt;"",COUNTBLANK($B688:$C688)&gt;0,COUNTBLANK(_xlpm.HRange)&lt;&gt;4),
Error!$B$22,
IF(AND($H688="Zoning: Tree Points",$K688&lt;&gt;"",ISNA(MATCH($K688,Tables!$B$242:$B$253,0))),
Error!$B$58,
IF(AND($H688="Zoning: Tree Points",$K688="Small",$L688&lt;&gt;"",ISNA(MATCH($L688,Tables!$C$243:$C$244,0))),
Error!$B$59,
IF(AND($H688="Zoning: Tree Points",$K688="Small/Medium",$L688&lt;&gt;"",ISNA(MATCH($L688,Tables!$C$246:$C$247,0))),
Error!$B$59,
IF(AND($H688="Zoning: Tree Points",$K688="Medium/Large",$L688&lt;&gt;"",ISNA(MATCH($L688,Tables!$C$249:$C$250,0))),
Error!$B$59,
IF(AND($H688="Zoning: Tree Points",$K688="Large",$L688&lt;&gt;"",ISNA(MATCH($L688,Tables!$C$252:$C$253,0))),
Error!$B$59,
IF(AND($F688="Retain",$H688="Zoning: Tree Points",$C688&lt;&gt;"",$D688&lt;&gt;"",OR($K688="",$L688="",$M688="")),
Error!$B$20,
""
)))))))))))))))))))))))))))))))))))))))))))))))))))))))),
Error!$B$23))</f>
        <v/>
      </c>
      <c r="O688" s="343" t="str" cm="1">
        <f t="array" aca="1" ref="O688" ca="1">IFERROR(_xlfn.LET(
    _xlpm.txt, $C688,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89" spans="1:15" x14ac:dyDescent="0.3">
      <c r="A689" s="320"/>
      <c r="B689" s="616" t="str">
        <f t="shared" si="811"/>
        <v/>
      </c>
      <c r="C689" s="617" t="str">
        <f t="shared" si="812"/>
        <v/>
      </c>
      <c r="D689" s="618" t="str">
        <f t="shared" si="813"/>
        <v/>
      </c>
      <c r="E689" s="616" t="str">
        <f t="shared" si="814"/>
        <v/>
      </c>
      <c r="F689" s="616" t="str">
        <f t="shared" si="815"/>
        <v/>
      </c>
      <c r="G689" s="619" t="str">
        <f>IF(Tree_Table1[[#This Row],[Tree Status  &amp;]]="Retain", Tables!$B$237, IF(Tree_Table1[[#This Row],[Tree Status  &amp;]]="Remove", Tables!$B$238, ""))</f>
        <v/>
      </c>
      <c r="H689" s="321"/>
      <c r="I689" s="322"/>
      <c r="J689" s="453"/>
      <c r="K689" s="323" t="str">
        <f>IFERROR(
    IF(
        AND($H689="Zoning: Tree Points", NOT(ISNUMBER(SEARCH("sp.", $C689)))),
        VLOOKUP($C689, 'Tree List'!$C$3:$F$601, 4, FALSE),
        ""
    ),
"")</f>
        <v/>
      </c>
      <c r="L689" s="324" t="str" cm="1">
        <f t="array" ref="L689">IFERROR(
IF(
    AND($H689="Zoning: Tree Points", NOT(ISNUMBER(SEARCH("sp.", $C689)))),
    _xlfn.IFS(
        (COUNTIFS('Tree List'!$C$3:$C$601,$C689,'Tree List'!$D$3:$D$601,"Coniferous")
        + COUNTIFS('Tree List'!$C$3:$C$601,$C689,'Tree List'!$D$3:$D$601,"Deciduous Conifer")) &gt; 0,
            _xlfn.IFS($K689="Small",0.5,$K689="Small/Medium",1,$K689="Medium/Large",1.4,$K689="Large",1.8),
        (COUNTIFS('Tree List'!$C$3:$C$601,$C689,'Tree List'!$D$3:$D$601,"Deciduous")
        + COUNTIFS('Tree List'!$C$3:$C$601,$C689,'Tree List'!$D$3:$D$601,"Broadleaf Evergreen")) &gt; 0,
            _xlfn.IFS($K689="Small",0.4,$K689="Small/Medium",0.8,$K689="Medium/Large",1.2,$K689="Large",1.6)
    ),
    ""
),
"")</f>
        <v/>
      </c>
      <c r="M689" s="475" t="str">
        <f t="shared" si="735"/>
        <v/>
      </c>
      <c r="N689" s="346" t="str" cm="1">
        <f t="array" aca="1" ref="N68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IF(AND(_xlpm.baseRow,ISNA(MATCH($C689,'Tree List'!$C$3:$C$601,0)),SUMPRODUCT(--ISNUMBER(SEARCH(Tables2!$C$677:$C$772,$O689)))&gt;0),
Error!$B$57,
IF(AND(_xlpm.hasDM,$F689="Remove",$H689&lt;&gt;"",OR($I689="On-site replacement",$I689="Off-site replacement",$I689="Payment In Lieu")),
Error!$B$56,
IF(AND(_xlpm.hasDM,$F689="Remove",$H689&lt;&gt;"",$I689="Relocation"),
Error!$B$66,
IF(AND(OR(_xlpm.hasCN,_xlpm.hasPH,_xlpm.hasGR),$H689&lt;&gt;"",COUNTIF(Tables!$B$132:$B$134,$H689)&gt;0,$I689="N/A (No replacement required)"),
Error!$B$62,
IF(AND(_xlpm.baseRow,$E689&lt;&gt;"",ISNA(MATCH($E689,Tables!$B$225:$B$232,0))),
Error!$B$2,
IF(AND(_xlpm.baseRow,$F689&lt;&gt;"",ISNA(MATCH($F689,Tables!$B$234:$B$235,0))),
Error!$B$24,
IF(AND(_xlpm.baseRow,_xlpm.ECA_H&gt;0,_xlpm.Shore_H&gt;0),
Error!$B$16,
IF(AND(_xlpm.baseRow,$E689&lt;&gt;"",$D689=""),
Error!$B$3,
IF(AND(_xlpm.baseRow,OR($E689="Tier 3",$E689="Tier 4"),$C689&lt;&gt;"",$D689&gt;=24,COUNTIF(Tables2!$B$166:$B$674,$C689)&gt;0),
Error!$B$44,
IF(AND(_xlpm.baseRow,OR($E689="Tier 3",$E689="Tier 4"),$C689&lt;&gt;"",$D689&lt;&gt;"",COUNTIF(Tables2!$B$73:$B$152,$C689)&gt;0,
$D689&gt;=IFERROR(INDEX(Tables2!$C$73:$C$152,MATCH($C689,Tables2!$B$73:$B$152,0)),-1)),
Error!$B$44,
IF(AND(_xlpm.baseRow,OR($E689="Tier 2",$E689="Tier 2 Grove"),$C689&lt;&gt;"",$D689&gt;=12,COUNTIF(Tables2!$B$153:$B$162,$C689)&gt;0),
Error!$B$45,
IF(AND(_xlpm.baseRow,$E689="Tier 2 Grove",$D689&lt;12),
Error!$B$41,
IF(AND(_xlpm.baseRow,$E689="Tier 2",$D689&lt;5.88),
Error!$B$40,
IF(AND(_xlpm.baseRow,OR($E689="Tier 2",$E689="Tier 2 Grove"),$C689&lt;&gt;"",$D689&lt;12,$D689&gt;=6,COUNTIF(Tables2!$B$153:$B$162,$C689)&gt;0),
Error!$B$54,
IF(AND(_xlpm.baseRow,$E689="Tier 2",COUNTIF(Tables2!$B$166:$B$674,$C689)&gt;0,$D689&lt;24),
Error!$B$54,
IF(AND(_xlpm.baseRow,$E689="Tier 3",ISNA(MATCH($C689,Tables2!$B$153:$B$162,0)),OR($D689&lt;12,$D689&gt;=24)),
Error!$B$9,
IF(AND(_xlpm.baseRow,$E689="Tier 3",COUNTIF(Tables2!$B$153:$B$162,$C689)&gt;0,$D689&lt;12),
Error!$B$46,
IF(AND(_xlpm.baseRow,$E689="Tier 4",OR($D689&lt;6,$D689&gt;=12)),
Error!$B$10,
IF(AND(_xlpm.baseRow,$E689="&lt;6in DSH for Tree Points",OR($D689&gt;=6,$D689="")),
Error!$B$8,
IF(AND(_xlpm.baseRow,$E689="Street Tree for Green Factor",$F689&lt;&gt;"",$F689&lt;&gt;"Retain"),
Error!$B$14,
IF(AND($E689="&lt;6in DSH for Tree Points",$F689="Retain",$H689&lt;&gt;"",ISNA(MATCH($H689,Tables!$B$174:$B$174,0))),
Error!$B$15,
IF(AND($E689="Street Tree for Green Factor",$F689="Retain",$H689&lt;&gt;"",$H689&lt;&gt;"Zoning: Green Factor"),
Error!$B$15,
IF(AND($E689="ECA / Shoreline Tree",$F689="Remove",$H689&lt;&gt;"",ISNA(MATCH($H689,Tables!$B$189:$B$190,0))),
Error!$B$15,
IF(AND($E689="ECA / Shoreline Tree",$F689="Retain",$H689&lt;&gt;"",ISNA(MATCH($H689,Tables!$B$184:$B$186,0))),
Error!$B$15,
IF(AND($E689="Tier 4",$F689="Remove",$H689&lt;&gt;"",ISNA(MATCH($H689,Tables!$B$171,0))),
Error!$B$15,
IF(AND($E689="Tier 4",$F689="Retain",$H689&lt;&gt;"",ISNA(MATCH($H689,Tables!$B$166:$B$168,0))),
Error!$B$15,
IF(AND($E689="Tier 3",$F689="Retain",$H689&lt;&gt;"",ISNA(MATCH($H689,Tables!$B$158:$B$160,0))),
Error!$B$15,
IF(AND($E689="Tier 3",$F689="Remove",$H689&lt;&gt;"",ISNA(MATCH($H689,Tables!$B$163,0))),
Error!$B$15,
IF(AND(OR($E689="Tier 2",$E689="Tier 2 Grove"),$F689="Remove",$H689&lt;&gt;"",ISNA(MATCH($H689,Tables!$B$153:$B$155,0))),
Error!$B$15,
IF(AND(OR($E689="Tier 2",$E689="Tier 2 Grove"),$F689="Retain",$H689&lt;&gt;"",ISNA(MATCH($H689,Tables!$B$147:$B$150,0))),
Error!$B$15,
IF(AND($E689="Tier 1",$F689="Remove",$H689&lt;&gt;"",ISNA(MATCH($H689,Tables!$B$143:$B$144,0))),
Error!$B$15,
IF(AND($E689="Tier 1",$F689="Retain",$H689&lt;&gt;"",ISNA(MATCH($H689,Tables!$B$137:$B$140,0))),
Error!$B$15,
IF(AND($E689&lt;&gt;"Tier 2",$E689&lt;&gt;"Tier 2 Grove",$E689&lt;&gt;"Tier 3",$E689&lt;&gt;"Tier 4",$H689="Zoning: Green Factor",OR($D689="",$D689&lt;6)),
Error!$B$11,
IF(AND(_xlpm.baseRow,$D689&lt;6,$E689="&lt;6in DSH for Tree Points",_xlpm.TreePoints_H=0),
Error!$B$21,
IF(AND(_xlpm.baseRow,$E689&lt;&gt;"",$D689&lt;&gt;"",$F689=""),
Error!$B$4,
IF(AND(_xlpm.baseRow,$F689="Remove",OR($E689="Tier 1",$E689="Tier 2",$E689="Tier 2 Grove"),COUNTBLANK(_xlpm.HRange)&lt;3,_xlpm.uniqueH&gt;=2),
Error!$B$48,
IF(AND(_xlpm.baseRow,$F689="Retain",OR($E689="Tier 1",$E689="Tier 2",$E689="Tier 2 Grove"),COUNTIF(_xlpm.HRange,"Tree Code: Required to Retain Tier 1-2 Tree")=0),
Error!$B$47,
IF(AND(_xlpm.baseRow,$E689&lt;&gt;"",$D689&lt;&gt;"",$F689&lt;&gt;"",COUNTBLANK(_xlpm.HRange)=4),
Error!$B$5,
IF(AND($F689="Remove",$H689&lt;&gt;"",$I689=""),
Error!$B$18,
IF(AND($E689="Tier 4",$F689="Remove",$H689="Tree Protection Code: Tier 3 or Tier 4 Allowance",$H689&lt;&gt;"",ISNA(MATCH($I689,Tables!$B$200,0))),
Error!$B$17,
IF(AND($E689="Tier 3",$F689="Remove",$H689&lt;&gt;"",$H689="Tree Protection Code: Tier 3 or Tier 4 Allowance",OR($I689="",ISNA(MATCH($I689,Tables!$B$193:$B$197,0)))),
Error!$B$17,
IF(AND(OR($E689="Tier 2",$E689="Tier 2 Grove"),$F689="Remove",$H689="Tree Protection Code: Other removal allowance or exemption",$I689&lt;&gt;"",ISNA(MATCH($I689,Tables!$B$215:$B$218,0))),
Error!$B$17,
IF(AND(OR($E689="Tier 2",$E689="Tier 2 Grove"),$F689="Remove",$H689="Tree Protection Code: Development Capacity",$I689&lt;&gt;"",ISNA(MATCH($I689,Tables!$B$193:$B$197,0))),
Error!$B$17,
IF(AND(OR($E689="Tier 2",$E689="Tier 2 Grove"),$F689="Remove",$H689="Tree Protection Code: Necessary for Construction",$I689&lt;&gt;"",ISNA(MATCH($I689,Tables!$B$193:$B$197,0))),
Error!$B$17,
IF(AND($E689="Tier 1",$F689="Remove",$H689="Tree Protection Code: Special Exception",$I689&lt;&gt;"",ISNA(MATCH($I689,Tables!$B$215:$B$218,0))),
Error!$B$17,
IF(AND($E689="Tier 1",$F689="Remove",$H689="Tree Protection Code: Other removal allowance or exemption",$I689&lt;&gt;"",ISNA(MATCH($I689,Tables!$B$215:$B$218,0))),
Error!$B$17,
IF(AND($E689="ECA / Shoreline Tree",$F689="Remove",$H689&lt;&gt;"",OR($H689="Shoreline",$H689="Environmental Critical Area (ECA)"),ISNA(MATCH($I689,Tables!$B$209:$B$212,0))),
Error!$B$17,
IF(AND(_xlpm.baseRow,$F689="Retain",$E689="ECA / Shoreline Tree",_xlpm.ECA_Short=0),
Error!$B$61,
IF(AND($F689="Remove",ISNUMBER(MATCH($E689,{"Tier 1","Tier 2","Tier 3","Tier 4","Tier 2 Grove"},0)),ISNUMBER(MATCH($I689,{"On-site replacement","Off-site replacement"},0)),$J689="",$H689&lt;&gt;""),
Error!$B$19,
IF(AND(_xlpm.baseRow,$E689&lt;&gt;"",$D689&lt;&gt;"",$F689&lt;&gt;"",COUNTBLANK($B689:$C689)&gt;0,COUNTBLANK(_xlpm.HRange)&lt;&gt;4),
Error!$B$22,
IF(AND($H689="Zoning: Tree Points",$K689&lt;&gt;"",ISNA(MATCH($K689,Tables!$B$242:$B$253,0))),
Error!$B$58,
IF(AND($H689="Zoning: Tree Points",$K689="Small",$L689&lt;&gt;"",ISNA(MATCH($L689,Tables!$C$243:$C$244,0))),
Error!$B$59,
IF(AND($H689="Zoning: Tree Points",$K689="Small/Medium",$L689&lt;&gt;"",ISNA(MATCH($L689,Tables!$C$246:$C$247,0))),
Error!$B$59,
IF(AND($H689="Zoning: Tree Points",$K689="Medium/Large",$L689&lt;&gt;"",ISNA(MATCH($L689,Tables!$C$249:$C$250,0))),
Error!$B$59,
IF(AND($H689="Zoning: Tree Points",$K689="Large",$L689&lt;&gt;"",ISNA(MATCH($L689,Tables!$C$252:$C$253,0))),
Error!$B$59,
IF(AND($F689="Retain",$H689="Zoning: Tree Points",$C689&lt;&gt;"",$D689&lt;&gt;"",OR($K689="",$L689="",$M689="")),
Error!$B$20,
""
)))))))))))))))))))))))))))))))))))))))))))))))))))))))),
Error!$B$23))</f>
        <v/>
      </c>
      <c r="O689" s="343" t="str" cm="1">
        <f t="array" aca="1" ref="O689" ca="1">IFERROR(_xlfn.LET(
    _xlpm.txt, $C689,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90" spans="1:15" ht="15" thickBot="1" x14ac:dyDescent="0.35">
      <c r="A690" s="331"/>
      <c r="B690" s="616" t="str">
        <f t="shared" si="811"/>
        <v/>
      </c>
      <c r="C690" s="617" t="str">
        <f t="shared" si="812"/>
        <v/>
      </c>
      <c r="D690" s="618" t="str">
        <f t="shared" si="813"/>
        <v/>
      </c>
      <c r="E690" s="616" t="str">
        <f t="shared" si="814"/>
        <v/>
      </c>
      <c r="F690" s="616" t="str">
        <f t="shared" si="815"/>
        <v/>
      </c>
      <c r="G690" s="619" t="str">
        <f>IF(Tree_Table1[[#This Row],[Tree Status  &amp;]]="Retain", Tables!$B$237, IF(Tree_Table1[[#This Row],[Tree Status  &amp;]]="Remove", Tables!$B$238, ""))</f>
        <v/>
      </c>
      <c r="H690" s="329"/>
      <c r="I690" s="330"/>
      <c r="J690" s="455"/>
      <c r="K690" s="327" t="str">
        <f>IFERROR(
    IF(
        AND($H690="Zoning: Tree Points", NOT(ISNUMBER(SEARCH("sp.", $C690)))),
        VLOOKUP($C690, 'Tree List'!$C$3:$F$601, 4, FALSE),
        ""
    ),
"")</f>
        <v/>
      </c>
      <c r="L690" s="328" t="str" cm="1">
        <f t="array" ref="L690">IFERROR(
IF(
    AND($H690="Zoning: Tree Points", NOT(ISNUMBER(SEARCH("sp.", $C690)))),
    _xlfn.IFS(
        (COUNTIFS('Tree List'!$C$3:$C$601,$C690,'Tree List'!$D$3:$D$601,"Coniferous")
        + COUNTIFS('Tree List'!$C$3:$C$601,$C690,'Tree List'!$D$3:$D$601,"Deciduous Conifer")) &gt; 0,
            _xlfn.IFS($K690="Small",0.5,$K690="Small/Medium",1,$K690="Medium/Large",1.4,$K690="Large",1.8),
        (COUNTIFS('Tree List'!$C$3:$C$601,$C690,'Tree List'!$D$3:$D$601,"Deciduous")
        + COUNTIFS('Tree List'!$C$3:$C$601,$C690,'Tree List'!$D$3:$D$601,"Broadleaf Evergreen")) &gt; 0,
            _xlfn.IFS($K690="Small",0.4,$K690="Small/Medium",0.8,$K690="Medium/Large",1.2,$K690="Large",1.6)
    ),
    ""
),
"")</f>
        <v/>
      </c>
      <c r="M690" s="476" t="str">
        <f t="shared" si="735"/>
        <v/>
      </c>
      <c r="N690" s="347" t="str" cm="1">
        <f t="array" aca="1" ref="N69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IF(AND(_xlpm.baseRow,ISNA(MATCH($C690,'Tree List'!$C$3:$C$601,0)),SUMPRODUCT(--ISNUMBER(SEARCH(Tables2!$C$677:$C$772,$O690)))&gt;0),
Error!$B$57,
IF(AND(_xlpm.hasDM,$F690="Remove",$H690&lt;&gt;"",OR($I690="On-site replacement",$I690="Off-site replacement",$I690="Payment In Lieu")),
Error!$B$56,
IF(AND(_xlpm.hasDM,$F690="Remove",$H690&lt;&gt;"",$I690="Relocation"),
Error!$B$66,
IF(AND(OR(_xlpm.hasCN,_xlpm.hasPH,_xlpm.hasGR),$H690&lt;&gt;"",COUNTIF(Tables!$B$132:$B$134,$H690)&gt;0,$I690="N/A (No replacement required)"),
Error!$B$62,
IF(AND(_xlpm.baseRow,$E690&lt;&gt;"",ISNA(MATCH($E690,Tables!$B$225:$B$232,0))),
Error!$B$2,
IF(AND(_xlpm.baseRow,$F690&lt;&gt;"",ISNA(MATCH($F690,Tables!$B$234:$B$235,0))),
Error!$B$24,
IF(AND(_xlpm.baseRow,_xlpm.ECA_H&gt;0,_xlpm.Shore_H&gt;0),
Error!$B$16,
IF(AND(_xlpm.baseRow,$E690&lt;&gt;"",$D690=""),
Error!$B$3,
IF(AND(_xlpm.baseRow,OR($E690="Tier 3",$E690="Tier 4"),$C690&lt;&gt;"",$D690&gt;=24,COUNTIF(Tables2!$B$166:$B$674,$C690)&gt;0),
Error!$B$44,
IF(AND(_xlpm.baseRow,OR($E690="Tier 3",$E690="Tier 4"),$C690&lt;&gt;"",$D690&lt;&gt;"",COUNTIF(Tables2!$B$73:$B$152,$C690)&gt;0,
$D690&gt;=IFERROR(INDEX(Tables2!$C$73:$C$152,MATCH($C690,Tables2!$B$73:$B$152,0)),-1)),
Error!$B$44,
IF(AND(_xlpm.baseRow,OR($E690="Tier 2",$E690="Tier 2 Grove"),$C690&lt;&gt;"",$D690&gt;=12,COUNTIF(Tables2!$B$153:$B$162,$C690)&gt;0),
Error!$B$45,
IF(AND(_xlpm.baseRow,$E690="Tier 2 Grove",$D690&lt;12),
Error!$B$41,
IF(AND(_xlpm.baseRow,$E690="Tier 2",$D690&lt;5.88),
Error!$B$40,
IF(AND(_xlpm.baseRow,OR($E690="Tier 2",$E690="Tier 2 Grove"),$C690&lt;&gt;"",$D690&lt;12,$D690&gt;=6,COUNTIF(Tables2!$B$153:$B$162,$C690)&gt;0),
Error!$B$54,
IF(AND(_xlpm.baseRow,$E690="Tier 2",COUNTIF(Tables2!$B$166:$B$674,$C690)&gt;0,$D690&lt;24),
Error!$B$54,
IF(AND(_xlpm.baseRow,$E690="Tier 3",ISNA(MATCH($C690,Tables2!$B$153:$B$162,0)),OR($D690&lt;12,$D690&gt;=24)),
Error!$B$9,
IF(AND(_xlpm.baseRow,$E690="Tier 3",COUNTIF(Tables2!$B$153:$B$162,$C690)&gt;0,$D690&lt;12),
Error!$B$46,
IF(AND(_xlpm.baseRow,$E690="Tier 4",OR($D690&lt;6,$D690&gt;=12)),
Error!$B$10,
IF(AND(_xlpm.baseRow,$E690="&lt;6in DSH for Tree Points",OR($D690&gt;=6,$D690="")),
Error!$B$8,
IF(AND(_xlpm.baseRow,$E690="Street Tree for Green Factor",$F690&lt;&gt;"",$F690&lt;&gt;"Retain"),
Error!$B$14,
IF(AND($E690="&lt;6in DSH for Tree Points",$F690="Retain",$H690&lt;&gt;"",ISNA(MATCH($H690,Tables!$B$174:$B$174,0))),
Error!$B$15,
IF(AND($E690="Street Tree for Green Factor",$F690="Retain",$H690&lt;&gt;"",$H690&lt;&gt;"Zoning: Green Factor"),
Error!$B$15,
IF(AND($E690="ECA / Shoreline Tree",$F690="Remove",$H690&lt;&gt;"",ISNA(MATCH($H690,Tables!$B$189:$B$190,0))),
Error!$B$15,
IF(AND($E690="ECA / Shoreline Tree",$F690="Retain",$H690&lt;&gt;"",ISNA(MATCH($H690,Tables!$B$184:$B$186,0))),
Error!$B$15,
IF(AND($E690="Tier 4",$F690="Remove",$H690&lt;&gt;"",ISNA(MATCH($H690,Tables!$B$171,0))),
Error!$B$15,
IF(AND($E690="Tier 4",$F690="Retain",$H690&lt;&gt;"",ISNA(MATCH($H690,Tables!$B$166:$B$168,0))),
Error!$B$15,
IF(AND($E690="Tier 3",$F690="Retain",$H690&lt;&gt;"",ISNA(MATCH($H690,Tables!$B$158:$B$160,0))),
Error!$B$15,
IF(AND($E690="Tier 3",$F690="Remove",$H690&lt;&gt;"",ISNA(MATCH($H690,Tables!$B$163,0))),
Error!$B$15,
IF(AND(OR($E690="Tier 2",$E690="Tier 2 Grove"),$F690="Remove",$H690&lt;&gt;"",ISNA(MATCH($H690,Tables!$B$153:$B$155,0))),
Error!$B$15,
IF(AND(OR($E690="Tier 2",$E690="Tier 2 Grove"),$F690="Retain",$H690&lt;&gt;"",ISNA(MATCH($H690,Tables!$B$147:$B$150,0))),
Error!$B$15,
IF(AND($E690="Tier 1",$F690="Remove",$H690&lt;&gt;"",ISNA(MATCH($H690,Tables!$B$143:$B$144,0))),
Error!$B$15,
IF(AND($E690="Tier 1",$F690="Retain",$H690&lt;&gt;"",ISNA(MATCH($H690,Tables!$B$137:$B$140,0))),
Error!$B$15,
IF(AND($E690&lt;&gt;"Tier 2",$E690&lt;&gt;"Tier 2 Grove",$E690&lt;&gt;"Tier 3",$E690&lt;&gt;"Tier 4",$H690="Zoning: Green Factor",OR($D690="",$D690&lt;6)),
Error!$B$11,
IF(AND(_xlpm.baseRow,$D690&lt;6,$E690="&lt;6in DSH for Tree Points",_xlpm.TreePoints_H=0),
Error!$B$21,
IF(AND(_xlpm.baseRow,$E690&lt;&gt;"",$D690&lt;&gt;"",$F690=""),
Error!$B$4,
IF(AND(_xlpm.baseRow,$F690="Remove",OR($E690="Tier 1",$E690="Tier 2",$E690="Tier 2 Grove"),COUNTBLANK(_xlpm.HRange)&lt;3,_xlpm.uniqueH&gt;=2),
Error!$B$48,
IF(AND(_xlpm.baseRow,$F690="Retain",OR($E690="Tier 1",$E690="Tier 2",$E690="Tier 2 Grove"),COUNTIF(_xlpm.HRange,"Tree Code: Required to Retain Tier 1-2 Tree")=0),
Error!$B$47,
IF(AND(_xlpm.baseRow,$E690&lt;&gt;"",$D690&lt;&gt;"",$F690&lt;&gt;"",COUNTBLANK(_xlpm.HRange)=4),
Error!$B$5,
IF(AND($F690="Remove",$H690&lt;&gt;"",$I690=""),
Error!$B$18,
IF(AND($E690="Tier 4",$F690="Remove",$H690="Tree Protection Code: Tier 3 or Tier 4 Allowance",$H690&lt;&gt;"",ISNA(MATCH($I690,Tables!$B$200,0))),
Error!$B$17,
IF(AND($E690="Tier 3",$F690="Remove",$H690&lt;&gt;"",$H690="Tree Protection Code: Tier 3 or Tier 4 Allowance",OR($I690="",ISNA(MATCH($I690,Tables!$B$193:$B$197,0)))),
Error!$B$17,
IF(AND(OR($E690="Tier 2",$E690="Tier 2 Grove"),$F690="Remove",$H690="Tree Protection Code: Other removal allowance or exemption",$I690&lt;&gt;"",ISNA(MATCH($I690,Tables!$B$215:$B$218,0))),
Error!$B$17,
IF(AND(OR($E690="Tier 2",$E690="Tier 2 Grove"),$F690="Remove",$H690="Tree Protection Code: Development Capacity",$I690&lt;&gt;"",ISNA(MATCH($I690,Tables!$B$193:$B$197,0))),
Error!$B$17,
IF(AND(OR($E690="Tier 2",$E690="Tier 2 Grove"),$F690="Remove",$H690="Tree Protection Code: Necessary for Construction",$I690&lt;&gt;"",ISNA(MATCH($I690,Tables!$B$193:$B$197,0))),
Error!$B$17,
IF(AND($E690="Tier 1",$F690="Remove",$H690="Tree Protection Code: Special Exception",$I690&lt;&gt;"",ISNA(MATCH($I690,Tables!$B$215:$B$218,0))),
Error!$B$17,
IF(AND($E690="Tier 1",$F690="Remove",$H690="Tree Protection Code: Other removal allowance or exemption",$I690&lt;&gt;"",ISNA(MATCH($I690,Tables!$B$215:$B$218,0))),
Error!$B$17,
IF(AND($E690="ECA / Shoreline Tree",$F690="Remove",$H690&lt;&gt;"",OR($H690="Shoreline",$H690="Environmental Critical Area (ECA)"),ISNA(MATCH($I690,Tables!$B$209:$B$212,0))),
Error!$B$17,
IF(AND(_xlpm.baseRow,$F690="Retain",$E690="ECA / Shoreline Tree",_xlpm.ECA_Short=0),
Error!$B$61,
IF(AND($F690="Remove",ISNUMBER(MATCH($E690,{"Tier 1","Tier 2","Tier 3","Tier 4","Tier 2 Grove"},0)),ISNUMBER(MATCH($I690,{"On-site replacement","Off-site replacement"},0)),$J690="",$H690&lt;&gt;""),
Error!$B$19,
IF(AND(_xlpm.baseRow,$E690&lt;&gt;"",$D690&lt;&gt;"",$F690&lt;&gt;"",COUNTBLANK($B690:$C690)&gt;0,COUNTBLANK(_xlpm.HRange)&lt;&gt;4),
Error!$B$22,
IF(AND($H690="Zoning: Tree Points",$K690&lt;&gt;"",ISNA(MATCH($K690,Tables!$B$242:$B$253,0))),
Error!$B$58,
IF(AND($H690="Zoning: Tree Points",$K690="Small",$L690&lt;&gt;"",ISNA(MATCH($L690,Tables!$C$243:$C$244,0))),
Error!$B$59,
IF(AND($H690="Zoning: Tree Points",$K690="Small/Medium",$L690&lt;&gt;"",ISNA(MATCH($L690,Tables!$C$246:$C$247,0))),
Error!$B$59,
IF(AND($H690="Zoning: Tree Points",$K690="Medium/Large",$L690&lt;&gt;"",ISNA(MATCH($L690,Tables!$C$249:$C$250,0))),
Error!$B$59,
IF(AND($H690="Zoning: Tree Points",$K690="Large",$L690&lt;&gt;"",ISNA(MATCH($L690,Tables!$C$252:$C$253,0))),
Error!$B$59,
IF(AND($F690="Retain",$H690="Zoning: Tree Points",$C690&lt;&gt;"",$D690&lt;&gt;"",OR($K690="",$L690="",$M690="")),
Error!$B$20,
""
)))))))))))))))))))))))))))))))))))))))))))))))))))))))),
Error!$B$23))</f>
        <v/>
      </c>
      <c r="O690" s="343" t="str" cm="1">
        <f t="array" aca="1" ref="O690" ca="1">IFERROR(_xlfn.LET(
    _xlpm.txt, $C690,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91" spans="1:15" ht="15" thickBot="1" x14ac:dyDescent="0.35">
      <c r="A691" s="311">
        <v>171</v>
      </c>
      <c r="B691" s="312"/>
      <c r="C691" s="313"/>
      <c r="D691" s="478"/>
      <c r="E691" s="314"/>
      <c r="F691" s="314"/>
      <c r="G691" s="315" t="str">
        <f>IF(Tree_Table1[[#This Row],[Tree Status  &amp;]]="Retain", Tables!$B$237, IF(Tree_Table1[[#This Row],[Tree Status  &amp;]]="Remove", Tables!$B$238, ""))</f>
        <v/>
      </c>
      <c r="H691" s="316"/>
      <c r="I691" s="317"/>
      <c r="J691" s="452"/>
      <c r="K691" s="318" t="str">
        <f>IFERROR(
    IF(
        AND($H691="Zoning: Tree Points", NOT(ISNUMBER(SEARCH("sp.", $C691)))),
        VLOOKUP($C691, 'Tree List'!$C$3:$F$601, 4, FALSE),
        ""
    ),
"")</f>
        <v/>
      </c>
      <c r="L691" s="319" t="str" cm="1">
        <f t="array" ref="L691">IFERROR(
IF(
    AND($H691="Zoning: Tree Points", NOT(ISNUMBER(SEARCH("sp.", $C691)))),
    _xlfn.IFS(
        (COUNTIFS('Tree List'!$C$3:$C$601,$C691,'Tree List'!$D$3:$D$601,"Coniferous")
        + COUNTIFS('Tree List'!$C$3:$C$601,$C691,'Tree List'!$D$3:$D$601,"Deciduous Conifer")) &gt; 0,
            _xlfn.IFS($K691="Small",0.5,$K691="Small/Medium",1,$K691="Medium/Large",1.4,$K691="Large",1.8),
        (COUNTIFS('Tree List'!$C$3:$C$601,$C691,'Tree List'!$D$3:$D$601,"Deciduous")
        + COUNTIFS('Tree List'!$C$3:$C$601,$C691,'Tree List'!$D$3:$D$601,"Broadleaf Evergreen")) &gt; 0,
            _xlfn.IFS($K691="Small",0.4,$K691="Small/Medium",0.8,$K691="Medium/Large",1.2,$K691="Large",1.6)
    ),
    ""
),
"")</f>
        <v/>
      </c>
      <c r="M691" s="474" t="str">
        <f t="shared" ref="M691:M754" si="816">IFERROR($D691*$L691,"")</f>
        <v/>
      </c>
      <c r="N691" s="620" t="str" cm="1">
        <f t="array" aca="1" ref="N69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IF(AND(_xlpm.baseRow,ISNA(MATCH($C691,'Tree List'!$C$3:$C$601,0)),SUMPRODUCT(--ISNUMBER(SEARCH(Tables2!$C$677:$C$772,$O691)))&gt;0),
Error!$B$57,
IF(AND(_xlpm.hasDM,$F691="Remove",$H691&lt;&gt;"",OR($I691="On-site replacement",$I691="Off-site replacement",$I691="Payment In Lieu")),
Error!$B$56,
IF(AND(_xlpm.hasDM,$F691="Remove",$H691&lt;&gt;"",$I691="Relocation"),
Error!$B$66,
IF(AND(OR(_xlpm.hasCN,_xlpm.hasPH,_xlpm.hasGR),$H691&lt;&gt;"",COUNTIF(Tables!$B$132:$B$134,$H691)&gt;0,$I691="N/A (No replacement required)"),
Error!$B$62,
IF(AND(_xlpm.baseRow,$E691&lt;&gt;"",ISNA(MATCH($E691,Tables!$B$225:$B$232,0))),
Error!$B$2,
IF(AND(_xlpm.baseRow,$F691&lt;&gt;"",ISNA(MATCH($F691,Tables!$B$234:$B$235,0))),
Error!$B$24,
IF(AND(_xlpm.baseRow,_xlpm.ECA_H&gt;0,_xlpm.Shore_H&gt;0),
Error!$B$16,
IF(AND(_xlpm.baseRow,$E691&lt;&gt;"",$D691=""),
Error!$B$3,
IF(AND(_xlpm.baseRow,OR($E691="Tier 3",$E691="Tier 4"),$C691&lt;&gt;"",$D691&gt;=24,COUNTIF(Tables2!$B$166:$B$674,$C691)&gt;0),
Error!$B$44,
IF(AND(_xlpm.baseRow,OR($E691="Tier 3",$E691="Tier 4"),$C691&lt;&gt;"",$D691&lt;&gt;"",COUNTIF(Tables2!$B$73:$B$152,$C691)&gt;0,
$D691&gt;=IFERROR(INDEX(Tables2!$C$73:$C$152,MATCH($C691,Tables2!$B$73:$B$152,0)),-1)),
Error!$B$44,
IF(AND(_xlpm.baseRow,OR($E691="Tier 2",$E691="Tier 2 Grove"),$C691&lt;&gt;"",$D691&gt;=12,COUNTIF(Tables2!$B$153:$B$162,$C691)&gt;0),
Error!$B$45,
IF(AND(_xlpm.baseRow,$E691="Tier 2 Grove",$D691&lt;12),
Error!$B$41,
IF(AND(_xlpm.baseRow,$E691="Tier 2",$D691&lt;5.88),
Error!$B$40,
IF(AND(_xlpm.baseRow,OR($E691="Tier 2",$E691="Tier 2 Grove"),$C691&lt;&gt;"",$D691&lt;12,$D691&gt;=6,COUNTIF(Tables2!$B$153:$B$162,$C691)&gt;0),
Error!$B$54,
IF(AND(_xlpm.baseRow,$E691="Tier 2",COUNTIF(Tables2!$B$166:$B$674,$C691)&gt;0,$D691&lt;24),
Error!$B$54,
IF(AND(_xlpm.baseRow,$E691="Tier 3",ISNA(MATCH($C691,Tables2!$B$153:$B$162,0)),OR($D691&lt;12,$D691&gt;=24)),
Error!$B$9,
IF(AND(_xlpm.baseRow,$E691="Tier 3",COUNTIF(Tables2!$B$153:$B$162,$C691)&gt;0,$D691&lt;12),
Error!$B$46,
IF(AND(_xlpm.baseRow,$E691="Tier 4",OR($D691&lt;6,$D691&gt;=12)),
Error!$B$10,
IF(AND(_xlpm.baseRow,$E691="&lt;6in DSH for Tree Points",OR($D691&gt;=6,$D691="")),
Error!$B$8,
IF(AND(_xlpm.baseRow,$E691="Street Tree for Green Factor",$F691&lt;&gt;"",$F691&lt;&gt;"Retain"),
Error!$B$14,
IF(AND($E691="&lt;6in DSH for Tree Points",$F691="Retain",$H691&lt;&gt;"",ISNA(MATCH($H691,Tables!$B$174:$B$174,0))),
Error!$B$15,
IF(AND($E691="Street Tree for Green Factor",$F691="Retain",$H691&lt;&gt;"",$H691&lt;&gt;"Zoning: Green Factor"),
Error!$B$15,
IF(AND($E691="ECA / Shoreline Tree",$F691="Remove",$H691&lt;&gt;"",ISNA(MATCH($H691,Tables!$B$189:$B$190,0))),
Error!$B$15,
IF(AND($E691="ECA / Shoreline Tree",$F691="Retain",$H691&lt;&gt;"",ISNA(MATCH($H691,Tables!$B$184:$B$186,0))),
Error!$B$15,
IF(AND($E691="Tier 4",$F691="Remove",$H691&lt;&gt;"",ISNA(MATCH($H691,Tables!$B$171,0))),
Error!$B$15,
IF(AND($E691="Tier 4",$F691="Retain",$H691&lt;&gt;"",ISNA(MATCH($H691,Tables!$B$166:$B$168,0))),
Error!$B$15,
IF(AND($E691="Tier 3",$F691="Retain",$H691&lt;&gt;"",ISNA(MATCH($H691,Tables!$B$158:$B$160,0))),
Error!$B$15,
IF(AND($E691="Tier 3",$F691="Remove",$H691&lt;&gt;"",ISNA(MATCH($H691,Tables!$B$163,0))),
Error!$B$15,
IF(AND(OR($E691="Tier 2",$E691="Tier 2 Grove"),$F691="Remove",$H691&lt;&gt;"",ISNA(MATCH($H691,Tables!$B$153:$B$155,0))),
Error!$B$15,
IF(AND(OR($E691="Tier 2",$E691="Tier 2 Grove"),$F691="Retain",$H691&lt;&gt;"",ISNA(MATCH($H691,Tables!$B$147:$B$150,0))),
Error!$B$15,
IF(AND($E691="Tier 1",$F691="Remove",$H691&lt;&gt;"",ISNA(MATCH($H691,Tables!$B$143:$B$144,0))),
Error!$B$15,
IF(AND($E691="Tier 1",$F691="Retain",$H691&lt;&gt;"",ISNA(MATCH($H691,Tables!$B$137:$B$140,0))),
Error!$B$15,
IF(AND($E691&lt;&gt;"Tier 2",$E691&lt;&gt;"Tier 2 Grove",$E691&lt;&gt;"Tier 3",$E691&lt;&gt;"Tier 4",$H691="Zoning: Green Factor",OR($D691="",$D691&lt;6)),
Error!$B$11,
IF(AND(_xlpm.baseRow,$D691&lt;6,$E691="&lt;6in DSH for Tree Points",_xlpm.TreePoints_H=0),
Error!$B$21,
IF(AND(_xlpm.baseRow,$E691&lt;&gt;"",$D691&lt;&gt;"",$F691=""),
Error!$B$4,
IF(AND(_xlpm.baseRow,$F691="Remove",OR($E691="Tier 1",$E691="Tier 2",$E691="Tier 2 Grove"),COUNTBLANK(_xlpm.HRange)&lt;3,_xlpm.uniqueH&gt;=2),
Error!$B$48,
IF(AND(_xlpm.baseRow,$F691="Retain",OR($E691="Tier 1",$E691="Tier 2",$E691="Tier 2 Grove"),COUNTIF(_xlpm.HRange,"Tree Code: Required to Retain Tier 1-2 Tree")=0),
Error!$B$47,
IF(AND(_xlpm.baseRow,$E691&lt;&gt;"",$D691&lt;&gt;"",$F691&lt;&gt;"",COUNTBLANK(_xlpm.HRange)=4),
Error!$B$5,
IF(AND($F691="Remove",$H691&lt;&gt;"",$I691=""),
Error!$B$18,
IF(AND($E691="Tier 4",$F691="Remove",$H691="Tree Protection Code: Tier 3 or Tier 4 Allowance",$H691&lt;&gt;"",ISNA(MATCH($I691,Tables!$B$200,0))),
Error!$B$17,
IF(AND($E691="Tier 3",$F691="Remove",$H691&lt;&gt;"",$H691="Tree Protection Code: Tier 3 or Tier 4 Allowance",OR($I691="",ISNA(MATCH($I691,Tables!$B$193:$B$197,0)))),
Error!$B$17,
IF(AND(OR($E691="Tier 2",$E691="Tier 2 Grove"),$F691="Remove",$H691="Tree Protection Code: Other removal allowance or exemption",$I691&lt;&gt;"",ISNA(MATCH($I691,Tables!$B$215:$B$218,0))),
Error!$B$17,
IF(AND(OR($E691="Tier 2",$E691="Tier 2 Grove"),$F691="Remove",$H691="Tree Protection Code: Development Capacity",$I691&lt;&gt;"",ISNA(MATCH($I691,Tables!$B$193:$B$197,0))),
Error!$B$17,
IF(AND(OR($E691="Tier 2",$E691="Tier 2 Grove"),$F691="Remove",$H691="Tree Protection Code: Necessary for Construction",$I691&lt;&gt;"",ISNA(MATCH($I691,Tables!$B$193:$B$197,0))),
Error!$B$17,
IF(AND($E691="Tier 1",$F691="Remove",$H691="Tree Protection Code: Special Exception",$I691&lt;&gt;"",ISNA(MATCH($I691,Tables!$B$215:$B$218,0))),
Error!$B$17,
IF(AND($E691="Tier 1",$F691="Remove",$H691="Tree Protection Code: Other removal allowance or exemption",$I691&lt;&gt;"",ISNA(MATCH($I691,Tables!$B$215:$B$218,0))),
Error!$B$17,
IF(AND($E691="ECA / Shoreline Tree",$F691="Remove",$H691&lt;&gt;"",OR($H691="Shoreline",$H691="Environmental Critical Area (ECA)"),ISNA(MATCH($I691,Tables!$B$209:$B$212,0))),
Error!$B$17,
IF(AND(_xlpm.baseRow,$F691="Retain",$E691="ECA / Shoreline Tree",_xlpm.ECA_Short=0),
Error!$B$61,
IF(AND($F691="Remove",ISNUMBER(MATCH($E691,{"Tier 1","Tier 2","Tier 3","Tier 4","Tier 2 Grove"},0)),ISNUMBER(MATCH($I691,{"On-site replacement","Off-site replacement"},0)),$J691="",$H691&lt;&gt;""),
Error!$B$19,
IF(AND(_xlpm.baseRow,$E691&lt;&gt;"",$D691&lt;&gt;"",$F691&lt;&gt;"",COUNTBLANK($B691:$C691)&gt;0,COUNTBLANK(_xlpm.HRange)&lt;&gt;4),
Error!$B$22,
IF(AND($H691="Zoning: Tree Points",$K691&lt;&gt;"",ISNA(MATCH($K691,Tables!$B$242:$B$253,0))),
Error!$B$58,
IF(AND($H691="Zoning: Tree Points",$K691="Small",$L691&lt;&gt;"",ISNA(MATCH($L691,Tables!$C$243:$C$244,0))),
Error!$B$59,
IF(AND($H691="Zoning: Tree Points",$K691="Small/Medium",$L691&lt;&gt;"",ISNA(MATCH($L691,Tables!$C$246:$C$247,0))),
Error!$B$59,
IF(AND($H691="Zoning: Tree Points",$K691="Medium/Large",$L691&lt;&gt;"",ISNA(MATCH($L691,Tables!$C$249:$C$250,0))),
Error!$B$59,
IF(AND($H691="Zoning: Tree Points",$K691="Large",$L691&lt;&gt;"",ISNA(MATCH($L691,Tables!$C$252:$C$253,0))),
Error!$B$59,
IF(AND($F691="Retain",$H691="Zoning: Tree Points",$C691&lt;&gt;"",$D691&lt;&gt;"",OR($K691="",$L691="",$M691="")),
Error!$B$20,
""
)))))))))))))))))))))))))))))))))))))))))))))))))))))))),
Error!$B$23))</f>
        <v/>
      </c>
      <c r="O691" s="343" t="str" cm="1">
        <f t="array" aca="1" ref="O691" ca="1">IFERROR(_xlfn.LET(
    _xlpm.txt, $C691,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92" spans="1:15" x14ac:dyDescent="0.3">
      <c r="A692" s="320"/>
      <c r="B692" s="616" t="str">
        <f t="shared" ref="B692:B694" si="817">IF($B691="", "", $B691)</f>
        <v/>
      </c>
      <c r="C692" s="617" t="str">
        <f t="shared" ref="C692:C694" si="818">IF($C691="", "", $C691)</f>
        <v/>
      </c>
      <c r="D692" s="618" t="str">
        <f t="shared" ref="D692:D694" si="819">IF($D691="", "", $D691)</f>
        <v/>
      </c>
      <c r="E692" s="616" t="str">
        <f t="shared" ref="E692:E694" si="820">IF($E691="", "", $E691)</f>
        <v/>
      </c>
      <c r="F692" s="616" t="str">
        <f t="shared" ref="F692:F694" si="821">IF($F691="", "", $F691)</f>
        <v/>
      </c>
      <c r="G692" s="619" t="str">
        <f>IF(Tree_Table1[[#This Row],[Tree Status  &amp;]]="Retain", Tables!$B$237, IF(Tree_Table1[[#This Row],[Tree Status  &amp;]]="Remove", Tables!$B$238, ""))</f>
        <v/>
      </c>
      <c r="H692" s="321"/>
      <c r="I692" s="322"/>
      <c r="J692" s="453"/>
      <c r="K692" s="323" t="str">
        <f>IFERROR(
    IF(
        AND($H692="Zoning: Tree Points", NOT(ISNUMBER(SEARCH("sp.", $C692)))),
        VLOOKUP($C692, 'Tree List'!$C$3:$F$601, 4, FALSE),
        ""
    ),
"")</f>
        <v/>
      </c>
      <c r="L692" s="324" t="str" cm="1">
        <f t="array" ref="L692">IFERROR(
IF(
    AND($H692="Zoning: Tree Points", NOT(ISNUMBER(SEARCH("sp.", $C692)))),
    _xlfn.IFS(
        (COUNTIFS('Tree List'!$C$3:$C$601,$C692,'Tree List'!$D$3:$D$601,"Coniferous")
        + COUNTIFS('Tree List'!$C$3:$C$601,$C692,'Tree List'!$D$3:$D$601,"Deciduous Conifer")) &gt; 0,
            _xlfn.IFS($K692="Small",0.5,$K692="Small/Medium",1,$K692="Medium/Large",1.4,$K692="Large",1.8),
        (COUNTIFS('Tree List'!$C$3:$C$601,$C692,'Tree List'!$D$3:$D$601,"Deciduous")
        + COUNTIFS('Tree List'!$C$3:$C$601,$C692,'Tree List'!$D$3:$D$601,"Broadleaf Evergreen")) &gt; 0,
            _xlfn.IFS($K692="Small",0.4,$K692="Small/Medium",0.8,$K692="Medium/Large",1.2,$K692="Large",1.6)
    ),
    ""
),
"")</f>
        <v/>
      </c>
      <c r="M692" s="475" t="str">
        <f t="shared" si="816"/>
        <v/>
      </c>
      <c r="N692" s="346" t="str" cm="1">
        <f t="array" aca="1" ref="N69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IF(AND(_xlpm.baseRow,ISNA(MATCH($C692,'Tree List'!$C$3:$C$601,0)),SUMPRODUCT(--ISNUMBER(SEARCH(Tables2!$C$677:$C$772,$O692)))&gt;0),
Error!$B$57,
IF(AND(_xlpm.hasDM,$F692="Remove",$H692&lt;&gt;"",OR($I692="On-site replacement",$I692="Off-site replacement",$I692="Payment In Lieu")),
Error!$B$56,
IF(AND(_xlpm.hasDM,$F692="Remove",$H692&lt;&gt;"",$I692="Relocation"),
Error!$B$66,
IF(AND(OR(_xlpm.hasCN,_xlpm.hasPH,_xlpm.hasGR),$H692&lt;&gt;"",COUNTIF(Tables!$B$132:$B$134,$H692)&gt;0,$I692="N/A (No replacement required)"),
Error!$B$62,
IF(AND(_xlpm.baseRow,$E692&lt;&gt;"",ISNA(MATCH($E692,Tables!$B$225:$B$232,0))),
Error!$B$2,
IF(AND(_xlpm.baseRow,$F692&lt;&gt;"",ISNA(MATCH($F692,Tables!$B$234:$B$235,0))),
Error!$B$24,
IF(AND(_xlpm.baseRow,_xlpm.ECA_H&gt;0,_xlpm.Shore_H&gt;0),
Error!$B$16,
IF(AND(_xlpm.baseRow,$E692&lt;&gt;"",$D692=""),
Error!$B$3,
IF(AND(_xlpm.baseRow,OR($E692="Tier 3",$E692="Tier 4"),$C692&lt;&gt;"",$D692&gt;=24,COUNTIF(Tables2!$B$166:$B$674,$C692)&gt;0),
Error!$B$44,
IF(AND(_xlpm.baseRow,OR($E692="Tier 3",$E692="Tier 4"),$C692&lt;&gt;"",$D692&lt;&gt;"",COUNTIF(Tables2!$B$73:$B$152,$C692)&gt;0,
$D692&gt;=IFERROR(INDEX(Tables2!$C$73:$C$152,MATCH($C692,Tables2!$B$73:$B$152,0)),-1)),
Error!$B$44,
IF(AND(_xlpm.baseRow,OR($E692="Tier 2",$E692="Tier 2 Grove"),$C692&lt;&gt;"",$D692&gt;=12,COUNTIF(Tables2!$B$153:$B$162,$C692)&gt;0),
Error!$B$45,
IF(AND(_xlpm.baseRow,$E692="Tier 2 Grove",$D692&lt;12),
Error!$B$41,
IF(AND(_xlpm.baseRow,$E692="Tier 2",$D692&lt;5.88),
Error!$B$40,
IF(AND(_xlpm.baseRow,OR($E692="Tier 2",$E692="Tier 2 Grove"),$C692&lt;&gt;"",$D692&lt;12,$D692&gt;=6,COUNTIF(Tables2!$B$153:$B$162,$C692)&gt;0),
Error!$B$54,
IF(AND(_xlpm.baseRow,$E692="Tier 2",COUNTIF(Tables2!$B$166:$B$674,$C692)&gt;0,$D692&lt;24),
Error!$B$54,
IF(AND(_xlpm.baseRow,$E692="Tier 3",ISNA(MATCH($C692,Tables2!$B$153:$B$162,0)),OR($D692&lt;12,$D692&gt;=24)),
Error!$B$9,
IF(AND(_xlpm.baseRow,$E692="Tier 3",COUNTIF(Tables2!$B$153:$B$162,$C692)&gt;0,$D692&lt;12),
Error!$B$46,
IF(AND(_xlpm.baseRow,$E692="Tier 4",OR($D692&lt;6,$D692&gt;=12)),
Error!$B$10,
IF(AND(_xlpm.baseRow,$E692="&lt;6in DSH for Tree Points",OR($D692&gt;=6,$D692="")),
Error!$B$8,
IF(AND(_xlpm.baseRow,$E692="Street Tree for Green Factor",$F692&lt;&gt;"",$F692&lt;&gt;"Retain"),
Error!$B$14,
IF(AND($E692="&lt;6in DSH for Tree Points",$F692="Retain",$H692&lt;&gt;"",ISNA(MATCH($H692,Tables!$B$174:$B$174,0))),
Error!$B$15,
IF(AND($E692="Street Tree for Green Factor",$F692="Retain",$H692&lt;&gt;"",$H692&lt;&gt;"Zoning: Green Factor"),
Error!$B$15,
IF(AND($E692="ECA / Shoreline Tree",$F692="Remove",$H692&lt;&gt;"",ISNA(MATCH($H692,Tables!$B$189:$B$190,0))),
Error!$B$15,
IF(AND($E692="ECA / Shoreline Tree",$F692="Retain",$H692&lt;&gt;"",ISNA(MATCH($H692,Tables!$B$184:$B$186,0))),
Error!$B$15,
IF(AND($E692="Tier 4",$F692="Remove",$H692&lt;&gt;"",ISNA(MATCH($H692,Tables!$B$171,0))),
Error!$B$15,
IF(AND($E692="Tier 4",$F692="Retain",$H692&lt;&gt;"",ISNA(MATCH($H692,Tables!$B$166:$B$168,0))),
Error!$B$15,
IF(AND($E692="Tier 3",$F692="Retain",$H692&lt;&gt;"",ISNA(MATCH($H692,Tables!$B$158:$B$160,0))),
Error!$B$15,
IF(AND($E692="Tier 3",$F692="Remove",$H692&lt;&gt;"",ISNA(MATCH($H692,Tables!$B$163,0))),
Error!$B$15,
IF(AND(OR($E692="Tier 2",$E692="Tier 2 Grove"),$F692="Remove",$H692&lt;&gt;"",ISNA(MATCH($H692,Tables!$B$153:$B$155,0))),
Error!$B$15,
IF(AND(OR($E692="Tier 2",$E692="Tier 2 Grove"),$F692="Retain",$H692&lt;&gt;"",ISNA(MATCH($H692,Tables!$B$147:$B$150,0))),
Error!$B$15,
IF(AND($E692="Tier 1",$F692="Remove",$H692&lt;&gt;"",ISNA(MATCH($H692,Tables!$B$143:$B$144,0))),
Error!$B$15,
IF(AND($E692="Tier 1",$F692="Retain",$H692&lt;&gt;"",ISNA(MATCH($H692,Tables!$B$137:$B$140,0))),
Error!$B$15,
IF(AND($E692&lt;&gt;"Tier 2",$E692&lt;&gt;"Tier 2 Grove",$E692&lt;&gt;"Tier 3",$E692&lt;&gt;"Tier 4",$H692="Zoning: Green Factor",OR($D692="",$D692&lt;6)),
Error!$B$11,
IF(AND(_xlpm.baseRow,$D692&lt;6,$E692="&lt;6in DSH for Tree Points",_xlpm.TreePoints_H=0),
Error!$B$21,
IF(AND(_xlpm.baseRow,$E692&lt;&gt;"",$D692&lt;&gt;"",$F692=""),
Error!$B$4,
IF(AND(_xlpm.baseRow,$F692="Remove",OR($E692="Tier 1",$E692="Tier 2",$E692="Tier 2 Grove"),COUNTBLANK(_xlpm.HRange)&lt;3,_xlpm.uniqueH&gt;=2),
Error!$B$48,
IF(AND(_xlpm.baseRow,$F692="Retain",OR($E692="Tier 1",$E692="Tier 2",$E692="Tier 2 Grove"),COUNTIF(_xlpm.HRange,"Tree Code: Required to Retain Tier 1-2 Tree")=0),
Error!$B$47,
IF(AND(_xlpm.baseRow,$E692&lt;&gt;"",$D692&lt;&gt;"",$F692&lt;&gt;"",COUNTBLANK(_xlpm.HRange)=4),
Error!$B$5,
IF(AND($F692="Remove",$H692&lt;&gt;"",$I692=""),
Error!$B$18,
IF(AND($E692="Tier 4",$F692="Remove",$H692="Tree Protection Code: Tier 3 or Tier 4 Allowance",$H692&lt;&gt;"",ISNA(MATCH($I692,Tables!$B$200,0))),
Error!$B$17,
IF(AND($E692="Tier 3",$F692="Remove",$H692&lt;&gt;"",$H692="Tree Protection Code: Tier 3 or Tier 4 Allowance",OR($I692="",ISNA(MATCH($I692,Tables!$B$193:$B$197,0)))),
Error!$B$17,
IF(AND(OR($E692="Tier 2",$E692="Tier 2 Grove"),$F692="Remove",$H692="Tree Protection Code: Other removal allowance or exemption",$I692&lt;&gt;"",ISNA(MATCH($I692,Tables!$B$215:$B$218,0))),
Error!$B$17,
IF(AND(OR($E692="Tier 2",$E692="Tier 2 Grove"),$F692="Remove",$H692="Tree Protection Code: Development Capacity",$I692&lt;&gt;"",ISNA(MATCH($I692,Tables!$B$193:$B$197,0))),
Error!$B$17,
IF(AND(OR($E692="Tier 2",$E692="Tier 2 Grove"),$F692="Remove",$H692="Tree Protection Code: Necessary for Construction",$I692&lt;&gt;"",ISNA(MATCH($I692,Tables!$B$193:$B$197,0))),
Error!$B$17,
IF(AND($E692="Tier 1",$F692="Remove",$H692="Tree Protection Code: Special Exception",$I692&lt;&gt;"",ISNA(MATCH($I692,Tables!$B$215:$B$218,0))),
Error!$B$17,
IF(AND($E692="Tier 1",$F692="Remove",$H692="Tree Protection Code: Other removal allowance or exemption",$I692&lt;&gt;"",ISNA(MATCH($I692,Tables!$B$215:$B$218,0))),
Error!$B$17,
IF(AND($E692="ECA / Shoreline Tree",$F692="Remove",$H692&lt;&gt;"",OR($H692="Shoreline",$H692="Environmental Critical Area (ECA)"),ISNA(MATCH($I692,Tables!$B$209:$B$212,0))),
Error!$B$17,
IF(AND(_xlpm.baseRow,$F692="Retain",$E692="ECA / Shoreline Tree",_xlpm.ECA_Short=0),
Error!$B$61,
IF(AND($F692="Remove",ISNUMBER(MATCH($E692,{"Tier 1","Tier 2","Tier 3","Tier 4","Tier 2 Grove"},0)),ISNUMBER(MATCH($I692,{"On-site replacement","Off-site replacement"},0)),$J692="",$H692&lt;&gt;""),
Error!$B$19,
IF(AND(_xlpm.baseRow,$E692&lt;&gt;"",$D692&lt;&gt;"",$F692&lt;&gt;"",COUNTBLANK($B692:$C692)&gt;0,COUNTBLANK(_xlpm.HRange)&lt;&gt;4),
Error!$B$22,
IF(AND($H692="Zoning: Tree Points",$K692&lt;&gt;"",ISNA(MATCH($K692,Tables!$B$242:$B$253,0))),
Error!$B$58,
IF(AND($H692="Zoning: Tree Points",$K692="Small",$L692&lt;&gt;"",ISNA(MATCH($L692,Tables!$C$243:$C$244,0))),
Error!$B$59,
IF(AND($H692="Zoning: Tree Points",$K692="Small/Medium",$L692&lt;&gt;"",ISNA(MATCH($L692,Tables!$C$246:$C$247,0))),
Error!$B$59,
IF(AND($H692="Zoning: Tree Points",$K692="Medium/Large",$L692&lt;&gt;"",ISNA(MATCH($L692,Tables!$C$249:$C$250,0))),
Error!$B$59,
IF(AND($H692="Zoning: Tree Points",$K692="Large",$L692&lt;&gt;"",ISNA(MATCH($L692,Tables!$C$252:$C$253,0))),
Error!$B$59,
IF(AND($F692="Retain",$H692="Zoning: Tree Points",$C692&lt;&gt;"",$D692&lt;&gt;"",OR($K692="",$L692="",$M692="")),
Error!$B$20,
""
)))))))))))))))))))))))))))))))))))))))))))))))))))))))),
Error!$B$23))</f>
        <v/>
      </c>
      <c r="O692" s="343" t="str" cm="1">
        <f t="array" aca="1" ref="O692" ca="1">IFERROR(_xlfn.LET(
    _xlpm.txt, $C692,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93" spans="1:15" x14ac:dyDescent="0.3">
      <c r="A693" s="320"/>
      <c r="B693" s="616" t="str">
        <f t="shared" si="817"/>
        <v/>
      </c>
      <c r="C693" s="617" t="str">
        <f t="shared" si="818"/>
        <v/>
      </c>
      <c r="D693" s="618" t="str">
        <f t="shared" si="819"/>
        <v/>
      </c>
      <c r="E693" s="616" t="str">
        <f t="shared" si="820"/>
        <v/>
      </c>
      <c r="F693" s="616" t="str">
        <f t="shared" si="821"/>
        <v/>
      </c>
      <c r="G693" s="619" t="str">
        <f>IF(Tree_Table1[[#This Row],[Tree Status  &amp;]]="Retain", Tables!$B$237, IF(Tree_Table1[[#This Row],[Tree Status  &amp;]]="Remove", Tables!$B$238, ""))</f>
        <v/>
      </c>
      <c r="H693" s="321"/>
      <c r="I693" s="322"/>
      <c r="J693" s="453"/>
      <c r="K693" s="323" t="str">
        <f>IFERROR(
    IF(
        AND($H693="Zoning: Tree Points", NOT(ISNUMBER(SEARCH("sp.", $C693)))),
        VLOOKUP($C693, 'Tree List'!$C$3:$F$601, 4, FALSE),
        ""
    ),
"")</f>
        <v/>
      </c>
      <c r="L693" s="324" t="str" cm="1">
        <f t="array" ref="L693">IFERROR(
IF(
    AND($H693="Zoning: Tree Points", NOT(ISNUMBER(SEARCH("sp.", $C693)))),
    _xlfn.IFS(
        (COUNTIFS('Tree List'!$C$3:$C$601,$C693,'Tree List'!$D$3:$D$601,"Coniferous")
        + COUNTIFS('Tree List'!$C$3:$C$601,$C693,'Tree List'!$D$3:$D$601,"Deciduous Conifer")) &gt; 0,
            _xlfn.IFS($K693="Small",0.5,$K693="Small/Medium",1,$K693="Medium/Large",1.4,$K693="Large",1.8),
        (COUNTIFS('Tree List'!$C$3:$C$601,$C693,'Tree List'!$D$3:$D$601,"Deciduous")
        + COUNTIFS('Tree List'!$C$3:$C$601,$C693,'Tree List'!$D$3:$D$601,"Broadleaf Evergreen")) &gt; 0,
            _xlfn.IFS($K693="Small",0.4,$K693="Small/Medium",0.8,$K693="Medium/Large",1.2,$K693="Large",1.6)
    ),
    ""
),
"")</f>
        <v/>
      </c>
      <c r="M693" s="475" t="str">
        <f t="shared" si="816"/>
        <v/>
      </c>
      <c r="N693" s="346" t="str" cm="1">
        <f t="array" aca="1" ref="N69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IF(AND(_xlpm.baseRow,ISNA(MATCH($C693,'Tree List'!$C$3:$C$601,0)),SUMPRODUCT(--ISNUMBER(SEARCH(Tables2!$C$677:$C$772,$O693)))&gt;0),
Error!$B$57,
IF(AND(_xlpm.hasDM,$F693="Remove",$H693&lt;&gt;"",OR($I693="On-site replacement",$I693="Off-site replacement",$I693="Payment In Lieu")),
Error!$B$56,
IF(AND(_xlpm.hasDM,$F693="Remove",$H693&lt;&gt;"",$I693="Relocation"),
Error!$B$66,
IF(AND(OR(_xlpm.hasCN,_xlpm.hasPH,_xlpm.hasGR),$H693&lt;&gt;"",COUNTIF(Tables!$B$132:$B$134,$H693)&gt;0,$I693="N/A (No replacement required)"),
Error!$B$62,
IF(AND(_xlpm.baseRow,$E693&lt;&gt;"",ISNA(MATCH($E693,Tables!$B$225:$B$232,0))),
Error!$B$2,
IF(AND(_xlpm.baseRow,$F693&lt;&gt;"",ISNA(MATCH($F693,Tables!$B$234:$B$235,0))),
Error!$B$24,
IF(AND(_xlpm.baseRow,_xlpm.ECA_H&gt;0,_xlpm.Shore_H&gt;0),
Error!$B$16,
IF(AND(_xlpm.baseRow,$E693&lt;&gt;"",$D693=""),
Error!$B$3,
IF(AND(_xlpm.baseRow,OR($E693="Tier 3",$E693="Tier 4"),$C693&lt;&gt;"",$D693&gt;=24,COUNTIF(Tables2!$B$166:$B$674,$C693)&gt;0),
Error!$B$44,
IF(AND(_xlpm.baseRow,OR($E693="Tier 3",$E693="Tier 4"),$C693&lt;&gt;"",$D693&lt;&gt;"",COUNTIF(Tables2!$B$73:$B$152,$C693)&gt;0,
$D693&gt;=IFERROR(INDEX(Tables2!$C$73:$C$152,MATCH($C693,Tables2!$B$73:$B$152,0)),-1)),
Error!$B$44,
IF(AND(_xlpm.baseRow,OR($E693="Tier 2",$E693="Tier 2 Grove"),$C693&lt;&gt;"",$D693&gt;=12,COUNTIF(Tables2!$B$153:$B$162,$C693)&gt;0),
Error!$B$45,
IF(AND(_xlpm.baseRow,$E693="Tier 2 Grove",$D693&lt;12),
Error!$B$41,
IF(AND(_xlpm.baseRow,$E693="Tier 2",$D693&lt;5.88),
Error!$B$40,
IF(AND(_xlpm.baseRow,OR($E693="Tier 2",$E693="Tier 2 Grove"),$C693&lt;&gt;"",$D693&lt;12,$D693&gt;=6,COUNTIF(Tables2!$B$153:$B$162,$C693)&gt;0),
Error!$B$54,
IF(AND(_xlpm.baseRow,$E693="Tier 2",COUNTIF(Tables2!$B$166:$B$674,$C693)&gt;0,$D693&lt;24),
Error!$B$54,
IF(AND(_xlpm.baseRow,$E693="Tier 3",ISNA(MATCH($C693,Tables2!$B$153:$B$162,0)),OR($D693&lt;12,$D693&gt;=24)),
Error!$B$9,
IF(AND(_xlpm.baseRow,$E693="Tier 3",COUNTIF(Tables2!$B$153:$B$162,$C693)&gt;0,$D693&lt;12),
Error!$B$46,
IF(AND(_xlpm.baseRow,$E693="Tier 4",OR($D693&lt;6,$D693&gt;=12)),
Error!$B$10,
IF(AND(_xlpm.baseRow,$E693="&lt;6in DSH for Tree Points",OR($D693&gt;=6,$D693="")),
Error!$B$8,
IF(AND(_xlpm.baseRow,$E693="Street Tree for Green Factor",$F693&lt;&gt;"",$F693&lt;&gt;"Retain"),
Error!$B$14,
IF(AND($E693="&lt;6in DSH for Tree Points",$F693="Retain",$H693&lt;&gt;"",ISNA(MATCH($H693,Tables!$B$174:$B$174,0))),
Error!$B$15,
IF(AND($E693="Street Tree for Green Factor",$F693="Retain",$H693&lt;&gt;"",$H693&lt;&gt;"Zoning: Green Factor"),
Error!$B$15,
IF(AND($E693="ECA / Shoreline Tree",$F693="Remove",$H693&lt;&gt;"",ISNA(MATCH($H693,Tables!$B$189:$B$190,0))),
Error!$B$15,
IF(AND($E693="ECA / Shoreline Tree",$F693="Retain",$H693&lt;&gt;"",ISNA(MATCH($H693,Tables!$B$184:$B$186,0))),
Error!$B$15,
IF(AND($E693="Tier 4",$F693="Remove",$H693&lt;&gt;"",ISNA(MATCH($H693,Tables!$B$171,0))),
Error!$B$15,
IF(AND($E693="Tier 4",$F693="Retain",$H693&lt;&gt;"",ISNA(MATCH($H693,Tables!$B$166:$B$168,0))),
Error!$B$15,
IF(AND($E693="Tier 3",$F693="Retain",$H693&lt;&gt;"",ISNA(MATCH($H693,Tables!$B$158:$B$160,0))),
Error!$B$15,
IF(AND($E693="Tier 3",$F693="Remove",$H693&lt;&gt;"",ISNA(MATCH($H693,Tables!$B$163,0))),
Error!$B$15,
IF(AND(OR($E693="Tier 2",$E693="Tier 2 Grove"),$F693="Remove",$H693&lt;&gt;"",ISNA(MATCH($H693,Tables!$B$153:$B$155,0))),
Error!$B$15,
IF(AND(OR($E693="Tier 2",$E693="Tier 2 Grove"),$F693="Retain",$H693&lt;&gt;"",ISNA(MATCH($H693,Tables!$B$147:$B$150,0))),
Error!$B$15,
IF(AND($E693="Tier 1",$F693="Remove",$H693&lt;&gt;"",ISNA(MATCH($H693,Tables!$B$143:$B$144,0))),
Error!$B$15,
IF(AND($E693="Tier 1",$F693="Retain",$H693&lt;&gt;"",ISNA(MATCH($H693,Tables!$B$137:$B$140,0))),
Error!$B$15,
IF(AND($E693&lt;&gt;"Tier 2",$E693&lt;&gt;"Tier 2 Grove",$E693&lt;&gt;"Tier 3",$E693&lt;&gt;"Tier 4",$H693="Zoning: Green Factor",OR($D693="",$D693&lt;6)),
Error!$B$11,
IF(AND(_xlpm.baseRow,$D693&lt;6,$E693="&lt;6in DSH for Tree Points",_xlpm.TreePoints_H=0),
Error!$B$21,
IF(AND(_xlpm.baseRow,$E693&lt;&gt;"",$D693&lt;&gt;"",$F693=""),
Error!$B$4,
IF(AND(_xlpm.baseRow,$F693="Remove",OR($E693="Tier 1",$E693="Tier 2",$E693="Tier 2 Grove"),COUNTBLANK(_xlpm.HRange)&lt;3,_xlpm.uniqueH&gt;=2),
Error!$B$48,
IF(AND(_xlpm.baseRow,$F693="Retain",OR($E693="Tier 1",$E693="Tier 2",$E693="Tier 2 Grove"),COUNTIF(_xlpm.HRange,"Tree Code: Required to Retain Tier 1-2 Tree")=0),
Error!$B$47,
IF(AND(_xlpm.baseRow,$E693&lt;&gt;"",$D693&lt;&gt;"",$F693&lt;&gt;"",COUNTBLANK(_xlpm.HRange)=4),
Error!$B$5,
IF(AND($F693="Remove",$H693&lt;&gt;"",$I693=""),
Error!$B$18,
IF(AND($E693="Tier 4",$F693="Remove",$H693="Tree Protection Code: Tier 3 or Tier 4 Allowance",$H693&lt;&gt;"",ISNA(MATCH($I693,Tables!$B$200,0))),
Error!$B$17,
IF(AND($E693="Tier 3",$F693="Remove",$H693&lt;&gt;"",$H693="Tree Protection Code: Tier 3 or Tier 4 Allowance",OR($I693="",ISNA(MATCH($I693,Tables!$B$193:$B$197,0)))),
Error!$B$17,
IF(AND(OR($E693="Tier 2",$E693="Tier 2 Grove"),$F693="Remove",$H693="Tree Protection Code: Other removal allowance or exemption",$I693&lt;&gt;"",ISNA(MATCH($I693,Tables!$B$215:$B$218,0))),
Error!$B$17,
IF(AND(OR($E693="Tier 2",$E693="Tier 2 Grove"),$F693="Remove",$H693="Tree Protection Code: Development Capacity",$I693&lt;&gt;"",ISNA(MATCH($I693,Tables!$B$193:$B$197,0))),
Error!$B$17,
IF(AND(OR($E693="Tier 2",$E693="Tier 2 Grove"),$F693="Remove",$H693="Tree Protection Code: Necessary for Construction",$I693&lt;&gt;"",ISNA(MATCH($I693,Tables!$B$193:$B$197,0))),
Error!$B$17,
IF(AND($E693="Tier 1",$F693="Remove",$H693="Tree Protection Code: Special Exception",$I693&lt;&gt;"",ISNA(MATCH($I693,Tables!$B$215:$B$218,0))),
Error!$B$17,
IF(AND($E693="Tier 1",$F693="Remove",$H693="Tree Protection Code: Other removal allowance or exemption",$I693&lt;&gt;"",ISNA(MATCH($I693,Tables!$B$215:$B$218,0))),
Error!$B$17,
IF(AND($E693="ECA / Shoreline Tree",$F693="Remove",$H693&lt;&gt;"",OR($H693="Shoreline",$H693="Environmental Critical Area (ECA)"),ISNA(MATCH($I693,Tables!$B$209:$B$212,0))),
Error!$B$17,
IF(AND(_xlpm.baseRow,$F693="Retain",$E693="ECA / Shoreline Tree",_xlpm.ECA_Short=0),
Error!$B$61,
IF(AND($F693="Remove",ISNUMBER(MATCH($E693,{"Tier 1","Tier 2","Tier 3","Tier 4","Tier 2 Grove"},0)),ISNUMBER(MATCH($I693,{"On-site replacement","Off-site replacement"},0)),$J693="",$H693&lt;&gt;""),
Error!$B$19,
IF(AND(_xlpm.baseRow,$E693&lt;&gt;"",$D693&lt;&gt;"",$F693&lt;&gt;"",COUNTBLANK($B693:$C693)&gt;0,COUNTBLANK(_xlpm.HRange)&lt;&gt;4),
Error!$B$22,
IF(AND($H693="Zoning: Tree Points",$K693&lt;&gt;"",ISNA(MATCH($K693,Tables!$B$242:$B$253,0))),
Error!$B$58,
IF(AND($H693="Zoning: Tree Points",$K693="Small",$L693&lt;&gt;"",ISNA(MATCH($L693,Tables!$C$243:$C$244,0))),
Error!$B$59,
IF(AND($H693="Zoning: Tree Points",$K693="Small/Medium",$L693&lt;&gt;"",ISNA(MATCH($L693,Tables!$C$246:$C$247,0))),
Error!$B$59,
IF(AND($H693="Zoning: Tree Points",$K693="Medium/Large",$L693&lt;&gt;"",ISNA(MATCH($L693,Tables!$C$249:$C$250,0))),
Error!$B$59,
IF(AND($H693="Zoning: Tree Points",$K693="Large",$L693&lt;&gt;"",ISNA(MATCH($L693,Tables!$C$252:$C$253,0))),
Error!$B$59,
IF(AND($F693="Retain",$H693="Zoning: Tree Points",$C693&lt;&gt;"",$D693&lt;&gt;"",OR($K693="",$L693="",$M693="")),
Error!$B$20,
""
)))))))))))))))))))))))))))))))))))))))))))))))))))))))),
Error!$B$23))</f>
        <v/>
      </c>
      <c r="O693" s="343" t="str" cm="1">
        <f t="array" aca="1" ref="O693" ca="1">IFERROR(_xlfn.LET(
    _xlpm.txt, $C693,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94" spans="1:15" ht="15" thickBot="1" x14ac:dyDescent="0.35">
      <c r="A694" s="331"/>
      <c r="B694" s="616" t="str">
        <f t="shared" si="817"/>
        <v/>
      </c>
      <c r="C694" s="617" t="str">
        <f t="shared" si="818"/>
        <v/>
      </c>
      <c r="D694" s="618" t="str">
        <f t="shared" si="819"/>
        <v/>
      </c>
      <c r="E694" s="616" t="str">
        <f t="shared" si="820"/>
        <v/>
      </c>
      <c r="F694" s="616" t="str">
        <f t="shared" si="821"/>
        <v/>
      </c>
      <c r="G694" s="619" t="str">
        <f>IF(Tree_Table1[[#This Row],[Tree Status  &amp;]]="Retain", Tables!$B$237, IF(Tree_Table1[[#This Row],[Tree Status  &amp;]]="Remove", Tables!$B$238, ""))</f>
        <v/>
      </c>
      <c r="H694" s="329"/>
      <c r="I694" s="330"/>
      <c r="J694" s="455"/>
      <c r="K694" s="327" t="str">
        <f>IFERROR(
    IF(
        AND($H694="Zoning: Tree Points", NOT(ISNUMBER(SEARCH("sp.", $C694)))),
        VLOOKUP($C694, 'Tree List'!$C$3:$F$601, 4, FALSE),
        ""
    ),
"")</f>
        <v/>
      </c>
      <c r="L694" s="328" t="str" cm="1">
        <f t="array" ref="L694">IFERROR(
IF(
    AND($H694="Zoning: Tree Points", NOT(ISNUMBER(SEARCH("sp.", $C694)))),
    _xlfn.IFS(
        (COUNTIFS('Tree List'!$C$3:$C$601,$C694,'Tree List'!$D$3:$D$601,"Coniferous")
        + COUNTIFS('Tree List'!$C$3:$C$601,$C694,'Tree List'!$D$3:$D$601,"Deciduous Conifer")) &gt; 0,
            _xlfn.IFS($K694="Small",0.5,$K694="Small/Medium",1,$K694="Medium/Large",1.4,$K694="Large",1.8),
        (COUNTIFS('Tree List'!$C$3:$C$601,$C694,'Tree List'!$D$3:$D$601,"Deciduous")
        + COUNTIFS('Tree List'!$C$3:$C$601,$C694,'Tree List'!$D$3:$D$601,"Broadleaf Evergreen")) &gt; 0,
            _xlfn.IFS($K694="Small",0.4,$K694="Small/Medium",0.8,$K694="Medium/Large",1.2,$K694="Large",1.6)
    ),
    ""
),
"")</f>
        <v/>
      </c>
      <c r="M694" s="476" t="str">
        <f t="shared" si="816"/>
        <v/>
      </c>
      <c r="N694" s="347" t="str" cm="1">
        <f t="array" aca="1" ref="N69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IF(AND(_xlpm.baseRow,ISNA(MATCH($C694,'Tree List'!$C$3:$C$601,0)),SUMPRODUCT(--ISNUMBER(SEARCH(Tables2!$C$677:$C$772,$O694)))&gt;0),
Error!$B$57,
IF(AND(_xlpm.hasDM,$F694="Remove",$H694&lt;&gt;"",OR($I694="On-site replacement",$I694="Off-site replacement",$I694="Payment In Lieu")),
Error!$B$56,
IF(AND(_xlpm.hasDM,$F694="Remove",$H694&lt;&gt;"",$I694="Relocation"),
Error!$B$66,
IF(AND(OR(_xlpm.hasCN,_xlpm.hasPH,_xlpm.hasGR),$H694&lt;&gt;"",COUNTIF(Tables!$B$132:$B$134,$H694)&gt;0,$I694="N/A (No replacement required)"),
Error!$B$62,
IF(AND(_xlpm.baseRow,$E694&lt;&gt;"",ISNA(MATCH($E694,Tables!$B$225:$B$232,0))),
Error!$B$2,
IF(AND(_xlpm.baseRow,$F694&lt;&gt;"",ISNA(MATCH($F694,Tables!$B$234:$B$235,0))),
Error!$B$24,
IF(AND(_xlpm.baseRow,_xlpm.ECA_H&gt;0,_xlpm.Shore_H&gt;0),
Error!$B$16,
IF(AND(_xlpm.baseRow,$E694&lt;&gt;"",$D694=""),
Error!$B$3,
IF(AND(_xlpm.baseRow,OR($E694="Tier 3",$E694="Tier 4"),$C694&lt;&gt;"",$D694&gt;=24,COUNTIF(Tables2!$B$166:$B$674,$C694)&gt;0),
Error!$B$44,
IF(AND(_xlpm.baseRow,OR($E694="Tier 3",$E694="Tier 4"),$C694&lt;&gt;"",$D694&lt;&gt;"",COUNTIF(Tables2!$B$73:$B$152,$C694)&gt;0,
$D694&gt;=IFERROR(INDEX(Tables2!$C$73:$C$152,MATCH($C694,Tables2!$B$73:$B$152,0)),-1)),
Error!$B$44,
IF(AND(_xlpm.baseRow,OR($E694="Tier 2",$E694="Tier 2 Grove"),$C694&lt;&gt;"",$D694&gt;=12,COUNTIF(Tables2!$B$153:$B$162,$C694)&gt;0),
Error!$B$45,
IF(AND(_xlpm.baseRow,$E694="Tier 2 Grove",$D694&lt;12),
Error!$B$41,
IF(AND(_xlpm.baseRow,$E694="Tier 2",$D694&lt;5.88),
Error!$B$40,
IF(AND(_xlpm.baseRow,OR($E694="Tier 2",$E694="Tier 2 Grove"),$C694&lt;&gt;"",$D694&lt;12,$D694&gt;=6,COUNTIF(Tables2!$B$153:$B$162,$C694)&gt;0),
Error!$B$54,
IF(AND(_xlpm.baseRow,$E694="Tier 2",COUNTIF(Tables2!$B$166:$B$674,$C694)&gt;0,$D694&lt;24),
Error!$B$54,
IF(AND(_xlpm.baseRow,$E694="Tier 3",ISNA(MATCH($C694,Tables2!$B$153:$B$162,0)),OR($D694&lt;12,$D694&gt;=24)),
Error!$B$9,
IF(AND(_xlpm.baseRow,$E694="Tier 3",COUNTIF(Tables2!$B$153:$B$162,$C694)&gt;0,$D694&lt;12),
Error!$B$46,
IF(AND(_xlpm.baseRow,$E694="Tier 4",OR($D694&lt;6,$D694&gt;=12)),
Error!$B$10,
IF(AND(_xlpm.baseRow,$E694="&lt;6in DSH for Tree Points",OR($D694&gt;=6,$D694="")),
Error!$B$8,
IF(AND(_xlpm.baseRow,$E694="Street Tree for Green Factor",$F694&lt;&gt;"",$F694&lt;&gt;"Retain"),
Error!$B$14,
IF(AND($E694="&lt;6in DSH for Tree Points",$F694="Retain",$H694&lt;&gt;"",ISNA(MATCH($H694,Tables!$B$174:$B$174,0))),
Error!$B$15,
IF(AND($E694="Street Tree for Green Factor",$F694="Retain",$H694&lt;&gt;"",$H694&lt;&gt;"Zoning: Green Factor"),
Error!$B$15,
IF(AND($E694="ECA / Shoreline Tree",$F694="Remove",$H694&lt;&gt;"",ISNA(MATCH($H694,Tables!$B$189:$B$190,0))),
Error!$B$15,
IF(AND($E694="ECA / Shoreline Tree",$F694="Retain",$H694&lt;&gt;"",ISNA(MATCH($H694,Tables!$B$184:$B$186,0))),
Error!$B$15,
IF(AND($E694="Tier 4",$F694="Remove",$H694&lt;&gt;"",ISNA(MATCH($H694,Tables!$B$171,0))),
Error!$B$15,
IF(AND($E694="Tier 4",$F694="Retain",$H694&lt;&gt;"",ISNA(MATCH($H694,Tables!$B$166:$B$168,0))),
Error!$B$15,
IF(AND($E694="Tier 3",$F694="Retain",$H694&lt;&gt;"",ISNA(MATCH($H694,Tables!$B$158:$B$160,0))),
Error!$B$15,
IF(AND($E694="Tier 3",$F694="Remove",$H694&lt;&gt;"",ISNA(MATCH($H694,Tables!$B$163,0))),
Error!$B$15,
IF(AND(OR($E694="Tier 2",$E694="Tier 2 Grove"),$F694="Remove",$H694&lt;&gt;"",ISNA(MATCH($H694,Tables!$B$153:$B$155,0))),
Error!$B$15,
IF(AND(OR($E694="Tier 2",$E694="Tier 2 Grove"),$F694="Retain",$H694&lt;&gt;"",ISNA(MATCH($H694,Tables!$B$147:$B$150,0))),
Error!$B$15,
IF(AND($E694="Tier 1",$F694="Remove",$H694&lt;&gt;"",ISNA(MATCH($H694,Tables!$B$143:$B$144,0))),
Error!$B$15,
IF(AND($E694="Tier 1",$F694="Retain",$H694&lt;&gt;"",ISNA(MATCH($H694,Tables!$B$137:$B$140,0))),
Error!$B$15,
IF(AND($E694&lt;&gt;"Tier 2",$E694&lt;&gt;"Tier 2 Grove",$E694&lt;&gt;"Tier 3",$E694&lt;&gt;"Tier 4",$H694="Zoning: Green Factor",OR($D694="",$D694&lt;6)),
Error!$B$11,
IF(AND(_xlpm.baseRow,$D694&lt;6,$E694="&lt;6in DSH for Tree Points",_xlpm.TreePoints_H=0),
Error!$B$21,
IF(AND(_xlpm.baseRow,$E694&lt;&gt;"",$D694&lt;&gt;"",$F694=""),
Error!$B$4,
IF(AND(_xlpm.baseRow,$F694="Remove",OR($E694="Tier 1",$E694="Tier 2",$E694="Tier 2 Grove"),COUNTBLANK(_xlpm.HRange)&lt;3,_xlpm.uniqueH&gt;=2),
Error!$B$48,
IF(AND(_xlpm.baseRow,$F694="Retain",OR($E694="Tier 1",$E694="Tier 2",$E694="Tier 2 Grove"),COUNTIF(_xlpm.HRange,"Tree Code: Required to Retain Tier 1-2 Tree")=0),
Error!$B$47,
IF(AND(_xlpm.baseRow,$E694&lt;&gt;"",$D694&lt;&gt;"",$F694&lt;&gt;"",COUNTBLANK(_xlpm.HRange)=4),
Error!$B$5,
IF(AND($F694="Remove",$H694&lt;&gt;"",$I694=""),
Error!$B$18,
IF(AND($E694="Tier 4",$F694="Remove",$H694="Tree Protection Code: Tier 3 or Tier 4 Allowance",$H694&lt;&gt;"",ISNA(MATCH($I694,Tables!$B$200,0))),
Error!$B$17,
IF(AND($E694="Tier 3",$F694="Remove",$H694&lt;&gt;"",$H694="Tree Protection Code: Tier 3 or Tier 4 Allowance",OR($I694="",ISNA(MATCH($I694,Tables!$B$193:$B$197,0)))),
Error!$B$17,
IF(AND(OR($E694="Tier 2",$E694="Tier 2 Grove"),$F694="Remove",$H694="Tree Protection Code: Other removal allowance or exemption",$I694&lt;&gt;"",ISNA(MATCH($I694,Tables!$B$215:$B$218,0))),
Error!$B$17,
IF(AND(OR($E694="Tier 2",$E694="Tier 2 Grove"),$F694="Remove",$H694="Tree Protection Code: Development Capacity",$I694&lt;&gt;"",ISNA(MATCH($I694,Tables!$B$193:$B$197,0))),
Error!$B$17,
IF(AND(OR($E694="Tier 2",$E694="Tier 2 Grove"),$F694="Remove",$H694="Tree Protection Code: Necessary for Construction",$I694&lt;&gt;"",ISNA(MATCH($I694,Tables!$B$193:$B$197,0))),
Error!$B$17,
IF(AND($E694="Tier 1",$F694="Remove",$H694="Tree Protection Code: Special Exception",$I694&lt;&gt;"",ISNA(MATCH($I694,Tables!$B$215:$B$218,0))),
Error!$B$17,
IF(AND($E694="Tier 1",$F694="Remove",$H694="Tree Protection Code: Other removal allowance or exemption",$I694&lt;&gt;"",ISNA(MATCH($I694,Tables!$B$215:$B$218,0))),
Error!$B$17,
IF(AND($E694="ECA / Shoreline Tree",$F694="Remove",$H694&lt;&gt;"",OR($H694="Shoreline",$H694="Environmental Critical Area (ECA)"),ISNA(MATCH($I694,Tables!$B$209:$B$212,0))),
Error!$B$17,
IF(AND(_xlpm.baseRow,$F694="Retain",$E694="ECA / Shoreline Tree",_xlpm.ECA_Short=0),
Error!$B$61,
IF(AND($F694="Remove",ISNUMBER(MATCH($E694,{"Tier 1","Tier 2","Tier 3","Tier 4","Tier 2 Grove"},0)),ISNUMBER(MATCH($I694,{"On-site replacement","Off-site replacement"},0)),$J694="",$H694&lt;&gt;""),
Error!$B$19,
IF(AND(_xlpm.baseRow,$E694&lt;&gt;"",$D694&lt;&gt;"",$F694&lt;&gt;"",COUNTBLANK($B694:$C694)&gt;0,COUNTBLANK(_xlpm.HRange)&lt;&gt;4),
Error!$B$22,
IF(AND($H694="Zoning: Tree Points",$K694&lt;&gt;"",ISNA(MATCH($K694,Tables!$B$242:$B$253,0))),
Error!$B$58,
IF(AND($H694="Zoning: Tree Points",$K694="Small",$L694&lt;&gt;"",ISNA(MATCH($L694,Tables!$C$243:$C$244,0))),
Error!$B$59,
IF(AND($H694="Zoning: Tree Points",$K694="Small/Medium",$L694&lt;&gt;"",ISNA(MATCH($L694,Tables!$C$246:$C$247,0))),
Error!$B$59,
IF(AND($H694="Zoning: Tree Points",$K694="Medium/Large",$L694&lt;&gt;"",ISNA(MATCH($L694,Tables!$C$249:$C$250,0))),
Error!$B$59,
IF(AND($H694="Zoning: Tree Points",$K694="Large",$L694&lt;&gt;"",ISNA(MATCH($L694,Tables!$C$252:$C$253,0))),
Error!$B$59,
IF(AND($F694="Retain",$H694="Zoning: Tree Points",$C694&lt;&gt;"",$D694&lt;&gt;"",OR($K694="",$L694="",$M694="")),
Error!$B$20,
""
)))))))))))))))))))))))))))))))))))))))))))))))))))))))),
Error!$B$23))</f>
        <v/>
      </c>
      <c r="O694" s="343" t="str" cm="1">
        <f t="array" aca="1" ref="O694" ca="1">IFERROR(_xlfn.LET(
    _xlpm.txt, $C694,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95" spans="1:15" ht="15" thickBot="1" x14ac:dyDescent="0.35">
      <c r="A695" s="311">
        <v>172</v>
      </c>
      <c r="B695" s="312"/>
      <c r="C695" s="313"/>
      <c r="D695" s="478"/>
      <c r="E695" s="314"/>
      <c r="F695" s="314"/>
      <c r="G695" s="315" t="str">
        <f>IF(Tree_Table1[[#This Row],[Tree Status  &amp;]]="Retain", Tables!$B$237, IF(Tree_Table1[[#This Row],[Tree Status  &amp;]]="Remove", Tables!$B$238, ""))</f>
        <v/>
      </c>
      <c r="H695" s="316"/>
      <c r="I695" s="317"/>
      <c r="J695" s="452"/>
      <c r="K695" s="318" t="str">
        <f>IFERROR(
    IF(
        AND($H695="Zoning: Tree Points", NOT(ISNUMBER(SEARCH("sp.", $C695)))),
        VLOOKUP($C695, 'Tree List'!$C$3:$F$601, 4, FALSE),
        ""
    ),
"")</f>
        <v/>
      </c>
      <c r="L695" s="319" t="str" cm="1">
        <f t="array" ref="L695">IFERROR(
IF(
    AND($H695="Zoning: Tree Points", NOT(ISNUMBER(SEARCH("sp.", $C695)))),
    _xlfn.IFS(
        (COUNTIFS('Tree List'!$C$3:$C$601,$C695,'Tree List'!$D$3:$D$601,"Coniferous")
        + COUNTIFS('Tree List'!$C$3:$C$601,$C695,'Tree List'!$D$3:$D$601,"Deciduous Conifer")) &gt; 0,
            _xlfn.IFS($K695="Small",0.5,$K695="Small/Medium",1,$K695="Medium/Large",1.4,$K695="Large",1.8),
        (COUNTIFS('Tree List'!$C$3:$C$601,$C695,'Tree List'!$D$3:$D$601,"Deciduous")
        + COUNTIFS('Tree List'!$C$3:$C$601,$C695,'Tree List'!$D$3:$D$601,"Broadleaf Evergreen")) &gt; 0,
            _xlfn.IFS($K695="Small",0.4,$K695="Small/Medium",0.8,$K695="Medium/Large",1.2,$K695="Large",1.6)
    ),
    ""
),
"")</f>
        <v/>
      </c>
      <c r="M695" s="474" t="str">
        <f t="shared" si="816"/>
        <v/>
      </c>
      <c r="N695" s="620" t="str" cm="1">
        <f t="array" aca="1" ref="N69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IF(AND(_xlpm.baseRow,ISNA(MATCH($C695,'Tree List'!$C$3:$C$601,0)),SUMPRODUCT(--ISNUMBER(SEARCH(Tables2!$C$677:$C$772,$O695)))&gt;0),
Error!$B$57,
IF(AND(_xlpm.hasDM,$F695="Remove",$H695&lt;&gt;"",OR($I695="On-site replacement",$I695="Off-site replacement",$I695="Payment In Lieu")),
Error!$B$56,
IF(AND(_xlpm.hasDM,$F695="Remove",$H695&lt;&gt;"",$I695="Relocation"),
Error!$B$66,
IF(AND(OR(_xlpm.hasCN,_xlpm.hasPH,_xlpm.hasGR),$H695&lt;&gt;"",COUNTIF(Tables!$B$132:$B$134,$H695)&gt;0,$I695="N/A (No replacement required)"),
Error!$B$62,
IF(AND(_xlpm.baseRow,$E695&lt;&gt;"",ISNA(MATCH($E695,Tables!$B$225:$B$232,0))),
Error!$B$2,
IF(AND(_xlpm.baseRow,$F695&lt;&gt;"",ISNA(MATCH($F695,Tables!$B$234:$B$235,0))),
Error!$B$24,
IF(AND(_xlpm.baseRow,_xlpm.ECA_H&gt;0,_xlpm.Shore_H&gt;0),
Error!$B$16,
IF(AND(_xlpm.baseRow,$E695&lt;&gt;"",$D695=""),
Error!$B$3,
IF(AND(_xlpm.baseRow,OR($E695="Tier 3",$E695="Tier 4"),$C695&lt;&gt;"",$D695&gt;=24,COUNTIF(Tables2!$B$166:$B$674,$C695)&gt;0),
Error!$B$44,
IF(AND(_xlpm.baseRow,OR($E695="Tier 3",$E695="Tier 4"),$C695&lt;&gt;"",$D695&lt;&gt;"",COUNTIF(Tables2!$B$73:$B$152,$C695)&gt;0,
$D695&gt;=IFERROR(INDEX(Tables2!$C$73:$C$152,MATCH($C695,Tables2!$B$73:$B$152,0)),-1)),
Error!$B$44,
IF(AND(_xlpm.baseRow,OR($E695="Tier 2",$E695="Tier 2 Grove"),$C695&lt;&gt;"",$D695&gt;=12,COUNTIF(Tables2!$B$153:$B$162,$C695)&gt;0),
Error!$B$45,
IF(AND(_xlpm.baseRow,$E695="Tier 2 Grove",$D695&lt;12),
Error!$B$41,
IF(AND(_xlpm.baseRow,$E695="Tier 2",$D695&lt;5.88),
Error!$B$40,
IF(AND(_xlpm.baseRow,OR($E695="Tier 2",$E695="Tier 2 Grove"),$C695&lt;&gt;"",$D695&lt;12,$D695&gt;=6,COUNTIF(Tables2!$B$153:$B$162,$C695)&gt;0),
Error!$B$54,
IF(AND(_xlpm.baseRow,$E695="Tier 2",COUNTIF(Tables2!$B$166:$B$674,$C695)&gt;0,$D695&lt;24),
Error!$B$54,
IF(AND(_xlpm.baseRow,$E695="Tier 3",ISNA(MATCH($C695,Tables2!$B$153:$B$162,0)),OR($D695&lt;12,$D695&gt;=24)),
Error!$B$9,
IF(AND(_xlpm.baseRow,$E695="Tier 3",COUNTIF(Tables2!$B$153:$B$162,$C695)&gt;0,$D695&lt;12),
Error!$B$46,
IF(AND(_xlpm.baseRow,$E695="Tier 4",OR($D695&lt;6,$D695&gt;=12)),
Error!$B$10,
IF(AND(_xlpm.baseRow,$E695="&lt;6in DSH for Tree Points",OR($D695&gt;=6,$D695="")),
Error!$B$8,
IF(AND(_xlpm.baseRow,$E695="Street Tree for Green Factor",$F695&lt;&gt;"",$F695&lt;&gt;"Retain"),
Error!$B$14,
IF(AND($E695="&lt;6in DSH for Tree Points",$F695="Retain",$H695&lt;&gt;"",ISNA(MATCH($H695,Tables!$B$174:$B$174,0))),
Error!$B$15,
IF(AND($E695="Street Tree for Green Factor",$F695="Retain",$H695&lt;&gt;"",$H695&lt;&gt;"Zoning: Green Factor"),
Error!$B$15,
IF(AND($E695="ECA / Shoreline Tree",$F695="Remove",$H695&lt;&gt;"",ISNA(MATCH($H695,Tables!$B$189:$B$190,0))),
Error!$B$15,
IF(AND($E695="ECA / Shoreline Tree",$F695="Retain",$H695&lt;&gt;"",ISNA(MATCH($H695,Tables!$B$184:$B$186,0))),
Error!$B$15,
IF(AND($E695="Tier 4",$F695="Remove",$H695&lt;&gt;"",ISNA(MATCH($H695,Tables!$B$171,0))),
Error!$B$15,
IF(AND($E695="Tier 4",$F695="Retain",$H695&lt;&gt;"",ISNA(MATCH($H695,Tables!$B$166:$B$168,0))),
Error!$B$15,
IF(AND($E695="Tier 3",$F695="Retain",$H695&lt;&gt;"",ISNA(MATCH($H695,Tables!$B$158:$B$160,0))),
Error!$B$15,
IF(AND($E695="Tier 3",$F695="Remove",$H695&lt;&gt;"",ISNA(MATCH($H695,Tables!$B$163,0))),
Error!$B$15,
IF(AND(OR($E695="Tier 2",$E695="Tier 2 Grove"),$F695="Remove",$H695&lt;&gt;"",ISNA(MATCH($H695,Tables!$B$153:$B$155,0))),
Error!$B$15,
IF(AND(OR($E695="Tier 2",$E695="Tier 2 Grove"),$F695="Retain",$H695&lt;&gt;"",ISNA(MATCH($H695,Tables!$B$147:$B$150,0))),
Error!$B$15,
IF(AND($E695="Tier 1",$F695="Remove",$H695&lt;&gt;"",ISNA(MATCH($H695,Tables!$B$143:$B$144,0))),
Error!$B$15,
IF(AND($E695="Tier 1",$F695="Retain",$H695&lt;&gt;"",ISNA(MATCH($H695,Tables!$B$137:$B$140,0))),
Error!$B$15,
IF(AND($E695&lt;&gt;"Tier 2",$E695&lt;&gt;"Tier 2 Grove",$E695&lt;&gt;"Tier 3",$E695&lt;&gt;"Tier 4",$H695="Zoning: Green Factor",OR($D695="",$D695&lt;6)),
Error!$B$11,
IF(AND(_xlpm.baseRow,$D695&lt;6,$E695="&lt;6in DSH for Tree Points",_xlpm.TreePoints_H=0),
Error!$B$21,
IF(AND(_xlpm.baseRow,$E695&lt;&gt;"",$D695&lt;&gt;"",$F695=""),
Error!$B$4,
IF(AND(_xlpm.baseRow,$F695="Remove",OR($E695="Tier 1",$E695="Tier 2",$E695="Tier 2 Grove"),COUNTBLANK(_xlpm.HRange)&lt;3,_xlpm.uniqueH&gt;=2),
Error!$B$48,
IF(AND(_xlpm.baseRow,$F695="Retain",OR($E695="Tier 1",$E695="Tier 2",$E695="Tier 2 Grove"),COUNTIF(_xlpm.HRange,"Tree Code: Required to Retain Tier 1-2 Tree")=0),
Error!$B$47,
IF(AND(_xlpm.baseRow,$E695&lt;&gt;"",$D695&lt;&gt;"",$F695&lt;&gt;"",COUNTBLANK(_xlpm.HRange)=4),
Error!$B$5,
IF(AND($F695="Remove",$H695&lt;&gt;"",$I695=""),
Error!$B$18,
IF(AND($E695="Tier 4",$F695="Remove",$H695="Tree Protection Code: Tier 3 or Tier 4 Allowance",$H695&lt;&gt;"",ISNA(MATCH($I695,Tables!$B$200,0))),
Error!$B$17,
IF(AND($E695="Tier 3",$F695="Remove",$H695&lt;&gt;"",$H695="Tree Protection Code: Tier 3 or Tier 4 Allowance",OR($I695="",ISNA(MATCH($I695,Tables!$B$193:$B$197,0)))),
Error!$B$17,
IF(AND(OR($E695="Tier 2",$E695="Tier 2 Grove"),$F695="Remove",$H695="Tree Protection Code: Other removal allowance or exemption",$I695&lt;&gt;"",ISNA(MATCH($I695,Tables!$B$215:$B$218,0))),
Error!$B$17,
IF(AND(OR($E695="Tier 2",$E695="Tier 2 Grove"),$F695="Remove",$H695="Tree Protection Code: Development Capacity",$I695&lt;&gt;"",ISNA(MATCH($I695,Tables!$B$193:$B$197,0))),
Error!$B$17,
IF(AND(OR($E695="Tier 2",$E695="Tier 2 Grove"),$F695="Remove",$H695="Tree Protection Code: Necessary for Construction",$I695&lt;&gt;"",ISNA(MATCH($I695,Tables!$B$193:$B$197,0))),
Error!$B$17,
IF(AND($E695="Tier 1",$F695="Remove",$H695="Tree Protection Code: Special Exception",$I695&lt;&gt;"",ISNA(MATCH($I695,Tables!$B$215:$B$218,0))),
Error!$B$17,
IF(AND($E695="Tier 1",$F695="Remove",$H695="Tree Protection Code: Other removal allowance or exemption",$I695&lt;&gt;"",ISNA(MATCH($I695,Tables!$B$215:$B$218,0))),
Error!$B$17,
IF(AND($E695="ECA / Shoreline Tree",$F695="Remove",$H695&lt;&gt;"",OR($H695="Shoreline",$H695="Environmental Critical Area (ECA)"),ISNA(MATCH($I695,Tables!$B$209:$B$212,0))),
Error!$B$17,
IF(AND(_xlpm.baseRow,$F695="Retain",$E695="ECA / Shoreline Tree",_xlpm.ECA_Short=0),
Error!$B$61,
IF(AND($F695="Remove",ISNUMBER(MATCH($E695,{"Tier 1","Tier 2","Tier 3","Tier 4","Tier 2 Grove"},0)),ISNUMBER(MATCH($I695,{"On-site replacement","Off-site replacement"},0)),$J695="",$H695&lt;&gt;""),
Error!$B$19,
IF(AND(_xlpm.baseRow,$E695&lt;&gt;"",$D695&lt;&gt;"",$F695&lt;&gt;"",COUNTBLANK($B695:$C695)&gt;0,COUNTBLANK(_xlpm.HRange)&lt;&gt;4),
Error!$B$22,
IF(AND($H695="Zoning: Tree Points",$K695&lt;&gt;"",ISNA(MATCH($K695,Tables!$B$242:$B$253,0))),
Error!$B$58,
IF(AND($H695="Zoning: Tree Points",$K695="Small",$L695&lt;&gt;"",ISNA(MATCH($L695,Tables!$C$243:$C$244,0))),
Error!$B$59,
IF(AND($H695="Zoning: Tree Points",$K695="Small/Medium",$L695&lt;&gt;"",ISNA(MATCH($L695,Tables!$C$246:$C$247,0))),
Error!$B$59,
IF(AND($H695="Zoning: Tree Points",$K695="Medium/Large",$L695&lt;&gt;"",ISNA(MATCH($L695,Tables!$C$249:$C$250,0))),
Error!$B$59,
IF(AND($H695="Zoning: Tree Points",$K695="Large",$L695&lt;&gt;"",ISNA(MATCH($L695,Tables!$C$252:$C$253,0))),
Error!$B$59,
IF(AND($F695="Retain",$H695="Zoning: Tree Points",$C695&lt;&gt;"",$D695&lt;&gt;"",OR($K695="",$L695="",$M695="")),
Error!$B$20,
""
)))))))))))))))))))))))))))))))))))))))))))))))))))))))),
Error!$B$23))</f>
        <v/>
      </c>
      <c r="O695" s="343" t="str" cm="1">
        <f t="array" aca="1" ref="O695" ca="1">IFERROR(_xlfn.LET(
    _xlpm.txt, $C695,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96" spans="1:15" x14ac:dyDescent="0.3">
      <c r="A696" s="320"/>
      <c r="B696" s="616" t="str">
        <f t="shared" ref="B696:B698" si="822">IF($B695="", "", $B695)</f>
        <v/>
      </c>
      <c r="C696" s="617" t="str">
        <f t="shared" ref="C696:C698" si="823">IF($C695="", "", $C695)</f>
        <v/>
      </c>
      <c r="D696" s="618" t="str">
        <f t="shared" ref="D696:D698" si="824">IF($D695="", "", $D695)</f>
        <v/>
      </c>
      <c r="E696" s="616" t="str">
        <f t="shared" ref="E696:E698" si="825">IF($E695="", "", $E695)</f>
        <v/>
      </c>
      <c r="F696" s="616" t="str">
        <f t="shared" ref="F696:F698" si="826">IF($F695="", "", $F695)</f>
        <v/>
      </c>
      <c r="G696" s="619" t="str">
        <f>IF(Tree_Table1[[#This Row],[Tree Status  &amp;]]="Retain", Tables!$B$237, IF(Tree_Table1[[#This Row],[Tree Status  &amp;]]="Remove", Tables!$B$238, ""))</f>
        <v/>
      </c>
      <c r="H696" s="321"/>
      <c r="I696" s="322"/>
      <c r="J696" s="453"/>
      <c r="K696" s="323" t="str">
        <f>IFERROR(
    IF(
        AND($H696="Zoning: Tree Points", NOT(ISNUMBER(SEARCH("sp.", $C696)))),
        VLOOKUP($C696, 'Tree List'!$C$3:$F$601, 4, FALSE),
        ""
    ),
"")</f>
        <v/>
      </c>
      <c r="L696" s="324" t="str" cm="1">
        <f t="array" ref="L696">IFERROR(
IF(
    AND($H696="Zoning: Tree Points", NOT(ISNUMBER(SEARCH("sp.", $C696)))),
    _xlfn.IFS(
        (COUNTIFS('Tree List'!$C$3:$C$601,$C696,'Tree List'!$D$3:$D$601,"Coniferous")
        + COUNTIFS('Tree List'!$C$3:$C$601,$C696,'Tree List'!$D$3:$D$601,"Deciduous Conifer")) &gt; 0,
            _xlfn.IFS($K696="Small",0.5,$K696="Small/Medium",1,$K696="Medium/Large",1.4,$K696="Large",1.8),
        (COUNTIFS('Tree List'!$C$3:$C$601,$C696,'Tree List'!$D$3:$D$601,"Deciduous")
        + COUNTIFS('Tree List'!$C$3:$C$601,$C696,'Tree List'!$D$3:$D$601,"Broadleaf Evergreen")) &gt; 0,
            _xlfn.IFS($K696="Small",0.4,$K696="Small/Medium",0.8,$K696="Medium/Large",1.2,$K696="Large",1.6)
    ),
    ""
),
"")</f>
        <v/>
      </c>
      <c r="M696" s="475" t="str">
        <f t="shared" si="816"/>
        <v/>
      </c>
      <c r="N696" s="346" t="str" cm="1">
        <f t="array" aca="1" ref="N69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IF(AND(_xlpm.baseRow,ISNA(MATCH($C696,'Tree List'!$C$3:$C$601,0)),SUMPRODUCT(--ISNUMBER(SEARCH(Tables2!$C$677:$C$772,$O696)))&gt;0),
Error!$B$57,
IF(AND(_xlpm.hasDM,$F696="Remove",$H696&lt;&gt;"",OR($I696="On-site replacement",$I696="Off-site replacement",$I696="Payment In Lieu")),
Error!$B$56,
IF(AND(_xlpm.hasDM,$F696="Remove",$H696&lt;&gt;"",$I696="Relocation"),
Error!$B$66,
IF(AND(OR(_xlpm.hasCN,_xlpm.hasPH,_xlpm.hasGR),$H696&lt;&gt;"",COUNTIF(Tables!$B$132:$B$134,$H696)&gt;0,$I696="N/A (No replacement required)"),
Error!$B$62,
IF(AND(_xlpm.baseRow,$E696&lt;&gt;"",ISNA(MATCH($E696,Tables!$B$225:$B$232,0))),
Error!$B$2,
IF(AND(_xlpm.baseRow,$F696&lt;&gt;"",ISNA(MATCH($F696,Tables!$B$234:$B$235,0))),
Error!$B$24,
IF(AND(_xlpm.baseRow,_xlpm.ECA_H&gt;0,_xlpm.Shore_H&gt;0),
Error!$B$16,
IF(AND(_xlpm.baseRow,$E696&lt;&gt;"",$D696=""),
Error!$B$3,
IF(AND(_xlpm.baseRow,OR($E696="Tier 3",$E696="Tier 4"),$C696&lt;&gt;"",$D696&gt;=24,COUNTIF(Tables2!$B$166:$B$674,$C696)&gt;0),
Error!$B$44,
IF(AND(_xlpm.baseRow,OR($E696="Tier 3",$E696="Tier 4"),$C696&lt;&gt;"",$D696&lt;&gt;"",COUNTIF(Tables2!$B$73:$B$152,$C696)&gt;0,
$D696&gt;=IFERROR(INDEX(Tables2!$C$73:$C$152,MATCH($C696,Tables2!$B$73:$B$152,0)),-1)),
Error!$B$44,
IF(AND(_xlpm.baseRow,OR($E696="Tier 2",$E696="Tier 2 Grove"),$C696&lt;&gt;"",$D696&gt;=12,COUNTIF(Tables2!$B$153:$B$162,$C696)&gt;0),
Error!$B$45,
IF(AND(_xlpm.baseRow,$E696="Tier 2 Grove",$D696&lt;12),
Error!$B$41,
IF(AND(_xlpm.baseRow,$E696="Tier 2",$D696&lt;5.88),
Error!$B$40,
IF(AND(_xlpm.baseRow,OR($E696="Tier 2",$E696="Tier 2 Grove"),$C696&lt;&gt;"",$D696&lt;12,$D696&gt;=6,COUNTIF(Tables2!$B$153:$B$162,$C696)&gt;0),
Error!$B$54,
IF(AND(_xlpm.baseRow,$E696="Tier 2",COUNTIF(Tables2!$B$166:$B$674,$C696)&gt;0,$D696&lt;24),
Error!$B$54,
IF(AND(_xlpm.baseRow,$E696="Tier 3",ISNA(MATCH($C696,Tables2!$B$153:$B$162,0)),OR($D696&lt;12,$D696&gt;=24)),
Error!$B$9,
IF(AND(_xlpm.baseRow,$E696="Tier 3",COUNTIF(Tables2!$B$153:$B$162,$C696)&gt;0,$D696&lt;12),
Error!$B$46,
IF(AND(_xlpm.baseRow,$E696="Tier 4",OR($D696&lt;6,$D696&gt;=12)),
Error!$B$10,
IF(AND(_xlpm.baseRow,$E696="&lt;6in DSH for Tree Points",OR($D696&gt;=6,$D696="")),
Error!$B$8,
IF(AND(_xlpm.baseRow,$E696="Street Tree for Green Factor",$F696&lt;&gt;"",$F696&lt;&gt;"Retain"),
Error!$B$14,
IF(AND($E696="&lt;6in DSH for Tree Points",$F696="Retain",$H696&lt;&gt;"",ISNA(MATCH($H696,Tables!$B$174:$B$174,0))),
Error!$B$15,
IF(AND($E696="Street Tree for Green Factor",$F696="Retain",$H696&lt;&gt;"",$H696&lt;&gt;"Zoning: Green Factor"),
Error!$B$15,
IF(AND($E696="ECA / Shoreline Tree",$F696="Remove",$H696&lt;&gt;"",ISNA(MATCH($H696,Tables!$B$189:$B$190,0))),
Error!$B$15,
IF(AND($E696="ECA / Shoreline Tree",$F696="Retain",$H696&lt;&gt;"",ISNA(MATCH($H696,Tables!$B$184:$B$186,0))),
Error!$B$15,
IF(AND($E696="Tier 4",$F696="Remove",$H696&lt;&gt;"",ISNA(MATCH($H696,Tables!$B$171,0))),
Error!$B$15,
IF(AND($E696="Tier 4",$F696="Retain",$H696&lt;&gt;"",ISNA(MATCH($H696,Tables!$B$166:$B$168,0))),
Error!$B$15,
IF(AND($E696="Tier 3",$F696="Retain",$H696&lt;&gt;"",ISNA(MATCH($H696,Tables!$B$158:$B$160,0))),
Error!$B$15,
IF(AND($E696="Tier 3",$F696="Remove",$H696&lt;&gt;"",ISNA(MATCH($H696,Tables!$B$163,0))),
Error!$B$15,
IF(AND(OR($E696="Tier 2",$E696="Tier 2 Grove"),$F696="Remove",$H696&lt;&gt;"",ISNA(MATCH($H696,Tables!$B$153:$B$155,0))),
Error!$B$15,
IF(AND(OR($E696="Tier 2",$E696="Tier 2 Grove"),$F696="Retain",$H696&lt;&gt;"",ISNA(MATCH($H696,Tables!$B$147:$B$150,0))),
Error!$B$15,
IF(AND($E696="Tier 1",$F696="Remove",$H696&lt;&gt;"",ISNA(MATCH($H696,Tables!$B$143:$B$144,0))),
Error!$B$15,
IF(AND($E696="Tier 1",$F696="Retain",$H696&lt;&gt;"",ISNA(MATCH($H696,Tables!$B$137:$B$140,0))),
Error!$B$15,
IF(AND($E696&lt;&gt;"Tier 2",$E696&lt;&gt;"Tier 2 Grove",$E696&lt;&gt;"Tier 3",$E696&lt;&gt;"Tier 4",$H696="Zoning: Green Factor",OR($D696="",$D696&lt;6)),
Error!$B$11,
IF(AND(_xlpm.baseRow,$D696&lt;6,$E696="&lt;6in DSH for Tree Points",_xlpm.TreePoints_H=0),
Error!$B$21,
IF(AND(_xlpm.baseRow,$E696&lt;&gt;"",$D696&lt;&gt;"",$F696=""),
Error!$B$4,
IF(AND(_xlpm.baseRow,$F696="Remove",OR($E696="Tier 1",$E696="Tier 2",$E696="Tier 2 Grove"),COUNTBLANK(_xlpm.HRange)&lt;3,_xlpm.uniqueH&gt;=2),
Error!$B$48,
IF(AND(_xlpm.baseRow,$F696="Retain",OR($E696="Tier 1",$E696="Tier 2",$E696="Tier 2 Grove"),COUNTIF(_xlpm.HRange,"Tree Code: Required to Retain Tier 1-2 Tree")=0),
Error!$B$47,
IF(AND(_xlpm.baseRow,$E696&lt;&gt;"",$D696&lt;&gt;"",$F696&lt;&gt;"",COUNTBLANK(_xlpm.HRange)=4),
Error!$B$5,
IF(AND($F696="Remove",$H696&lt;&gt;"",$I696=""),
Error!$B$18,
IF(AND($E696="Tier 4",$F696="Remove",$H696="Tree Protection Code: Tier 3 or Tier 4 Allowance",$H696&lt;&gt;"",ISNA(MATCH($I696,Tables!$B$200,0))),
Error!$B$17,
IF(AND($E696="Tier 3",$F696="Remove",$H696&lt;&gt;"",$H696="Tree Protection Code: Tier 3 or Tier 4 Allowance",OR($I696="",ISNA(MATCH($I696,Tables!$B$193:$B$197,0)))),
Error!$B$17,
IF(AND(OR($E696="Tier 2",$E696="Tier 2 Grove"),$F696="Remove",$H696="Tree Protection Code: Other removal allowance or exemption",$I696&lt;&gt;"",ISNA(MATCH($I696,Tables!$B$215:$B$218,0))),
Error!$B$17,
IF(AND(OR($E696="Tier 2",$E696="Tier 2 Grove"),$F696="Remove",$H696="Tree Protection Code: Development Capacity",$I696&lt;&gt;"",ISNA(MATCH($I696,Tables!$B$193:$B$197,0))),
Error!$B$17,
IF(AND(OR($E696="Tier 2",$E696="Tier 2 Grove"),$F696="Remove",$H696="Tree Protection Code: Necessary for Construction",$I696&lt;&gt;"",ISNA(MATCH($I696,Tables!$B$193:$B$197,0))),
Error!$B$17,
IF(AND($E696="Tier 1",$F696="Remove",$H696="Tree Protection Code: Special Exception",$I696&lt;&gt;"",ISNA(MATCH($I696,Tables!$B$215:$B$218,0))),
Error!$B$17,
IF(AND($E696="Tier 1",$F696="Remove",$H696="Tree Protection Code: Other removal allowance or exemption",$I696&lt;&gt;"",ISNA(MATCH($I696,Tables!$B$215:$B$218,0))),
Error!$B$17,
IF(AND($E696="ECA / Shoreline Tree",$F696="Remove",$H696&lt;&gt;"",OR($H696="Shoreline",$H696="Environmental Critical Area (ECA)"),ISNA(MATCH($I696,Tables!$B$209:$B$212,0))),
Error!$B$17,
IF(AND(_xlpm.baseRow,$F696="Retain",$E696="ECA / Shoreline Tree",_xlpm.ECA_Short=0),
Error!$B$61,
IF(AND($F696="Remove",ISNUMBER(MATCH($E696,{"Tier 1","Tier 2","Tier 3","Tier 4","Tier 2 Grove"},0)),ISNUMBER(MATCH($I696,{"On-site replacement","Off-site replacement"},0)),$J696="",$H696&lt;&gt;""),
Error!$B$19,
IF(AND(_xlpm.baseRow,$E696&lt;&gt;"",$D696&lt;&gt;"",$F696&lt;&gt;"",COUNTBLANK($B696:$C696)&gt;0,COUNTBLANK(_xlpm.HRange)&lt;&gt;4),
Error!$B$22,
IF(AND($H696="Zoning: Tree Points",$K696&lt;&gt;"",ISNA(MATCH($K696,Tables!$B$242:$B$253,0))),
Error!$B$58,
IF(AND($H696="Zoning: Tree Points",$K696="Small",$L696&lt;&gt;"",ISNA(MATCH($L696,Tables!$C$243:$C$244,0))),
Error!$B$59,
IF(AND($H696="Zoning: Tree Points",$K696="Small/Medium",$L696&lt;&gt;"",ISNA(MATCH($L696,Tables!$C$246:$C$247,0))),
Error!$B$59,
IF(AND($H696="Zoning: Tree Points",$K696="Medium/Large",$L696&lt;&gt;"",ISNA(MATCH($L696,Tables!$C$249:$C$250,0))),
Error!$B$59,
IF(AND($H696="Zoning: Tree Points",$K696="Large",$L696&lt;&gt;"",ISNA(MATCH($L696,Tables!$C$252:$C$253,0))),
Error!$B$59,
IF(AND($F696="Retain",$H696="Zoning: Tree Points",$C696&lt;&gt;"",$D696&lt;&gt;"",OR($K696="",$L696="",$M696="")),
Error!$B$20,
""
)))))))))))))))))))))))))))))))))))))))))))))))))))))))),
Error!$B$23))</f>
        <v/>
      </c>
      <c r="O696" s="343" t="str" cm="1">
        <f t="array" aca="1" ref="O696" ca="1">IFERROR(_xlfn.LET(
    _xlpm.txt, $C696,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97" spans="1:15" x14ac:dyDescent="0.3">
      <c r="A697" s="320"/>
      <c r="B697" s="616" t="str">
        <f t="shared" si="822"/>
        <v/>
      </c>
      <c r="C697" s="617" t="str">
        <f t="shared" si="823"/>
        <v/>
      </c>
      <c r="D697" s="618" t="str">
        <f t="shared" si="824"/>
        <v/>
      </c>
      <c r="E697" s="616" t="str">
        <f t="shared" si="825"/>
        <v/>
      </c>
      <c r="F697" s="616" t="str">
        <f t="shared" si="826"/>
        <v/>
      </c>
      <c r="G697" s="619" t="str">
        <f>IF(Tree_Table1[[#This Row],[Tree Status  &amp;]]="Retain", Tables!$B$237, IF(Tree_Table1[[#This Row],[Tree Status  &amp;]]="Remove", Tables!$B$238, ""))</f>
        <v/>
      </c>
      <c r="H697" s="321"/>
      <c r="I697" s="322"/>
      <c r="J697" s="453"/>
      <c r="K697" s="323" t="str">
        <f>IFERROR(
    IF(
        AND($H697="Zoning: Tree Points", NOT(ISNUMBER(SEARCH("sp.", $C697)))),
        VLOOKUP($C697, 'Tree List'!$C$3:$F$601, 4, FALSE),
        ""
    ),
"")</f>
        <v/>
      </c>
      <c r="L697" s="324" t="str" cm="1">
        <f t="array" ref="L697">IFERROR(
IF(
    AND($H697="Zoning: Tree Points", NOT(ISNUMBER(SEARCH("sp.", $C697)))),
    _xlfn.IFS(
        (COUNTIFS('Tree List'!$C$3:$C$601,$C697,'Tree List'!$D$3:$D$601,"Coniferous")
        + COUNTIFS('Tree List'!$C$3:$C$601,$C697,'Tree List'!$D$3:$D$601,"Deciduous Conifer")) &gt; 0,
            _xlfn.IFS($K697="Small",0.5,$K697="Small/Medium",1,$K697="Medium/Large",1.4,$K697="Large",1.8),
        (COUNTIFS('Tree List'!$C$3:$C$601,$C697,'Tree List'!$D$3:$D$601,"Deciduous")
        + COUNTIFS('Tree List'!$C$3:$C$601,$C697,'Tree List'!$D$3:$D$601,"Broadleaf Evergreen")) &gt; 0,
            _xlfn.IFS($K697="Small",0.4,$K697="Small/Medium",0.8,$K697="Medium/Large",1.2,$K697="Large",1.6)
    ),
    ""
),
"")</f>
        <v/>
      </c>
      <c r="M697" s="475" t="str">
        <f t="shared" si="816"/>
        <v/>
      </c>
      <c r="N697" s="346" t="str" cm="1">
        <f t="array" aca="1" ref="N69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IF(AND(_xlpm.baseRow,ISNA(MATCH($C697,'Tree List'!$C$3:$C$601,0)),SUMPRODUCT(--ISNUMBER(SEARCH(Tables2!$C$677:$C$772,$O697)))&gt;0),
Error!$B$57,
IF(AND(_xlpm.hasDM,$F697="Remove",$H697&lt;&gt;"",OR($I697="On-site replacement",$I697="Off-site replacement",$I697="Payment In Lieu")),
Error!$B$56,
IF(AND(_xlpm.hasDM,$F697="Remove",$H697&lt;&gt;"",$I697="Relocation"),
Error!$B$66,
IF(AND(OR(_xlpm.hasCN,_xlpm.hasPH,_xlpm.hasGR),$H697&lt;&gt;"",COUNTIF(Tables!$B$132:$B$134,$H697)&gt;0,$I697="N/A (No replacement required)"),
Error!$B$62,
IF(AND(_xlpm.baseRow,$E697&lt;&gt;"",ISNA(MATCH($E697,Tables!$B$225:$B$232,0))),
Error!$B$2,
IF(AND(_xlpm.baseRow,$F697&lt;&gt;"",ISNA(MATCH($F697,Tables!$B$234:$B$235,0))),
Error!$B$24,
IF(AND(_xlpm.baseRow,_xlpm.ECA_H&gt;0,_xlpm.Shore_H&gt;0),
Error!$B$16,
IF(AND(_xlpm.baseRow,$E697&lt;&gt;"",$D697=""),
Error!$B$3,
IF(AND(_xlpm.baseRow,OR($E697="Tier 3",$E697="Tier 4"),$C697&lt;&gt;"",$D697&gt;=24,COUNTIF(Tables2!$B$166:$B$674,$C697)&gt;0),
Error!$B$44,
IF(AND(_xlpm.baseRow,OR($E697="Tier 3",$E697="Tier 4"),$C697&lt;&gt;"",$D697&lt;&gt;"",COUNTIF(Tables2!$B$73:$B$152,$C697)&gt;0,
$D697&gt;=IFERROR(INDEX(Tables2!$C$73:$C$152,MATCH($C697,Tables2!$B$73:$B$152,0)),-1)),
Error!$B$44,
IF(AND(_xlpm.baseRow,OR($E697="Tier 2",$E697="Tier 2 Grove"),$C697&lt;&gt;"",$D697&gt;=12,COUNTIF(Tables2!$B$153:$B$162,$C697)&gt;0),
Error!$B$45,
IF(AND(_xlpm.baseRow,$E697="Tier 2 Grove",$D697&lt;12),
Error!$B$41,
IF(AND(_xlpm.baseRow,$E697="Tier 2",$D697&lt;5.88),
Error!$B$40,
IF(AND(_xlpm.baseRow,OR($E697="Tier 2",$E697="Tier 2 Grove"),$C697&lt;&gt;"",$D697&lt;12,$D697&gt;=6,COUNTIF(Tables2!$B$153:$B$162,$C697)&gt;0),
Error!$B$54,
IF(AND(_xlpm.baseRow,$E697="Tier 2",COUNTIF(Tables2!$B$166:$B$674,$C697)&gt;0,$D697&lt;24),
Error!$B$54,
IF(AND(_xlpm.baseRow,$E697="Tier 3",ISNA(MATCH($C697,Tables2!$B$153:$B$162,0)),OR($D697&lt;12,$D697&gt;=24)),
Error!$B$9,
IF(AND(_xlpm.baseRow,$E697="Tier 3",COUNTIF(Tables2!$B$153:$B$162,$C697)&gt;0,$D697&lt;12),
Error!$B$46,
IF(AND(_xlpm.baseRow,$E697="Tier 4",OR($D697&lt;6,$D697&gt;=12)),
Error!$B$10,
IF(AND(_xlpm.baseRow,$E697="&lt;6in DSH for Tree Points",OR($D697&gt;=6,$D697="")),
Error!$B$8,
IF(AND(_xlpm.baseRow,$E697="Street Tree for Green Factor",$F697&lt;&gt;"",$F697&lt;&gt;"Retain"),
Error!$B$14,
IF(AND($E697="&lt;6in DSH for Tree Points",$F697="Retain",$H697&lt;&gt;"",ISNA(MATCH($H697,Tables!$B$174:$B$174,0))),
Error!$B$15,
IF(AND($E697="Street Tree for Green Factor",$F697="Retain",$H697&lt;&gt;"",$H697&lt;&gt;"Zoning: Green Factor"),
Error!$B$15,
IF(AND($E697="ECA / Shoreline Tree",$F697="Remove",$H697&lt;&gt;"",ISNA(MATCH($H697,Tables!$B$189:$B$190,0))),
Error!$B$15,
IF(AND($E697="ECA / Shoreline Tree",$F697="Retain",$H697&lt;&gt;"",ISNA(MATCH($H697,Tables!$B$184:$B$186,0))),
Error!$B$15,
IF(AND($E697="Tier 4",$F697="Remove",$H697&lt;&gt;"",ISNA(MATCH($H697,Tables!$B$171,0))),
Error!$B$15,
IF(AND($E697="Tier 4",$F697="Retain",$H697&lt;&gt;"",ISNA(MATCH($H697,Tables!$B$166:$B$168,0))),
Error!$B$15,
IF(AND($E697="Tier 3",$F697="Retain",$H697&lt;&gt;"",ISNA(MATCH($H697,Tables!$B$158:$B$160,0))),
Error!$B$15,
IF(AND($E697="Tier 3",$F697="Remove",$H697&lt;&gt;"",ISNA(MATCH($H697,Tables!$B$163,0))),
Error!$B$15,
IF(AND(OR($E697="Tier 2",$E697="Tier 2 Grove"),$F697="Remove",$H697&lt;&gt;"",ISNA(MATCH($H697,Tables!$B$153:$B$155,0))),
Error!$B$15,
IF(AND(OR($E697="Tier 2",$E697="Tier 2 Grove"),$F697="Retain",$H697&lt;&gt;"",ISNA(MATCH($H697,Tables!$B$147:$B$150,0))),
Error!$B$15,
IF(AND($E697="Tier 1",$F697="Remove",$H697&lt;&gt;"",ISNA(MATCH($H697,Tables!$B$143:$B$144,0))),
Error!$B$15,
IF(AND($E697="Tier 1",$F697="Retain",$H697&lt;&gt;"",ISNA(MATCH($H697,Tables!$B$137:$B$140,0))),
Error!$B$15,
IF(AND($E697&lt;&gt;"Tier 2",$E697&lt;&gt;"Tier 2 Grove",$E697&lt;&gt;"Tier 3",$E697&lt;&gt;"Tier 4",$H697="Zoning: Green Factor",OR($D697="",$D697&lt;6)),
Error!$B$11,
IF(AND(_xlpm.baseRow,$D697&lt;6,$E697="&lt;6in DSH for Tree Points",_xlpm.TreePoints_H=0),
Error!$B$21,
IF(AND(_xlpm.baseRow,$E697&lt;&gt;"",$D697&lt;&gt;"",$F697=""),
Error!$B$4,
IF(AND(_xlpm.baseRow,$F697="Remove",OR($E697="Tier 1",$E697="Tier 2",$E697="Tier 2 Grove"),COUNTBLANK(_xlpm.HRange)&lt;3,_xlpm.uniqueH&gt;=2),
Error!$B$48,
IF(AND(_xlpm.baseRow,$F697="Retain",OR($E697="Tier 1",$E697="Tier 2",$E697="Tier 2 Grove"),COUNTIF(_xlpm.HRange,"Tree Code: Required to Retain Tier 1-2 Tree")=0),
Error!$B$47,
IF(AND(_xlpm.baseRow,$E697&lt;&gt;"",$D697&lt;&gt;"",$F697&lt;&gt;"",COUNTBLANK(_xlpm.HRange)=4),
Error!$B$5,
IF(AND($F697="Remove",$H697&lt;&gt;"",$I697=""),
Error!$B$18,
IF(AND($E697="Tier 4",$F697="Remove",$H697="Tree Protection Code: Tier 3 or Tier 4 Allowance",$H697&lt;&gt;"",ISNA(MATCH($I697,Tables!$B$200,0))),
Error!$B$17,
IF(AND($E697="Tier 3",$F697="Remove",$H697&lt;&gt;"",$H697="Tree Protection Code: Tier 3 or Tier 4 Allowance",OR($I697="",ISNA(MATCH($I697,Tables!$B$193:$B$197,0)))),
Error!$B$17,
IF(AND(OR($E697="Tier 2",$E697="Tier 2 Grove"),$F697="Remove",$H697="Tree Protection Code: Other removal allowance or exemption",$I697&lt;&gt;"",ISNA(MATCH($I697,Tables!$B$215:$B$218,0))),
Error!$B$17,
IF(AND(OR($E697="Tier 2",$E697="Tier 2 Grove"),$F697="Remove",$H697="Tree Protection Code: Development Capacity",$I697&lt;&gt;"",ISNA(MATCH($I697,Tables!$B$193:$B$197,0))),
Error!$B$17,
IF(AND(OR($E697="Tier 2",$E697="Tier 2 Grove"),$F697="Remove",$H697="Tree Protection Code: Necessary for Construction",$I697&lt;&gt;"",ISNA(MATCH($I697,Tables!$B$193:$B$197,0))),
Error!$B$17,
IF(AND($E697="Tier 1",$F697="Remove",$H697="Tree Protection Code: Special Exception",$I697&lt;&gt;"",ISNA(MATCH($I697,Tables!$B$215:$B$218,0))),
Error!$B$17,
IF(AND($E697="Tier 1",$F697="Remove",$H697="Tree Protection Code: Other removal allowance or exemption",$I697&lt;&gt;"",ISNA(MATCH($I697,Tables!$B$215:$B$218,0))),
Error!$B$17,
IF(AND($E697="ECA / Shoreline Tree",$F697="Remove",$H697&lt;&gt;"",OR($H697="Shoreline",$H697="Environmental Critical Area (ECA)"),ISNA(MATCH($I697,Tables!$B$209:$B$212,0))),
Error!$B$17,
IF(AND(_xlpm.baseRow,$F697="Retain",$E697="ECA / Shoreline Tree",_xlpm.ECA_Short=0),
Error!$B$61,
IF(AND($F697="Remove",ISNUMBER(MATCH($E697,{"Tier 1","Tier 2","Tier 3","Tier 4","Tier 2 Grove"},0)),ISNUMBER(MATCH($I697,{"On-site replacement","Off-site replacement"},0)),$J697="",$H697&lt;&gt;""),
Error!$B$19,
IF(AND(_xlpm.baseRow,$E697&lt;&gt;"",$D697&lt;&gt;"",$F697&lt;&gt;"",COUNTBLANK($B697:$C697)&gt;0,COUNTBLANK(_xlpm.HRange)&lt;&gt;4),
Error!$B$22,
IF(AND($H697="Zoning: Tree Points",$K697&lt;&gt;"",ISNA(MATCH($K697,Tables!$B$242:$B$253,0))),
Error!$B$58,
IF(AND($H697="Zoning: Tree Points",$K697="Small",$L697&lt;&gt;"",ISNA(MATCH($L697,Tables!$C$243:$C$244,0))),
Error!$B$59,
IF(AND($H697="Zoning: Tree Points",$K697="Small/Medium",$L697&lt;&gt;"",ISNA(MATCH($L697,Tables!$C$246:$C$247,0))),
Error!$B$59,
IF(AND($H697="Zoning: Tree Points",$K697="Medium/Large",$L697&lt;&gt;"",ISNA(MATCH($L697,Tables!$C$249:$C$250,0))),
Error!$B$59,
IF(AND($H697="Zoning: Tree Points",$K697="Large",$L697&lt;&gt;"",ISNA(MATCH($L697,Tables!$C$252:$C$253,0))),
Error!$B$59,
IF(AND($F697="Retain",$H697="Zoning: Tree Points",$C697&lt;&gt;"",$D697&lt;&gt;"",OR($K697="",$L697="",$M697="")),
Error!$B$20,
""
)))))))))))))))))))))))))))))))))))))))))))))))))))))))),
Error!$B$23))</f>
        <v/>
      </c>
      <c r="O697" s="343" t="str" cm="1">
        <f t="array" aca="1" ref="O697" ca="1">IFERROR(_xlfn.LET(
    _xlpm.txt, $C697,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98" spans="1:15" ht="15" thickBot="1" x14ac:dyDescent="0.35">
      <c r="A698" s="331"/>
      <c r="B698" s="616" t="str">
        <f t="shared" si="822"/>
        <v/>
      </c>
      <c r="C698" s="617" t="str">
        <f t="shared" si="823"/>
        <v/>
      </c>
      <c r="D698" s="618" t="str">
        <f t="shared" si="824"/>
        <v/>
      </c>
      <c r="E698" s="616" t="str">
        <f t="shared" si="825"/>
        <v/>
      </c>
      <c r="F698" s="616" t="str">
        <f t="shared" si="826"/>
        <v/>
      </c>
      <c r="G698" s="619" t="str">
        <f>IF(Tree_Table1[[#This Row],[Tree Status  &amp;]]="Retain", Tables!$B$237, IF(Tree_Table1[[#This Row],[Tree Status  &amp;]]="Remove", Tables!$B$238, ""))</f>
        <v/>
      </c>
      <c r="H698" s="329"/>
      <c r="I698" s="330"/>
      <c r="J698" s="455"/>
      <c r="K698" s="327" t="str">
        <f>IFERROR(
    IF(
        AND($H698="Zoning: Tree Points", NOT(ISNUMBER(SEARCH("sp.", $C698)))),
        VLOOKUP($C698, 'Tree List'!$C$3:$F$601, 4, FALSE),
        ""
    ),
"")</f>
        <v/>
      </c>
      <c r="L698" s="328" t="str" cm="1">
        <f t="array" ref="L698">IFERROR(
IF(
    AND($H698="Zoning: Tree Points", NOT(ISNUMBER(SEARCH("sp.", $C698)))),
    _xlfn.IFS(
        (COUNTIFS('Tree List'!$C$3:$C$601,$C698,'Tree List'!$D$3:$D$601,"Coniferous")
        + COUNTIFS('Tree List'!$C$3:$C$601,$C698,'Tree List'!$D$3:$D$601,"Deciduous Conifer")) &gt; 0,
            _xlfn.IFS($K698="Small",0.5,$K698="Small/Medium",1,$K698="Medium/Large",1.4,$K698="Large",1.8),
        (COUNTIFS('Tree List'!$C$3:$C$601,$C698,'Tree List'!$D$3:$D$601,"Deciduous")
        + COUNTIFS('Tree List'!$C$3:$C$601,$C698,'Tree List'!$D$3:$D$601,"Broadleaf Evergreen")) &gt; 0,
            _xlfn.IFS($K698="Small",0.4,$K698="Small/Medium",0.8,$K698="Medium/Large",1.2,$K698="Large",1.6)
    ),
    ""
),
"")</f>
        <v/>
      </c>
      <c r="M698" s="476" t="str">
        <f t="shared" si="816"/>
        <v/>
      </c>
      <c r="N698" s="347" t="str" cm="1">
        <f t="array" aca="1" ref="N69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IF(AND(_xlpm.baseRow,ISNA(MATCH($C698,'Tree List'!$C$3:$C$601,0)),SUMPRODUCT(--ISNUMBER(SEARCH(Tables2!$C$677:$C$772,$O698)))&gt;0),
Error!$B$57,
IF(AND(_xlpm.hasDM,$F698="Remove",$H698&lt;&gt;"",OR($I698="On-site replacement",$I698="Off-site replacement",$I698="Payment In Lieu")),
Error!$B$56,
IF(AND(_xlpm.hasDM,$F698="Remove",$H698&lt;&gt;"",$I698="Relocation"),
Error!$B$66,
IF(AND(OR(_xlpm.hasCN,_xlpm.hasPH,_xlpm.hasGR),$H698&lt;&gt;"",COUNTIF(Tables!$B$132:$B$134,$H698)&gt;0,$I698="N/A (No replacement required)"),
Error!$B$62,
IF(AND(_xlpm.baseRow,$E698&lt;&gt;"",ISNA(MATCH($E698,Tables!$B$225:$B$232,0))),
Error!$B$2,
IF(AND(_xlpm.baseRow,$F698&lt;&gt;"",ISNA(MATCH($F698,Tables!$B$234:$B$235,0))),
Error!$B$24,
IF(AND(_xlpm.baseRow,_xlpm.ECA_H&gt;0,_xlpm.Shore_H&gt;0),
Error!$B$16,
IF(AND(_xlpm.baseRow,$E698&lt;&gt;"",$D698=""),
Error!$B$3,
IF(AND(_xlpm.baseRow,OR($E698="Tier 3",$E698="Tier 4"),$C698&lt;&gt;"",$D698&gt;=24,COUNTIF(Tables2!$B$166:$B$674,$C698)&gt;0),
Error!$B$44,
IF(AND(_xlpm.baseRow,OR($E698="Tier 3",$E698="Tier 4"),$C698&lt;&gt;"",$D698&lt;&gt;"",COUNTIF(Tables2!$B$73:$B$152,$C698)&gt;0,
$D698&gt;=IFERROR(INDEX(Tables2!$C$73:$C$152,MATCH($C698,Tables2!$B$73:$B$152,0)),-1)),
Error!$B$44,
IF(AND(_xlpm.baseRow,OR($E698="Tier 2",$E698="Tier 2 Grove"),$C698&lt;&gt;"",$D698&gt;=12,COUNTIF(Tables2!$B$153:$B$162,$C698)&gt;0),
Error!$B$45,
IF(AND(_xlpm.baseRow,$E698="Tier 2 Grove",$D698&lt;12),
Error!$B$41,
IF(AND(_xlpm.baseRow,$E698="Tier 2",$D698&lt;5.88),
Error!$B$40,
IF(AND(_xlpm.baseRow,OR($E698="Tier 2",$E698="Tier 2 Grove"),$C698&lt;&gt;"",$D698&lt;12,$D698&gt;=6,COUNTIF(Tables2!$B$153:$B$162,$C698)&gt;0),
Error!$B$54,
IF(AND(_xlpm.baseRow,$E698="Tier 2",COUNTIF(Tables2!$B$166:$B$674,$C698)&gt;0,$D698&lt;24),
Error!$B$54,
IF(AND(_xlpm.baseRow,$E698="Tier 3",ISNA(MATCH($C698,Tables2!$B$153:$B$162,0)),OR($D698&lt;12,$D698&gt;=24)),
Error!$B$9,
IF(AND(_xlpm.baseRow,$E698="Tier 3",COUNTIF(Tables2!$B$153:$B$162,$C698)&gt;0,$D698&lt;12),
Error!$B$46,
IF(AND(_xlpm.baseRow,$E698="Tier 4",OR($D698&lt;6,$D698&gt;=12)),
Error!$B$10,
IF(AND(_xlpm.baseRow,$E698="&lt;6in DSH for Tree Points",OR($D698&gt;=6,$D698="")),
Error!$B$8,
IF(AND(_xlpm.baseRow,$E698="Street Tree for Green Factor",$F698&lt;&gt;"",$F698&lt;&gt;"Retain"),
Error!$B$14,
IF(AND($E698="&lt;6in DSH for Tree Points",$F698="Retain",$H698&lt;&gt;"",ISNA(MATCH($H698,Tables!$B$174:$B$174,0))),
Error!$B$15,
IF(AND($E698="Street Tree for Green Factor",$F698="Retain",$H698&lt;&gt;"",$H698&lt;&gt;"Zoning: Green Factor"),
Error!$B$15,
IF(AND($E698="ECA / Shoreline Tree",$F698="Remove",$H698&lt;&gt;"",ISNA(MATCH($H698,Tables!$B$189:$B$190,0))),
Error!$B$15,
IF(AND($E698="ECA / Shoreline Tree",$F698="Retain",$H698&lt;&gt;"",ISNA(MATCH($H698,Tables!$B$184:$B$186,0))),
Error!$B$15,
IF(AND($E698="Tier 4",$F698="Remove",$H698&lt;&gt;"",ISNA(MATCH($H698,Tables!$B$171,0))),
Error!$B$15,
IF(AND($E698="Tier 4",$F698="Retain",$H698&lt;&gt;"",ISNA(MATCH($H698,Tables!$B$166:$B$168,0))),
Error!$B$15,
IF(AND($E698="Tier 3",$F698="Retain",$H698&lt;&gt;"",ISNA(MATCH($H698,Tables!$B$158:$B$160,0))),
Error!$B$15,
IF(AND($E698="Tier 3",$F698="Remove",$H698&lt;&gt;"",ISNA(MATCH($H698,Tables!$B$163,0))),
Error!$B$15,
IF(AND(OR($E698="Tier 2",$E698="Tier 2 Grove"),$F698="Remove",$H698&lt;&gt;"",ISNA(MATCH($H698,Tables!$B$153:$B$155,0))),
Error!$B$15,
IF(AND(OR($E698="Tier 2",$E698="Tier 2 Grove"),$F698="Retain",$H698&lt;&gt;"",ISNA(MATCH($H698,Tables!$B$147:$B$150,0))),
Error!$B$15,
IF(AND($E698="Tier 1",$F698="Remove",$H698&lt;&gt;"",ISNA(MATCH($H698,Tables!$B$143:$B$144,0))),
Error!$B$15,
IF(AND($E698="Tier 1",$F698="Retain",$H698&lt;&gt;"",ISNA(MATCH($H698,Tables!$B$137:$B$140,0))),
Error!$B$15,
IF(AND($E698&lt;&gt;"Tier 2",$E698&lt;&gt;"Tier 2 Grove",$E698&lt;&gt;"Tier 3",$E698&lt;&gt;"Tier 4",$H698="Zoning: Green Factor",OR($D698="",$D698&lt;6)),
Error!$B$11,
IF(AND(_xlpm.baseRow,$D698&lt;6,$E698="&lt;6in DSH for Tree Points",_xlpm.TreePoints_H=0),
Error!$B$21,
IF(AND(_xlpm.baseRow,$E698&lt;&gt;"",$D698&lt;&gt;"",$F698=""),
Error!$B$4,
IF(AND(_xlpm.baseRow,$F698="Remove",OR($E698="Tier 1",$E698="Tier 2",$E698="Tier 2 Grove"),COUNTBLANK(_xlpm.HRange)&lt;3,_xlpm.uniqueH&gt;=2),
Error!$B$48,
IF(AND(_xlpm.baseRow,$F698="Retain",OR($E698="Tier 1",$E698="Tier 2",$E698="Tier 2 Grove"),COUNTIF(_xlpm.HRange,"Tree Code: Required to Retain Tier 1-2 Tree")=0),
Error!$B$47,
IF(AND(_xlpm.baseRow,$E698&lt;&gt;"",$D698&lt;&gt;"",$F698&lt;&gt;"",COUNTBLANK(_xlpm.HRange)=4),
Error!$B$5,
IF(AND($F698="Remove",$H698&lt;&gt;"",$I698=""),
Error!$B$18,
IF(AND($E698="Tier 4",$F698="Remove",$H698="Tree Protection Code: Tier 3 or Tier 4 Allowance",$H698&lt;&gt;"",ISNA(MATCH($I698,Tables!$B$200,0))),
Error!$B$17,
IF(AND($E698="Tier 3",$F698="Remove",$H698&lt;&gt;"",$H698="Tree Protection Code: Tier 3 or Tier 4 Allowance",OR($I698="",ISNA(MATCH($I698,Tables!$B$193:$B$197,0)))),
Error!$B$17,
IF(AND(OR($E698="Tier 2",$E698="Tier 2 Grove"),$F698="Remove",$H698="Tree Protection Code: Other removal allowance or exemption",$I698&lt;&gt;"",ISNA(MATCH($I698,Tables!$B$215:$B$218,0))),
Error!$B$17,
IF(AND(OR($E698="Tier 2",$E698="Tier 2 Grove"),$F698="Remove",$H698="Tree Protection Code: Development Capacity",$I698&lt;&gt;"",ISNA(MATCH($I698,Tables!$B$193:$B$197,0))),
Error!$B$17,
IF(AND(OR($E698="Tier 2",$E698="Tier 2 Grove"),$F698="Remove",$H698="Tree Protection Code: Necessary for Construction",$I698&lt;&gt;"",ISNA(MATCH($I698,Tables!$B$193:$B$197,0))),
Error!$B$17,
IF(AND($E698="Tier 1",$F698="Remove",$H698="Tree Protection Code: Special Exception",$I698&lt;&gt;"",ISNA(MATCH($I698,Tables!$B$215:$B$218,0))),
Error!$B$17,
IF(AND($E698="Tier 1",$F698="Remove",$H698="Tree Protection Code: Other removal allowance or exemption",$I698&lt;&gt;"",ISNA(MATCH($I698,Tables!$B$215:$B$218,0))),
Error!$B$17,
IF(AND($E698="ECA / Shoreline Tree",$F698="Remove",$H698&lt;&gt;"",OR($H698="Shoreline",$H698="Environmental Critical Area (ECA)"),ISNA(MATCH($I698,Tables!$B$209:$B$212,0))),
Error!$B$17,
IF(AND(_xlpm.baseRow,$F698="Retain",$E698="ECA / Shoreline Tree",_xlpm.ECA_Short=0),
Error!$B$61,
IF(AND($F698="Remove",ISNUMBER(MATCH($E698,{"Tier 1","Tier 2","Tier 3","Tier 4","Tier 2 Grove"},0)),ISNUMBER(MATCH($I698,{"On-site replacement","Off-site replacement"},0)),$J698="",$H698&lt;&gt;""),
Error!$B$19,
IF(AND(_xlpm.baseRow,$E698&lt;&gt;"",$D698&lt;&gt;"",$F698&lt;&gt;"",COUNTBLANK($B698:$C698)&gt;0,COUNTBLANK(_xlpm.HRange)&lt;&gt;4),
Error!$B$22,
IF(AND($H698="Zoning: Tree Points",$K698&lt;&gt;"",ISNA(MATCH($K698,Tables!$B$242:$B$253,0))),
Error!$B$58,
IF(AND($H698="Zoning: Tree Points",$K698="Small",$L698&lt;&gt;"",ISNA(MATCH($L698,Tables!$C$243:$C$244,0))),
Error!$B$59,
IF(AND($H698="Zoning: Tree Points",$K698="Small/Medium",$L698&lt;&gt;"",ISNA(MATCH($L698,Tables!$C$246:$C$247,0))),
Error!$B$59,
IF(AND($H698="Zoning: Tree Points",$K698="Medium/Large",$L698&lt;&gt;"",ISNA(MATCH($L698,Tables!$C$249:$C$250,0))),
Error!$B$59,
IF(AND($H698="Zoning: Tree Points",$K698="Large",$L698&lt;&gt;"",ISNA(MATCH($L698,Tables!$C$252:$C$253,0))),
Error!$B$59,
IF(AND($F698="Retain",$H698="Zoning: Tree Points",$C698&lt;&gt;"",$D698&lt;&gt;"",OR($K698="",$L698="",$M698="")),
Error!$B$20,
""
)))))))))))))))))))))))))))))))))))))))))))))))))))))))),
Error!$B$23))</f>
        <v/>
      </c>
      <c r="O698" s="343" t="str" cm="1">
        <f t="array" aca="1" ref="O698" ca="1">IFERROR(_xlfn.LET(
    _xlpm.txt, $C698,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99" spans="1:15" ht="15" thickBot="1" x14ac:dyDescent="0.35">
      <c r="A699" s="311">
        <v>173</v>
      </c>
      <c r="B699" s="312"/>
      <c r="C699" s="313"/>
      <c r="D699" s="478"/>
      <c r="E699" s="314"/>
      <c r="F699" s="314"/>
      <c r="G699" s="315" t="str">
        <f>IF(Tree_Table1[[#This Row],[Tree Status  &amp;]]="Retain", Tables!$B$237, IF(Tree_Table1[[#This Row],[Tree Status  &amp;]]="Remove", Tables!$B$238, ""))</f>
        <v/>
      </c>
      <c r="H699" s="316"/>
      <c r="I699" s="317"/>
      <c r="J699" s="452"/>
      <c r="K699" s="318" t="str">
        <f>IFERROR(
    IF(
        AND($H699="Zoning: Tree Points", NOT(ISNUMBER(SEARCH("sp.", $C699)))),
        VLOOKUP($C699, 'Tree List'!$C$3:$F$601, 4, FALSE),
        ""
    ),
"")</f>
        <v/>
      </c>
      <c r="L699" s="319" t="str" cm="1">
        <f t="array" ref="L699">IFERROR(
IF(
    AND($H699="Zoning: Tree Points", NOT(ISNUMBER(SEARCH("sp.", $C699)))),
    _xlfn.IFS(
        (COUNTIFS('Tree List'!$C$3:$C$601,$C699,'Tree List'!$D$3:$D$601,"Coniferous")
        + COUNTIFS('Tree List'!$C$3:$C$601,$C699,'Tree List'!$D$3:$D$601,"Deciduous Conifer")) &gt; 0,
            _xlfn.IFS($K699="Small",0.5,$K699="Small/Medium",1,$K699="Medium/Large",1.4,$K699="Large",1.8),
        (COUNTIFS('Tree List'!$C$3:$C$601,$C699,'Tree List'!$D$3:$D$601,"Deciduous")
        + COUNTIFS('Tree List'!$C$3:$C$601,$C699,'Tree List'!$D$3:$D$601,"Broadleaf Evergreen")) &gt; 0,
            _xlfn.IFS($K699="Small",0.4,$K699="Small/Medium",0.8,$K699="Medium/Large",1.2,$K699="Large",1.6)
    ),
    ""
),
"")</f>
        <v/>
      </c>
      <c r="M699" s="474" t="str">
        <f t="shared" si="816"/>
        <v/>
      </c>
      <c r="N699" s="620" t="str" cm="1">
        <f t="array" aca="1" ref="N69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IF(AND(_xlpm.baseRow,ISNA(MATCH($C699,'Tree List'!$C$3:$C$601,0)),SUMPRODUCT(--ISNUMBER(SEARCH(Tables2!$C$677:$C$772,$O699)))&gt;0),
Error!$B$57,
IF(AND(_xlpm.hasDM,$F699="Remove",$H699&lt;&gt;"",OR($I699="On-site replacement",$I699="Off-site replacement",$I699="Payment In Lieu")),
Error!$B$56,
IF(AND(_xlpm.hasDM,$F699="Remove",$H699&lt;&gt;"",$I699="Relocation"),
Error!$B$66,
IF(AND(OR(_xlpm.hasCN,_xlpm.hasPH,_xlpm.hasGR),$H699&lt;&gt;"",COUNTIF(Tables!$B$132:$B$134,$H699)&gt;0,$I699="N/A (No replacement required)"),
Error!$B$62,
IF(AND(_xlpm.baseRow,$E699&lt;&gt;"",ISNA(MATCH($E699,Tables!$B$225:$B$232,0))),
Error!$B$2,
IF(AND(_xlpm.baseRow,$F699&lt;&gt;"",ISNA(MATCH($F699,Tables!$B$234:$B$235,0))),
Error!$B$24,
IF(AND(_xlpm.baseRow,_xlpm.ECA_H&gt;0,_xlpm.Shore_H&gt;0),
Error!$B$16,
IF(AND(_xlpm.baseRow,$E699&lt;&gt;"",$D699=""),
Error!$B$3,
IF(AND(_xlpm.baseRow,OR($E699="Tier 3",$E699="Tier 4"),$C699&lt;&gt;"",$D699&gt;=24,COUNTIF(Tables2!$B$166:$B$674,$C699)&gt;0),
Error!$B$44,
IF(AND(_xlpm.baseRow,OR($E699="Tier 3",$E699="Tier 4"),$C699&lt;&gt;"",$D699&lt;&gt;"",COUNTIF(Tables2!$B$73:$B$152,$C699)&gt;0,
$D699&gt;=IFERROR(INDEX(Tables2!$C$73:$C$152,MATCH($C699,Tables2!$B$73:$B$152,0)),-1)),
Error!$B$44,
IF(AND(_xlpm.baseRow,OR($E699="Tier 2",$E699="Tier 2 Grove"),$C699&lt;&gt;"",$D699&gt;=12,COUNTIF(Tables2!$B$153:$B$162,$C699)&gt;0),
Error!$B$45,
IF(AND(_xlpm.baseRow,$E699="Tier 2 Grove",$D699&lt;12),
Error!$B$41,
IF(AND(_xlpm.baseRow,$E699="Tier 2",$D699&lt;5.88),
Error!$B$40,
IF(AND(_xlpm.baseRow,OR($E699="Tier 2",$E699="Tier 2 Grove"),$C699&lt;&gt;"",$D699&lt;12,$D699&gt;=6,COUNTIF(Tables2!$B$153:$B$162,$C699)&gt;0),
Error!$B$54,
IF(AND(_xlpm.baseRow,$E699="Tier 2",COUNTIF(Tables2!$B$166:$B$674,$C699)&gt;0,$D699&lt;24),
Error!$B$54,
IF(AND(_xlpm.baseRow,$E699="Tier 3",ISNA(MATCH($C699,Tables2!$B$153:$B$162,0)),OR($D699&lt;12,$D699&gt;=24)),
Error!$B$9,
IF(AND(_xlpm.baseRow,$E699="Tier 3",COUNTIF(Tables2!$B$153:$B$162,$C699)&gt;0,$D699&lt;12),
Error!$B$46,
IF(AND(_xlpm.baseRow,$E699="Tier 4",OR($D699&lt;6,$D699&gt;=12)),
Error!$B$10,
IF(AND(_xlpm.baseRow,$E699="&lt;6in DSH for Tree Points",OR($D699&gt;=6,$D699="")),
Error!$B$8,
IF(AND(_xlpm.baseRow,$E699="Street Tree for Green Factor",$F699&lt;&gt;"",$F699&lt;&gt;"Retain"),
Error!$B$14,
IF(AND($E699="&lt;6in DSH for Tree Points",$F699="Retain",$H699&lt;&gt;"",ISNA(MATCH($H699,Tables!$B$174:$B$174,0))),
Error!$B$15,
IF(AND($E699="Street Tree for Green Factor",$F699="Retain",$H699&lt;&gt;"",$H699&lt;&gt;"Zoning: Green Factor"),
Error!$B$15,
IF(AND($E699="ECA / Shoreline Tree",$F699="Remove",$H699&lt;&gt;"",ISNA(MATCH($H699,Tables!$B$189:$B$190,0))),
Error!$B$15,
IF(AND($E699="ECA / Shoreline Tree",$F699="Retain",$H699&lt;&gt;"",ISNA(MATCH($H699,Tables!$B$184:$B$186,0))),
Error!$B$15,
IF(AND($E699="Tier 4",$F699="Remove",$H699&lt;&gt;"",ISNA(MATCH($H699,Tables!$B$171,0))),
Error!$B$15,
IF(AND($E699="Tier 4",$F699="Retain",$H699&lt;&gt;"",ISNA(MATCH($H699,Tables!$B$166:$B$168,0))),
Error!$B$15,
IF(AND($E699="Tier 3",$F699="Retain",$H699&lt;&gt;"",ISNA(MATCH($H699,Tables!$B$158:$B$160,0))),
Error!$B$15,
IF(AND($E699="Tier 3",$F699="Remove",$H699&lt;&gt;"",ISNA(MATCH($H699,Tables!$B$163,0))),
Error!$B$15,
IF(AND(OR($E699="Tier 2",$E699="Tier 2 Grove"),$F699="Remove",$H699&lt;&gt;"",ISNA(MATCH($H699,Tables!$B$153:$B$155,0))),
Error!$B$15,
IF(AND(OR($E699="Tier 2",$E699="Tier 2 Grove"),$F699="Retain",$H699&lt;&gt;"",ISNA(MATCH($H699,Tables!$B$147:$B$150,0))),
Error!$B$15,
IF(AND($E699="Tier 1",$F699="Remove",$H699&lt;&gt;"",ISNA(MATCH($H699,Tables!$B$143:$B$144,0))),
Error!$B$15,
IF(AND($E699="Tier 1",$F699="Retain",$H699&lt;&gt;"",ISNA(MATCH($H699,Tables!$B$137:$B$140,0))),
Error!$B$15,
IF(AND($E699&lt;&gt;"Tier 2",$E699&lt;&gt;"Tier 2 Grove",$E699&lt;&gt;"Tier 3",$E699&lt;&gt;"Tier 4",$H699="Zoning: Green Factor",OR($D699="",$D699&lt;6)),
Error!$B$11,
IF(AND(_xlpm.baseRow,$D699&lt;6,$E699="&lt;6in DSH for Tree Points",_xlpm.TreePoints_H=0),
Error!$B$21,
IF(AND(_xlpm.baseRow,$E699&lt;&gt;"",$D699&lt;&gt;"",$F699=""),
Error!$B$4,
IF(AND(_xlpm.baseRow,$F699="Remove",OR($E699="Tier 1",$E699="Tier 2",$E699="Tier 2 Grove"),COUNTBLANK(_xlpm.HRange)&lt;3,_xlpm.uniqueH&gt;=2),
Error!$B$48,
IF(AND(_xlpm.baseRow,$F699="Retain",OR($E699="Tier 1",$E699="Tier 2",$E699="Tier 2 Grove"),COUNTIF(_xlpm.HRange,"Tree Code: Required to Retain Tier 1-2 Tree")=0),
Error!$B$47,
IF(AND(_xlpm.baseRow,$E699&lt;&gt;"",$D699&lt;&gt;"",$F699&lt;&gt;"",COUNTBLANK(_xlpm.HRange)=4),
Error!$B$5,
IF(AND($F699="Remove",$H699&lt;&gt;"",$I699=""),
Error!$B$18,
IF(AND($E699="Tier 4",$F699="Remove",$H699="Tree Protection Code: Tier 3 or Tier 4 Allowance",$H699&lt;&gt;"",ISNA(MATCH($I699,Tables!$B$200,0))),
Error!$B$17,
IF(AND($E699="Tier 3",$F699="Remove",$H699&lt;&gt;"",$H699="Tree Protection Code: Tier 3 or Tier 4 Allowance",OR($I699="",ISNA(MATCH($I699,Tables!$B$193:$B$197,0)))),
Error!$B$17,
IF(AND(OR($E699="Tier 2",$E699="Tier 2 Grove"),$F699="Remove",$H699="Tree Protection Code: Other removal allowance or exemption",$I699&lt;&gt;"",ISNA(MATCH($I699,Tables!$B$215:$B$218,0))),
Error!$B$17,
IF(AND(OR($E699="Tier 2",$E699="Tier 2 Grove"),$F699="Remove",$H699="Tree Protection Code: Development Capacity",$I699&lt;&gt;"",ISNA(MATCH($I699,Tables!$B$193:$B$197,0))),
Error!$B$17,
IF(AND(OR($E699="Tier 2",$E699="Tier 2 Grove"),$F699="Remove",$H699="Tree Protection Code: Necessary for Construction",$I699&lt;&gt;"",ISNA(MATCH($I699,Tables!$B$193:$B$197,0))),
Error!$B$17,
IF(AND($E699="Tier 1",$F699="Remove",$H699="Tree Protection Code: Special Exception",$I699&lt;&gt;"",ISNA(MATCH($I699,Tables!$B$215:$B$218,0))),
Error!$B$17,
IF(AND($E699="Tier 1",$F699="Remove",$H699="Tree Protection Code: Other removal allowance or exemption",$I699&lt;&gt;"",ISNA(MATCH($I699,Tables!$B$215:$B$218,0))),
Error!$B$17,
IF(AND($E699="ECA / Shoreline Tree",$F699="Remove",$H699&lt;&gt;"",OR($H699="Shoreline",$H699="Environmental Critical Area (ECA)"),ISNA(MATCH($I699,Tables!$B$209:$B$212,0))),
Error!$B$17,
IF(AND(_xlpm.baseRow,$F699="Retain",$E699="ECA / Shoreline Tree",_xlpm.ECA_Short=0),
Error!$B$61,
IF(AND($F699="Remove",ISNUMBER(MATCH($E699,{"Tier 1","Tier 2","Tier 3","Tier 4","Tier 2 Grove"},0)),ISNUMBER(MATCH($I699,{"On-site replacement","Off-site replacement"},0)),$J699="",$H699&lt;&gt;""),
Error!$B$19,
IF(AND(_xlpm.baseRow,$E699&lt;&gt;"",$D699&lt;&gt;"",$F699&lt;&gt;"",COUNTBLANK($B699:$C699)&gt;0,COUNTBLANK(_xlpm.HRange)&lt;&gt;4),
Error!$B$22,
IF(AND($H699="Zoning: Tree Points",$K699&lt;&gt;"",ISNA(MATCH($K699,Tables!$B$242:$B$253,0))),
Error!$B$58,
IF(AND($H699="Zoning: Tree Points",$K699="Small",$L699&lt;&gt;"",ISNA(MATCH($L699,Tables!$C$243:$C$244,0))),
Error!$B$59,
IF(AND($H699="Zoning: Tree Points",$K699="Small/Medium",$L699&lt;&gt;"",ISNA(MATCH($L699,Tables!$C$246:$C$247,0))),
Error!$B$59,
IF(AND($H699="Zoning: Tree Points",$K699="Medium/Large",$L699&lt;&gt;"",ISNA(MATCH($L699,Tables!$C$249:$C$250,0))),
Error!$B$59,
IF(AND($H699="Zoning: Tree Points",$K699="Large",$L699&lt;&gt;"",ISNA(MATCH($L699,Tables!$C$252:$C$253,0))),
Error!$B$59,
IF(AND($F699="Retain",$H699="Zoning: Tree Points",$C699&lt;&gt;"",$D699&lt;&gt;"",OR($K699="",$L699="",$M699="")),
Error!$B$20,
""
)))))))))))))))))))))))))))))))))))))))))))))))))))))))),
Error!$B$23))</f>
        <v/>
      </c>
      <c r="O699" s="343" t="str" cm="1">
        <f t="array" aca="1" ref="O699" ca="1">IFERROR(_xlfn.LET(
    _xlpm.txt, $C699,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00" spans="1:15" x14ac:dyDescent="0.3">
      <c r="A700" s="320"/>
      <c r="B700" s="616" t="str">
        <f t="shared" ref="B700:B702" si="827">IF($B699="", "", $B699)</f>
        <v/>
      </c>
      <c r="C700" s="617" t="str">
        <f t="shared" ref="C700:C702" si="828">IF($C699="", "", $C699)</f>
        <v/>
      </c>
      <c r="D700" s="618" t="str">
        <f t="shared" ref="D700:D702" si="829">IF($D699="", "", $D699)</f>
        <v/>
      </c>
      <c r="E700" s="616" t="str">
        <f t="shared" ref="E700:E702" si="830">IF($E699="", "", $E699)</f>
        <v/>
      </c>
      <c r="F700" s="616" t="str">
        <f t="shared" ref="F700:F702" si="831">IF($F699="", "", $F699)</f>
        <v/>
      </c>
      <c r="G700" s="619" t="str">
        <f>IF(Tree_Table1[[#This Row],[Tree Status  &amp;]]="Retain", Tables!$B$237, IF(Tree_Table1[[#This Row],[Tree Status  &amp;]]="Remove", Tables!$B$238, ""))</f>
        <v/>
      </c>
      <c r="H700" s="321"/>
      <c r="I700" s="322"/>
      <c r="J700" s="453"/>
      <c r="K700" s="323" t="str">
        <f>IFERROR(
    IF(
        AND($H700="Zoning: Tree Points", NOT(ISNUMBER(SEARCH("sp.", $C700)))),
        VLOOKUP($C700, 'Tree List'!$C$3:$F$601, 4, FALSE),
        ""
    ),
"")</f>
        <v/>
      </c>
      <c r="L700" s="324" t="str" cm="1">
        <f t="array" ref="L700">IFERROR(
IF(
    AND($H700="Zoning: Tree Points", NOT(ISNUMBER(SEARCH("sp.", $C700)))),
    _xlfn.IFS(
        (COUNTIFS('Tree List'!$C$3:$C$601,$C700,'Tree List'!$D$3:$D$601,"Coniferous")
        + COUNTIFS('Tree List'!$C$3:$C$601,$C700,'Tree List'!$D$3:$D$601,"Deciduous Conifer")) &gt; 0,
            _xlfn.IFS($K700="Small",0.5,$K700="Small/Medium",1,$K700="Medium/Large",1.4,$K700="Large",1.8),
        (COUNTIFS('Tree List'!$C$3:$C$601,$C700,'Tree List'!$D$3:$D$601,"Deciduous")
        + COUNTIFS('Tree List'!$C$3:$C$601,$C700,'Tree List'!$D$3:$D$601,"Broadleaf Evergreen")) &gt; 0,
            _xlfn.IFS($K700="Small",0.4,$K700="Small/Medium",0.8,$K700="Medium/Large",1.2,$K700="Large",1.6)
    ),
    ""
),
"")</f>
        <v/>
      </c>
      <c r="M700" s="475" t="str">
        <f t="shared" si="816"/>
        <v/>
      </c>
      <c r="N700" s="346" t="str" cm="1">
        <f t="array" aca="1" ref="N70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IF(AND(_xlpm.baseRow,ISNA(MATCH($C700,'Tree List'!$C$3:$C$601,0)),SUMPRODUCT(--ISNUMBER(SEARCH(Tables2!$C$677:$C$772,$O700)))&gt;0),
Error!$B$57,
IF(AND(_xlpm.hasDM,$F700="Remove",$H700&lt;&gt;"",OR($I700="On-site replacement",$I700="Off-site replacement",$I700="Payment In Lieu")),
Error!$B$56,
IF(AND(_xlpm.hasDM,$F700="Remove",$H700&lt;&gt;"",$I700="Relocation"),
Error!$B$66,
IF(AND(OR(_xlpm.hasCN,_xlpm.hasPH,_xlpm.hasGR),$H700&lt;&gt;"",COUNTIF(Tables!$B$132:$B$134,$H700)&gt;0,$I700="N/A (No replacement required)"),
Error!$B$62,
IF(AND(_xlpm.baseRow,$E700&lt;&gt;"",ISNA(MATCH($E700,Tables!$B$225:$B$232,0))),
Error!$B$2,
IF(AND(_xlpm.baseRow,$F700&lt;&gt;"",ISNA(MATCH($F700,Tables!$B$234:$B$235,0))),
Error!$B$24,
IF(AND(_xlpm.baseRow,_xlpm.ECA_H&gt;0,_xlpm.Shore_H&gt;0),
Error!$B$16,
IF(AND(_xlpm.baseRow,$E700&lt;&gt;"",$D700=""),
Error!$B$3,
IF(AND(_xlpm.baseRow,OR($E700="Tier 3",$E700="Tier 4"),$C700&lt;&gt;"",$D700&gt;=24,COUNTIF(Tables2!$B$166:$B$674,$C700)&gt;0),
Error!$B$44,
IF(AND(_xlpm.baseRow,OR($E700="Tier 3",$E700="Tier 4"),$C700&lt;&gt;"",$D700&lt;&gt;"",COUNTIF(Tables2!$B$73:$B$152,$C700)&gt;0,
$D700&gt;=IFERROR(INDEX(Tables2!$C$73:$C$152,MATCH($C700,Tables2!$B$73:$B$152,0)),-1)),
Error!$B$44,
IF(AND(_xlpm.baseRow,OR($E700="Tier 2",$E700="Tier 2 Grove"),$C700&lt;&gt;"",$D700&gt;=12,COUNTIF(Tables2!$B$153:$B$162,$C700)&gt;0),
Error!$B$45,
IF(AND(_xlpm.baseRow,$E700="Tier 2 Grove",$D700&lt;12),
Error!$B$41,
IF(AND(_xlpm.baseRow,$E700="Tier 2",$D700&lt;5.88),
Error!$B$40,
IF(AND(_xlpm.baseRow,OR($E700="Tier 2",$E700="Tier 2 Grove"),$C700&lt;&gt;"",$D700&lt;12,$D700&gt;=6,COUNTIF(Tables2!$B$153:$B$162,$C700)&gt;0),
Error!$B$54,
IF(AND(_xlpm.baseRow,$E700="Tier 2",COUNTIF(Tables2!$B$166:$B$674,$C700)&gt;0,$D700&lt;24),
Error!$B$54,
IF(AND(_xlpm.baseRow,$E700="Tier 3",ISNA(MATCH($C700,Tables2!$B$153:$B$162,0)),OR($D700&lt;12,$D700&gt;=24)),
Error!$B$9,
IF(AND(_xlpm.baseRow,$E700="Tier 3",COUNTIF(Tables2!$B$153:$B$162,$C700)&gt;0,$D700&lt;12),
Error!$B$46,
IF(AND(_xlpm.baseRow,$E700="Tier 4",OR($D700&lt;6,$D700&gt;=12)),
Error!$B$10,
IF(AND(_xlpm.baseRow,$E700="&lt;6in DSH for Tree Points",OR($D700&gt;=6,$D700="")),
Error!$B$8,
IF(AND(_xlpm.baseRow,$E700="Street Tree for Green Factor",$F700&lt;&gt;"",$F700&lt;&gt;"Retain"),
Error!$B$14,
IF(AND($E700="&lt;6in DSH for Tree Points",$F700="Retain",$H700&lt;&gt;"",ISNA(MATCH($H700,Tables!$B$174:$B$174,0))),
Error!$B$15,
IF(AND($E700="Street Tree for Green Factor",$F700="Retain",$H700&lt;&gt;"",$H700&lt;&gt;"Zoning: Green Factor"),
Error!$B$15,
IF(AND($E700="ECA / Shoreline Tree",$F700="Remove",$H700&lt;&gt;"",ISNA(MATCH($H700,Tables!$B$189:$B$190,0))),
Error!$B$15,
IF(AND($E700="ECA / Shoreline Tree",$F700="Retain",$H700&lt;&gt;"",ISNA(MATCH($H700,Tables!$B$184:$B$186,0))),
Error!$B$15,
IF(AND($E700="Tier 4",$F700="Remove",$H700&lt;&gt;"",ISNA(MATCH($H700,Tables!$B$171,0))),
Error!$B$15,
IF(AND($E700="Tier 4",$F700="Retain",$H700&lt;&gt;"",ISNA(MATCH($H700,Tables!$B$166:$B$168,0))),
Error!$B$15,
IF(AND($E700="Tier 3",$F700="Retain",$H700&lt;&gt;"",ISNA(MATCH($H700,Tables!$B$158:$B$160,0))),
Error!$B$15,
IF(AND($E700="Tier 3",$F700="Remove",$H700&lt;&gt;"",ISNA(MATCH($H700,Tables!$B$163,0))),
Error!$B$15,
IF(AND(OR($E700="Tier 2",$E700="Tier 2 Grove"),$F700="Remove",$H700&lt;&gt;"",ISNA(MATCH($H700,Tables!$B$153:$B$155,0))),
Error!$B$15,
IF(AND(OR($E700="Tier 2",$E700="Tier 2 Grove"),$F700="Retain",$H700&lt;&gt;"",ISNA(MATCH($H700,Tables!$B$147:$B$150,0))),
Error!$B$15,
IF(AND($E700="Tier 1",$F700="Remove",$H700&lt;&gt;"",ISNA(MATCH($H700,Tables!$B$143:$B$144,0))),
Error!$B$15,
IF(AND($E700="Tier 1",$F700="Retain",$H700&lt;&gt;"",ISNA(MATCH($H700,Tables!$B$137:$B$140,0))),
Error!$B$15,
IF(AND($E700&lt;&gt;"Tier 2",$E700&lt;&gt;"Tier 2 Grove",$E700&lt;&gt;"Tier 3",$E700&lt;&gt;"Tier 4",$H700="Zoning: Green Factor",OR($D700="",$D700&lt;6)),
Error!$B$11,
IF(AND(_xlpm.baseRow,$D700&lt;6,$E700="&lt;6in DSH for Tree Points",_xlpm.TreePoints_H=0),
Error!$B$21,
IF(AND(_xlpm.baseRow,$E700&lt;&gt;"",$D700&lt;&gt;"",$F700=""),
Error!$B$4,
IF(AND(_xlpm.baseRow,$F700="Remove",OR($E700="Tier 1",$E700="Tier 2",$E700="Tier 2 Grove"),COUNTBLANK(_xlpm.HRange)&lt;3,_xlpm.uniqueH&gt;=2),
Error!$B$48,
IF(AND(_xlpm.baseRow,$F700="Retain",OR($E700="Tier 1",$E700="Tier 2",$E700="Tier 2 Grove"),COUNTIF(_xlpm.HRange,"Tree Code: Required to Retain Tier 1-2 Tree")=0),
Error!$B$47,
IF(AND(_xlpm.baseRow,$E700&lt;&gt;"",$D700&lt;&gt;"",$F700&lt;&gt;"",COUNTBLANK(_xlpm.HRange)=4),
Error!$B$5,
IF(AND($F700="Remove",$H700&lt;&gt;"",$I700=""),
Error!$B$18,
IF(AND($E700="Tier 4",$F700="Remove",$H700="Tree Protection Code: Tier 3 or Tier 4 Allowance",$H700&lt;&gt;"",ISNA(MATCH($I700,Tables!$B$200,0))),
Error!$B$17,
IF(AND($E700="Tier 3",$F700="Remove",$H700&lt;&gt;"",$H700="Tree Protection Code: Tier 3 or Tier 4 Allowance",OR($I700="",ISNA(MATCH($I700,Tables!$B$193:$B$197,0)))),
Error!$B$17,
IF(AND(OR($E700="Tier 2",$E700="Tier 2 Grove"),$F700="Remove",$H700="Tree Protection Code: Other removal allowance or exemption",$I700&lt;&gt;"",ISNA(MATCH($I700,Tables!$B$215:$B$218,0))),
Error!$B$17,
IF(AND(OR($E700="Tier 2",$E700="Tier 2 Grove"),$F700="Remove",$H700="Tree Protection Code: Development Capacity",$I700&lt;&gt;"",ISNA(MATCH($I700,Tables!$B$193:$B$197,0))),
Error!$B$17,
IF(AND(OR($E700="Tier 2",$E700="Tier 2 Grove"),$F700="Remove",$H700="Tree Protection Code: Necessary for Construction",$I700&lt;&gt;"",ISNA(MATCH($I700,Tables!$B$193:$B$197,0))),
Error!$B$17,
IF(AND($E700="Tier 1",$F700="Remove",$H700="Tree Protection Code: Special Exception",$I700&lt;&gt;"",ISNA(MATCH($I700,Tables!$B$215:$B$218,0))),
Error!$B$17,
IF(AND($E700="Tier 1",$F700="Remove",$H700="Tree Protection Code: Other removal allowance or exemption",$I700&lt;&gt;"",ISNA(MATCH($I700,Tables!$B$215:$B$218,0))),
Error!$B$17,
IF(AND($E700="ECA / Shoreline Tree",$F700="Remove",$H700&lt;&gt;"",OR($H700="Shoreline",$H700="Environmental Critical Area (ECA)"),ISNA(MATCH($I700,Tables!$B$209:$B$212,0))),
Error!$B$17,
IF(AND(_xlpm.baseRow,$F700="Retain",$E700="ECA / Shoreline Tree",_xlpm.ECA_Short=0),
Error!$B$61,
IF(AND($F700="Remove",ISNUMBER(MATCH($E700,{"Tier 1","Tier 2","Tier 3","Tier 4","Tier 2 Grove"},0)),ISNUMBER(MATCH($I700,{"On-site replacement","Off-site replacement"},0)),$J700="",$H700&lt;&gt;""),
Error!$B$19,
IF(AND(_xlpm.baseRow,$E700&lt;&gt;"",$D700&lt;&gt;"",$F700&lt;&gt;"",COUNTBLANK($B700:$C700)&gt;0,COUNTBLANK(_xlpm.HRange)&lt;&gt;4),
Error!$B$22,
IF(AND($H700="Zoning: Tree Points",$K700&lt;&gt;"",ISNA(MATCH($K700,Tables!$B$242:$B$253,0))),
Error!$B$58,
IF(AND($H700="Zoning: Tree Points",$K700="Small",$L700&lt;&gt;"",ISNA(MATCH($L700,Tables!$C$243:$C$244,0))),
Error!$B$59,
IF(AND($H700="Zoning: Tree Points",$K700="Small/Medium",$L700&lt;&gt;"",ISNA(MATCH($L700,Tables!$C$246:$C$247,0))),
Error!$B$59,
IF(AND($H700="Zoning: Tree Points",$K700="Medium/Large",$L700&lt;&gt;"",ISNA(MATCH($L700,Tables!$C$249:$C$250,0))),
Error!$B$59,
IF(AND($H700="Zoning: Tree Points",$K700="Large",$L700&lt;&gt;"",ISNA(MATCH($L700,Tables!$C$252:$C$253,0))),
Error!$B$59,
IF(AND($F700="Retain",$H700="Zoning: Tree Points",$C700&lt;&gt;"",$D700&lt;&gt;"",OR($K700="",$L700="",$M700="")),
Error!$B$20,
""
)))))))))))))))))))))))))))))))))))))))))))))))))))))))),
Error!$B$23))</f>
        <v/>
      </c>
      <c r="O700" s="343" t="str" cm="1">
        <f t="array" aca="1" ref="O700" ca="1">IFERROR(_xlfn.LET(
    _xlpm.txt, $C700,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01" spans="1:15" x14ac:dyDescent="0.3">
      <c r="A701" s="320"/>
      <c r="B701" s="616" t="str">
        <f t="shared" si="827"/>
        <v/>
      </c>
      <c r="C701" s="617" t="str">
        <f t="shared" si="828"/>
        <v/>
      </c>
      <c r="D701" s="618" t="str">
        <f t="shared" si="829"/>
        <v/>
      </c>
      <c r="E701" s="616" t="str">
        <f t="shared" si="830"/>
        <v/>
      </c>
      <c r="F701" s="616" t="str">
        <f t="shared" si="831"/>
        <v/>
      </c>
      <c r="G701" s="619" t="str">
        <f>IF(Tree_Table1[[#This Row],[Tree Status  &amp;]]="Retain", Tables!$B$237, IF(Tree_Table1[[#This Row],[Tree Status  &amp;]]="Remove", Tables!$B$238, ""))</f>
        <v/>
      </c>
      <c r="H701" s="321"/>
      <c r="I701" s="322"/>
      <c r="J701" s="453"/>
      <c r="K701" s="323" t="str">
        <f>IFERROR(
    IF(
        AND($H701="Zoning: Tree Points", NOT(ISNUMBER(SEARCH("sp.", $C701)))),
        VLOOKUP($C701, 'Tree List'!$C$3:$F$601, 4, FALSE),
        ""
    ),
"")</f>
        <v/>
      </c>
      <c r="L701" s="324" t="str" cm="1">
        <f t="array" ref="L701">IFERROR(
IF(
    AND($H701="Zoning: Tree Points", NOT(ISNUMBER(SEARCH("sp.", $C701)))),
    _xlfn.IFS(
        (COUNTIFS('Tree List'!$C$3:$C$601,$C701,'Tree List'!$D$3:$D$601,"Coniferous")
        + COUNTIFS('Tree List'!$C$3:$C$601,$C701,'Tree List'!$D$3:$D$601,"Deciduous Conifer")) &gt; 0,
            _xlfn.IFS($K701="Small",0.5,$K701="Small/Medium",1,$K701="Medium/Large",1.4,$K701="Large",1.8),
        (COUNTIFS('Tree List'!$C$3:$C$601,$C701,'Tree List'!$D$3:$D$601,"Deciduous")
        + COUNTIFS('Tree List'!$C$3:$C$601,$C701,'Tree List'!$D$3:$D$601,"Broadleaf Evergreen")) &gt; 0,
            _xlfn.IFS($K701="Small",0.4,$K701="Small/Medium",0.8,$K701="Medium/Large",1.2,$K701="Large",1.6)
    ),
    ""
),
"")</f>
        <v/>
      </c>
      <c r="M701" s="475" t="str">
        <f t="shared" si="816"/>
        <v/>
      </c>
      <c r="N701" s="346" t="str" cm="1">
        <f t="array" aca="1" ref="N70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IF(AND(_xlpm.baseRow,ISNA(MATCH($C701,'Tree List'!$C$3:$C$601,0)),SUMPRODUCT(--ISNUMBER(SEARCH(Tables2!$C$677:$C$772,$O701)))&gt;0),
Error!$B$57,
IF(AND(_xlpm.hasDM,$F701="Remove",$H701&lt;&gt;"",OR($I701="On-site replacement",$I701="Off-site replacement",$I701="Payment In Lieu")),
Error!$B$56,
IF(AND(_xlpm.hasDM,$F701="Remove",$H701&lt;&gt;"",$I701="Relocation"),
Error!$B$66,
IF(AND(OR(_xlpm.hasCN,_xlpm.hasPH,_xlpm.hasGR),$H701&lt;&gt;"",COUNTIF(Tables!$B$132:$B$134,$H701)&gt;0,$I701="N/A (No replacement required)"),
Error!$B$62,
IF(AND(_xlpm.baseRow,$E701&lt;&gt;"",ISNA(MATCH($E701,Tables!$B$225:$B$232,0))),
Error!$B$2,
IF(AND(_xlpm.baseRow,$F701&lt;&gt;"",ISNA(MATCH($F701,Tables!$B$234:$B$235,0))),
Error!$B$24,
IF(AND(_xlpm.baseRow,_xlpm.ECA_H&gt;0,_xlpm.Shore_H&gt;0),
Error!$B$16,
IF(AND(_xlpm.baseRow,$E701&lt;&gt;"",$D701=""),
Error!$B$3,
IF(AND(_xlpm.baseRow,OR($E701="Tier 3",$E701="Tier 4"),$C701&lt;&gt;"",$D701&gt;=24,COUNTIF(Tables2!$B$166:$B$674,$C701)&gt;0),
Error!$B$44,
IF(AND(_xlpm.baseRow,OR($E701="Tier 3",$E701="Tier 4"),$C701&lt;&gt;"",$D701&lt;&gt;"",COUNTIF(Tables2!$B$73:$B$152,$C701)&gt;0,
$D701&gt;=IFERROR(INDEX(Tables2!$C$73:$C$152,MATCH($C701,Tables2!$B$73:$B$152,0)),-1)),
Error!$B$44,
IF(AND(_xlpm.baseRow,OR($E701="Tier 2",$E701="Tier 2 Grove"),$C701&lt;&gt;"",$D701&gt;=12,COUNTIF(Tables2!$B$153:$B$162,$C701)&gt;0),
Error!$B$45,
IF(AND(_xlpm.baseRow,$E701="Tier 2 Grove",$D701&lt;12),
Error!$B$41,
IF(AND(_xlpm.baseRow,$E701="Tier 2",$D701&lt;5.88),
Error!$B$40,
IF(AND(_xlpm.baseRow,OR($E701="Tier 2",$E701="Tier 2 Grove"),$C701&lt;&gt;"",$D701&lt;12,$D701&gt;=6,COUNTIF(Tables2!$B$153:$B$162,$C701)&gt;0),
Error!$B$54,
IF(AND(_xlpm.baseRow,$E701="Tier 2",COUNTIF(Tables2!$B$166:$B$674,$C701)&gt;0,$D701&lt;24),
Error!$B$54,
IF(AND(_xlpm.baseRow,$E701="Tier 3",ISNA(MATCH($C701,Tables2!$B$153:$B$162,0)),OR($D701&lt;12,$D701&gt;=24)),
Error!$B$9,
IF(AND(_xlpm.baseRow,$E701="Tier 3",COUNTIF(Tables2!$B$153:$B$162,$C701)&gt;0,$D701&lt;12),
Error!$B$46,
IF(AND(_xlpm.baseRow,$E701="Tier 4",OR($D701&lt;6,$D701&gt;=12)),
Error!$B$10,
IF(AND(_xlpm.baseRow,$E701="&lt;6in DSH for Tree Points",OR($D701&gt;=6,$D701="")),
Error!$B$8,
IF(AND(_xlpm.baseRow,$E701="Street Tree for Green Factor",$F701&lt;&gt;"",$F701&lt;&gt;"Retain"),
Error!$B$14,
IF(AND($E701="&lt;6in DSH for Tree Points",$F701="Retain",$H701&lt;&gt;"",ISNA(MATCH($H701,Tables!$B$174:$B$174,0))),
Error!$B$15,
IF(AND($E701="Street Tree for Green Factor",$F701="Retain",$H701&lt;&gt;"",$H701&lt;&gt;"Zoning: Green Factor"),
Error!$B$15,
IF(AND($E701="ECA / Shoreline Tree",$F701="Remove",$H701&lt;&gt;"",ISNA(MATCH($H701,Tables!$B$189:$B$190,0))),
Error!$B$15,
IF(AND($E701="ECA / Shoreline Tree",$F701="Retain",$H701&lt;&gt;"",ISNA(MATCH($H701,Tables!$B$184:$B$186,0))),
Error!$B$15,
IF(AND($E701="Tier 4",$F701="Remove",$H701&lt;&gt;"",ISNA(MATCH($H701,Tables!$B$171,0))),
Error!$B$15,
IF(AND($E701="Tier 4",$F701="Retain",$H701&lt;&gt;"",ISNA(MATCH($H701,Tables!$B$166:$B$168,0))),
Error!$B$15,
IF(AND($E701="Tier 3",$F701="Retain",$H701&lt;&gt;"",ISNA(MATCH($H701,Tables!$B$158:$B$160,0))),
Error!$B$15,
IF(AND($E701="Tier 3",$F701="Remove",$H701&lt;&gt;"",ISNA(MATCH($H701,Tables!$B$163,0))),
Error!$B$15,
IF(AND(OR($E701="Tier 2",$E701="Tier 2 Grove"),$F701="Remove",$H701&lt;&gt;"",ISNA(MATCH($H701,Tables!$B$153:$B$155,0))),
Error!$B$15,
IF(AND(OR($E701="Tier 2",$E701="Tier 2 Grove"),$F701="Retain",$H701&lt;&gt;"",ISNA(MATCH($H701,Tables!$B$147:$B$150,0))),
Error!$B$15,
IF(AND($E701="Tier 1",$F701="Remove",$H701&lt;&gt;"",ISNA(MATCH($H701,Tables!$B$143:$B$144,0))),
Error!$B$15,
IF(AND($E701="Tier 1",$F701="Retain",$H701&lt;&gt;"",ISNA(MATCH($H701,Tables!$B$137:$B$140,0))),
Error!$B$15,
IF(AND($E701&lt;&gt;"Tier 2",$E701&lt;&gt;"Tier 2 Grove",$E701&lt;&gt;"Tier 3",$E701&lt;&gt;"Tier 4",$H701="Zoning: Green Factor",OR($D701="",$D701&lt;6)),
Error!$B$11,
IF(AND(_xlpm.baseRow,$D701&lt;6,$E701="&lt;6in DSH for Tree Points",_xlpm.TreePoints_H=0),
Error!$B$21,
IF(AND(_xlpm.baseRow,$E701&lt;&gt;"",$D701&lt;&gt;"",$F701=""),
Error!$B$4,
IF(AND(_xlpm.baseRow,$F701="Remove",OR($E701="Tier 1",$E701="Tier 2",$E701="Tier 2 Grove"),COUNTBLANK(_xlpm.HRange)&lt;3,_xlpm.uniqueH&gt;=2),
Error!$B$48,
IF(AND(_xlpm.baseRow,$F701="Retain",OR($E701="Tier 1",$E701="Tier 2",$E701="Tier 2 Grove"),COUNTIF(_xlpm.HRange,"Tree Code: Required to Retain Tier 1-2 Tree")=0),
Error!$B$47,
IF(AND(_xlpm.baseRow,$E701&lt;&gt;"",$D701&lt;&gt;"",$F701&lt;&gt;"",COUNTBLANK(_xlpm.HRange)=4),
Error!$B$5,
IF(AND($F701="Remove",$H701&lt;&gt;"",$I701=""),
Error!$B$18,
IF(AND($E701="Tier 4",$F701="Remove",$H701="Tree Protection Code: Tier 3 or Tier 4 Allowance",$H701&lt;&gt;"",ISNA(MATCH($I701,Tables!$B$200,0))),
Error!$B$17,
IF(AND($E701="Tier 3",$F701="Remove",$H701&lt;&gt;"",$H701="Tree Protection Code: Tier 3 or Tier 4 Allowance",OR($I701="",ISNA(MATCH($I701,Tables!$B$193:$B$197,0)))),
Error!$B$17,
IF(AND(OR($E701="Tier 2",$E701="Tier 2 Grove"),$F701="Remove",$H701="Tree Protection Code: Other removal allowance or exemption",$I701&lt;&gt;"",ISNA(MATCH($I701,Tables!$B$215:$B$218,0))),
Error!$B$17,
IF(AND(OR($E701="Tier 2",$E701="Tier 2 Grove"),$F701="Remove",$H701="Tree Protection Code: Development Capacity",$I701&lt;&gt;"",ISNA(MATCH($I701,Tables!$B$193:$B$197,0))),
Error!$B$17,
IF(AND(OR($E701="Tier 2",$E701="Tier 2 Grove"),$F701="Remove",$H701="Tree Protection Code: Necessary for Construction",$I701&lt;&gt;"",ISNA(MATCH($I701,Tables!$B$193:$B$197,0))),
Error!$B$17,
IF(AND($E701="Tier 1",$F701="Remove",$H701="Tree Protection Code: Special Exception",$I701&lt;&gt;"",ISNA(MATCH($I701,Tables!$B$215:$B$218,0))),
Error!$B$17,
IF(AND($E701="Tier 1",$F701="Remove",$H701="Tree Protection Code: Other removal allowance or exemption",$I701&lt;&gt;"",ISNA(MATCH($I701,Tables!$B$215:$B$218,0))),
Error!$B$17,
IF(AND($E701="ECA / Shoreline Tree",$F701="Remove",$H701&lt;&gt;"",OR($H701="Shoreline",$H701="Environmental Critical Area (ECA)"),ISNA(MATCH($I701,Tables!$B$209:$B$212,0))),
Error!$B$17,
IF(AND(_xlpm.baseRow,$F701="Retain",$E701="ECA / Shoreline Tree",_xlpm.ECA_Short=0),
Error!$B$61,
IF(AND($F701="Remove",ISNUMBER(MATCH($E701,{"Tier 1","Tier 2","Tier 3","Tier 4","Tier 2 Grove"},0)),ISNUMBER(MATCH($I701,{"On-site replacement","Off-site replacement"},0)),$J701="",$H701&lt;&gt;""),
Error!$B$19,
IF(AND(_xlpm.baseRow,$E701&lt;&gt;"",$D701&lt;&gt;"",$F701&lt;&gt;"",COUNTBLANK($B701:$C701)&gt;0,COUNTBLANK(_xlpm.HRange)&lt;&gt;4),
Error!$B$22,
IF(AND($H701="Zoning: Tree Points",$K701&lt;&gt;"",ISNA(MATCH($K701,Tables!$B$242:$B$253,0))),
Error!$B$58,
IF(AND($H701="Zoning: Tree Points",$K701="Small",$L701&lt;&gt;"",ISNA(MATCH($L701,Tables!$C$243:$C$244,0))),
Error!$B$59,
IF(AND($H701="Zoning: Tree Points",$K701="Small/Medium",$L701&lt;&gt;"",ISNA(MATCH($L701,Tables!$C$246:$C$247,0))),
Error!$B$59,
IF(AND($H701="Zoning: Tree Points",$K701="Medium/Large",$L701&lt;&gt;"",ISNA(MATCH($L701,Tables!$C$249:$C$250,0))),
Error!$B$59,
IF(AND($H701="Zoning: Tree Points",$K701="Large",$L701&lt;&gt;"",ISNA(MATCH($L701,Tables!$C$252:$C$253,0))),
Error!$B$59,
IF(AND($F701="Retain",$H701="Zoning: Tree Points",$C701&lt;&gt;"",$D701&lt;&gt;"",OR($K701="",$L701="",$M701="")),
Error!$B$20,
""
)))))))))))))))))))))))))))))))))))))))))))))))))))))))),
Error!$B$23))</f>
        <v/>
      </c>
      <c r="O701" s="343" t="str" cm="1">
        <f t="array" aca="1" ref="O701" ca="1">IFERROR(_xlfn.LET(
    _xlpm.txt, $C701,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02" spans="1:15" ht="15" thickBot="1" x14ac:dyDescent="0.35">
      <c r="A702" s="331"/>
      <c r="B702" s="616" t="str">
        <f t="shared" si="827"/>
        <v/>
      </c>
      <c r="C702" s="617" t="str">
        <f t="shared" si="828"/>
        <v/>
      </c>
      <c r="D702" s="618" t="str">
        <f t="shared" si="829"/>
        <v/>
      </c>
      <c r="E702" s="616" t="str">
        <f t="shared" si="830"/>
        <v/>
      </c>
      <c r="F702" s="616" t="str">
        <f t="shared" si="831"/>
        <v/>
      </c>
      <c r="G702" s="619" t="str">
        <f>IF(Tree_Table1[[#This Row],[Tree Status  &amp;]]="Retain", Tables!$B$237, IF(Tree_Table1[[#This Row],[Tree Status  &amp;]]="Remove", Tables!$B$238, ""))</f>
        <v/>
      </c>
      <c r="H702" s="329"/>
      <c r="I702" s="330"/>
      <c r="J702" s="455"/>
      <c r="K702" s="327" t="str">
        <f>IFERROR(
    IF(
        AND($H702="Zoning: Tree Points", NOT(ISNUMBER(SEARCH("sp.", $C702)))),
        VLOOKUP($C702, 'Tree List'!$C$3:$F$601, 4, FALSE),
        ""
    ),
"")</f>
        <v/>
      </c>
      <c r="L702" s="328" t="str" cm="1">
        <f t="array" ref="L702">IFERROR(
IF(
    AND($H702="Zoning: Tree Points", NOT(ISNUMBER(SEARCH("sp.", $C702)))),
    _xlfn.IFS(
        (COUNTIFS('Tree List'!$C$3:$C$601,$C702,'Tree List'!$D$3:$D$601,"Coniferous")
        + COUNTIFS('Tree List'!$C$3:$C$601,$C702,'Tree List'!$D$3:$D$601,"Deciduous Conifer")) &gt; 0,
            _xlfn.IFS($K702="Small",0.5,$K702="Small/Medium",1,$K702="Medium/Large",1.4,$K702="Large",1.8),
        (COUNTIFS('Tree List'!$C$3:$C$601,$C702,'Tree List'!$D$3:$D$601,"Deciduous")
        + COUNTIFS('Tree List'!$C$3:$C$601,$C702,'Tree List'!$D$3:$D$601,"Broadleaf Evergreen")) &gt; 0,
            _xlfn.IFS($K702="Small",0.4,$K702="Small/Medium",0.8,$K702="Medium/Large",1.2,$K702="Large",1.6)
    ),
    ""
),
"")</f>
        <v/>
      </c>
      <c r="M702" s="476" t="str">
        <f t="shared" si="816"/>
        <v/>
      </c>
      <c r="N702" s="347" t="str" cm="1">
        <f t="array" aca="1" ref="N70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IF(AND(_xlpm.baseRow,ISNA(MATCH($C702,'Tree List'!$C$3:$C$601,0)),SUMPRODUCT(--ISNUMBER(SEARCH(Tables2!$C$677:$C$772,$O702)))&gt;0),
Error!$B$57,
IF(AND(_xlpm.hasDM,$F702="Remove",$H702&lt;&gt;"",OR($I702="On-site replacement",$I702="Off-site replacement",$I702="Payment In Lieu")),
Error!$B$56,
IF(AND(_xlpm.hasDM,$F702="Remove",$H702&lt;&gt;"",$I702="Relocation"),
Error!$B$66,
IF(AND(OR(_xlpm.hasCN,_xlpm.hasPH,_xlpm.hasGR),$H702&lt;&gt;"",COUNTIF(Tables!$B$132:$B$134,$H702)&gt;0,$I702="N/A (No replacement required)"),
Error!$B$62,
IF(AND(_xlpm.baseRow,$E702&lt;&gt;"",ISNA(MATCH($E702,Tables!$B$225:$B$232,0))),
Error!$B$2,
IF(AND(_xlpm.baseRow,$F702&lt;&gt;"",ISNA(MATCH($F702,Tables!$B$234:$B$235,0))),
Error!$B$24,
IF(AND(_xlpm.baseRow,_xlpm.ECA_H&gt;0,_xlpm.Shore_H&gt;0),
Error!$B$16,
IF(AND(_xlpm.baseRow,$E702&lt;&gt;"",$D702=""),
Error!$B$3,
IF(AND(_xlpm.baseRow,OR($E702="Tier 3",$E702="Tier 4"),$C702&lt;&gt;"",$D702&gt;=24,COUNTIF(Tables2!$B$166:$B$674,$C702)&gt;0),
Error!$B$44,
IF(AND(_xlpm.baseRow,OR($E702="Tier 3",$E702="Tier 4"),$C702&lt;&gt;"",$D702&lt;&gt;"",COUNTIF(Tables2!$B$73:$B$152,$C702)&gt;0,
$D702&gt;=IFERROR(INDEX(Tables2!$C$73:$C$152,MATCH($C702,Tables2!$B$73:$B$152,0)),-1)),
Error!$B$44,
IF(AND(_xlpm.baseRow,OR($E702="Tier 2",$E702="Tier 2 Grove"),$C702&lt;&gt;"",$D702&gt;=12,COUNTIF(Tables2!$B$153:$B$162,$C702)&gt;0),
Error!$B$45,
IF(AND(_xlpm.baseRow,$E702="Tier 2 Grove",$D702&lt;12),
Error!$B$41,
IF(AND(_xlpm.baseRow,$E702="Tier 2",$D702&lt;5.88),
Error!$B$40,
IF(AND(_xlpm.baseRow,OR($E702="Tier 2",$E702="Tier 2 Grove"),$C702&lt;&gt;"",$D702&lt;12,$D702&gt;=6,COUNTIF(Tables2!$B$153:$B$162,$C702)&gt;0),
Error!$B$54,
IF(AND(_xlpm.baseRow,$E702="Tier 2",COUNTIF(Tables2!$B$166:$B$674,$C702)&gt;0,$D702&lt;24),
Error!$B$54,
IF(AND(_xlpm.baseRow,$E702="Tier 3",ISNA(MATCH($C702,Tables2!$B$153:$B$162,0)),OR($D702&lt;12,$D702&gt;=24)),
Error!$B$9,
IF(AND(_xlpm.baseRow,$E702="Tier 3",COUNTIF(Tables2!$B$153:$B$162,$C702)&gt;0,$D702&lt;12),
Error!$B$46,
IF(AND(_xlpm.baseRow,$E702="Tier 4",OR($D702&lt;6,$D702&gt;=12)),
Error!$B$10,
IF(AND(_xlpm.baseRow,$E702="&lt;6in DSH for Tree Points",OR($D702&gt;=6,$D702="")),
Error!$B$8,
IF(AND(_xlpm.baseRow,$E702="Street Tree for Green Factor",$F702&lt;&gt;"",$F702&lt;&gt;"Retain"),
Error!$B$14,
IF(AND($E702="&lt;6in DSH for Tree Points",$F702="Retain",$H702&lt;&gt;"",ISNA(MATCH($H702,Tables!$B$174:$B$174,0))),
Error!$B$15,
IF(AND($E702="Street Tree for Green Factor",$F702="Retain",$H702&lt;&gt;"",$H702&lt;&gt;"Zoning: Green Factor"),
Error!$B$15,
IF(AND($E702="ECA / Shoreline Tree",$F702="Remove",$H702&lt;&gt;"",ISNA(MATCH($H702,Tables!$B$189:$B$190,0))),
Error!$B$15,
IF(AND($E702="ECA / Shoreline Tree",$F702="Retain",$H702&lt;&gt;"",ISNA(MATCH($H702,Tables!$B$184:$B$186,0))),
Error!$B$15,
IF(AND($E702="Tier 4",$F702="Remove",$H702&lt;&gt;"",ISNA(MATCH($H702,Tables!$B$171,0))),
Error!$B$15,
IF(AND($E702="Tier 4",$F702="Retain",$H702&lt;&gt;"",ISNA(MATCH($H702,Tables!$B$166:$B$168,0))),
Error!$B$15,
IF(AND($E702="Tier 3",$F702="Retain",$H702&lt;&gt;"",ISNA(MATCH($H702,Tables!$B$158:$B$160,0))),
Error!$B$15,
IF(AND($E702="Tier 3",$F702="Remove",$H702&lt;&gt;"",ISNA(MATCH($H702,Tables!$B$163,0))),
Error!$B$15,
IF(AND(OR($E702="Tier 2",$E702="Tier 2 Grove"),$F702="Remove",$H702&lt;&gt;"",ISNA(MATCH($H702,Tables!$B$153:$B$155,0))),
Error!$B$15,
IF(AND(OR($E702="Tier 2",$E702="Tier 2 Grove"),$F702="Retain",$H702&lt;&gt;"",ISNA(MATCH($H702,Tables!$B$147:$B$150,0))),
Error!$B$15,
IF(AND($E702="Tier 1",$F702="Remove",$H702&lt;&gt;"",ISNA(MATCH($H702,Tables!$B$143:$B$144,0))),
Error!$B$15,
IF(AND($E702="Tier 1",$F702="Retain",$H702&lt;&gt;"",ISNA(MATCH($H702,Tables!$B$137:$B$140,0))),
Error!$B$15,
IF(AND($E702&lt;&gt;"Tier 2",$E702&lt;&gt;"Tier 2 Grove",$E702&lt;&gt;"Tier 3",$E702&lt;&gt;"Tier 4",$H702="Zoning: Green Factor",OR($D702="",$D702&lt;6)),
Error!$B$11,
IF(AND(_xlpm.baseRow,$D702&lt;6,$E702="&lt;6in DSH for Tree Points",_xlpm.TreePoints_H=0),
Error!$B$21,
IF(AND(_xlpm.baseRow,$E702&lt;&gt;"",$D702&lt;&gt;"",$F702=""),
Error!$B$4,
IF(AND(_xlpm.baseRow,$F702="Remove",OR($E702="Tier 1",$E702="Tier 2",$E702="Tier 2 Grove"),COUNTBLANK(_xlpm.HRange)&lt;3,_xlpm.uniqueH&gt;=2),
Error!$B$48,
IF(AND(_xlpm.baseRow,$F702="Retain",OR($E702="Tier 1",$E702="Tier 2",$E702="Tier 2 Grove"),COUNTIF(_xlpm.HRange,"Tree Code: Required to Retain Tier 1-2 Tree")=0),
Error!$B$47,
IF(AND(_xlpm.baseRow,$E702&lt;&gt;"",$D702&lt;&gt;"",$F702&lt;&gt;"",COUNTBLANK(_xlpm.HRange)=4),
Error!$B$5,
IF(AND($F702="Remove",$H702&lt;&gt;"",$I702=""),
Error!$B$18,
IF(AND($E702="Tier 4",$F702="Remove",$H702="Tree Protection Code: Tier 3 or Tier 4 Allowance",$H702&lt;&gt;"",ISNA(MATCH($I702,Tables!$B$200,0))),
Error!$B$17,
IF(AND($E702="Tier 3",$F702="Remove",$H702&lt;&gt;"",$H702="Tree Protection Code: Tier 3 or Tier 4 Allowance",OR($I702="",ISNA(MATCH($I702,Tables!$B$193:$B$197,0)))),
Error!$B$17,
IF(AND(OR($E702="Tier 2",$E702="Tier 2 Grove"),$F702="Remove",$H702="Tree Protection Code: Other removal allowance or exemption",$I702&lt;&gt;"",ISNA(MATCH($I702,Tables!$B$215:$B$218,0))),
Error!$B$17,
IF(AND(OR($E702="Tier 2",$E702="Tier 2 Grove"),$F702="Remove",$H702="Tree Protection Code: Development Capacity",$I702&lt;&gt;"",ISNA(MATCH($I702,Tables!$B$193:$B$197,0))),
Error!$B$17,
IF(AND(OR($E702="Tier 2",$E702="Tier 2 Grove"),$F702="Remove",$H702="Tree Protection Code: Necessary for Construction",$I702&lt;&gt;"",ISNA(MATCH($I702,Tables!$B$193:$B$197,0))),
Error!$B$17,
IF(AND($E702="Tier 1",$F702="Remove",$H702="Tree Protection Code: Special Exception",$I702&lt;&gt;"",ISNA(MATCH($I702,Tables!$B$215:$B$218,0))),
Error!$B$17,
IF(AND($E702="Tier 1",$F702="Remove",$H702="Tree Protection Code: Other removal allowance or exemption",$I702&lt;&gt;"",ISNA(MATCH($I702,Tables!$B$215:$B$218,0))),
Error!$B$17,
IF(AND($E702="ECA / Shoreline Tree",$F702="Remove",$H702&lt;&gt;"",OR($H702="Shoreline",$H702="Environmental Critical Area (ECA)"),ISNA(MATCH($I702,Tables!$B$209:$B$212,0))),
Error!$B$17,
IF(AND(_xlpm.baseRow,$F702="Retain",$E702="ECA / Shoreline Tree",_xlpm.ECA_Short=0),
Error!$B$61,
IF(AND($F702="Remove",ISNUMBER(MATCH($E702,{"Tier 1","Tier 2","Tier 3","Tier 4","Tier 2 Grove"},0)),ISNUMBER(MATCH($I702,{"On-site replacement","Off-site replacement"},0)),$J702="",$H702&lt;&gt;""),
Error!$B$19,
IF(AND(_xlpm.baseRow,$E702&lt;&gt;"",$D702&lt;&gt;"",$F702&lt;&gt;"",COUNTBLANK($B702:$C702)&gt;0,COUNTBLANK(_xlpm.HRange)&lt;&gt;4),
Error!$B$22,
IF(AND($H702="Zoning: Tree Points",$K702&lt;&gt;"",ISNA(MATCH($K702,Tables!$B$242:$B$253,0))),
Error!$B$58,
IF(AND($H702="Zoning: Tree Points",$K702="Small",$L702&lt;&gt;"",ISNA(MATCH($L702,Tables!$C$243:$C$244,0))),
Error!$B$59,
IF(AND($H702="Zoning: Tree Points",$K702="Small/Medium",$L702&lt;&gt;"",ISNA(MATCH($L702,Tables!$C$246:$C$247,0))),
Error!$B$59,
IF(AND($H702="Zoning: Tree Points",$K702="Medium/Large",$L702&lt;&gt;"",ISNA(MATCH($L702,Tables!$C$249:$C$250,0))),
Error!$B$59,
IF(AND($H702="Zoning: Tree Points",$K702="Large",$L702&lt;&gt;"",ISNA(MATCH($L702,Tables!$C$252:$C$253,0))),
Error!$B$59,
IF(AND($F702="Retain",$H702="Zoning: Tree Points",$C702&lt;&gt;"",$D702&lt;&gt;"",OR($K702="",$L702="",$M702="")),
Error!$B$20,
""
)))))))))))))))))))))))))))))))))))))))))))))))))))))))),
Error!$B$23))</f>
        <v/>
      </c>
      <c r="O702" s="343" t="str" cm="1">
        <f t="array" aca="1" ref="O702" ca="1">IFERROR(_xlfn.LET(
    _xlpm.txt, $C702,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03" spans="1:15" ht="15" thickBot="1" x14ac:dyDescent="0.35">
      <c r="A703" s="311">
        <v>174</v>
      </c>
      <c r="B703" s="312"/>
      <c r="C703" s="313"/>
      <c r="D703" s="478"/>
      <c r="E703" s="314"/>
      <c r="F703" s="314"/>
      <c r="G703" s="315" t="str">
        <f>IF(Tree_Table1[[#This Row],[Tree Status  &amp;]]="Retain", Tables!$B$237, IF(Tree_Table1[[#This Row],[Tree Status  &amp;]]="Remove", Tables!$B$238, ""))</f>
        <v/>
      </c>
      <c r="H703" s="316"/>
      <c r="I703" s="317"/>
      <c r="J703" s="452"/>
      <c r="K703" s="318" t="str">
        <f>IFERROR(
    IF(
        AND($H703="Zoning: Tree Points", NOT(ISNUMBER(SEARCH("sp.", $C703)))),
        VLOOKUP($C703, 'Tree List'!$C$3:$F$601, 4, FALSE),
        ""
    ),
"")</f>
        <v/>
      </c>
      <c r="L703" s="319" t="str" cm="1">
        <f t="array" ref="L703">IFERROR(
IF(
    AND($H703="Zoning: Tree Points", NOT(ISNUMBER(SEARCH("sp.", $C703)))),
    _xlfn.IFS(
        (COUNTIFS('Tree List'!$C$3:$C$601,$C703,'Tree List'!$D$3:$D$601,"Coniferous")
        + COUNTIFS('Tree List'!$C$3:$C$601,$C703,'Tree List'!$D$3:$D$601,"Deciduous Conifer")) &gt; 0,
            _xlfn.IFS($K703="Small",0.5,$K703="Small/Medium",1,$K703="Medium/Large",1.4,$K703="Large",1.8),
        (COUNTIFS('Tree List'!$C$3:$C$601,$C703,'Tree List'!$D$3:$D$601,"Deciduous")
        + COUNTIFS('Tree List'!$C$3:$C$601,$C703,'Tree List'!$D$3:$D$601,"Broadleaf Evergreen")) &gt; 0,
            _xlfn.IFS($K703="Small",0.4,$K703="Small/Medium",0.8,$K703="Medium/Large",1.2,$K703="Large",1.6)
    ),
    ""
),
"")</f>
        <v/>
      </c>
      <c r="M703" s="474" t="str">
        <f t="shared" si="816"/>
        <v/>
      </c>
      <c r="N703" s="620" t="str" cm="1">
        <f t="array" aca="1" ref="N70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IF(AND(_xlpm.baseRow,ISNA(MATCH($C703,'Tree List'!$C$3:$C$601,0)),SUMPRODUCT(--ISNUMBER(SEARCH(Tables2!$C$677:$C$772,$O703)))&gt;0),
Error!$B$57,
IF(AND(_xlpm.hasDM,$F703="Remove",$H703&lt;&gt;"",OR($I703="On-site replacement",$I703="Off-site replacement",$I703="Payment In Lieu")),
Error!$B$56,
IF(AND(_xlpm.hasDM,$F703="Remove",$H703&lt;&gt;"",$I703="Relocation"),
Error!$B$66,
IF(AND(OR(_xlpm.hasCN,_xlpm.hasPH,_xlpm.hasGR),$H703&lt;&gt;"",COUNTIF(Tables!$B$132:$B$134,$H703)&gt;0,$I703="N/A (No replacement required)"),
Error!$B$62,
IF(AND(_xlpm.baseRow,$E703&lt;&gt;"",ISNA(MATCH($E703,Tables!$B$225:$B$232,0))),
Error!$B$2,
IF(AND(_xlpm.baseRow,$F703&lt;&gt;"",ISNA(MATCH($F703,Tables!$B$234:$B$235,0))),
Error!$B$24,
IF(AND(_xlpm.baseRow,_xlpm.ECA_H&gt;0,_xlpm.Shore_H&gt;0),
Error!$B$16,
IF(AND(_xlpm.baseRow,$E703&lt;&gt;"",$D703=""),
Error!$B$3,
IF(AND(_xlpm.baseRow,OR($E703="Tier 3",$E703="Tier 4"),$C703&lt;&gt;"",$D703&gt;=24,COUNTIF(Tables2!$B$166:$B$674,$C703)&gt;0),
Error!$B$44,
IF(AND(_xlpm.baseRow,OR($E703="Tier 3",$E703="Tier 4"),$C703&lt;&gt;"",$D703&lt;&gt;"",COUNTIF(Tables2!$B$73:$B$152,$C703)&gt;0,
$D703&gt;=IFERROR(INDEX(Tables2!$C$73:$C$152,MATCH($C703,Tables2!$B$73:$B$152,0)),-1)),
Error!$B$44,
IF(AND(_xlpm.baseRow,OR($E703="Tier 2",$E703="Tier 2 Grove"),$C703&lt;&gt;"",$D703&gt;=12,COUNTIF(Tables2!$B$153:$B$162,$C703)&gt;0),
Error!$B$45,
IF(AND(_xlpm.baseRow,$E703="Tier 2 Grove",$D703&lt;12),
Error!$B$41,
IF(AND(_xlpm.baseRow,$E703="Tier 2",$D703&lt;5.88),
Error!$B$40,
IF(AND(_xlpm.baseRow,OR($E703="Tier 2",$E703="Tier 2 Grove"),$C703&lt;&gt;"",$D703&lt;12,$D703&gt;=6,COUNTIF(Tables2!$B$153:$B$162,$C703)&gt;0),
Error!$B$54,
IF(AND(_xlpm.baseRow,$E703="Tier 2",COUNTIF(Tables2!$B$166:$B$674,$C703)&gt;0,$D703&lt;24),
Error!$B$54,
IF(AND(_xlpm.baseRow,$E703="Tier 3",ISNA(MATCH($C703,Tables2!$B$153:$B$162,0)),OR($D703&lt;12,$D703&gt;=24)),
Error!$B$9,
IF(AND(_xlpm.baseRow,$E703="Tier 3",COUNTIF(Tables2!$B$153:$B$162,$C703)&gt;0,$D703&lt;12),
Error!$B$46,
IF(AND(_xlpm.baseRow,$E703="Tier 4",OR($D703&lt;6,$D703&gt;=12)),
Error!$B$10,
IF(AND(_xlpm.baseRow,$E703="&lt;6in DSH for Tree Points",OR($D703&gt;=6,$D703="")),
Error!$B$8,
IF(AND(_xlpm.baseRow,$E703="Street Tree for Green Factor",$F703&lt;&gt;"",$F703&lt;&gt;"Retain"),
Error!$B$14,
IF(AND($E703="&lt;6in DSH for Tree Points",$F703="Retain",$H703&lt;&gt;"",ISNA(MATCH($H703,Tables!$B$174:$B$174,0))),
Error!$B$15,
IF(AND($E703="Street Tree for Green Factor",$F703="Retain",$H703&lt;&gt;"",$H703&lt;&gt;"Zoning: Green Factor"),
Error!$B$15,
IF(AND($E703="ECA / Shoreline Tree",$F703="Remove",$H703&lt;&gt;"",ISNA(MATCH($H703,Tables!$B$189:$B$190,0))),
Error!$B$15,
IF(AND($E703="ECA / Shoreline Tree",$F703="Retain",$H703&lt;&gt;"",ISNA(MATCH($H703,Tables!$B$184:$B$186,0))),
Error!$B$15,
IF(AND($E703="Tier 4",$F703="Remove",$H703&lt;&gt;"",ISNA(MATCH($H703,Tables!$B$171,0))),
Error!$B$15,
IF(AND($E703="Tier 4",$F703="Retain",$H703&lt;&gt;"",ISNA(MATCH($H703,Tables!$B$166:$B$168,0))),
Error!$B$15,
IF(AND($E703="Tier 3",$F703="Retain",$H703&lt;&gt;"",ISNA(MATCH($H703,Tables!$B$158:$B$160,0))),
Error!$B$15,
IF(AND($E703="Tier 3",$F703="Remove",$H703&lt;&gt;"",ISNA(MATCH($H703,Tables!$B$163,0))),
Error!$B$15,
IF(AND(OR($E703="Tier 2",$E703="Tier 2 Grove"),$F703="Remove",$H703&lt;&gt;"",ISNA(MATCH($H703,Tables!$B$153:$B$155,0))),
Error!$B$15,
IF(AND(OR($E703="Tier 2",$E703="Tier 2 Grove"),$F703="Retain",$H703&lt;&gt;"",ISNA(MATCH($H703,Tables!$B$147:$B$150,0))),
Error!$B$15,
IF(AND($E703="Tier 1",$F703="Remove",$H703&lt;&gt;"",ISNA(MATCH($H703,Tables!$B$143:$B$144,0))),
Error!$B$15,
IF(AND($E703="Tier 1",$F703="Retain",$H703&lt;&gt;"",ISNA(MATCH($H703,Tables!$B$137:$B$140,0))),
Error!$B$15,
IF(AND($E703&lt;&gt;"Tier 2",$E703&lt;&gt;"Tier 2 Grove",$E703&lt;&gt;"Tier 3",$E703&lt;&gt;"Tier 4",$H703="Zoning: Green Factor",OR($D703="",$D703&lt;6)),
Error!$B$11,
IF(AND(_xlpm.baseRow,$D703&lt;6,$E703="&lt;6in DSH for Tree Points",_xlpm.TreePoints_H=0),
Error!$B$21,
IF(AND(_xlpm.baseRow,$E703&lt;&gt;"",$D703&lt;&gt;"",$F703=""),
Error!$B$4,
IF(AND(_xlpm.baseRow,$F703="Remove",OR($E703="Tier 1",$E703="Tier 2",$E703="Tier 2 Grove"),COUNTBLANK(_xlpm.HRange)&lt;3,_xlpm.uniqueH&gt;=2),
Error!$B$48,
IF(AND(_xlpm.baseRow,$F703="Retain",OR($E703="Tier 1",$E703="Tier 2",$E703="Tier 2 Grove"),COUNTIF(_xlpm.HRange,"Tree Code: Required to Retain Tier 1-2 Tree")=0),
Error!$B$47,
IF(AND(_xlpm.baseRow,$E703&lt;&gt;"",$D703&lt;&gt;"",$F703&lt;&gt;"",COUNTBLANK(_xlpm.HRange)=4),
Error!$B$5,
IF(AND($F703="Remove",$H703&lt;&gt;"",$I703=""),
Error!$B$18,
IF(AND($E703="Tier 4",$F703="Remove",$H703="Tree Protection Code: Tier 3 or Tier 4 Allowance",$H703&lt;&gt;"",ISNA(MATCH($I703,Tables!$B$200,0))),
Error!$B$17,
IF(AND($E703="Tier 3",$F703="Remove",$H703&lt;&gt;"",$H703="Tree Protection Code: Tier 3 or Tier 4 Allowance",OR($I703="",ISNA(MATCH($I703,Tables!$B$193:$B$197,0)))),
Error!$B$17,
IF(AND(OR($E703="Tier 2",$E703="Tier 2 Grove"),$F703="Remove",$H703="Tree Protection Code: Other removal allowance or exemption",$I703&lt;&gt;"",ISNA(MATCH($I703,Tables!$B$215:$B$218,0))),
Error!$B$17,
IF(AND(OR($E703="Tier 2",$E703="Tier 2 Grove"),$F703="Remove",$H703="Tree Protection Code: Development Capacity",$I703&lt;&gt;"",ISNA(MATCH($I703,Tables!$B$193:$B$197,0))),
Error!$B$17,
IF(AND(OR($E703="Tier 2",$E703="Tier 2 Grove"),$F703="Remove",$H703="Tree Protection Code: Necessary for Construction",$I703&lt;&gt;"",ISNA(MATCH($I703,Tables!$B$193:$B$197,0))),
Error!$B$17,
IF(AND($E703="Tier 1",$F703="Remove",$H703="Tree Protection Code: Special Exception",$I703&lt;&gt;"",ISNA(MATCH($I703,Tables!$B$215:$B$218,0))),
Error!$B$17,
IF(AND($E703="Tier 1",$F703="Remove",$H703="Tree Protection Code: Other removal allowance or exemption",$I703&lt;&gt;"",ISNA(MATCH($I703,Tables!$B$215:$B$218,0))),
Error!$B$17,
IF(AND($E703="ECA / Shoreline Tree",$F703="Remove",$H703&lt;&gt;"",OR($H703="Shoreline",$H703="Environmental Critical Area (ECA)"),ISNA(MATCH($I703,Tables!$B$209:$B$212,0))),
Error!$B$17,
IF(AND(_xlpm.baseRow,$F703="Retain",$E703="ECA / Shoreline Tree",_xlpm.ECA_Short=0),
Error!$B$61,
IF(AND($F703="Remove",ISNUMBER(MATCH($E703,{"Tier 1","Tier 2","Tier 3","Tier 4","Tier 2 Grove"},0)),ISNUMBER(MATCH($I703,{"On-site replacement","Off-site replacement"},0)),$J703="",$H703&lt;&gt;""),
Error!$B$19,
IF(AND(_xlpm.baseRow,$E703&lt;&gt;"",$D703&lt;&gt;"",$F703&lt;&gt;"",COUNTBLANK($B703:$C703)&gt;0,COUNTBLANK(_xlpm.HRange)&lt;&gt;4),
Error!$B$22,
IF(AND($H703="Zoning: Tree Points",$K703&lt;&gt;"",ISNA(MATCH($K703,Tables!$B$242:$B$253,0))),
Error!$B$58,
IF(AND($H703="Zoning: Tree Points",$K703="Small",$L703&lt;&gt;"",ISNA(MATCH($L703,Tables!$C$243:$C$244,0))),
Error!$B$59,
IF(AND($H703="Zoning: Tree Points",$K703="Small/Medium",$L703&lt;&gt;"",ISNA(MATCH($L703,Tables!$C$246:$C$247,0))),
Error!$B$59,
IF(AND($H703="Zoning: Tree Points",$K703="Medium/Large",$L703&lt;&gt;"",ISNA(MATCH($L703,Tables!$C$249:$C$250,0))),
Error!$B$59,
IF(AND($H703="Zoning: Tree Points",$K703="Large",$L703&lt;&gt;"",ISNA(MATCH($L703,Tables!$C$252:$C$253,0))),
Error!$B$59,
IF(AND($F703="Retain",$H703="Zoning: Tree Points",$C703&lt;&gt;"",$D703&lt;&gt;"",OR($K703="",$L703="",$M703="")),
Error!$B$20,
""
)))))))))))))))))))))))))))))))))))))))))))))))))))))))),
Error!$B$23))</f>
        <v/>
      </c>
      <c r="O703" s="343" t="str" cm="1">
        <f t="array" aca="1" ref="O703" ca="1">IFERROR(_xlfn.LET(
    _xlpm.txt, $C703,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04" spans="1:15" x14ac:dyDescent="0.3">
      <c r="A704" s="320"/>
      <c r="B704" s="616" t="str">
        <f t="shared" ref="B704:B706" si="832">IF($B703="", "", $B703)</f>
        <v/>
      </c>
      <c r="C704" s="617" t="str">
        <f t="shared" ref="C704:C706" si="833">IF($C703="", "", $C703)</f>
        <v/>
      </c>
      <c r="D704" s="618" t="str">
        <f t="shared" ref="D704:D706" si="834">IF($D703="", "", $D703)</f>
        <v/>
      </c>
      <c r="E704" s="616" t="str">
        <f t="shared" ref="E704:E706" si="835">IF($E703="", "", $E703)</f>
        <v/>
      </c>
      <c r="F704" s="616" t="str">
        <f t="shared" ref="F704:F706" si="836">IF($F703="", "", $F703)</f>
        <v/>
      </c>
      <c r="G704" s="619" t="str">
        <f>IF(Tree_Table1[[#This Row],[Tree Status  &amp;]]="Retain", Tables!$B$237, IF(Tree_Table1[[#This Row],[Tree Status  &amp;]]="Remove", Tables!$B$238, ""))</f>
        <v/>
      </c>
      <c r="H704" s="321"/>
      <c r="I704" s="322"/>
      <c r="J704" s="453"/>
      <c r="K704" s="323" t="str">
        <f>IFERROR(
    IF(
        AND($H704="Zoning: Tree Points", NOT(ISNUMBER(SEARCH("sp.", $C704)))),
        VLOOKUP($C704, 'Tree List'!$C$3:$F$601, 4, FALSE),
        ""
    ),
"")</f>
        <v/>
      </c>
      <c r="L704" s="324" t="str" cm="1">
        <f t="array" ref="L704">IFERROR(
IF(
    AND($H704="Zoning: Tree Points", NOT(ISNUMBER(SEARCH("sp.", $C704)))),
    _xlfn.IFS(
        (COUNTIFS('Tree List'!$C$3:$C$601,$C704,'Tree List'!$D$3:$D$601,"Coniferous")
        + COUNTIFS('Tree List'!$C$3:$C$601,$C704,'Tree List'!$D$3:$D$601,"Deciduous Conifer")) &gt; 0,
            _xlfn.IFS($K704="Small",0.5,$K704="Small/Medium",1,$K704="Medium/Large",1.4,$K704="Large",1.8),
        (COUNTIFS('Tree List'!$C$3:$C$601,$C704,'Tree List'!$D$3:$D$601,"Deciduous")
        + COUNTIFS('Tree List'!$C$3:$C$601,$C704,'Tree List'!$D$3:$D$601,"Broadleaf Evergreen")) &gt; 0,
            _xlfn.IFS($K704="Small",0.4,$K704="Small/Medium",0.8,$K704="Medium/Large",1.2,$K704="Large",1.6)
    ),
    ""
),
"")</f>
        <v/>
      </c>
      <c r="M704" s="475" t="str">
        <f t="shared" si="816"/>
        <v/>
      </c>
      <c r="N704" s="346" t="str" cm="1">
        <f t="array" aca="1" ref="N70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IF(AND(_xlpm.baseRow,ISNA(MATCH($C704,'Tree List'!$C$3:$C$601,0)),SUMPRODUCT(--ISNUMBER(SEARCH(Tables2!$C$677:$C$772,$O704)))&gt;0),
Error!$B$57,
IF(AND(_xlpm.hasDM,$F704="Remove",$H704&lt;&gt;"",OR($I704="On-site replacement",$I704="Off-site replacement",$I704="Payment In Lieu")),
Error!$B$56,
IF(AND(_xlpm.hasDM,$F704="Remove",$H704&lt;&gt;"",$I704="Relocation"),
Error!$B$66,
IF(AND(OR(_xlpm.hasCN,_xlpm.hasPH,_xlpm.hasGR),$H704&lt;&gt;"",COUNTIF(Tables!$B$132:$B$134,$H704)&gt;0,$I704="N/A (No replacement required)"),
Error!$B$62,
IF(AND(_xlpm.baseRow,$E704&lt;&gt;"",ISNA(MATCH($E704,Tables!$B$225:$B$232,0))),
Error!$B$2,
IF(AND(_xlpm.baseRow,$F704&lt;&gt;"",ISNA(MATCH($F704,Tables!$B$234:$B$235,0))),
Error!$B$24,
IF(AND(_xlpm.baseRow,_xlpm.ECA_H&gt;0,_xlpm.Shore_H&gt;0),
Error!$B$16,
IF(AND(_xlpm.baseRow,$E704&lt;&gt;"",$D704=""),
Error!$B$3,
IF(AND(_xlpm.baseRow,OR($E704="Tier 3",$E704="Tier 4"),$C704&lt;&gt;"",$D704&gt;=24,COUNTIF(Tables2!$B$166:$B$674,$C704)&gt;0),
Error!$B$44,
IF(AND(_xlpm.baseRow,OR($E704="Tier 3",$E704="Tier 4"),$C704&lt;&gt;"",$D704&lt;&gt;"",COUNTIF(Tables2!$B$73:$B$152,$C704)&gt;0,
$D704&gt;=IFERROR(INDEX(Tables2!$C$73:$C$152,MATCH($C704,Tables2!$B$73:$B$152,0)),-1)),
Error!$B$44,
IF(AND(_xlpm.baseRow,OR($E704="Tier 2",$E704="Tier 2 Grove"),$C704&lt;&gt;"",$D704&gt;=12,COUNTIF(Tables2!$B$153:$B$162,$C704)&gt;0),
Error!$B$45,
IF(AND(_xlpm.baseRow,$E704="Tier 2 Grove",$D704&lt;12),
Error!$B$41,
IF(AND(_xlpm.baseRow,$E704="Tier 2",$D704&lt;5.88),
Error!$B$40,
IF(AND(_xlpm.baseRow,OR($E704="Tier 2",$E704="Tier 2 Grove"),$C704&lt;&gt;"",$D704&lt;12,$D704&gt;=6,COUNTIF(Tables2!$B$153:$B$162,$C704)&gt;0),
Error!$B$54,
IF(AND(_xlpm.baseRow,$E704="Tier 2",COUNTIF(Tables2!$B$166:$B$674,$C704)&gt;0,$D704&lt;24),
Error!$B$54,
IF(AND(_xlpm.baseRow,$E704="Tier 3",ISNA(MATCH($C704,Tables2!$B$153:$B$162,0)),OR($D704&lt;12,$D704&gt;=24)),
Error!$B$9,
IF(AND(_xlpm.baseRow,$E704="Tier 3",COUNTIF(Tables2!$B$153:$B$162,$C704)&gt;0,$D704&lt;12),
Error!$B$46,
IF(AND(_xlpm.baseRow,$E704="Tier 4",OR($D704&lt;6,$D704&gt;=12)),
Error!$B$10,
IF(AND(_xlpm.baseRow,$E704="&lt;6in DSH for Tree Points",OR($D704&gt;=6,$D704="")),
Error!$B$8,
IF(AND(_xlpm.baseRow,$E704="Street Tree for Green Factor",$F704&lt;&gt;"",$F704&lt;&gt;"Retain"),
Error!$B$14,
IF(AND($E704="&lt;6in DSH for Tree Points",$F704="Retain",$H704&lt;&gt;"",ISNA(MATCH($H704,Tables!$B$174:$B$174,0))),
Error!$B$15,
IF(AND($E704="Street Tree for Green Factor",$F704="Retain",$H704&lt;&gt;"",$H704&lt;&gt;"Zoning: Green Factor"),
Error!$B$15,
IF(AND($E704="ECA / Shoreline Tree",$F704="Remove",$H704&lt;&gt;"",ISNA(MATCH($H704,Tables!$B$189:$B$190,0))),
Error!$B$15,
IF(AND($E704="ECA / Shoreline Tree",$F704="Retain",$H704&lt;&gt;"",ISNA(MATCH($H704,Tables!$B$184:$B$186,0))),
Error!$B$15,
IF(AND($E704="Tier 4",$F704="Remove",$H704&lt;&gt;"",ISNA(MATCH($H704,Tables!$B$171,0))),
Error!$B$15,
IF(AND($E704="Tier 4",$F704="Retain",$H704&lt;&gt;"",ISNA(MATCH($H704,Tables!$B$166:$B$168,0))),
Error!$B$15,
IF(AND($E704="Tier 3",$F704="Retain",$H704&lt;&gt;"",ISNA(MATCH($H704,Tables!$B$158:$B$160,0))),
Error!$B$15,
IF(AND($E704="Tier 3",$F704="Remove",$H704&lt;&gt;"",ISNA(MATCH($H704,Tables!$B$163,0))),
Error!$B$15,
IF(AND(OR($E704="Tier 2",$E704="Tier 2 Grove"),$F704="Remove",$H704&lt;&gt;"",ISNA(MATCH($H704,Tables!$B$153:$B$155,0))),
Error!$B$15,
IF(AND(OR($E704="Tier 2",$E704="Tier 2 Grove"),$F704="Retain",$H704&lt;&gt;"",ISNA(MATCH($H704,Tables!$B$147:$B$150,0))),
Error!$B$15,
IF(AND($E704="Tier 1",$F704="Remove",$H704&lt;&gt;"",ISNA(MATCH($H704,Tables!$B$143:$B$144,0))),
Error!$B$15,
IF(AND($E704="Tier 1",$F704="Retain",$H704&lt;&gt;"",ISNA(MATCH($H704,Tables!$B$137:$B$140,0))),
Error!$B$15,
IF(AND($E704&lt;&gt;"Tier 2",$E704&lt;&gt;"Tier 2 Grove",$E704&lt;&gt;"Tier 3",$E704&lt;&gt;"Tier 4",$H704="Zoning: Green Factor",OR($D704="",$D704&lt;6)),
Error!$B$11,
IF(AND(_xlpm.baseRow,$D704&lt;6,$E704="&lt;6in DSH for Tree Points",_xlpm.TreePoints_H=0),
Error!$B$21,
IF(AND(_xlpm.baseRow,$E704&lt;&gt;"",$D704&lt;&gt;"",$F704=""),
Error!$B$4,
IF(AND(_xlpm.baseRow,$F704="Remove",OR($E704="Tier 1",$E704="Tier 2",$E704="Tier 2 Grove"),COUNTBLANK(_xlpm.HRange)&lt;3,_xlpm.uniqueH&gt;=2),
Error!$B$48,
IF(AND(_xlpm.baseRow,$F704="Retain",OR($E704="Tier 1",$E704="Tier 2",$E704="Tier 2 Grove"),COUNTIF(_xlpm.HRange,"Tree Code: Required to Retain Tier 1-2 Tree")=0),
Error!$B$47,
IF(AND(_xlpm.baseRow,$E704&lt;&gt;"",$D704&lt;&gt;"",$F704&lt;&gt;"",COUNTBLANK(_xlpm.HRange)=4),
Error!$B$5,
IF(AND($F704="Remove",$H704&lt;&gt;"",$I704=""),
Error!$B$18,
IF(AND($E704="Tier 4",$F704="Remove",$H704="Tree Protection Code: Tier 3 or Tier 4 Allowance",$H704&lt;&gt;"",ISNA(MATCH($I704,Tables!$B$200,0))),
Error!$B$17,
IF(AND($E704="Tier 3",$F704="Remove",$H704&lt;&gt;"",$H704="Tree Protection Code: Tier 3 or Tier 4 Allowance",OR($I704="",ISNA(MATCH($I704,Tables!$B$193:$B$197,0)))),
Error!$B$17,
IF(AND(OR($E704="Tier 2",$E704="Tier 2 Grove"),$F704="Remove",$H704="Tree Protection Code: Other removal allowance or exemption",$I704&lt;&gt;"",ISNA(MATCH($I704,Tables!$B$215:$B$218,0))),
Error!$B$17,
IF(AND(OR($E704="Tier 2",$E704="Tier 2 Grove"),$F704="Remove",$H704="Tree Protection Code: Development Capacity",$I704&lt;&gt;"",ISNA(MATCH($I704,Tables!$B$193:$B$197,0))),
Error!$B$17,
IF(AND(OR($E704="Tier 2",$E704="Tier 2 Grove"),$F704="Remove",$H704="Tree Protection Code: Necessary for Construction",$I704&lt;&gt;"",ISNA(MATCH($I704,Tables!$B$193:$B$197,0))),
Error!$B$17,
IF(AND($E704="Tier 1",$F704="Remove",$H704="Tree Protection Code: Special Exception",$I704&lt;&gt;"",ISNA(MATCH($I704,Tables!$B$215:$B$218,0))),
Error!$B$17,
IF(AND($E704="Tier 1",$F704="Remove",$H704="Tree Protection Code: Other removal allowance or exemption",$I704&lt;&gt;"",ISNA(MATCH($I704,Tables!$B$215:$B$218,0))),
Error!$B$17,
IF(AND($E704="ECA / Shoreline Tree",$F704="Remove",$H704&lt;&gt;"",OR($H704="Shoreline",$H704="Environmental Critical Area (ECA)"),ISNA(MATCH($I704,Tables!$B$209:$B$212,0))),
Error!$B$17,
IF(AND(_xlpm.baseRow,$F704="Retain",$E704="ECA / Shoreline Tree",_xlpm.ECA_Short=0),
Error!$B$61,
IF(AND($F704="Remove",ISNUMBER(MATCH($E704,{"Tier 1","Tier 2","Tier 3","Tier 4","Tier 2 Grove"},0)),ISNUMBER(MATCH($I704,{"On-site replacement","Off-site replacement"},0)),$J704="",$H704&lt;&gt;""),
Error!$B$19,
IF(AND(_xlpm.baseRow,$E704&lt;&gt;"",$D704&lt;&gt;"",$F704&lt;&gt;"",COUNTBLANK($B704:$C704)&gt;0,COUNTBLANK(_xlpm.HRange)&lt;&gt;4),
Error!$B$22,
IF(AND($H704="Zoning: Tree Points",$K704&lt;&gt;"",ISNA(MATCH($K704,Tables!$B$242:$B$253,0))),
Error!$B$58,
IF(AND($H704="Zoning: Tree Points",$K704="Small",$L704&lt;&gt;"",ISNA(MATCH($L704,Tables!$C$243:$C$244,0))),
Error!$B$59,
IF(AND($H704="Zoning: Tree Points",$K704="Small/Medium",$L704&lt;&gt;"",ISNA(MATCH($L704,Tables!$C$246:$C$247,0))),
Error!$B$59,
IF(AND($H704="Zoning: Tree Points",$K704="Medium/Large",$L704&lt;&gt;"",ISNA(MATCH($L704,Tables!$C$249:$C$250,0))),
Error!$B$59,
IF(AND($H704="Zoning: Tree Points",$K704="Large",$L704&lt;&gt;"",ISNA(MATCH($L704,Tables!$C$252:$C$253,0))),
Error!$B$59,
IF(AND($F704="Retain",$H704="Zoning: Tree Points",$C704&lt;&gt;"",$D704&lt;&gt;"",OR($K704="",$L704="",$M704="")),
Error!$B$20,
""
)))))))))))))))))))))))))))))))))))))))))))))))))))))))),
Error!$B$23))</f>
        <v/>
      </c>
      <c r="O704" s="343" t="str" cm="1">
        <f t="array" aca="1" ref="O704" ca="1">IFERROR(_xlfn.LET(
    _xlpm.txt, $C704,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05" spans="1:15" x14ac:dyDescent="0.3">
      <c r="A705" s="320"/>
      <c r="B705" s="616" t="str">
        <f t="shared" si="832"/>
        <v/>
      </c>
      <c r="C705" s="617" t="str">
        <f t="shared" si="833"/>
        <v/>
      </c>
      <c r="D705" s="618" t="str">
        <f t="shared" si="834"/>
        <v/>
      </c>
      <c r="E705" s="616" t="str">
        <f t="shared" si="835"/>
        <v/>
      </c>
      <c r="F705" s="616" t="str">
        <f t="shared" si="836"/>
        <v/>
      </c>
      <c r="G705" s="619" t="str">
        <f>IF(Tree_Table1[[#This Row],[Tree Status  &amp;]]="Retain", Tables!$B$237, IF(Tree_Table1[[#This Row],[Tree Status  &amp;]]="Remove", Tables!$B$238, ""))</f>
        <v/>
      </c>
      <c r="H705" s="321"/>
      <c r="I705" s="322"/>
      <c r="J705" s="453"/>
      <c r="K705" s="323" t="str">
        <f>IFERROR(
    IF(
        AND($H705="Zoning: Tree Points", NOT(ISNUMBER(SEARCH("sp.", $C705)))),
        VLOOKUP($C705, 'Tree List'!$C$3:$F$601, 4, FALSE),
        ""
    ),
"")</f>
        <v/>
      </c>
      <c r="L705" s="324" t="str" cm="1">
        <f t="array" ref="L705">IFERROR(
IF(
    AND($H705="Zoning: Tree Points", NOT(ISNUMBER(SEARCH("sp.", $C705)))),
    _xlfn.IFS(
        (COUNTIFS('Tree List'!$C$3:$C$601,$C705,'Tree List'!$D$3:$D$601,"Coniferous")
        + COUNTIFS('Tree List'!$C$3:$C$601,$C705,'Tree List'!$D$3:$D$601,"Deciduous Conifer")) &gt; 0,
            _xlfn.IFS($K705="Small",0.5,$K705="Small/Medium",1,$K705="Medium/Large",1.4,$K705="Large",1.8),
        (COUNTIFS('Tree List'!$C$3:$C$601,$C705,'Tree List'!$D$3:$D$601,"Deciduous")
        + COUNTIFS('Tree List'!$C$3:$C$601,$C705,'Tree List'!$D$3:$D$601,"Broadleaf Evergreen")) &gt; 0,
            _xlfn.IFS($K705="Small",0.4,$K705="Small/Medium",0.8,$K705="Medium/Large",1.2,$K705="Large",1.6)
    ),
    ""
),
"")</f>
        <v/>
      </c>
      <c r="M705" s="475" t="str">
        <f t="shared" si="816"/>
        <v/>
      </c>
      <c r="N705" s="346" t="str" cm="1">
        <f t="array" aca="1" ref="N70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IF(AND(_xlpm.baseRow,ISNA(MATCH($C705,'Tree List'!$C$3:$C$601,0)),SUMPRODUCT(--ISNUMBER(SEARCH(Tables2!$C$677:$C$772,$O705)))&gt;0),
Error!$B$57,
IF(AND(_xlpm.hasDM,$F705="Remove",$H705&lt;&gt;"",OR($I705="On-site replacement",$I705="Off-site replacement",$I705="Payment In Lieu")),
Error!$B$56,
IF(AND(_xlpm.hasDM,$F705="Remove",$H705&lt;&gt;"",$I705="Relocation"),
Error!$B$66,
IF(AND(OR(_xlpm.hasCN,_xlpm.hasPH,_xlpm.hasGR),$H705&lt;&gt;"",COUNTIF(Tables!$B$132:$B$134,$H705)&gt;0,$I705="N/A (No replacement required)"),
Error!$B$62,
IF(AND(_xlpm.baseRow,$E705&lt;&gt;"",ISNA(MATCH($E705,Tables!$B$225:$B$232,0))),
Error!$B$2,
IF(AND(_xlpm.baseRow,$F705&lt;&gt;"",ISNA(MATCH($F705,Tables!$B$234:$B$235,0))),
Error!$B$24,
IF(AND(_xlpm.baseRow,_xlpm.ECA_H&gt;0,_xlpm.Shore_H&gt;0),
Error!$B$16,
IF(AND(_xlpm.baseRow,$E705&lt;&gt;"",$D705=""),
Error!$B$3,
IF(AND(_xlpm.baseRow,OR($E705="Tier 3",$E705="Tier 4"),$C705&lt;&gt;"",$D705&gt;=24,COUNTIF(Tables2!$B$166:$B$674,$C705)&gt;0),
Error!$B$44,
IF(AND(_xlpm.baseRow,OR($E705="Tier 3",$E705="Tier 4"),$C705&lt;&gt;"",$D705&lt;&gt;"",COUNTIF(Tables2!$B$73:$B$152,$C705)&gt;0,
$D705&gt;=IFERROR(INDEX(Tables2!$C$73:$C$152,MATCH($C705,Tables2!$B$73:$B$152,0)),-1)),
Error!$B$44,
IF(AND(_xlpm.baseRow,OR($E705="Tier 2",$E705="Tier 2 Grove"),$C705&lt;&gt;"",$D705&gt;=12,COUNTIF(Tables2!$B$153:$B$162,$C705)&gt;0),
Error!$B$45,
IF(AND(_xlpm.baseRow,$E705="Tier 2 Grove",$D705&lt;12),
Error!$B$41,
IF(AND(_xlpm.baseRow,$E705="Tier 2",$D705&lt;5.88),
Error!$B$40,
IF(AND(_xlpm.baseRow,OR($E705="Tier 2",$E705="Tier 2 Grove"),$C705&lt;&gt;"",$D705&lt;12,$D705&gt;=6,COUNTIF(Tables2!$B$153:$B$162,$C705)&gt;0),
Error!$B$54,
IF(AND(_xlpm.baseRow,$E705="Tier 2",COUNTIF(Tables2!$B$166:$B$674,$C705)&gt;0,$D705&lt;24),
Error!$B$54,
IF(AND(_xlpm.baseRow,$E705="Tier 3",ISNA(MATCH($C705,Tables2!$B$153:$B$162,0)),OR($D705&lt;12,$D705&gt;=24)),
Error!$B$9,
IF(AND(_xlpm.baseRow,$E705="Tier 3",COUNTIF(Tables2!$B$153:$B$162,$C705)&gt;0,$D705&lt;12),
Error!$B$46,
IF(AND(_xlpm.baseRow,$E705="Tier 4",OR($D705&lt;6,$D705&gt;=12)),
Error!$B$10,
IF(AND(_xlpm.baseRow,$E705="&lt;6in DSH for Tree Points",OR($D705&gt;=6,$D705="")),
Error!$B$8,
IF(AND(_xlpm.baseRow,$E705="Street Tree for Green Factor",$F705&lt;&gt;"",$F705&lt;&gt;"Retain"),
Error!$B$14,
IF(AND($E705="&lt;6in DSH for Tree Points",$F705="Retain",$H705&lt;&gt;"",ISNA(MATCH($H705,Tables!$B$174:$B$174,0))),
Error!$B$15,
IF(AND($E705="Street Tree for Green Factor",$F705="Retain",$H705&lt;&gt;"",$H705&lt;&gt;"Zoning: Green Factor"),
Error!$B$15,
IF(AND($E705="ECA / Shoreline Tree",$F705="Remove",$H705&lt;&gt;"",ISNA(MATCH($H705,Tables!$B$189:$B$190,0))),
Error!$B$15,
IF(AND($E705="ECA / Shoreline Tree",$F705="Retain",$H705&lt;&gt;"",ISNA(MATCH($H705,Tables!$B$184:$B$186,0))),
Error!$B$15,
IF(AND($E705="Tier 4",$F705="Remove",$H705&lt;&gt;"",ISNA(MATCH($H705,Tables!$B$171,0))),
Error!$B$15,
IF(AND($E705="Tier 4",$F705="Retain",$H705&lt;&gt;"",ISNA(MATCH($H705,Tables!$B$166:$B$168,0))),
Error!$B$15,
IF(AND($E705="Tier 3",$F705="Retain",$H705&lt;&gt;"",ISNA(MATCH($H705,Tables!$B$158:$B$160,0))),
Error!$B$15,
IF(AND($E705="Tier 3",$F705="Remove",$H705&lt;&gt;"",ISNA(MATCH($H705,Tables!$B$163,0))),
Error!$B$15,
IF(AND(OR($E705="Tier 2",$E705="Tier 2 Grove"),$F705="Remove",$H705&lt;&gt;"",ISNA(MATCH($H705,Tables!$B$153:$B$155,0))),
Error!$B$15,
IF(AND(OR($E705="Tier 2",$E705="Tier 2 Grove"),$F705="Retain",$H705&lt;&gt;"",ISNA(MATCH($H705,Tables!$B$147:$B$150,0))),
Error!$B$15,
IF(AND($E705="Tier 1",$F705="Remove",$H705&lt;&gt;"",ISNA(MATCH($H705,Tables!$B$143:$B$144,0))),
Error!$B$15,
IF(AND($E705="Tier 1",$F705="Retain",$H705&lt;&gt;"",ISNA(MATCH($H705,Tables!$B$137:$B$140,0))),
Error!$B$15,
IF(AND($E705&lt;&gt;"Tier 2",$E705&lt;&gt;"Tier 2 Grove",$E705&lt;&gt;"Tier 3",$E705&lt;&gt;"Tier 4",$H705="Zoning: Green Factor",OR($D705="",$D705&lt;6)),
Error!$B$11,
IF(AND(_xlpm.baseRow,$D705&lt;6,$E705="&lt;6in DSH for Tree Points",_xlpm.TreePoints_H=0),
Error!$B$21,
IF(AND(_xlpm.baseRow,$E705&lt;&gt;"",$D705&lt;&gt;"",$F705=""),
Error!$B$4,
IF(AND(_xlpm.baseRow,$F705="Remove",OR($E705="Tier 1",$E705="Tier 2",$E705="Tier 2 Grove"),COUNTBLANK(_xlpm.HRange)&lt;3,_xlpm.uniqueH&gt;=2),
Error!$B$48,
IF(AND(_xlpm.baseRow,$F705="Retain",OR($E705="Tier 1",$E705="Tier 2",$E705="Tier 2 Grove"),COUNTIF(_xlpm.HRange,"Tree Code: Required to Retain Tier 1-2 Tree")=0),
Error!$B$47,
IF(AND(_xlpm.baseRow,$E705&lt;&gt;"",$D705&lt;&gt;"",$F705&lt;&gt;"",COUNTBLANK(_xlpm.HRange)=4),
Error!$B$5,
IF(AND($F705="Remove",$H705&lt;&gt;"",$I705=""),
Error!$B$18,
IF(AND($E705="Tier 4",$F705="Remove",$H705="Tree Protection Code: Tier 3 or Tier 4 Allowance",$H705&lt;&gt;"",ISNA(MATCH($I705,Tables!$B$200,0))),
Error!$B$17,
IF(AND($E705="Tier 3",$F705="Remove",$H705&lt;&gt;"",$H705="Tree Protection Code: Tier 3 or Tier 4 Allowance",OR($I705="",ISNA(MATCH($I705,Tables!$B$193:$B$197,0)))),
Error!$B$17,
IF(AND(OR($E705="Tier 2",$E705="Tier 2 Grove"),$F705="Remove",$H705="Tree Protection Code: Other removal allowance or exemption",$I705&lt;&gt;"",ISNA(MATCH($I705,Tables!$B$215:$B$218,0))),
Error!$B$17,
IF(AND(OR($E705="Tier 2",$E705="Tier 2 Grove"),$F705="Remove",$H705="Tree Protection Code: Development Capacity",$I705&lt;&gt;"",ISNA(MATCH($I705,Tables!$B$193:$B$197,0))),
Error!$B$17,
IF(AND(OR($E705="Tier 2",$E705="Tier 2 Grove"),$F705="Remove",$H705="Tree Protection Code: Necessary for Construction",$I705&lt;&gt;"",ISNA(MATCH($I705,Tables!$B$193:$B$197,0))),
Error!$B$17,
IF(AND($E705="Tier 1",$F705="Remove",$H705="Tree Protection Code: Special Exception",$I705&lt;&gt;"",ISNA(MATCH($I705,Tables!$B$215:$B$218,0))),
Error!$B$17,
IF(AND($E705="Tier 1",$F705="Remove",$H705="Tree Protection Code: Other removal allowance or exemption",$I705&lt;&gt;"",ISNA(MATCH($I705,Tables!$B$215:$B$218,0))),
Error!$B$17,
IF(AND($E705="ECA / Shoreline Tree",$F705="Remove",$H705&lt;&gt;"",OR($H705="Shoreline",$H705="Environmental Critical Area (ECA)"),ISNA(MATCH($I705,Tables!$B$209:$B$212,0))),
Error!$B$17,
IF(AND(_xlpm.baseRow,$F705="Retain",$E705="ECA / Shoreline Tree",_xlpm.ECA_Short=0),
Error!$B$61,
IF(AND($F705="Remove",ISNUMBER(MATCH($E705,{"Tier 1","Tier 2","Tier 3","Tier 4","Tier 2 Grove"},0)),ISNUMBER(MATCH($I705,{"On-site replacement","Off-site replacement"},0)),$J705="",$H705&lt;&gt;""),
Error!$B$19,
IF(AND(_xlpm.baseRow,$E705&lt;&gt;"",$D705&lt;&gt;"",$F705&lt;&gt;"",COUNTBLANK($B705:$C705)&gt;0,COUNTBLANK(_xlpm.HRange)&lt;&gt;4),
Error!$B$22,
IF(AND($H705="Zoning: Tree Points",$K705&lt;&gt;"",ISNA(MATCH($K705,Tables!$B$242:$B$253,0))),
Error!$B$58,
IF(AND($H705="Zoning: Tree Points",$K705="Small",$L705&lt;&gt;"",ISNA(MATCH($L705,Tables!$C$243:$C$244,0))),
Error!$B$59,
IF(AND($H705="Zoning: Tree Points",$K705="Small/Medium",$L705&lt;&gt;"",ISNA(MATCH($L705,Tables!$C$246:$C$247,0))),
Error!$B$59,
IF(AND($H705="Zoning: Tree Points",$K705="Medium/Large",$L705&lt;&gt;"",ISNA(MATCH($L705,Tables!$C$249:$C$250,0))),
Error!$B$59,
IF(AND($H705="Zoning: Tree Points",$K705="Large",$L705&lt;&gt;"",ISNA(MATCH($L705,Tables!$C$252:$C$253,0))),
Error!$B$59,
IF(AND($F705="Retain",$H705="Zoning: Tree Points",$C705&lt;&gt;"",$D705&lt;&gt;"",OR($K705="",$L705="",$M705="")),
Error!$B$20,
""
)))))))))))))))))))))))))))))))))))))))))))))))))))))))),
Error!$B$23))</f>
        <v/>
      </c>
      <c r="O705" s="343" t="str" cm="1">
        <f t="array" aca="1" ref="O705" ca="1">IFERROR(_xlfn.LET(
    _xlpm.txt, $C705,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06" spans="1:15" ht="15" thickBot="1" x14ac:dyDescent="0.35">
      <c r="A706" s="331"/>
      <c r="B706" s="616" t="str">
        <f t="shared" si="832"/>
        <v/>
      </c>
      <c r="C706" s="617" t="str">
        <f t="shared" si="833"/>
        <v/>
      </c>
      <c r="D706" s="618" t="str">
        <f t="shared" si="834"/>
        <v/>
      </c>
      <c r="E706" s="616" t="str">
        <f t="shared" si="835"/>
        <v/>
      </c>
      <c r="F706" s="616" t="str">
        <f t="shared" si="836"/>
        <v/>
      </c>
      <c r="G706" s="619" t="str">
        <f>IF(Tree_Table1[[#This Row],[Tree Status  &amp;]]="Retain", Tables!$B$237, IF(Tree_Table1[[#This Row],[Tree Status  &amp;]]="Remove", Tables!$B$238, ""))</f>
        <v/>
      </c>
      <c r="H706" s="329"/>
      <c r="I706" s="330"/>
      <c r="J706" s="455"/>
      <c r="K706" s="327" t="str">
        <f>IFERROR(
    IF(
        AND($H706="Zoning: Tree Points", NOT(ISNUMBER(SEARCH("sp.", $C706)))),
        VLOOKUP($C706, 'Tree List'!$C$3:$F$601, 4, FALSE),
        ""
    ),
"")</f>
        <v/>
      </c>
      <c r="L706" s="328" t="str" cm="1">
        <f t="array" ref="L706">IFERROR(
IF(
    AND($H706="Zoning: Tree Points", NOT(ISNUMBER(SEARCH("sp.", $C706)))),
    _xlfn.IFS(
        (COUNTIFS('Tree List'!$C$3:$C$601,$C706,'Tree List'!$D$3:$D$601,"Coniferous")
        + COUNTIFS('Tree List'!$C$3:$C$601,$C706,'Tree List'!$D$3:$D$601,"Deciduous Conifer")) &gt; 0,
            _xlfn.IFS($K706="Small",0.5,$K706="Small/Medium",1,$K706="Medium/Large",1.4,$K706="Large",1.8),
        (COUNTIFS('Tree List'!$C$3:$C$601,$C706,'Tree List'!$D$3:$D$601,"Deciduous")
        + COUNTIFS('Tree List'!$C$3:$C$601,$C706,'Tree List'!$D$3:$D$601,"Broadleaf Evergreen")) &gt; 0,
            _xlfn.IFS($K706="Small",0.4,$K706="Small/Medium",0.8,$K706="Medium/Large",1.2,$K706="Large",1.6)
    ),
    ""
),
"")</f>
        <v/>
      </c>
      <c r="M706" s="476" t="str">
        <f t="shared" si="816"/>
        <v/>
      </c>
      <c r="N706" s="347" t="str" cm="1">
        <f t="array" aca="1" ref="N70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IF(AND(_xlpm.baseRow,ISNA(MATCH($C706,'Tree List'!$C$3:$C$601,0)),SUMPRODUCT(--ISNUMBER(SEARCH(Tables2!$C$677:$C$772,$O706)))&gt;0),
Error!$B$57,
IF(AND(_xlpm.hasDM,$F706="Remove",$H706&lt;&gt;"",OR($I706="On-site replacement",$I706="Off-site replacement",$I706="Payment In Lieu")),
Error!$B$56,
IF(AND(_xlpm.hasDM,$F706="Remove",$H706&lt;&gt;"",$I706="Relocation"),
Error!$B$66,
IF(AND(OR(_xlpm.hasCN,_xlpm.hasPH,_xlpm.hasGR),$H706&lt;&gt;"",COUNTIF(Tables!$B$132:$B$134,$H706)&gt;0,$I706="N/A (No replacement required)"),
Error!$B$62,
IF(AND(_xlpm.baseRow,$E706&lt;&gt;"",ISNA(MATCH($E706,Tables!$B$225:$B$232,0))),
Error!$B$2,
IF(AND(_xlpm.baseRow,$F706&lt;&gt;"",ISNA(MATCH($F706,Tables!$B$234:$B$235,0))),
Error!$B$24,
IF(AND(_xlpm.baseRow,_xlpm.ECA_H&gt;0,_xlpm.Shore_H&gt;0),
Error!$B$16,
IF(AND(_xlpm.baseRow,$E706&lt;&gt;"",$D706=""),
Error!$B$3,
IF(AND(_xlpm.baseRow,OR($E706="Tier 3",$E706="Tier 4"),$C706&lt;&gt;"",$D706&gt;=24,COUNTIF(Tables2!$B$166:$B$674,$C706)&gt;0),
Error!$B$44,
IF(AND(_xlpm.baseRow,OR($E706="Tier 3",$E706="Tier 4"),$C706&lt;&gt;"",$D706&lt;&gt;"",COUNTIF(Tables2!$B$73:$B$152,$C706)&gt;0,
$D706&gt;=IFERROR(INDEX(Tables2!$C$73:$C$152,MATCH($C706,Tables2!$B$73:$B$152,0)),-1)),
Error!$B$44,
IF(AND(_xlpm.baseRow,OR($E706="Tier 2",$E706="Tier 2 Grove"),$C706&lt;&gt;"",$D706&gt;=12,COUNTIF(Tables2!$B$153:$B$162,$C706)&gt;0),
Error!$B$45,
IF(AND(_xlpm.baseRow,$E706="Tier 2 Grove",$D706&lt;12),
Error!$B$41,
IF(AND(_xlpm.baseRow,$E706="Tier 2",$D706&lt;5.88),
Error!$B$40,
IF(AND(_xlpm.baseRow,OR($E706="Tier 2",$E706="Tier 2 Grove"),$C706&lt;&gt;"",$D706&lt;12,$D706&gt;=6,COUNTIF(Tables2!$B$153:$B$162,$C706)&gt;0),
Error!$B$54,
IF(AND(_xlpm.baseRow,$E706="Tier 2",COUNTIF(Tables2!$B$166:$B$674,$C706)&gt;0,$D706&lt;24),
Error!$B$54,
IF(AND(_xlpm.baseRow,$E706="Tier 3",ISNA(MATCH($C706,Tables2!$B$153:$B$162,0)),OR($D706&lt;12,$D706&gt;=24)),
Error!$B$9,
IF(AND(_xlpm.baseRow,$E706="Tier 3",COUNTIF(Tables2!$B$153:$B$162,$C706)&gt;0,$D706&lt;12),
Error!$B$46,
IF(AND(_xlpm.baseRow,$E706="Tier 4",OR($D706&lt;6,$D706&gt;=12)),
Error!$B$10,
IF(AND(_xlpm.baseRow,$E706="&lt;6in DSH for Tree Points",OR($D706&gt;=6,$D706="")),
Error!$B$8,
IF(AND(_xlpm.baseRow,$E706="Street Tree for Green Factor",$F706&lt;&gt;"",$F706&lt;&gt;"Retain"),
Error!$B$14,
IF(AND($E706="&lt;6in DSH for Tree Points",$F706="Retain",$H706&lt;&gt;"",ISNA(MATCH($H706,Tables!$B$174:$B$174,0))),
Error!$B$15,
IF(AND($E706="Street Tree for Green Factor",$F706="Retain",$H706&lt;&gt;"",$H706&lt;&gt;"Zoning: Green Factor"),
Error!$B$15,
IF(AND($E706="ECA / Shoreline Tree",$F706="Remove",$H706&lt;&gt;"",ISNA(MATCH($H706,Tables!$B$189:$B$190,0))),
Error!$B$15,
IF(AND($E706="ECA / Shoreline Tree",$F706="Retain",$H706&lt;&gt;"",ISNA(MATCH($H706,Tables!$B$184:$B$186,0))),
Error!$B$15,
IF(AND($E706="Tier 4",$F706="Remove",$H706&lt;&gt;"",ISNA(MATCH($H706,Tables!$B$171,0))),
Error!$B$15,
IF(AND($E706="Tier 4",$F706="Retain",$H706&lt;&gt;"",ISNA(MATCH($H706,Tables!$B$166:$B$168,0))),
Error!$B$15,
IF(AND($E706="Tier 3",$F706="Retain",$H706&lt;&gt;"",ISNA(MATCH($H706,Tables!$B$158:$B$160,0))),
Error!$B$15,
IF(AND($E706="Tier 3",$F706="Remove",$H706&lt;&gt;"",ISNA(MATCH($H706,Tables!$B$163,0))),
Error!$B$15,
IF(AND(OR($E706="Tier 2",$E706="Tier 2 Grove"),$F706="Remove",$H706&lt;&gt;"",ISNA(MATCH($H706,Tables!$B$153:$B$155,0))),
Error!$B$15,
IF(AND(OR($E706="Tier 2",$E706="Tier 2 Grove"),$F706="Retain",$H706&lt;&gt;"",ISNA(MATCH($H706,Tables!$B$147:$B$150,0))),
Error!$B$15,
IF(AND($E706="Tier 1",$F706="Remove",$H706&lt;&gt;"",ISNA(MATCH($H706,Tables!$B$143:$B$144,0))),
Error!$B$15,
IF(AND($E706="Tier 1",$F706="Retain",$H706&lt;&gt;"",ISNA(MATCH($H706,Tables!$B$137:$B$140,0))),
Error!$B$15,
IF(AND($E706&lt;&gt;"Tier 2",$E706&lt;&gt;"Tier 2 Grove",$E706&lt;&gt;"Tier 3",$E706&lt;&gt;"Tier 4",$H706="Zoning: Green Factor",OR($D706="",$D706&lt;6)),
Error!$B$11,
IF(AND(_xlpm.baseRow,$D706&lt;6,$E706="&lt;6in DSH for Tree Points",_xlpm.TreePoints_H=0),
Error!$B$21,
IF(AND(_xlpm.baseRow,$E706&lt;&gt;"",$D706&lt;&gt;"",$F706=""),
Error!$B$4,
IF(AND(_xlpm.baseRow,$F706="Remove",OR($E706="Tier 1",$E706="Tier 2",$E706="Tier 2 Grove"),COUNTBLANK(_xlpm.HRange)&lt;3,_xlpm.uniqueH&gt;=2),
Error!$B$48,
IF(AND(_xlpm.baseRow,$F706="Retain",OR($E706="Tier 1",$E706="Tier 2",$E706="Tier 2 Grove"),COUNTIF(_xlpm.HRange,"Tree Code: Required to Retain Tier 1-2 Tree")=0),
Error!$B$47,
IF(AND(_xlpm.baseRow,$E706&lt;&gt;"",$D706&lt;&gt;"",$F706&lt;&gt;"",COUNTBLANK(_xlpm.HRange)=4),
Error!$B$5,
IF(AND($F706="Remove",$H706&lt;&gt;"",$I706=""),
Error!$B$18,
IF(AND($E706="Tier 4",$F706="Remove",$H706="Tree Protection Code: Tier 3 or Tier 4 Allowance",$H706&lt;&gt;"",ISNA(MATCH($I706,Tables!$B$200,0))),
Error!$B$17,
IF(AND($E706="Tier 3",$F706="Remove",$H706&lt;&gt;"",$H706="Tree Protection Code: Tier 3 or Tier 4 Allowance",OR($I706="",ISNA(MATCH($I706,Tables!$B$193:$B$197,0)))),
Error!$B$17,
IF(AND(OR($E706="Tier 2",$E706="Tier 2 Grove"),$F706="Remove",$H706="Tree Protection Code: Other removal allowance or exemption",$I706&lt;&gt;"",ISNA(MATCH($I706,Tables!$B$215:$B$218,0))),
Error!$B$17,
IF(AND(OR($E706="Tier 2",$E706="Tier 2 Grove"),$F706="Remove",$H706="Tree Protection Code: Development Capacity",$I706&lt;&gt;"",ISNA(MATCH($I706,Tables!$B$193:$B$197,0))),
Error!$B$17,
IF(AND(OR($E706="Tier 2",$E706="Tier 2 Grove"),$F706="Remove",$H706="Tree Protection Code: Necessary for Construction",$I706&lt;&gt;"",ISNA(MATCH($I706,Tables!$B$193:$B$197,0))),
Error!$B$17,
IF(AND($E706="Tier 1",$F706="Remove",$H706="Tree Protection Code: Special Exception",$I706&lt;&gt;"",ISNA(MATCH($I706,Tables!$B$215:$B$218,0))),
Error!$B$17,
IF(AND($E706="Tier 1",$F706="Remove",$H706="Tree Protection Code: Other removal allowance or exemption",$I706&lt;&gt;"",ISNA(MATCH($I706,Tables!$B$215:$B$218,0))),
Error!$B$17,
IF(AND($E706="ECA / Shoreline Tree",$F706="Remove",$H706&lt;&gt;"",OR($H706="Shoreline",$H706="Environmental Critical Area (ECA)"),ISNA(MATCH($I706,Tables!$B$209:$B$212,0))),
Error!$B$17,
IF(AND(_xlpm.baseRow,$F706="Retain",$E706="ECA / Shoreline Tree",_xlpm.ECA_Short=0),
Error!$B$61,
IF(AND($F706="Remove",ISNUMBER(MATCH($E706,{"Tier 1","Tier 2","Tier 3","Tier 4","Tier 2 Grove"},0)),ISNUMBER(MATCH($I706,{"On-site replacement","Off-site replacement"},0)),$J706="",$H706&lt;&gt;""),
Error!$B$19,
IF(AND(_xlpm.baseRow,$E706&lt;&gt;"",$D706&lt;&gt;"",$F706&lt;&gt;"",COUNTBLANK($B706:$C706)&gt;0,COUNTBLANK(_xlpm.HRange)&lt;&gt;4),
Error!$B$22,
IF(AND($H706="Zoning: Tree Points",$K706&lt;&gt;"",ISNA(MATCH($K706,Tables!$B$242:$B$253,0))),
Error!$B$58,
IF(AND($H706="Zoning: Tree Points",$K706="Small",$L706&lt;&gt;"",ISNA(MATCH($L706,Tables!$C$243:$C$244,0))),
Error!$B$59,
IF(AND($H706="Zoning: Tree Points",$K706="Small/Medium",$L706&lt;&gt;"",ISNA(MATCH($L706,Tables!$C$246:$C$247,0))),
Error!$B$59,
IF(AND($H706="Zoning: Tree Points",$K706="Medium/Large",$L706&lt;&gt;"",ISNA(MATCH($L706,Tables!$C$249:$C$250,0))),
Error!$B$59,
IF(AND($H706="Zoning: Tree Points",$K706="Large",$L706&lt;&gt;"",ISNA(MATCH($L706,Tables!$C$252:$C$253,0))),
Error!$B$59,
IF(AND($F706="Retain",$H706="Zoning: Tree Points",$C706&lt;&gt;"",$D706&lt;&gt;"",OR($K706="",$L706="",$M706="")),
Error!$B$20,
""
)))))))))))))))))))))))))))))))))))))))))))))))))))))))),
Error!$B$23))</f>
        <v/>
      </c>
      <c r="O706" s="343" t="str" cm="1">
        <f t="array" aca="1" ref="O706" ca="1">IFERROR(_xlfn.LET(
    _xlpm.txt, $C706,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07" spans="1:15" ht="15" thickBot="1" x14ac:dyDescent="0.35">
      <c r="A707" s="311">
        <v>175</v>
      </c>
      <c r="B707" s="312"/>
      <c r="C707" s="313"/>
      <c r="D707" s="478"/>
      <c r="E707" s="314"/>
      <c r="F707" s="314"/>
      <c r="G707" s="315" t="str">
        <f>IF(Tree_Table1[[#This Row],[Tree Status  &amp;]]="Retain", Tables!$B$237, IF(Tree_Table1[[#This Row],[Tree Status  &amp;]]="Remove", Tables!$B$238, ""))</f>
        <v/>
      </c>
      <c r="H707" s="316"/>
      <c r="I707" s="317"/>
      <c r="J707" s="452"/>
      <c r="K707" s="318" t="str">
        <f>IFERROR(
    IF(
        AND($H707="Zoning: Tree Points", NOT(ISNUMBER(SEARCH("sp.", $C707)))),
        VLOOKUP($C707, 'Tree List'!$C$3:$F$601, 4, FALSE),
        ""
    ),
"")</f>
        <v/>
      </c>
      <c r="L707" s="319" t="str" cm="1">
        <f t="array" ref="L707">IFERROR(
IF(
    AND($H707="Zoning: Tree Points", NOT(ISNUMBER(SEARCH("sp.", $C707)))),
    _xlfn.IFS(
        (COUNTIFS('Tree List'!$C$3:$C$601,$C707,'Tree List'!$D$3:$D$601,"Coniferous")
        + COUNTIFS('Tree List'!$C$3:$C$601,$C707,'Tree List'!$D$3:$D$601,"Deciduous Conifer")) &gt; 0,
            _xlfn.IFS($K707="Small",0.5,$K707="Small/Medium",1,$K707="Medium/Large",1.4,$K707="Large",1.8),
        (COUNTIFS('Tree List'!$C$3:$C$601,$C707,'Tree List'!$D$3:$D$601,"Deciduous")
        + COUNTIFS('Tree List'!$C$3:$C$601,$C707,'Tree List'!$D$3:$D$601,"Broadleaf Evergreen")) &gt; 0,
            _xlfn.IFS($K707="Small",0.4,$K707="Small/Medium",0.8,$K707="Medium/Large",1.2,$K707="Large",1.6)
    ),
    ""
),
"")</f>
        <v/>
      </c>
      <c r="M707" s="474" t="str">
        <f t="shared" si="816"/>
        <v/>
      </c>
      <c r="N707" s="620" t="str" cm="1">
        <f t="array" aca="1" ref="N70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IF(AND(_xlpm.baseRow,ISNA(MATCH($C707,'Tree List'!$C$3:$C$601,0)),SUMPRODUCT(--ISNUMBER(SEARCH(Tables2!$C$677:$C$772,$O707)))&gt;0),
Error!$B$57,
IF(AND(_xlpm.hasDM,$F707="Remove",$H707&lt;&gt;"",OR($I707="On-site replacement",$I707="Off-site replacement",$I707="Payment In Lieu")),
Error!$B$56,
IF(AND(_xlpm.hasDM,$F707="Remove",$H707&lt;&gt;"",$I707="Relocation"),
Error!$B$66,
IF(AND(OR(_xlpm.hasCN,_xlpm.hasPH,_xlpm.hasGR),$H707&lt;&gt;"",COUNTIF(Tables!$B$132:$B$134,$H707)&gt;0,$I707="N/A (No replacement required)"),
Error!$B$62,
IF(AND(_xlpm.baseRow,$E707&lt;&gt;"",ISNA(MATCH($E707,Tables!$B$225:$B$232,0))),
Error!$B$2,
IF(AND(_xlpm.baseRow,$F707&lt;&gt;"",ISNA(MATCH($F707,Tables!$B$234:$B$235,0))),
Error!$B$24,
IF(AND(_xlpm.baseRow,_xlpm.ECA_H&gt;0,_xlpm.Shore_H&gt;0),
Error!$B$16,
IF(AND(_xlpm.baseRow,$E707&lt;&gt;"",$D707=""),
Error!$B$3,
IF(AND(_xlpm.baseRow,OR($E707="Tier 3",$E707="Tier 4"),$C707&lt;&gt;"",$D707&gt;=24,COUNTIF(Tables2!$B$166:$B$674,$C707)&gt;0),
Error!$B$44,
IF(AND(_xlpm.baseRow,OR($E707="Tier 3",$E707="Tier 4"),$C707&lt;&gt;"",$D707&lt;&gt;"",COUNTIF(Tables2!$B$73:$B$152,$C707)&gt;0,
$D707&gt;=IFERROR(INDEX(Tables2!$C$73:$C$152,MATCH($C707,Tables2!$B$73:$B$152,0)),-1)),
Error!$B$44,
IF(AND(_xlpm.baseRow,OR($E707="Tier 2",$E707="Tier 2 Grove"),$C707&lt;&gt;"",$D707&gt;=12,COUNTIF(Tables2!$B$153:$B$162,$C707)&gt;0),
Error!$B$45,
IF(AND(_xlpm.baseRow,$E707="Tier 2 Grove",$D707&lt;12),
Error!$B$41,
IF(AND(_xlpm.baseRow,$E707="Tier 2",$D707&lt;5.88),
Error!$B$40,
IF(AND(_xlpm.baseRow,OR($E707="Tier 2",$E707="Tier 2 Grove"),$C707&lt;&gt;"",$D707&lt;12,$D707&gt;=6,COUNTIF(Tables2!$B$153:$B$162,$C707)&gt;0),
Error!$B$54,
IF(AND(_xlpm.baseRow,$E707="Tier 2",COUNTIF(Tables2!$B$166:$B$674,$C707)&gt;0,$D707&lt;24),
Error!$B$54,
IF(AND(_xlpm.baseRow,$E707="Tier 3",ISNA(MATCH($C707,Tables2!$B$153:$B$162,0)),OR($D707&lt;12,$D707&gt;=24)),
Error!$B$9,
IF(AND(_xlpm.baseRow,$E707="Tier 3",COUNTIF(Tables2!$B$153:$B$162,$C707)&gt;0,$D707&lt;12),
Error!$B$46,
IF(AND(_xlpm.baseRow,$E707="Tier 4",OR($D707&lt;6,$D707&gt;=12)),
Error!$B$10,
IF(AND(_xlpm.baseRow,$E707="&lt;6in DSH for Tree Points",OR($D707&gt;=6,$D707="")),
Error!$B$8,
IF(AND(_xlpm.baseRow,$E707="Street Tree for Green Factor",$F707&lt;&gt;"",$F707&lt;&gt;"Retain"),
Error!$B$14,
IF(AND($E707="&lt;6in DSH for Tree Points",$F707="Retain",$H707&lt;&gt;"",ISNA(MATCH($H707,Tables!$B$174:$B$174,0))),
Error!$B$15,
IF(AND($E707="Street Tree for Green Factor",$F707="Retain",$H707&lt;&gt;"",$H707&lt;&gt;"Zoning: Green Factor"),
Error!$B$15,
IF(AND($E707="ECA / Shoreline Tree",$F707="Remove",$H707&lt;&gt;"",ISNA(MATCH($H707,Tables!$B$189:$B$190,0))),
Error!$B$15,
IF(AND($E707="ECA / Shoreline Tree",$F707="Retain",$H707&lt;&gt;"",ISNA(MATCH($H707,Tables!$B$184:$B$186,0))),
Error!$B$15,
IF(AND($E707="Tier 4",$F707="Remove",$H707&lt;&gt;"",ISNA(MATCH($H707,Tables!$B$171,0))),
Error!$B$15,
IF(AND($E707="Tier 4",$F707="Retain",$H707&lt;&gt;"",ISNA(MATCH($H707,Tables!$B$166:$B$168,0))),
Error!$B$15,
IF(AND($E707="Tier 3",$F707="Retain",$H707&lt;&gt;"",ISNA(MATCH($H707,Tables!$B$158:$B$160,0))),
Error!$B$15,
IF(AND($E707="Tier 3",$F707="Remove",$H707&lt;&gt;"",ISNA(MATCH($H707,Tables!$B$163,0))),
Error!$B$15,
IF(AND(OR($E707="Tier 2",$E707="Tier 2 Grove"),$F707="Remove",$H707&lt;&gt;"",ISNA(MATCH($H707,Tables!$B$153:$B$155,0))),
Error!$B$15,
IF(AND(OR($E707="Tier 2",$E707="Tier 2 Grove"),$F707="Retain",$H707&lt;&gt;"",ISNA(MATCH($H707,Tables!$B$147:$B$150,0))),
Error!$B$15,
IF(AND($E707="Tier 1",$F707="Remove",$H707&lt;&gt;"",ISNA(MATCH($H707,Tables!$B$143:$B$144,0))),
Error!$B$15,
IF(AND($E707="Tier 1",$F707="Retain",$H707&lt;&gt;"",ISNA(MATCH($H707,Tables!$B$137:$B$140,0))),
Error!$B$15,
IF(AND($E707&lt;&gt;"Tier 2",$E707&lt;&gt;"Tier 2 Grove",$E707&lt;&gt;"Tier 3",$E707&lt;&gt;"Tier 4",$H707="Zoning: Green Factor",OR($D707="",$D707&lt;6)),
Error!$B$11,
IF(AND(_xlpm.baseRow,$D707&lt;6,$E707="&lt;6in DSH for Tree Points",_xlpm.TreePoints_H=0),
Error!$B$21,
IF(AND(_xlpm.baseRow,$E707&lt;&gt;"",$D707&lt;&gt;"",$F707=""),
Error!$B$4,
IF(AND(_xlpm.baseRow,$F707="Remove",OR($E707="Tier 1",$E707="Tier 2",$E707="Tier 2 Grove"),COUNTBLANK(_xlpm.HRange)&lt;3,_xlpm.uniqueH&gt;=2),
Error!$B$48,
IF(AND(_xlpm.baseRow,$F707="Retain",OR($E707="Tier 1",$E707="Tier 2",$E707="Tier 2 Grove"),COUNTIF(_xlpm.HRange,"Tree Code: Required to Retain Tier 1-2 Tree")=0),
Error!$B$47,
IF(AND(_xlpm.baseRow,$E707&lt;&gt;"",$D707&lt;&gt;"",$F707&lt;&gt;"",COUNTBLANK(_xlpm.HRange)=4),
Error!$B$5,
IF(AND($F707="Remove",$H707&lt;&gt;"",$I707=""),
Error!$B$18,
IF(AND($E707="Tier 4",$F707="Remove",$H707="Tree Protection Code: Tier 3 or Tier 4 Allowance",$H707&lt;&gt;"",ISNA(MATCH($I707,Tables!$B$200,0))),
Error!$B$17,
IF(AND($E707="Tier 3",$F707="Remove",$H707&lt;&gt;"",$H707="Tree Protection Code: Tier 3 or Tier 4 Allowance",OR($I707="",ISNA(MATCH($I707,Tables!$B$193:$B$197,0)))),
Error!$B$17,
IF(AND(OR($E707="Tier 2",$E707="Tier 2 Grove"),$F707="Remove",$H707="Tree Protection Code: Other removal allowance or exemption",$I707&lt;&gt;"",ISNA(MATCH($I707,Tables!$B$215:$B$218,0))),
Error!$B$17,
IF(AND(OR($E707="Tier 2",$E707="Tier 2 Grove"),$F707="Remove",$H707="Tree Protection Code: Development Capacity",$I707&lt;&gt;"",ISNA(MATCH($I707,Tables!$B$193:$B$197,0))),
Error!$B$17,
IF(AND(OR($E707="Tier 2",$E707="Tier 2 Grove"),$F707="Remove",$H707="Tree Protection Code: Necessary for Construction",$I707&lt;&gt;"",ISNA(MATCH($I707,Tables!$B$193:$B$197,0))),
Error!$B$17,
IF(AND($E707="Tier 1",$F707="Remove",$H707="Tree Protection Code: Special Exception",$I707&lt;&gt;"",ISNA(MATCH($I707,Tables!$B$215:$B$218,0))),
Error!$B$17,
IF(AND($E707="Tier 1",$F707="Remove",$H707="Tree Protection Code: Other removal allowance or exemption",$I707&lt;&gt;"",ISNA(MATCH($I707,Tables!$B$215:$B$218,0))),
Error!$B$17,
IF(AND($E707="ECA / Shoreline Tree",$F707="Remove",$H707&lt;&gt;"",OR($H707="Shoreline",$H707="Environmental Critical Area (ECA)"),ISNA(MATCH($I707,Tables!$B$209:$B$212,0))),
Error!$B$17,
IF(AND(_xlpm.baseRow,$F707="Retain",$E707="ECA / Shoreline Tree",_xlpm.ECA_Short=0),
Error!$B$61,
IF(AND($F707="Remove",ISNUMBER(MATCH($E707,{"Tier 1","Tier 2","Tier 3","Tier 4","Tier 2 Grove"},0)),ISNUMBER(MATCH($I707,{"On-site replacement","Off-site replacement"},0)),$J707="",$H707&lt;&gt;""),
Error!$B$19,
IF(AND(_xlpm.baseRow,$E707&lt;&gt;"",$D707&lt;&gt;"",$F707&lt;&gt;"",COUNTBLANK($B707:$C707)&gt;0,COUNTBLANK(_xlpm.HRange)&lt;&gt;4),
Error!$B$22,
IF(AND($H707="Zoning: Tree Points",$K707&lt;&gt;"",ISNA(MATCH($K707,Tables!$B$242:$B$253,0))),
Error!$B$58,
IF(AND($H707="Zoning: Tree Points",$K707="Small",$L707&lt;&gt;"",ISNA(MATCH($L707,Tables!$C$243:$C$244,0))),
Error!$B$59,
IF(AND($H707="Zoning: Tree Points",$K707="Small/Medium",$L707&lt;&gt;"",ISNA(MATCH($L707,Tables!$C$246:$C$247,0))),
Error!$B$59,
IF(AND($H707="Zoning: Tree Points",$K707="Medium/Large",$L707&lt;&gt;"",ISNA(MATCH($L707,Tables!$C$249:$C$250,0))),
Error!$B$59,
IF(AND($H707="Zoning: Tree Points",$K707="Large",$L707&lt;&gt;"",ISNA(MATCH($L707,Tables!$C$252:$C$253,0))),
Error!$B$59,
IF(AND($F707="Retain",$H707="Zoning: Tree Points",$C707&lt;&gt;"",$D707&lt;&gt;"",OR($K707="",$L707="",$M707="")),
Error!$B$20,
""
)))))))))))))))))))))))))))))))))))))))))))))))))))))))),
Error!$B$23))</f>
        <v/>
      </c>
      <c r="O707" s="343" t="str" cm="1">
        <f t="array" aca="1" ref="O707" ca="1">IFERROR(_xlfn.LET(
    _xlpm.txt, $C707,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08" spans="1:15" x14ac:dyDescent="0.3">
      <c r="A708" s="320"/>
      <c r="B708" s="616" t="str">
        <f t="shared" ref="B708:B710" si="837">IF($B707="", "", $B707)</f>
        <v/>
      </c>
      <c r="C708" s="617" t="str">
        <f t="shared" ref="C708:C710" si="838">IF($C707="", "", $C707)</f>
        <v/>
      </c>
      <c r="D708" s="618" t="str">
        <f t="shared" ref="D708:D710" si="839">IF($D707="", "", $D707)</f>
        <v/>
      </c>
      <c r="E708" s="616" t="str">
        <f t="shared" ref="E708:E710" si="840">IF($E707="", "", $E707)</f>
        <v/>
      </c>
      <c r="F708" s="616" t="str">
        <f t="shared" ref="F708:F710" si="841">IF($F707="", "", $F707)</f>
        <v/>
      </c>
      <c r="G708" s="619" t="str">
        <f>IF(Tree_Table1[[#This Row],[Tree Status  &amp;]]="Retain", Tables!$B$237, IF(Tree_Table1[[#This Row],[Tree Status  &amp;]]="Remove", Tables!$B$238, ""))</f>
        <v/>
      </c>
      <c r="H708" s="321"/>
      <c r="I708" s="322"/>
      <c r="J708" s="453"/>
      <c r="K708" s="323" t="str">
        <f>IFERROR(
    IF(
        AND($H708="Zoning: Tree Points", NOT(ISNUMBER(SEARCH("sp.", $C708)))),
        VLOOKUP($C708, 'Tree List'!$C$3:$F$601, 4, FALSE),
        ""
    ),
"")</f>
        <v/>
      </c>
      <c r="L708" s="324" t="str" cm="1">
        <f t="array" ref="L708">IFERROR(
IF(
    AND($H708="Zoning: Tree Points", NOT(ISNUMBER(SEARCH("sp.", $C708)))),
    _xlfn.IFS(
        (COUNTIFS('Tree List'!$C$3:$C$601,$C708,'Tree List'!$D$3:$D$601,"Coniferous")
        + COUNTIFS('Tree List'!$C$3:$C$601,$C708,'Tree List'!$D$3:$D$601,"Deciduous Conifer")) &gt; 0,
            _xlfn.IFS($K708="Small",0.5,$K708="Small/Medium",1,$K708="Medium/Large",1.4,$K708="Large",1.8),
        (COUNTIFS('Tree List'!$C$3:$C$601,$C708,'Tree List'!$D$3:$D$601,"Deciduous")
        + COUNTIFS('Tree List'!$C$3:$C$601,$C708,'Tree List'!$D$3:$D$601,"Broadleaf Evergreen")) &gt; 0,
            _xlfn.IFS($K708="Small",0.4,$K708="Small/Medium",0.8,$K708="Medium/Large",1.2,$K708="Large",1.6)
    ),
    ""
),
"")</f>
        <v/>
      </c>
      <c r="M708" s="475" t="str">
        <f t="shared" si="816"/>
        <v/>
      </c>
      <c r="N708" s="346" t="str" cm="1">
        <f t="array" aca="1" ref="N70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IF(AND(_xlpm.baseRow,ISNA(MATCH($C708,'Tree List'!$C$3:$C$601,0)),SUMPRODUCT(--ISNUMBER(SEARCH(Tables2!$C$677:$C$772,$O708)))&gt;0),
Error!$B$57,
IF(AND(_xlpm.hasDM,$F708="Remove",$H708&lt;&gt;"",OR($I708="On-site replacement",$I708="Off-site replacement",$I708="Payment In Lieu")),
Error!$B$56,
IF(AND(_xlpm.hasDM,$F708="Remove",$H708&lt;&gt;"",$I708="Relocation"),
Error!$B$66,
IF(AND(OR(_xlpm.hasCN,_xlpm.hasPH,_xlpm.hasGR),$H708&lt;&gt;"",COUNTIF(Tables!$B$132:$B$134,$H708)&gt;0,$I708="N/A (No replacement required)"),
Error!$B$62,
IF(AND(_xlpm.baseRow,$E708&lt;&gt;"",ISNA(MATCH($E708,Tables!$B$225:$B$232,0))),
Error!$B$2,
IF(AND(_xlpm.baseRow,$F708&lt;&gt;"",ISNA(MATCH($F708,Tables!$B$234:$B$235,0))),
Error!$B$24,
IF(AND(_xlpm.baseRow,_xlpm.ECA_H&gt;0,_xlpm.Shore_H&gt;0),
Error!$B$16,
IF(AND(_xlpm.baseRow,$E708&lt;&gt;"",$D708=""),
Error!$B$3,
IF(AND(_xlpm.baseRow,OR($E708="Tier 3",$E708="Tier 4"),$C708&lt;&gt;"",$D708&gt;=24,COUNTIF(Tables2!$B$166:$B$674,$C708)&gt;0),
Error!$B$44,
IF(AND(_xlpm.baseRow,OR($E708="Tier 3",$E708="Tier 4"),$C708&lt;&gt;"",$D708&lt;&gt;"",COUNTIF(Tables2!$B$73:$B$152,$C708)&gt;0,
$D708&gt;=IFERROR(INDEX(Tables2!$C$73:$C$152,MATCH($C708,Tables2!$B$73:$B$152,0)),-1)),
Error!$B$44,
IF(AND(_xlpm.baseRow,OR($E708="Tier 2",$E708="Tier 2 Grove"),$C708&lt;&gt;"",$D708&gt;=12,COUNTIF(Tables2!$B$153:$B$162,$C708)&gt;0),
Error!$B$45,
IF(AND(_xlpm.baseRow,$E708="Tier 2 Grove",$D708&lt;12),
Error!$B$41,
IF(AND(_xlpm.baseRow,$E708="Tier 2",$D708&lt;5.88),
Error!$B$40,
IF(AND(_xlpm.baseRow,OR($E708="Tier 2",$E708="Tier 2 Grove"),$C708&lt;&gt;"",$D708&lt;12,$D708&gt;=6,COUNTIF(Tables2!$B$153:$B$162,$C708)&gt;0),
Error!$B$54,
IF(AND(_xlpm.baseRow,$E708="Tier 2",COUNTIF(Tables2!$B$166:$B$674,$C708)&gt;0,$D708&lt;24),
Error!$B$54,
IF(AND(_xlpm.baseRow,$E708="Tier 3",ISNA(MATCH($C708,Tables2!$B$153:$B$162,0)),OR($D708&lt;12,$D708&gt;=24)),
Error!$B$9,
IF(AND(_xlpm.baseRow,$E708="Tier 3",COUNTIF(Tables2!$B$153:$B$162,$C708)&gt;0,$D708&lt;12),
Error!$B$46,
IF(AND(_xlpm.baseRow,$E708="Tier 4",OR($D708&lt;6,$D708&gt;=12)),
Error!$B$10,
IF(AND(_xlpm.baseRow,$E708="&lt;6in DSH for Tree Points",OR($D708&gt;=6,$D708="")),
Error!$B$8,
IF(AND(_xlpm.baseRow,$E708="Street Tree for Green Factor",$F708&lt;&gt;"",$F708&lt;&gt;"Retain"),
Error!$B$14,
IF(AND($E708="&lt;6in DSH for Tree Points",$F708="Retain",$H708&lt;&gt;"",ISNA(MATCH($H708,Tables!$B$174:$B$174,0))),
Error!$B$15,
IF(AND($E708="Street Tree for Green Factor",$F708="Retain",$H708&lt;&gt;"",$H708&lt;&gt;"Zoning: Green Factor"),
Error!$B$15,
IF(AND($E708="ECA / Shoreline Tree",$F708="Remove",$H708&lt;&gt;"",ISNA(MATCH($H708,Tables!$B$189:$B$190,0))),
Error!$B$15,
IF(AND($E708="ECA / Shoreline Tree",$F708="Retain",$H708&lt;&gt;"",ISNA(MATCH($H708,Tables!$B$184:$B$186,0))),
Error!$B$15,
IF(AND($E708="Tier 4",$F708="Remove",$H708&lt;&gt;"",ISNA(MATCH($H708,Tables!$B$171,0))),
Error!$B$15,
IF(AND($E708="Tier 4",$F708="Retain",$H708&lt;&gt;"",ISNA(MATCH($H708,Tables!$B$166:$B$168,0))),
Error!$B$15,
IF(AND($E708="Tier 3",$F708="Retain",$H708&lt;&gt;"",ISNA(MATCH($H708,Tables!$B$158:$B$160,0))),
Error!$B$15,
IF(AND($E708="Tier 3",$F708="Remove",$H708&lt;&gt;"",ISNA(MATCH($H708,Tables!$B$163,0))),
Error!$B$15,
IF(AND(OR($E708="Tier 2",$E708="Tier 2 Grove"),$F708="Remove",$H708&lt;&gt;"",ISNA(MATCH($H708,Tables!$B$153:$B$155,0))),
Error!$B$15,
IF(AND(OR($E708="Tier 2",$E708="Tier 2 Grove"),$F708="Retain",$H708&lt;&gt;"",ISNA(MATCH($H708,Tables!$B$147:$B$150,0))),
Error!$B$15,
IF(AND($E708="Tier 1",$F708="Remove",$H708&lt;&gt;"",ISNA(MATCH($H708,Tables!$B$143:$B$144,0))),
Error!$B$15,
IF(AND($E708="Tier 1",$F708="Retain",$H708&lt;&gt;"",ISNA(MATCH($H708,Tables!$B$137:$B$140,0))),
Error!$B$15,
IF(AND($E708&lt;&gt;"Tier 2",$E708&lt;&gt;"Tier 2 Grove",$E708&lt;&gt;"Tier 3",$E708&lt;&gt;"Tier 4",$H708="Zoning: Green Factor",OR($D708="",$D708&lt;6)),
Error!$B$11,
IF(AND(_xlpm.baseRow,$D708&lt;6,$E708="&lt;6in DSH for Tree Points",_xlpm.TreePoints_H=0),
Error!$B$21,
IF(AND(_xlpm.baseRow,$E708&lt;&gt;"",$D708&lt;&gt;"",$F708=""),
Error!$B$4,
IF(AND(_xlpm.baseRow,$F708="Remove",OR($E708="Tier 1",$E708="Tier 2",$E708="Tier 2 Grove"),COUNTBLANK(_xlpm.HRange)&lt;3,_xlpm.uniqueH&gt;=2),
Error!$B$48,
IF(AND(_xlpm.baseRow,$F708="Retain",OR($E708="Tier 1",$E708="Tier 2",$E708="Tier 2 Grove"),COUNTIF(_xlpm.HRange,"Tree Code: Required to Retain Tier 1-2 Tree")=0),
Error!$B$47,
IF(AND(_xlpm.baseRow,$E708&lt;&gt;"",$D708&lt;&gt;"",$F708&lt;&gt;"",COUNTBLANK(_xlpm.HRange)=4),
Error!$B$5,
IF(AND($F708="Remove",$H708&lt;&gt;"",$I708=""),
Error!$B$18,
IF(AND($E708="Tier 4",$F708="Remove",$H708="Tree Protection Code: Tier 3 or Tier 4 Allowance",$H708&lt;&gt;"",ISNA(MATCH($I708,Tables!$B$200,0))),
Error!$B$17,
IF(AND($E708="Tier 3",$F708="Remove",$H708&lt;&gt;"",$H708="Tree Protection Code: Tier 3 or Tier 4 Allowance",OR($I708="",ISNA(MATCH($I708,Tables!$B$193:$B$197,0)))),
Error!$B$17,
IF(AND(OR($E708="Tier 2",$E708="Tier 2 Grove"),$F708="Remove",$H708="Tree Protection Code: Other removal allowance or exemption",$I708&lt;&gt;"",ISNA(MATCH($I708,Tables!$B$215:$B$218,0))),
Error!$B$17,
IF(AND(OR($E708="Tier 2",$E708="Tier 2 Grove"),$F708="Remove",$H708="Tree Protection Code: Development Capacity",$I708&lt;&gt;"",ISNA(MATCH($I708,Tables!$B$193:$B$197,0))),
Error!$B$17,
IF(AND(OR($E708="Tier 2",$E708="Tier 2 Grove"),$F708="Remove",$H708="Tree Protection Code: Necessary for Construction",$I708&lt;&gt;"",ISNA(MATCH($I708,Tables!$B$193:$B$197,0))),
Error!$B$17,
IF(AND($E708="Tier 1",$F708="Remove",$H708="Tree Protection Code: Special Exception",$I708&lt;&gt;"",ISNA(MATCH($I708,Tables!$B$215:$B$218,0))),
Error!$B$17,
IF(AND($E708="Tier 1",$F708="Remove",$H708="Tree Protection Code: Other removal allowance or exemption",$I708&lt;&gt;"",ISNA(MATCH($I708,Tables!$B$215:$B$218,0))),
Error!$B$17,
IF(AND($E708="ECA / Shoreline Tree",$F708="Remove",$H708&lt;&gt;"",OR($H708="Shoreline",$H708="Environmental Critical Area (ECA)"),ISNA(MATCH($I708,Tables!$B$209:$B$212,0))),
Error!$B$17,
IF(AND(_xlpm.baseRow,$F708="Retain",$E708="ECA / Shoreline Tree",_xlpm.ECA_Short=0),
Error!$B$61,
IF(AND($F708="Remove",ISNUMBER(MATCH($E708,{"Tier 1","Tier 2","Tier 3","Tier 4","Tier 2 Grove"},0)),ISNUMBER(MATCH($I708,{"On-site replacement","Off-site replacement"},0)),$J708="",$H708&lt;&gt;""),
Error!$B$19,
IF(AND(_xlpm.baseRow,$E708&lt;&gt;"",$D708&lt;&gt;"",$F708&lt;&gt;"",COUNTBLANK($B708:$C708)&gt;0,COUNTBLANK(_xlpm.HRange)&lt;&gt;4),
Error!$B$22,
IF(AND($H708="Zoning: Tree Points",$K708&lt;&gt;"",ISNA(MATCH($K708,Tables!$B$242:$B$253,0))),
Error!$B$58,
IF(AND($H708="Zoning: Tree Points",$K708="Small",$L708&lt;&gt;"",ISNA(MATCH($L708,Tables!$C$243:$C$244,0))),
Error!$B$59,
IF(AND($H708="Zoning: Tree Points",$K708="Small/Medium",$L708&lt;&gt;"",ISNA(MATCH($L708,Tables!$C$246:$C$247,0))),
Error!$B$59,
IF(AND($H708="Zoning: Tree Points",$K708="Medium/Large",$L708&lt;&gt;"",ISNA(MATCH($L708,Tables!$C$249:$C$250,0))),
Error!$B$59,
IF(AND($H708="Zoning: Tree Points",$K708="Large",$L708&lt;&gt;"",ISNA(MATCH($L708,Tables!$C$252:$C$253,0))),
Error!$B$59,
IF(AND($F708="Retain",$H708="Zoning: Tree Points",$C708&lt;&gt;"",$D708&lt;&gt;"",OR($K708="",$L708="",$M708="")),
Error!$B$20,
""
)))))))))))))))))))))))))))))))))))))))))))))))))))))))),
Error!$B$23))</f>
        <v/>
      </c>
      <c r="O708" s="343" t="str" cm="1">
        <f t="array" aca="1" ref="O708" ca="1">IFERROR(_xlfn.LET(
    _xlpm.txt, $C708,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09" spans="1:15" x14ac:dyDescent="0.3">
      <c r="A709" s="320"/>
      <c r="B709" s="616" t="str">
        <f t="shared" si="837"/>
        <v/>
      </c>
      <c r="C709" s="617" t="str">
        <f t="shared" si="838"/>
        <v/>
      </c>
      <c r="D709" s="618" t="str">
        <f t="shared" si="839"/>
        <v/>
      </c>
      <c r="E709" s="616" t="str">
        <f t="shared" si="840"/>
        <v/>
      </c>
      <c r="F709" s="616" t="str">
        <f t="shared" si="841"/>
        <v/>
      </c>
      <c r="G709" s="619" t="str">
        <f>IF(Tree_Table1[[#This Row],[Tree Status  &amp;]]="Retain", Tables!$B$237, IF(Tree_Table1[[#This Row],[Tree Status  &amp;]]="Remove", Tables!$B$238, ""))</f>
        <v/>
      </c>
      <c r="H709" s="321"/>
      <c r="I709" s="322"/>
      <c r="J709" s="453"/>
      <c r="K709" s="323" t="str">
        <f>IFERROR(
    IF(
        AND($H709="Zoning: Tree Points", NOT(ISNUMBER(SEARCH("sp.", $C709)))),
        VLOOKUP($C709, 'Tree List'!$C$3:$F$601, 4, FALSE),
        ""
    ),
"")</f>
        <v/>
      </c>
      <c r="L709" s="324" t="str" cm="1">
        <f t="array" ref="L709">IFERROR(
IF(
    AND($H709="Zoning: Tree Points", NOT(ISNUMBER(SEARCH("sp.", $C709)))),
    _xlfn.IFS(
        (COUNTIFS('Tree List'!$C$3:$C$601,$C709,'Tree List'!$D$3:$D$601,"Coniferous")
        + COUNTIFS('Tree List'!$C$3:$C$601,$C709,'Tree List'!$D$3:$D$601,"Deciduous Conifer")) &gt; 0,
            _xlfn.IFS($K709="Small",0.5,$K709="Small/Medium",1,$K709="Medium/Large",1.4,$K709="Large",1.8),
        (COUNTIFS('Tree List'!$C$3:$C$601,$C709,'Tree List'!$D$3:$D$601,"Deciduous")
        + COUNTIFS('Tree List'!$C$3:$C$601,$C709,'Tree List'!$D$3:$D$601,"Broadleaf Evergreen")) &gt; 0,
            _xlfn.IFS($K709="Small",0.4,$K709="Small/Medium",0.8,$K709="Medium/Large",1.2,$K709="Large",1.6)
    ),
    ""
),
"")</f>
        <v/>
      </c>
      <c r="M709" s="475" t="str">
        <f t="shared" si="816"/>
        <v/>
      </c>
      <c r="N709" s="346" t="str" cm="1">
        <f t="array" aca="1" ref="N70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IF(AND(_xlpm.baseRow,ISNA(MATCH($C709,'Tree List'!$C$3:$C$601,0)),SUMPRODUCT(--ISNUMBER(SEARCH(Tables2!$C$677:$C$772,$O709)))&gt;0),
Error!$B$57,
IF(AND(_xlpm.hasDM,$F709="Remove",$H709&lt;&gt;"",OR($I709="On-site replacement",$I709="Off-site replacement",$I709="Payment In Lieu")),
Error!$B$56,
IF(AND(_xlpm.hasDM,$F709="Remove",$H709&lt;&gt;"",$I709="Relocation"),
Error!$B$66,
IF(AND(OR(_xlpm.hasCN,_xlpm.hasPH,_xlpm.hasGR),$H709&lt;&gt;"",COUNTIF(Tables!$B$132:$B$134,$H709)&gt;0,$I709="N/A (No replacement required)"),
Error!$B$62,
IF(AND(_xlpm.baseRow,$E709&lt;&gt;"",ISNA(MATCH($E709,Tables!$B$225:$B$232,0))),
Error!$B$2,
IF(AND(_xlpm.baseRow,$F709&lt;&gt;"",ISNA(MATCH($F709,Tables!$B$234:$B$235,0))),
Error!$B$24,
IF(AND(_xlpm.baseRow,_xlpm.ECA_H&gt;0,_xlpm.Shore_H&gt;0),
Error!$B$16,
IF(AND(_xlpm.baseRow,$E709&lt;&gt;"",$D709=""),
Error!$B$3,
IF(AND(_xlpm.baseRow,OR($E709="Tier 3",$E709="Tier 4"),$C709&lt;&gt;"",$D709&gt;=24,COUNTIF(Tables2!$B$166:$B$674,$C709)&gt;0),
Error!$B$44,
IF(AND(_xlpm.baseRow,OR($E709="Tier 3",$E709="Tier 4"),$C709&lt;&gt;"",$D709&lt;&gt;"",COUNTIF(Tables2!$B$73:$B$152,$C709)&gt;0,
$D709&gt;=IFERROR(INDEX(Tables2!$C$73:$C$152,MATCH($C709,Tables2!$B$73:$B$152,0)),-1)),
Error!$B$44,
IF(AND(_xlpm.baseRow,OR($E709="Tier 2",$E709="Tier 2 Grove"),$C709&lt;&gt;"",$D709&gt;=12,COUNTIF(Tables2!$B$153:$B$162,$C709)&gt;0),
Error!$B$45,
IF(AND(_xlpm.baseRow,$E709="Tier 2 Grove",$D709&lt;12),
Error!$B$41,
IF(AND(_xlpm.baseRow,$E709="Tier 2",$D709&lt;5.88),
Error!$B$40,
IF(AND(_xlpm.baseRow,OR($E709="Tier 2",$E709="Tier 2 Grove"),$C709&lt;&gt;"",$D709&lt;12,$D709&gt;=6,COUNTIF(Tables2!$B$153:$B$162,$C709)&gt;0),
Error!$B$54,
IF(AND(_xlpm.baseRow,$E709="Tier 2",COUNTIF(Tables2!$B$166:$B$674,$C709)&gt;0,$D709&lt;24),
Error!$B$54,
IF(AND(_xlpm.baseRow,$E709="Tier 3",ISNA(MATCH($C709,Tables2!$B$153:$B$162,0)),OR($D709&lt;12,$D709&gt;=24)),
Error!$B$9,
IF(AND(_xlpm.baseRow,$E709="Tier 3",COUNTIF(Tables2!$B$153:$B$162,$C709)&gt;0,$D709&lt;12),
Error!$B$46,
IF(AND(_xlpm.baseRow,$E709="Tier 4",OR($D709&lt;6,$D709&gt;=12)),
Error!$B$10,
IF(AND(_xlpm.baseRow,$E709="&lt;6in DSH for Tree Points",OR($D709&gt;=6,$D709="")),
Error!$B$8,
IF(AND(_xlpm.baseRow,$E709="Street Tree for Green Factor",$F709&lt;&gt;"",$F709&lt;&gt;"Retain"),
Error!$B$14,
IF(AND($E709="&lt;6in DSH for Tree Points",$F709="Retain",$H709&lt;&gt;"",ISNA(MATCH($H709,Tables!$B$174:$B$174,0))),
Error!$B$15,
IF(AND($E709="Street Tree for Green Factor",$F709="Retain",$H709&lt;&gt;"",$H709&lt;&gt;"Zoning: Green Factor"),
Error!$B$15,
IF(AND($E709="ECA / Shoreline Tree",$F709="Remove",$H709&lt;&gt;"",ISNA(MATCH($H709,Tables!$B$189:$B$190,0))),
Error!$B$15,
IF(AND($E709="ECA / Shoreline Tree",$F709="Retain",$H709&lt;&gt;"",ISNA(MATCH($H709,Tables!$B$184:$B$186,0))),
Error!$B$15,
IF(AND($E709="Tier 4",$F709="Remove",$H709&lt;&gt;"",ISNA(MATCH($H709,Tables!$B$171,0))),
Error!$B$15,
IF(AND($E709="Tier 4",$F709="Retain",$H709&lt;&gt;"",ISNA(MATCH($H709,Tables!$B$166:$B$168,0))),
Error!$B$15,
IF(AND($E709="Tier 3",$F709="Retain",$H709&lt;&gt;"",ISNA(MATCH($H709,Tables!$B$158:$B$160,0))),
Error!$B$15,
IF(AND($E709="Tier 3",$F709="Remove",$H709&lt;&gt;"",ISNA(MATCH($H709,Tables!$B$163,0))),
Error!$B$15,
IF(AND(OR($E709="Tier 2",$E709="Tier 2 Grove"),$F709="Remove",$H709&lt;&gt;"",ISNA(MATCH($H709,Tables!$B$153:$B$155,0))),
Error!$B$15,
IF(AND(OR($E709="Tier 2",$E709="Tier 2 Grove"),$F709="Retain",$H709&lt;&gt;"",ISNA(MATCH($H709,Tables!$B$147:$B$150,0))),
Error!$B$15,
IF(AND($E709="Tier 1",$F709="Remove",$H709&lt;&gt;"",ISNA(MATCH($H709,Tables!$B$143:$B$144,0))),
Error!$B$15,
IF(AND($E709="Tier 1",$F709="Retain",$H709&lt;&gt;"",ISNA(MATCH($H709,Tables!$B$137:$B$140,0))),
Error!$B$15,
IF(AND($E709&lt;&gt;"Tier 2",$E709&lt;&gt;"Tier 2 Grove",$E709&lt;&gt;"Tier 3",$E709&lt;&gt;"Tier 4",$H709="Zoning: Green Factor",OR($D709="",$D709&lt;6)),
Error!$B$11,
IF(AND(_xlpm.baseRow,$D709&lt;6,$E709="&lt;6in DSH for Tree Points",_xlpm.TreePoints_H=0),
Error!$B$21,
IF(AND(_xlpm.baseRow,$E709&lt;&gt;"",$D709&lt;&gt;"",$F709=""),
Error!$B$4,
IF(AND(_xlpm.baseRow,$F709="Remove",OR($E709="Tier 1",$E709="Tier 2",$E709="Tier 2 Grove"),COUNTBLANK(_xlpm.HRange)&lt;3,_xlpm.uniqueH&gt;=2),
Error!$B$48,
IF(AND(_xlpm.baseRow,$F709="Retain",OR($E709="Tier 1",$E709="Tier 2",$E709="Tier 2 Grove"),COUNTIF(_xlpm.HRange,"Tree Code: Required to Retain Tier 1-2 Tree")=0),
Error!$B$47,
IF(AND(_xlpm.baseRow,$E709&lt;&gt;"",$D709&lt;&gt;"",$F709&lt;&gt;"",COUNTBLANK(_xlpm.HRange)=4),
Error!$B$5,
IF(AND($F709="Remove",$H709&lt;&gt;"",$I709=""),
Error!$B$18,
IF(AND($E709="Tier 4",$F709="Remove",$H709="Tree Protection Code: Tier 3 or Tier 4 Allowance",$H709&lt;&gt;"",ISNA(MATCH($I709,Tables!$B$200,0))),
Error!$B$17,
IF(AND($E709="Tier 3",$F709="Remove",$H709&lt;&gt;"",$H709="Tree Protection Code: Tier 3 or Tier 4 Allowance",OR($I709="",ISNA(MATCH($I709,Tables!$B$193:$B$197,0)))),
Error!$B$17,
IF(AND(OR($E709="Tier 2",$E709="Tier 2 Grove"),$F709="Remove",$H709="Tree Protection Code: Other removal allowance or exemption",$I709&lt;&gt;"",ISNA(MATCH($I709,Tables!$B$215:$B$218,0))),
Error!$B$17,
IF(AND(OR($E709="Tier 2",$E709="Tier 2 Grove"),$F709="Remove",$H709="Tree Protection Code: Development Capacity",$I709&lt;&gt;"",ISNA(MATCH($I709,Tables!$B$193:$B$197,0))),
Error!$B$17,
IF(AND(OR($E709="Tier 2",$E709="Tier 2 Grove"),$F709="Remove",$H709="Tree Protection Code: Necessary for Construction",$I709&lt;&gt;"",ISNA(MATCH($I709,Tables!$B$193:$B$197,0))),
Error!$B$17,
IF(AND($E709="Tier 1",$F709="Remove",$H709="Tree Protection Code: Special Exception",$I709&lt;&gt;"",ISNA(MATCH($I709,Tables!$B$215:$B$218,0))),
Error!$B$17,
IF(AND($E709="Tier 1",$F709="Remove",$H709="Tree Protection Code: Other removal allowance or exemption",$I709&lt;&gt;"",ISNA(MATCH($I709,Tables!$B$215:$B$218,0))),
Error!$B$17,
IF(AND($E709="ECA / Shoreline Tree",$F709="Remove",$H709&lt;&gt;"",OR($H709="Shoreline",$H709="Environmental Critical Area (ECA)"),ISNA(MATCH($I709,Tables!$B$209:$B$212,0))),
Error!$B$17,
IF(AND(_xlpm.baseRow,$F709="Retain",$E709="ECA / Shoreline Tree",_xlpm.ECA_Short=0),
Error!$B$61,
IF(AND($F709="Remove",ISNUMBER(MATCH($E709,{"Tier 1","Tier 2","Tier 3","Tier 4","Tier 2 Grove"},0)),ISNUMBER(MATCH($I709,{"On-site replacement","Off-site replacement"},0)),$J709="",$H709&lt;&gt;""),
Error!$B$19,
IF(AND(_xlpm.baseRow,$E709&lt;&gt;"",$D709&lt;&gt;"",$F709&lt;&gt;"",COUNTBLANK($B709:$C709)&gt;0,COUNTBLANK(_xlpm.HRange)&lt;&gt;4),
Error!$B$22,
IF(AND($H709="Zoning: Tree Points",$K709&lt;&gt;"",ISNA(MATCH($K709,Tables!$B$242:$B$253,0))),
Error!$B$58,
IF(AND($H709="Zoning: Tree Points",$K709="Small",$L709&lt;&gt;"",ISNA(MATCH($L709,Tables!$C$243:$C$244,0))),
Error!$B$59,
IF(AND($H709="Zoning: Tree Points",$K709="Small/Medium",$L709&lt;&gt;"",ISNA(MATCH($L709,Tables!$C$246:$C$247,0))),
Error!$B$59,
IF(AND($H709="Zoning: Tree Points",$K709="Medium/Large",$L709&lt;&gt;"",ISNA(MATCH($L709,Tables!$C$249:$C$250,0))),
Error!$B$59,
IF(AND($H709="Zoning: Tree Points",$K709="Large",$L709&lt;&gt;"",ISNA(MATCH($L709,Tables!$C$252:$C$253,0))),
Error!$B$59,
IF(AND($F709="Retain",$H709="Zoning: Tree Points",$C709&lt;&gt;"",$D709&lt;&gt;"",OR($K709="",$L709="",$M709="")),
Error!$B$20,
""
)))))))))))))))))))))))))))))))))))))))))))))))))))))))),
Error!$B$23))</f>
        <v/>
      </c>
      <c r="O709" s="343" t="str" cm="1">
        <f t="array" aca="1" ref="O709" ca="1">IFERROR(_xlfn.LET(
    _xlpm.txt, $C709,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10" spans="1:15" ht="15" thickBot="1" x14ac:dyDescent="0.35">
      <c r="A710" s="331"/>
      <c r="B710" s="616" t="str">
        <f t="shared" si="837"/>
        <v/>
      </c>
      <c r="C710" s="617" t="str">
        <f t="shared" si="838"/>
        <v/>
      </c>
      <c r="D710" s="618" t="str">
        <f t="shared" si="839"/>
        <v/>
      </c>
      <c r="E710" s="616" t="str">
        <f t="shared" si="840"/>
        <v/>
      </c>
      <c r="F710" s="616" t="str">
        <f t="shared" si="841"/>
        <v/>
      </c>
      <c r="G710" s="619" t="str">
        <f>IF(Tree_Table1[[#This Row],[Tree Status  &amp;]]="Retain", Tables!$B$237, IF(Tree_Table1[[#This Row],[Tree Status  &amp;]]="Remove", Tables!$B$238, ""))</f>
        <v/>
      </c>
      <c r="H710" s="329"/>
      <c r="I710" s="330"/>
      <c r="J710" s="455"/>
      <c r="K710" s="327" t="str">
        <f>IFERROR(
    IF(
        AND($H710="Zoning: Tree Points", NOT(ISNUMBER(SEARCH("sp.", $C710)))),
        VLOOKUP($C710, 'Tree List'!$C$3:$F$601, 4, FALSE),
        ""
    ),
"")</f>
        <v/>
      </c>
      <c r="L710" s="328" t="str" cm="1">
        <f t="array" ref="L710">IFERROR(
IF(
    AND($H710="Zoning: Tree Points", NOT(ISNUMBER(SEARCH("sp.", $C710)))),
    _xlfn.IFS(
        (COUNTIFS('Tree List'!$C$3:$C$601,$C710,'Tree List'!$D$3:$D$601,"Coniferous")
        + COUNTIFS('Tree List'!$C$3:$C$601,$C710,'Tree List'!$D$3:$D$601,"Deciduous Conifer")) &gt; 0,
            _xlfn.IFS($K710="Small",0.5,$K710="Small/Medium",1,$K710="Medium/Large",1.4,$K710="Large",1.8),
        (COUNTIFS('Tree List'!$C$3:$C$601,$C710,'Tree List'!$D$3:$D$601,"Deciduous")
        + COUNTIFS('Tree List'!$C$3:$C$601,$C710,'Tree List'!$D$3:$D$601,"Broadleaf Evergreen")) &gt; 0,
            _xlfn.IFS($K710="Small",0.4,$K710="Small/Medium",0.8,$K710="Medium/Large",1.2,$K710="Large",1.6)
    ),
    ""
),
"")</f>
        <v/>
      </c>
      <c r="M710" s="476" t="str">
        <f t="shared" si="816"/>
        <v/>
      </c>
      <c r="N710" s="347" t="str" cm="1">
        <f t="array" aca="1" ref="N71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IF(AND(_xlpm.baseRow,ISNA(MATCH($C710,'Tree List'!$C$3:$C$601,0)),SUMPRODUCT(--ISNUMBER(SEARCH(Tables2!$C$677:$C$772,$O710)))&gt;0),
Error!$B$57,
IF(AND(_xlpm.hasDM,$F710="Remove",$H710&lt;&gt;"",OR($I710="On-site replacement",$I710="Off-site replacement",$I710="Payment In Lieu")),
Error!$B$56,
IF(AND(_xlpm.hasDM,$F710="Remove",$H710&lt;&gt;"",$I710="Relocation"),
Error!$B$66,
IF(AND(OR(_xlpm.hasCN,_xlpm.hasPH,_xlpm.hasGR),$H710&lt;&gt;"",COUNTIF(Tables!$B$132:$B$134,$H710)&gt;0,$I710="N/A (No replacement required)"),
Error!$B$62,
IF(AND(_xlpm.baseRow,$E710&lt;&gt;"",ISNA(MATCH($E710,Tables!$B$225:$B$232,0))),
Error!$B$2,
IF(AND(_xlpm.baseRow,$F710&lt;&gt;"",ISNA(MATCH($F710,Tables!$B$234:$B$235,0))),
Error!$B$24,
IF(AND(_xlpm.baseRow,_xlpm.ECA_H&gt;0,_xlpm.Shore_H&gt;0),
Error!$B$16,
IF(AND(_xlpm.baseRow,$E710&lt;&gt;"",$D710=""),
Error!$B$3,
IF(AND(_xlpm.baseRow,OR($E710="Tier 3",$E710="Tier 4"),$C710&lt;&gt;"",$D710&gt;=24,COUNTIF(Tables2!$B$166:$B$674,$C710)&gt;0),
Error!$B$44,
IF(AND(_xlpm.baseRow,OR($E710="Tier 3",$E710="Tier 4"),$C710&lt;&gt;"",$D710&lt;&gt;"",COUNTIF(Tables2!$B$73:$B$152,$C710)&gt;0,
$D710&gt;=IFERROR(INDEX(Tables2!$C$73:$C$152,MATCH($C710,Tables2!$B$73:$B$152,0)),-1)),
Error!$B$44,
IF(AND(_xlpm.baseRow,OR($E710="Tier 2",$E710="Tier 2 Grove"),$C710&lt;&gt;"",$D710&gt;=12,COUNTIF(Tables2!$B$153:$B$162,$C710)&gt;0),
Error!$B$45,
IF(AND(_xlpm.baseRow,$E710="Tier 2 Grove",$D710&lt;12),
Error!$B$41,
IF(AND(_xlpm.baseRow,$E710="Tier 2",$D710&lt;5.88),
Error!$B$40,
IF(AND(_xlpm.baseRow,OR($E710="Tier 2",$E710="Tier 2 Grove"),$C710&lt;&gt;"",$D710&lt;12,$D710&gt;=6,COUNTIF(Tables2!$B$153:$B$162,$C710)&gt;0),
Error!$B$54,
IF(AND(_xlpm.baseRow,$E710="Tier 2",COUNTIF(Tables2!$B$166:$B$674,$C710)&gt;0,$D710&lt;24),
Error!$B$54,
IF(AND(_xlpm.baseRow,$E710="Tier 3",ISNA(MATCH($C710,Tables2!$B$153:$B$162,0)),OR($D710&lt;12,$D710&gt;=24)),
Error!$B$9,
IF(AND(_xlpm.baseRow,$E710="Tier 3",COUNTIF(Tables2!$B$153:$B$162,$C710)&gt;0,$D710&lt;12),
Error!$B$46,
IF(AND(_xlpm.baseRow,$E710="Tier 4",OR($D710&lt;6,$D710&gt;=12)),
Error!$B$10,
IF(AND(_xlpm.baseRow,$E710="&lt;6in DSH for Tree Points",OR($D710&gt;=6,$D710="")),
Error!$B$8,
IF(AND(_xlpm.baseRow,$E710="Street Tree for Green Factor",$F710&lt;&gt;"",$F710&lt;&gt;"Retain"),
Error!$B$14,
IF(AND($E710="&lt;6in DSH for Tree Points",$F710="Retain",$H710&lt;&gt;"",ISNA(MATCH($H710,Tables!$B$174:$B$174,0))),
Error!$B$15,
IF(AND($E710="Street Tree for Green Factor",$F710="Retain",$H710&lt;&gt;"",$H710&lt;&gt;"Zoning: Green Factor"),
Error!$B$15,
IF(AND($E710="ECA / Shoreline Tree",$F710="Remove",$H710&lt;&gt;"",ISNA(MATCH($H710,Tables!$B$189:$B$190,0))),
Error!$B$15,
IF(AND($E710="ECA / Shoreline Tree",$F710="Retain",$H710&lt;&gt;"",ISNA(MATCH($H710,Tables!$B$184:$B$186,0))),
Error!$B$15,
IF(AND($E710="Tier 4",$F710="Remove",$H710&lt;&gt;"",ISNA(MATCH($H710,Tables!$B$171,0))),
Error!$B$15,
IF(AND($E710="Tier 4",$F710="Retain",$H710&lt;&gt;"",ISNA(MATCH($H710,Tables!$B$166:$B$168,0))),
Error!$B$15,
IF(AND($E710="Tier 3",$F710="Retain",$H710&lt;&gt;"",ISNA(MATCH($H710,Tables!$B$158:$B$160,0))),
Error!$B$15,
IF(AND($E710="Tier 3",$F710="Remove",$H710&lt;&gt;"",ISNA(MATCH($H710,Tables!$B$163,0))),
Error!$B$15,
IF(AND(OR($E710="Tier 2",$E710="Tier 2 Grove"),$F710="Remove",$H710&lt;&gt;"",ISNA(MATCH($H710,Tables!$B$153:$B$155,0))),
Error!$B$15,
IF(AND(OR($E710="Tier 2",$E710="Tier 2 Grove"),$F710="Retain",$H710&lt;&gt;"",ISNA(MATCH($H710,Tables!$B$147:$B$150,0))),
Error!$B$15,
IF(AND($E710="Tier 1",$F710="Remove",$H710&lt;&gt;"",ISNA(MATCH($H710,Tables!$B$143:$B$144,0))),
Error!$B$15,
IF(AND($E710="Tier 1",$F710="Retain",$H710&lt;&gt;"",ISNA(MATCH($H710,Tables!$B$137:$B$140,0))),
Error!$B$15,
IF(AND($E710&lt;&gt;"Tier 2",$E710&lt;&gt;"Tier 2 Grove",$E710&lt;&gt;"Tier 3",$E710&lt;&gt;"Tier 4",$H710="Zoning: Green Factor",OR($D710="",$D710&lt;6)),
Error!$B$11,
IF(AND(_xlpm.baseRow,$D710&lt;6,$E710="&lt;6in DSH for Tree Points",_xlpm.TreePoints_H=0),
Error!$B$21,
IF(AND(_xlpm.baseRow,$E710&lt;&gt;"",$D710&lt;&gt;"",$F710=""),
Error!$B$4,
IF(AND(_xlpm.baseRow,$F710="Remove",OR($E710="Tier 1",$E710="Tier 2",$E710="Tier 2 Grove"),COUNTBLANK(_xlpm.HRange)&lt;3,_xlpm.uniqueH&gt;=2),
Error!$B$48,
IF(AND(_xlpm.baseRow,$F710="Retain",OR($E710="Tier 1",$E710="Tier 2",$E710="Tier 2 Grove"),COUNTIF(_xlpm.HRange,"Tree Code: Required to Retain Tier 1-2 Tree")=0),
Error!$B$47,
IF(AND(_xlpm.baseRow,$E710&lt;&gt;"",$D710&lt;&gt;"",$F710&lt;&gt;"",COUNTBLANK(_xlpm.HRange)=4),
Error!$B$5,
IF(AND($F710="Remove",$H710&lt;&gt;"",$I710=""),
Error!$B$18,
IF(AND($E710="Tier 4",$F710="Remove",$H710="Tree Protection Code: Tier 3 or Tier 4 Allowance",$H710&lt;&gt;"",ISNA(MATCH($I710,Tables!$B$200,0))),
Error!$B$17,
IF(AND($E710="Tier 3",$F710="Remove",$H710&lt;&gt;"",$H710="Tree Protection Code: Tier 3 or Tier 4 Allowance",OR($I710="",ISNA(MATCH($I710,Tables!$B$193:$B$197,0)))),
Error!$B$17,
IF(AND(OR($E710="Tier 2",$E710="Tier 2 Grove"),$F710="Remove",$H710="Tree Protection Code: Other removal allowance or exemption",$I710&lt;&gt;"",ISNA(MATCH($I710,Tables!$B$215:$B$218,0))),
Error!$B$17,
IF(AND(OR($E710="Tier 2",$E710="Tier 2 Grove"),$F710="Remove",$H710="Tree Protection Code: Development Capacity",$I710&lt;&gt;"",ISNA(MATCH($I710,Tables!$B$193:$B$197,0))),
Error!$B$17,
IF(AND(OR($E710="Tier 2",$E710="Tier 2 Grove"),$F710="Remove",$H710="Tree Protection Code: Necessary for Construction",$I710&lt;&gt;"",ISNA(MATCH($I710,Tables!$B$193:$B$197,0))),
Error!$B$17,
IF(AND($E710="Tier 1",$F710="Remove",$H710="Tree Protection Code: Special Exception",$I710&lt;&gt;"",ISNA(MATCH($I710,Tables!$B$215:$B$218,0))),
Error!$B$17,
IF(AND($E710="Tier 1",$F710="Remove",$H710="Tree Protection Code: Other removal allowance or exemption",$I710&lt;&gt;"",ISNA(MATCH($I710,Tables!$B$215:$B$218,0))),
Error!$B$17,
IF(AND($E710="ECA / Shoreline Tree",$F710="Remove",$H710&lt;&gt;"",OR($H710="Shoreline",$H710="Environmental Critical Area (ECA)"),ISNA(MATCH($I710,Tables!$B$209:$B$212,0))),
Error!$B$17,
IF(AND(_xlpm.baseRow,$F710="Retain",$E710="ECA / Shoreline Tree",_xlpm.ECA_Short=0),
Error!$B$61,
IF(AND($F710="Remove",ISNUMBER(MATCH($E710,{"Tier 1","Tier 2","Tier 3","Tier 4","Tier 2 Grove"},0)),ISNUMBER(MATCH($I710,{"On-site replacement","Off-site replacement"},0)),$J710="",$H710&lt;&gt;""),
Error!$B$19,
IF(AND(_xlpm.baseRow,$E710&lt;&gt;"",$D710&lt;&gt;"",$F710&lt;&gt;"",COUNTBLANK($B710:$C710)&gt;0,COUNTBLANK(_xlpm.HRange)&lt;&gt;4),
Error!$B$22,
IF(AND($H710="Zoning: Tree Points",$K710&lt;&gt;"",ISNA(MATCH($K710,Tables!$B$242:$B$253,0))),
Error!$B$58,
IF(AND($H710="Zoning: Tree Points",$K710="Small",$L710&lt;&gt;"",ISNA(MATCH($L710,Tables!$C$243:$C$244,0))),
Error!$B$59,
IF(AND($H710="Zoning: Tree Points",$K710="Small/Medium",$L710&lt;&gt;"",ISNA(MATCH($L710,Tables!$C$246:$C$247,0))),
Error!$B$59,
IF(AND($H710="Zoning: Tree Points",$K710="Medium/Large",$L710&lt;&gt;"",ISNA(MATCH($L710,Tables!$C$249:$C$250,0))),
Error!$B$59,
IF(AND($H710="Zoning: Tree Points",$K710="Large",$L710&lt;&gt;"",ISNA(MATCH($L710,Tables!$C$252:$C$253,0))),
Error!$B$59,
IF(AND($F710="Retain",$H710="Zoning: Tree Points",$C710&lt;&gt;"",$D710&lt;&gt;"",OR($K710="",$L710="",$M710="")),
Error!$B$20,
""
)))))))))))))))))))))))))))))))))))))))))))))))))))))))),
Error!$B$23))</f>
        <v/>
      </c>
      <c r="O710" s="343" t="str" cm="1">
        <f t="array" aca="1" ref="O710" ca="1">IFERROR(_xlfn.LET(
    _xlpm.txt, $C710,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11" spans="1:15" ht="15" thickBot="1" x14ac:dyDescent="0.35">
      <c r="A711" s="311">
        <v>176</v>
      </c>
      <c r="B711" s="312"/>
      <c r="C711" s="313"/>
      <c r="D711" s="478"/>
      <c r="E711" s="314"/>
      <c r="F711" s="314"/>
      <c r="G711" s="315" t="str">
        <f>IF(Tree_Table1[[#This Row],[Tree Status  &amp;]]="Retain", Tables!$B$237, IF(Tree_Table1[[#This Row],[Tree Status  &amp;]]="Remove", Tables!$B$238, ""))</f>
        <v/>
      </c>
      <c r="H711" s="316"/>
      <c r="I711" s="317"/>
      <c r="J711" s="452"/>
      <c r="K711" s="318" t="str">
        <f>IFERROR(
    IF(
        AND($H711="Zoning: Tree Points", NOT(ISNUMBER(SEARCH("sp.", $C711)))),
        VLOOKUP($C711, 'Tree List'!$C$3:$F$601, 4, FALSE),
        ""
    ),
"")</f>
        <v/>
      </c>
      <c r="L711" s="319" t="str" cm="1">
        <f t="array" ref="L711">IFERROR(
IF(
    AND($H711="Zoning: Tree Points", NOT(ISNUMBER(SEARCH("sp.", $C711)))),
    _xlfn.IFS(
        (COUNTIFS('Tree List'!$C$3:$C$601,$C711,'Tree List'!$D$3:$D$601,"Coniferous")
        + COUNTIFS('Tree List'!$C$3:$C$601,$C711,'Tree List'!$D$3:$D$601,"Deciduous Conifer")) &gt; 0,
            _xlfn.IFS($K711="Small",0.5,$K711="Small/Medium",1,$K711="Medium/Large",1.4,$K711="Large",1.8),
        (COUNTIFS('Tree List'!$C$3:$C$601,$C711,'Tree List'!$D$3:$D$601,"Deciduous")
        + COUNTIFS('Tree List'!$C$3:$C$601,$C711,'Tree List'!$D$3:$D$601,"Broadleaf Evergreen")) &gt; 0,
            _xlfn.IFS($K711="Small",0.4,$K711="Small/Medium",0.8,$K711="Medium/Large",1.2,$K711="Large",1.6)
    ),
    ""
),
"")</f>
        <v/>
      </c>
      <c r="M711" s="474" t="str">
        <f t="shared" si="816"/>
        <v/>
      </c>
      <c r="N711" s="620" t="str" cm="1">
        <f t="array" aca="1" ref="N71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IF(AND(_xlpm.baseRow,ISNA(MATCH($C711,'Tree List'!$C$3:$C$601,0)),SUMPRODUCT(--ISNUMBER(SEARCH(Tables2!$C$677:$C$772,$O711)))&gt;0),
Error!$B$57,
IF(AND(_xlpm.hasDM,$F711="Remove",$H711&lt;&gt;"",OR($I711="On-site replacement",$I711="Off-site replacement",$I711="Payment In Lieu")),
Error!$B$56,
IF(AND(_xlpm.hasDM,$F711="Remove",$H711&lt;&gt;"",$I711="Relocation"),
Error!$B$66,
IF(AND(OR(_xlpm.hasCN,_xlpm.hasPH,_xlpm.hasGR),$H711&lt;&gt;"",COUNTIF(Tables!$B$132:$B$134,$H711)&gt;0,$I711="N/A (No replacement required)"),
Error!$B$62,
IF(AND(_xlpm.baseRow,$E711&lt;&gt;"",ISNA(MATCH($E711,Tables!$B$225:$B$232,0))),
Error!$B$2,
IF(AND(_xlpm.baseRow,$F711&lt;&gt;"",ISNA(MATCH($F711,Tables!$B$234:$B$235,0))),
Error!$B$24,
IF(AND(_xlpm.baseRow,_xlpm.ECA_H&gt;0,_xlpm.Shore_H&gt;0),
Error!$B$16,
IF(AND(_xlpm.baseRow,$E711&lt;&gt;"",$D711=""),
Error!$B$3,
IF(AND(_xlpm.baseRow,OR($E711="Tier 3",$E711="Tier 4"),$C711&lt;&gt;"",$D711&gt;=24,COUNTIF(Tables2!$B$166:$B$674,$C711)&gt;0),
Error!$B$44,
IF(AND(_xlpm.baseRow,OR($E711="Tier 3",$E711="Tier 4"),$C711&lt;&gt;"",$D711&lt;&gt;"",COUNTIF(Tables2!$B$73:$B$152,$C711)&gt;0,
$D711&gt;=IFERROR(INDEX(Tables2!$C$73:$C$152,MATCH($C711,Tables2!$B$73:$B$152,0)),-1)),
Error!$B$44,
IF(AND(_xlpm.baseRow,OR($E711="Tier 2",$E711="Tier 2 Grove"),$C711&lt;&gt;"",$D711&gt;=12,COUNTIF(Tables2!$B$153:$B$162,$C711)&gt;0),
Error!$B$45,
IF(AND(_xlpm.baseRow,$E711="Tier 2 Grove",$D711&lt;12),
Error!$B$41,
IF(AND(_xlpm.baseRow,$E711="Tier 2",$D711&lt;5.88),
Error!$B$40,
IF(AND(_xlpm.baseRow,OR($E711="Tier 2",$E711="Tier 2 Grove"),$C711&lt;&gt;"",$D711&lt;12,$D711&gt;=6,COUNTIF(Tables2!$B$153:$B$162,$C711)&gt;0),
Error!$B$54,
IF(AND(_xlpm.baseRow,$E711="Tier 2",COUNTIF(Tables2!$B$166:$B$674,$C711)&gt;0,$D711&lt;24),
Error!$B$54,
IF(AND(_xlpm.baseRow,$E711="Tier 3",ISNA(MATCH($C711,Tables2!$B$153:$B$162,0)),OR($D711&lt;12,$D711&gt;=24)),
Error!$B$9,
IF(AND(_xlpm.baseRow,$E711="Tier 3",COUNTIF(Tables2!$B$153:$B$162,$C711)&gt;0,$D711&lt;12),
Error!$B$46,
IF(AND(_xlpm.baseRow,$E711="Tier 4",OR($D711&lt;6,$D711&gt;=12)),
Error!$B$10,
IF(AND(_xlpm.baseRow,$E711="&lt;6in DSH for Tree Points",OR($D711&gt;=6,$D711="")),
Error!$B$8,
IF(AND(_xlpm.baseRow,$E711="Street Tree for Green Factor",$F711&lt;&gt;"",$F711&lt;&gt;"Retain"),
Error!$B$14,
IF(AND($E711="&lt;6in DSH for Tree Points",$F711="Retain",$H711&lt;&gt;"",ISNA(MATCH($H711,Tables!$B$174:$B$174,0))),
Error!$B$15,
IF(AND($E711="Street Tree for Green Factor",$F711="Retain",$H711&lt;&gt;"",$H711&lt;&gt;"Zoning: Green Factor"),
Error!$B$15,
IF(AND($E711="ECA / Shoreline Tree",$F711="Remove",$H711&lt;&gt;"",ISNA(MATCH($H711,Tables!$B$189:$B$190,0))),
Error!$B$15,
IF(AND($E711="ECA / Shoreline Tree",$F711="Retain",$H711&lt;&gt;"",ISNA(MATCH($H711,Tables!$B$184:$B$186,0))),
Error!$B$15,
IF(AND($E711="Tier 4",$F711="Remove",$H711&lt;&gt;"",ISNA(MATCH($H711,Tables!$B$171,0))),
Error!$B$15,
IF(AND($E711="Tier 4",$F711="Retain",$H711&lt;&gt;"",ISNA(MATCH($H711,Tables!$B$166:$B$168,0))),
Error!$B$15,
IF(AND($E711="Tier 3",$F711="Retain",$H711&lt;&gt;"",ISNA(MATCH($H711,Tables!$B$158:$B$160,0))),
Error!$B$15,
IF(AND($E711="Tier 3",$F711="Remove",$H711&lt;&gt;"",ISNA(MATCH($H711,Tables!$B$163,0))),
Error!$B$15,
IF(AND(OR($E711="Tier 2",$E711="Tier 2 Grove"),$F711="Remove",$H711&lt;&gt;"",ISNA(MATCH($H711,Tables!$B$153:$B$155,0))),
Error!$B$15,
IF(AND(OR($E711="Tier 2",$E711="Tier 2 Grove"),$F711="Retain",$H711&lt;&gt;"",ISNA(MATCH($H711,Tables!$B$147:$B$150,0))),
Error!$B$15,
IF(AND($E711="Tier 1",$F711="Remove",$H711&lt;&gt;"",ISNA(MATCH($H711,Tables!$B$143:$B$144,0))),
Error!$B$15,
IF(AND($E711="Tier 1",$F711="Retain",$H711&lt;&gt;"",ISNA(MATCH($H711,Tables!$B$137:$B$140,0))),
Error!$B$15,
IF(AND($E711&lt;&gt;"Tier 2",$E711&lt;&gt;"Tier 2 Grove",$E711&lt;&gt;"Tier 3",$E711&lt;&gt;"Tier 4",$H711="Zoning: Green Factor",OR($D711="",$D711&lt;6)),
Error!$B$11,
IF(AND(_xlpm.baseRow,$D711&lt;6,$E711="&lt;6in DSH for Tree Points",_xlpm.TreePoints_H=0),
Error!$B$21,
IF(AND(_xlpm.baseRow,$E711&lt;&gt;"",$D711&lt;&gt;"",$F711=""),
Error!$B$4,
IF(AND(_xlpm.baseRow,$F711="Remove",OR($E711="Tier 1",$E711="Tier 2",$E711="Tier 2 Grove"),COUNTBLANK(_xlpm.HRange)&lt;3,_xlpm.uniqueH&gt;=2),
Error!$B$48,
IF(AND(_xlpm.baseRow,$F711="Retain",OR($E711="Tier 1",$E711="Tier 2",$E711="Tier 2 Grove"),COUNTIF(_xlpm.HRange,"Tree Code: Required to Retain Tier 1-2 Tree")=0),
Error!$B$47,
IF(AND(_xlpm.baseRow,$E711&lt;&gt;"",$D711&lt;&gt;"",$F711&lt;&gt;"",COUNTBLANK(_xlpm.HRange)=4),
Error!$B$5,
IF(AND($F711="Remove",$H711&lt;&gt;"",$I711=""),
Error!$B$18,
IF(AND($E711="Tier 4",$F711="Remove",$H711="Tree Protection Code: Tier 3 or Tier 4 Allowance",$H711&lt;&gt;"",ISNA(MATCH($I711,Tables!$B$200,0))),
Error!$B$17,
IF(AND($E711="Tier 3",$F711="Remove",$H711&lt;&gt;"",$H711="Tree Protection Code: Tier 3 or Tier 4 Allowance",OR($I711="",ISNA(MATCH($I711,Tables!$B$193:$B$197,0)))),
Error!$B$17,
IF(AND(OR($E711="Tier 2",$E711="Tier 2 Grove"),$F711="Remove",$H711="Tree Protection Code: Other removal allowance or exemption",$I711&lt;&gt;"",ISNA(MATCH($I711,Tables!$B$215:$B$218,0))),
Error!$B$17,
IF(AND(OR($E711="Tier 2",$E711="Tier 2 Grove"),$F711="Remove",$H711="Tree Protection Code: Development Capacity",$I711&lt;&gt;"",ISNA(MATCH($I711,Tables!$B$193:$B$197,0))),
Error!$B$17,
IF(AND(OR($E711="Tier 2",$E711="Tier 2 Grove"),$F711="Remove",$H711="Tree Protection Code: Necessary for Construction",$I711&lt;&gt;"",ISNA(MATCH($I711,Tables!$B$193:$B$197,0))),
Error!$B$17,
IF(AND($E711="Tier 1",$F711="Remove",$H711="Tree Protection Code: Special Exception",$I711&lt;&gt;"",ISNA(MATCH($I711,Tables!$B$215:$B$218,0))),
Error!$B$17,
IF(AND($E711="Tier 1",$F711="Remove",$H711="Tree Protection Code: Other removal allowance or exemption",$I711&lt;&gt;"",ISNA(MATCH($I711,Tables!$B$215:$B$218,0))),
Error!$B$17,
IF(AND($E711="ECA / Shoreline Tree",$F711="Remove",$H711&lt;&gt;"",OR($H711="Shoreline",$H711="Environmental Critical Area (ECA)"),ISNA(MATCH($I711,Tables!$B$209:$B$212,0))),
Error!$B$17,
IF(AND(_xlpm.baseRow,$F711="Retain",$E711="ECA / Shoreline Tree",_xlpm.ECA_Short=0),
Error!$B$61,
IF(AND($F711="Remove",ISNUMBER(MATCH($E711,{"Tier 1","Tier 2","Tier 3","Tier 4","Tier 2 Grove"},0)),ISNUMBER(MATCH($I711,{"On-site replacement","Off-site replacement"},0)),$J711="",$H711&lt;&gt;""),
Error!$B$19,
IF(AND(_xlpm.baseRow,$E711&lt;&gt;"",$D711&lt;&gt;"",$F711&lt;&gt;"",COUNTBLANK($B711:$C711)&gt;0,COUNTBLANK(_xlpm.HRange)&lt;&gt;4),
Error!$B$22,
IF(AND($H711="Zoning: Tree Points",$K711&lt;&gt;"",ISNA(MATCH($K711,Tables!$B$242:$B$253,0))),
Error!$B$58,
IF(AND($H711="Zoning: Tree Points",$K711="Small",$L711&lt;&gt;"",ISNA(MATCH($L711,Tables!$C$243:$C$244,0))),
Error!$B$59,
IF(AND($H711="Zoning: Tree Points",$K711="Small/Medium",$L711&lt;&gt;"",ISNA(MATCH($L711,Tables!$C$246:$C$247,0))),
Error!$B$59,
IF(AND($H711="Zoning: Tree Points",$K711="Medium/Large",$L711&lt;&gt;"",ISNA(MATCH($L711,Tables!$C$249:$C$250,0))),
Error!$B$59,
IF(AND($H711="Zoning: Tree Points",$K711="Large",$L711&lt;&gt;"",ISNA(MATCH($L711,Tables!$C$252:$C$253,0))),
Error!$B$59,
IF(AND($F711="Retain",$H711="Zoning: Tree Points",$C711&lt;&gt;"",$D711&lt;&gt;"",OR($K711="",$L711="",$M711="")),
Error!$B$20,
""
)))))))))))))))))))))))))))))))))))))))))))))))))))))))),
Error!$B$23))</f>
        <v/>
      </c>
      <c r="O711" s="343" t="str" cm="1">
        <f t="array" aca="1" ref="O711" ca="1">IFERROR(_xlfn.LET(
    _xlpm.txt, $C711,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12" spans="1:15" x14ac:dyDescent="0.3">
      <c r="A712" s="320"/>
      <c r="B712" s="616" t="str">
        <f t="shared" ref="B712:B714" si="842">IF($B711="", "", $B711)</f>
        <v/>
      </c>
      <c r="C712" s="617" t="str">
        <f t="shared" ref="C712:C714" si="843">IF($C711="", "", $C711)</f>
        <v/>
      </c>
      <c r="D712" s="618" t="str">
        <f t="shared" ref="D712:D714" si="844">IF($D711="", "", $D711)</f>
        <v/>
      </c>
      <c r="E712" s="616" t="str">
        <f t="shared" ref="E712:E714" si="845">IF($E711="", "", $E711)</f>
        <v/>
      </c>
      <c r="F712" s="616" t="str">
        <f t="shared" ref="F712:F714" si="846">IF($F711="", "", $F711)</f>
        <v/>
      </c>
      <c r="G712" s="619" t="str">
        <f>IF(Tree_Table1[[#This Row],[Tree Status  &amp;]]="Retain", Tables!$B$237, IF(Tree_Table1[[#This Row],[Tree Status  &amp;]]="Remove", Tables!$B$238, ""))</f>
        <v/>
      </c>
      <c r="H712" s="321"/>
      <c r="I712" s="322"/>
      <c r="J712" s="453"/>
      <c r="K712" s="323" t="str">
        <f>IFERROR(
    IF(
        AND($H712="Zoning: Tree Points", NOT(ISNUMBER(SEARCH("sp.", $C712)))),
        VLOOKUP($C712, 'Tree List'!$C$3:$F$601, 4, FALSE),
        ""
    ),
"")</f>
        <v/>
      </c>
      <c r="L712" s="324" t="str" cm="1">
        <f t="array" ref="L712">IFERROR(
IF(
    AND($H712="Zoning: Tree Points", NOT(ISNUMBER(SEARCH("sp.", $C712)))),
    _xlfn.IFS(
        (COUNTIFS('Tree List'!$C$3:$C$601,$C712,'Tree List'!$D$3:$D$601,"Coniferous")
        + COUNTIFS('Tree List'!$C$3:$C$601,$C712,'Tree List'!$D$3:$D$601,"Deciduous Conifer")) &gt; 0,
            _xlfn.IFS($K712="Small",0.5,$K712="Small/Medium",1,$K712="Medium/Large",1.4,$K712="Large",1.8),
        (COUNTIFS('Tree List'!$C$3:$C$601,$C712,'Tree List'!$D$3:$D$601,"Deciduous")
        + COUNTIFS('Tree List'!$C$3:$C$601,$C712,'Tree List'!$D$3:$D$601,"Broadleaf Evergreen")) &gt; 0,
            _xlfn.IFS($K712="Small",0.4,$K712="Small/Medium",0.8,$K712="Medium/Large",1.2,$K712="Large",1.6)
    ),
    ""
),
"")</f>
        <v/>
      </c>
      <c r="M712" s="475" t="str">
        <f t="shared" si="816"/>
        <v/>
      </c>
      <c r="N712" s="346" t="str" cm="1">
        <f t="array" aca="1" ref="N71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IF(AND(_xlpm.baseRow,ISNA(MATCH($C712,'Tree List'!$C$3:$C$601,0)),SUMPRODUCT(--ISNUMBER(SEARCH(Tables2!$C$677:$C$772,$O712)))&gt;0),
Error!$B$57,
IF(AND(_xlpm.hasDM,$F712="Remove",$H712&lt;&gt;"",OR($I712="On-site replacement",$I712="Off-site replacement",$I712="Payment In Lieu")),
Error!$B$56,
IF(AND(_xlpm.hasDM,$F712="Remove",$H712&lt;&gt;"",$I712="Relocation"),
Error!$B$66,
IF(AND(OR(_xlpm.hasCN,_xlpm.hasPH,_xlpm.hasGR),$H712&lt;&gt;"",COUNTIF(Tables!$B$132:$B$134,$H712)&gt;0,$I712="N/A (No replacement required)"),
Error!$B$62,
IF(AND(_xlpm.baseRow,$E712&lt;&gt;"",ISNA(MATCH($E712,Tables!$B$225:$B$232,0))),
Error!$B$2,
IF(AND(_xlpm.baseRow,$F712&lt;&gt;"",ISNA(MATCH($F712,Tables!$B$234:$B$235,0))),
Error!$B$24,
IF(AND(_xlpm.baseRow,_xlpm.ECA_H&gt;0,_xlpm.Shore_H&gt;0),
Error!$B$16,
IF(AND(_xlpm.baseRow,$E712&lt;&gt;"",$D712=""),
Error!$B$3,
IF(AND(_xlpm.baseRow,OR($E712="Tier 3",$E712="Tier 4"),$C712&lt;&gt;"",$D712&gt;=24,COUNTIF(Tables2!$B$166:$B$674,$C712)&gt;0),
Error!$B$44,
IF(AND(_xlpm.baseRow,OR($E712="Tier 3",$E712="Tier 4"),$C712&lt;&gt;"",$D712&lt;&gt;"",COUNTIF(Tables2!$B$73:$B$152,$C712)&gt;0,
$D712&gt;=IFERROR(INDEX(Tables2!$C$73:$C$152,MATCH($C712,Tables2!$B$73:$B$152,0)),-1)),
Error!$B$44,
IF(AND(_xlpm.baseRow,OR($E712="Tier 2",$E712="Tier 2 Grove"),$C712&lt;&gt;"",$D712&gt;=12,COUNTIF(Tables2!$B$153:$B$162,$C712)&gt;0),
Error!$B$45,
IF(AND(_xlpm.baseRow,$E712="Tier 2 Grove",$D712&lt;12),
Error!$B$41,
IF(AND(_xlpm.baseRow,$E712="Tier 2",$D712&lt;5.88),
Error!$B$40,
IF(AND(_xlpm.baseRow,OR($E712="Tier 2",$E712="Tier 2 Grove"),$C712&lt;&gt;"",$D712&lt;12,$D712&gt;=6,COUNTIF(Tables2!$B$153:$B$162,$C712)&gt;0),
Error!$B$54,
IF(AND(_xlpm.baseRow,$E712="Tier 2",COUNTIF(Tables2!$B$166:$B$674,$C712)&gt;0,$D712&lt;24),
Error!$B$54,
IF(AND(_xlpm.baseRow,$E712="Tier 3",ISNA(MATCH($C712,Tables2!$B$153:$B$162,0)),OR($D712&lt;12,$D712&gt;=24)),
Error!$B$9,
IF(AND(_xlpm.baseRow,$E712="Tier 3",COUNTIF(Tables2!$B$153:$B$162,$C712)&gt;0,$D712&lt;12),
Error!$B$46,
IF(AND(_xlpm.baseRow,$E712="Tier 4",OR($D712&lt;6,$D712&gt;=12)),
Error!$B$10,
IF(AND(_xlpm.baseRow,$E712="&lt;6in DSH for Tree Points",OR($D712&gt;=6,$D712="")),
Error!$B$8,
IF(AND(_xlpm.baseRow,$E712="Street Tree for Green Factor",$F712&lt;&gt;"",$F712&lt;&gt;"Retain"),
Error!$B$14,
IF(AND($E712="&lt;6in DSH for Tree Points",$F712="Retain",$H712&lt;&gt;"",ISNA(MATCH($H712,Tables!$B$174:$B$174,0))),
Error!$B$15,
IF(AND($E712="Street Tree for Green Factor",$F712="Retain",$H712&lt;&gt;"",$H712&lt;&gt;"Zoning: Green Factor"),
Error!$B$15,
IF(AND($E712="ECA / Shoreline Tree",$F712="Remove",$H712&lt;&gt;"",ISNA(MATCH($H712,Tables!$B$189:$B$190,0))),
Error!$B$15,
IF(AND($E712="ECA / Shoreline Tree",$F712="Retain",$H712&lt;&gt;"",ISNA(MATCH($H712,Tables!$B$184:$B$186,0))),
Error!$B$15,
IF(AND($E712="Tier 4",$F712="Remove",$H712&lt;&gt;"",ISNA(MATCH($H712,Tables!$B$171,0))),
Error!$B$15,
IF(AND($E712="Tier 4",$F712="Retain",$H712&lt;&gt;"",ISNA(MATCH($H712,Tables!$B$166:$B$168,0))),
Error!$B$15,
IF(AND($E712="Tier 3",$F712="Retain",$H712&lt;&gt;"",ISNA(MATCH($H712,Tables!$B$158:$B$160,0))),
Error!$B$15,
IF(AND($E712="Tier 3",$F712="Remove",$H712&lt;&gt;"",ISNA(MATCH($H712,Tables!$B$163,0))),
Error!$B$15,
IF(AND(OR($E712="Tier 2",$E712="Tier 2 Grove"),$F712="Remove",$H712&lt;&gt;"",ISNA(MATCH($H712,Tables!$B$153:$B$155,0))),
Error!$B$15,
IF(AND(OR($E712="Tier 2",$E712="Tier 2 Grove"),$F712="Retain",$H712&lt;&gt;"",ISNA(MATCH($H712,Tables!$B$147:$B$150,0))),
Error!$B$15,
IF(AND($E712="Tier 1",$F712="Remove",$H712&lt;&gt;"",ISNA(MATCH($H712,Tables!$B$143:$B$144,0))),
Error!$B$15,
IF(AND($E712="Tier 1",$F712="Retain",$H712&lt;&gt;"",ISNA(MATCH($H712,Tables!$B$137:$B$140,0))),
Error!$B$15,
IF(AND($E712&lt;&gt;"Tier 2",$E712&lt;&gt;"Tier 2 Grove",$E712&lt;&gt;"Tier 3",$E712&lt;&gt;"Tier 4",$H712="Zoning: Green Factor",OR($D712="",$D712&lt;6)),
Error!$B$11,
IF(AND(_xlpm.baseRow,$D712&lt;6,$E712="&lt;6in DSH for Tree Points",_xlpm.TreePoints_H=0),
Error!$B$21,
IF(AND(_xlpm.baseRow,$E712&lt;&gt;"",$D712&lt;&gt;"",$F712=""),
Error!$B$4,
IF(AND(_xlpm.baseRow,$F712="Remove",OR($E712="Tier 1",$E712="Tier 2",$E712="Tier 2 Grove"),COUNTBLANK(_xlpm.HRange)&lt;3,_xlpm.uniqueH&gt;=2),
Error!$B$48,
IF(AND(_xlpm.baseRow,$F712="Retain",OR($E712="Tier 1",$E712="Tier 2",$E712="Tier 2 Grove"),COUNTIF(_xlpm.HRange,"Tree Code: Required to Retain Tier 1-2 Tree")=0),
Error!$B$47,
IF(AND(_xlpm.baseRow,$E712&lt;&gt;"",$D712&lt;&gt;"",$F712&lt;&gt;"",COUNTBLANK(_xlpm.HRange)=4),
Error!$B$5,
IF(AND($F712="Remove",$H712&lt;&gt;"",$I712=""),
Error!$B$18,
IF(AND($E712="Tier 4",$F712="Remove",$H712="Tree Protection Code: Tier 3 or Tier 4 Allowance",$H712&lt;&gt;"",ISNA(MATCH($I712,Tables!$B$200,0))),
Error!$B$17,
IF(AND($E712="Tier 3",$F712="Remove",$H712&lt;&gt;"",$H712="Tree Protection Code: Tier 3 or Tier 4 Allowance",OR($I712="",ISNA(MATCH($I712,Tables!$B$193:$B$197,0)))),
Error!$B$17,
IF(AND(OR($E712="Tier 2",$E712="Tier 2 Grove"),$F712="Remove",$H712="Tree Protection Code: Other removal allowance or exemption",$I712&lt;&gt;"",ISNA(MATCH($I712,Tables!$B$215:$B$218,0))),
Error!$B$17,
IF(AND(OR($E712="Tier 2",$E712="Tier 2 Grove"),$F712="Remove",$H712="Tree Protection Code: Development Capacity",$I712&lt;&gt;"",ISNA(MATCH($I712,Tables!$B$193:$B$197,0))),
Error!$B$17,
IF(AND(OR($E712="Tier 2",$E712="Tier 2 Grove"),$F712="Remove",$H712="Tree Protection Code: Necessary for Construction",$I712&lt;&gt;"",ISNA(MATCH($I712,Tables!$B$193:$B$197,0))),
Error!$B$17,
IF(AND($E712="Tier 1",$F712="Remove",$H712="Tree Protection Code: Special Exception",$I712&lt;&gt;"",ISNA(MATCH($I712,Tables!$B$215:$B$218,0))),
Error!$B$17,
IF(AND($E712="Tier 1",$F712="Remove",$H712="Tree Protection Code: Other removal allowance or exemption",$I712&lt;&gt;"",ISNA(MATCH($I712,Tables!$B$215:$B$218,0))),
Error!$B$17,
IF(AND($E712="ECA / Shoreline Tree",$F712="Remove",$H712&lt;&gt;"",OR($H712="Shoreline",$H712="Environmental Critical Area (ECA)"),ISNA(MATCH($I712,Tables!$B$209:$B$212,0))),
Error!$B$17,
IF(AND(_xlpm.baseRow,$F712="Retain",$E712="ECA / Shoreline Tree",_xlpm.ECA_Short=0),
Error!$B$61,
IF(AND($F712="Remove",ISNUMBER(MATCH($E712,{"Tier 1","Tier 2","Tier 3","Tier 4","Tier 2 Grove"},0)),ISNUMBER(MATCH($I712,{"On-site replacement","Off-site replacement"},0)),$J712="",$H712&lt;&gt;""),
Error!$B$19,
IF(AND(_xlpm.baseRow,$E712&lt;&gt;"",$D712&lt;&gt;"",$F712&lt;&gt;"",COUNTBLANK($B712:$C712)&gt;0,COUNTBLANK(_xlpm.HRange)&lt;&gt;4),
Error!$B$22,
IF(AND($H712="Zoning: Tree Points",$K712&lt;&gt;"",ISNA(MATCH($K712,Tables!$B$242:$B$253,0))),
Error!$B$58,
IF(AND($H712="Zoning: Tree Points",$K712="Small",$L712&lt;&gt;"",ISNA(MATCH($L712,Tables!$C$243:$C$244,0))),
Error!$B$59,
IF(AND($H712="Zoning: Tree Points",$K712="Small/Medium",$L712&lt;&gt;"",ISNA(MATCH($L712,Tables!$C$246:$C$247,0))),
Error!$B$59,
IF(AND($H712="Zoning: Tree Points",$K712="Medium/Large",$L712&lt;&gt;"",ISNA(MATCH($L712,Tables!$C$249:$C$250,0))),
Error!$B$59,
IF(AND($H712="Zoning: Tree Points",$K712="Large",$L712&lt;&gt;"",ISNA(MATCH($L712,Tables!$C$252:$C$253,0))),
Error!$B$59,
IF(AND($F712="Retain",$H712="Zoning: Tree Points",$C712&lt;&gt;"",$D712&lt;&gt;"",OR($K712="",$L712="",$M712="")),
Error!$B$20,
""
)))))))))))))))))))))))))))))))))))))))))))))))))))))))),
Error!$B$23))</f>
        <v/>
      </c>
      <c r="O712" s="343" t="str" cm="1">
        <f t="array" aca="1" ref="O712" ca="1">IFERROR(_xlfn.LET(
    _xlpm.txt, $C712,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13" spans="1:15" x14ac:dyDescent="0.3">
      <c r="A713" s="320"/>
      <c r="B713" s="616" t="str">
        <f t="shared" si="842"/>
        <v/>
      </c>
      <c r="C713" s="617" t="str">
        <f t="shared" si="843"/>
        <v/>
      </c>
      <c r="D713" s="618" t="str">
        <f t="shared" si="844"/>
        <v/>
      </c>
      <c r="E713" s="616" t="str">
        <f t="shared" si="845"/>
        <v/>
      </c>
      <c r="F713" s="616" t="str">
        <f t="shared" si="846"/>
        <v/>
      </c>
      <c r="G713" s="619" t="str">
        <f>IF(Tree_Table1[[#This Row],[Tree Status  &amp;]]="Retain", Tables!$B$237, IF(Tree_Table1[[#This Row],[Tree Status  &amp;]]="Remove", Tables!$B$238, ""))</f>
        <v/>
      </c>
      <c r="H713" s="321"/>
      <c r="I713" s="322"/>
      <c r="J713" s="453"/>
      <c r="K713" s="323" t="str">
        <f>IFERROR(
    IF(
        AND($H713="Zoning: Tree Points", NOT(ISNUMBER(SEARCH("sp.", $C713)))),
        VLOOKUP($C713, 'Tree List'!$C$3:$F$601, 4, FALSE),
        ""
    ),
"")</f>
        <v/>
      </c>
      <c r="L713" s="324" t="str" cm="1">
        <f t="array" ref="L713">IFERROR(
IF(
    AND($H713="Zoning: Tree Points", NOT(ISNUMBER(SEARCH("sp.", $C713)))),
    _xlfn.IFS(
        (COUNTIFS('Tree List'!$C$3:$C$601,$C713,'Tree List'!$D$3:$D$601,"Coniferous")
        + COUNTIFS('Tree List'!$C$3:$C$601,$C713,'Tree List'!$D$3:$D$601,"Deciduous Conifer")) &gt; 0,
            _xlfn.IFS($K713="Small",0.5,$K713="Small/Medium",1,$K713="Medium/Large",1.4,$K713="Large",1.8),
        (COUNTIFS('Tree List'!$C$3:$C$601,$C713,'Tree List'!$D$3:$D$601,"Deciduous")
        + COUNTIFS('Tree List'!$C$3:$C$601,$C713,'Tree List'!$D$3:$D$601,"Broadleaf Evergreen")) &gt; 0,
            _xlfn.IFS($K713="Small",0.4,$K713="Small/Medium",0.8,$K713="Medium/Large",1.2,$K713="Large",1.6)
    ),
    ""
),
"")</f>
        <v/>
      </c>
      <c r="M713" s="475" t="str">
        <f t="shared" si="816"/>
        <v/>
      </c>
      <c r="N713" s="346" t="str" cm="1">
        <f t="array" aca="1" ref="N71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IF(AND(_xlpm.baseRow,ISNA(MATCH($C713,'Tree List'!$C$3:$C$601,0)),SUMPRODUCT(--ISNUMBER(SEARCH(Tables2!$C$677:$C$772,$O713)))&gt;0),
Error!$B$57,
IF(AND(_xlpm.hasDM,$F713="Remove",$H713&lt;&gt;"",OR($I713="On-site replacement",$I713="Off-site replacement",$I713="Payment In Lieu")),
Error!$B$56,
IF(AND(_xlpm.hasDM,$F713="Remove",$H713&lt;&gt;"",$I713="Relocation"),
Error!$B$66,
IF(AND(OR(_xlpm.hasCN,_xlpm.hasPH,_xlpm.hasGR),$H713&lt;&gt;"",COUNTIF(Tables!$B$132:$B$134,$H713)&gt;0,$I713="N/A (No replacement required)"),
Error!$B$62,
IF(AND(_xlpm.baseRow,$E713&lt;&gt;"",ISNA(MATCH($E713,Tables!$B$225:$B$232,0))),
Error!$B$2,
IF(AND(_xlpm.baseRow,$F713&lt;&gt;"",ISNA(MATCH($F713,Tables!$B$234:$B$235,0))),
Error!$B$24,
IF(AND(_xlpm.baseRow,_xlpm.ECA_H&gt;0,_xlpm.Shore_H&gt;0),
Error!$B$16,
IF(AND(_xlpm.baseRow,$E713&lt;&gt;"",$D713=""),
Error!$B$3,
IF(AND(_xlpm.baseRow,OR($E713="Tier 3",$E713="Tier 4"),$C713&lt;&gt;"",$D713&gt;=24,COUNTIF(Tables2!$B$166:$B$674,$C713)&gt;0),
Error!$B$44,
IF(AND(_xlpm.baseRow,OR($E713="Tier 3",$E713="Tier 4"),$C713&lt;&gt;"",$D713&lt;&gt;"",COUNTIF(Tables2!$B$73:$B$152,$C713)&gt;0,
$D713&gt;=IFERROR(INDEX(Tables2!$C$73:$C$152,MATCH($C713,Tables2!$B$73:$B$152,0)),-1)),
Error!$B$44,
IF(AND(_xlpm.baseRow,OR($E713="Tier 2",$E713="Tier 2 Grove"),$C713&lt;&gt;"",$D713&gt;=12,COUNTIF(Tables2!$B$153:$B$162,$C713)&gt;0),
Error!$B$45,
IF(AND(_xlpm.baseRow,$E713="Tier 2 Grove",$D713&lt;12),
Error!$B$41,
IF(AND(_xlpm.baseRow,$E713="Tier 2",$D713&lt;5.88),
Error!$B$40,
IF(AND(_xlpm.baseRow,OR($E713="Tier 2",$E713="Tier 2 Grove"),$C713&lt;&gt;"",$D713&lt;12,$D713&gt;=6,COUNTIF(Tables2!$B$153:$B$162,$C713)&gt;0),
Error!$B$54,
IF(AND(_xlpm.baseRow,$E713="Tier 2",COUNTIF(Tables2!$B$166:$B$674,$C713)&gt;0,$D713&lt;24),
Error!$B$54,
IF(AND(_xlpm.baseRow,$E713="Tier 3",ISNA(MATCH($C713,Tables2!$B$153:$B$162,0)),OR($D713&lt;12,$D713&gt;=24)),
Error!$B$9,
IF(AND(_xlpm.baseRow,$E713="Tier 3",COUNTIF(Tables2!$B$153:$B$162,$C713)&gt;0,$D713&lt;12),
Error!$B$46,
IF(AND(_xlpm.baseRow,$E713="Tier 4",OR($D713&lt;6,$D713&gt;=12)),
Error!$B$10,
IF(AND(_xlpm.baseRow,$E713="&lt;6in DSH for Tree Points",OR($D713&gt;=6,$D713="")),
Error!$B$8,
IF(AND(_xlpm.baseRow,$E713="Street Tree for Green Factor",$F713&lt;&gt;"",$F713&lt;&gt;"Retain"),
Error!$B$14,
IF(AND($E713="&lt;6in DSH for Tree Points",$F713="Retain",$H713&lt;&gt;"",ISNA(MATCH($H713,Tables!$B$174:$B$174,0))),
Error!$B$15,
IF(AND($E713="Street Tree for Green Factor",$F713="Retain",$H713&lt;&gt;"",$H713&lt;&gt;"Zoning: Green Factor"),
Error!$B$15,
IF(AND($E713="ECA / Shoreline Tree",$F713="Remove",$H713&lt;&gt;"",ISNA(MATCH($H713,Tables!$B$189:$B$190,0))),
Error!$B$15,
IF(AND($E713="ECA / Shoreline Tree",$F713="Retain",$H713&lt;&gt;"",ISNA(MATCH($H713,Tables!$B$184:$B$186,0))),
Error!$B$15,
IF(AND($E713="Tier 4",$F713="Remove",$H713&lt;&gt;"",ISNA(MATCH($H713,Tables!$B$171,0))),
Error!$B$15,
IF(AND($E713="Tier 4",$F713="Retain",$H713&lt;&gt;"",ISNA(MATCH($H713,Tables!$B$166:$B$168,0))),
Error!$B$15,
IF(AND($E713="Tier 3",$F713="Retain",$H713&lt;&gt;"",ISNA(MATCH($H713,Tables!$B$158:$B$160,0))),
Error!$B$15,
IF(AND($E713="Tier 3",$F713="Remove",$H713&lt;&gt;"",ISNA(MATCH($H713,Tables!$B$163,0))),
Error!$B$15,
IF(AND(OR($E713="Tier 2",$E713="Tier 2 Grove"),$F713="Remove",$H713&lt;&gt;"",ISNA(MATCH($H713,Tables!$B$153:$B$155,0))),
Error!$B$15,
IF(AND(OR($E713="Tier 2",$E713="Tier 2 Grove"),$F713="Retain",$H713&lt;&gt;"",ISNA(MATCH($H713,Tables!$B$147:$B$150,0))),
Error!$B$15,
IF(AND($E713="Tier 1",$F713="Remove",$H713&lt;&gt;"",ISNA(MATCH($H713,Tables!$B$143:$B$144,0))),
Error!$B$15,
IF(AND($E713="Tier 1",$F713="Retain",$H713&lt;&gt;"",ISNA(MATCH($H713,Tables!$B$137:$B$140,0))),
Error!$B$15,
IF(AND($E713&lt;&gt;"Tier 2",$E713&lt;&gt;"Tier 2 Grove",$E713&lt;&gt;"Tier 3",$E713&lt;&gt;"Tier 4",$H713="Zoning: Green Factor",OR($D713="",$D713&lt;6)),
Error!$B$11,
IF(AND(_xlpm.baseRow,$D713&lt;6,$E713="&lt;6in DSH for Tree Points",_xlpm.TreePoints_H=0),
Error!$B$21,
IF(AND(_xlpm.baseRow,$E713&lt;&gt;"",$D713&lt;&gt;"",$F713=""),
Error!$B$4,
IF(AND(_xlpm.baseRow,$F713="Remove",OR($E713="Tier 1",$E713="Tier 2",$E713="Tier 2 Grove"),COUNTBLANK(_xlpm.HRange)&lt;3,_xlpm.uniqueH&gt;=2),
Error!$B$48,
IF(AND(_xlpm.baseRow,$F713="Retain",OR($E713="Tier 1",$E713="Tier 2",$E713="Tier 2 Grove"),COUNTIF(_xlpm.HRange,"Tree Code: Required to Retain Tier 1-2 Tree")=0),
Error!$B$47,
IF(AND(_xlpm.baseRow,$E713&lt;&gt;"",$D713&lt;&gt;"",$F713&lt;&gt;"",COUNTBLANK(_xlpm.HRange)=4),
Error!$B$5,
IF(AND($F713="Remove",$H713&lt;&gt;"",$I713=""),
Error!$B$18,
IF(AND($E713="Tier 4",$F713="Remove",$H713="Tree Protection Code: Tier 3 or Tier 4 Allowance",$H713&lt;&gt;"",ISNA(MATCH($I713,Tables!$B$200,0))),
Error!$B$17,
IF(AND($E713="Tier 3",$F713="Remove",$H713&lt;&gt;"",$H713="Tree Protection Code: Tier 3 or Tier 4 Allowance",OR($I713="",ISNA(MATCH($I713,Tables!$B$193:$B$197,0)))),
Error!$B$17,
IF(AND(OR($E713="Tier 2",$E713="Tier 2 Grove"),$F713="Remove",$H713="Tree Protection Code: Other removal allowance or exemption",$I713&lt;&gt;"",ISNA(MATCH($I713,Tables!$B$215:$B$218,0))),
Error!$B$17,
IF(AND(OR($E713="Tier 2",$E713="Tier 2 Grove"),$F713="Remove",$H713="Tree Protection Code: Development Capacity",$I713&lt;&gt;"",ISNA(MATCH($I713,Tables!$B$193:$B$197,0))),
Error!$B$17,
IF(AND(OR($E713="Tier 2",$E713="Tier 2 Grove"),$F713="Remove",$H713="Tree Protection Code: Necessary for Construction",$I713&lt;&gt;"",ISNA(MATCH($I713,Tables!$B$193:$B$197,0))),
Error!$B$17,
IF(AND($E713="Tier 1",$F713="Remove",$H713="Tree Protection Code: Special Exception",$I713&lt;&gt;"",ISNA(MATCH($I713,Tables!$B$215:$B$218,0))),
Error!$B$17,
IF(AND($E713="Tier 1",$F713="Remove",$H713="Tree Protection Code: Other removal allowance or exemption",$I713&lt;&gt;"",ISNA(MATCH($I713,Tables!$B$215:$B$218,0))),
Error!$B$17,
IF(AND($E713="ECA / Shoreline Tree",$F713="Remove",$H713&lt;&gt;"",OR($H713="Shoreline",$H713="Environmental Critical Area (ECA)"),ISNA(MATCH($I713,Tables!$B$209:$B$212,0))),
Error!$B$17,
IF(AND(_xlpm.baseRow,$F713="Retain",$E713="ECA / Shoreline Tree",_xlpm.ECA_Short=0),
Error!$B$61,
IF(AND($F713="Remove",ISNUMBER(MATCH($E713,{"Tier 1","Tier 2","Tier 3","Tier 4","Tier 2 Grove"},0)),ISNUMBER(MATCH($I713,{"On-site replacement","Off-site replacement"},0)),$J713="",$H713&lt;&gt;""),
Error!$B$19,
IF(AND(_xlpm.baseRow,$E713&lt;&gt;"",$D713&lt;&gt;"",$F713&lt;&gt;"",COUNTBLANK($B713:$C713)&gt;0,COUNTBLANK(_xlpm.HRange)&lt;&gt;4),
Error!$B$22,
IF(AND($H713="Zoning: Tree Points",$K713&lt;&gt;"",ISNA(MATCH($K713,Tables!$B$242:$B$253,0))),
Error!$B$58,
IF(AND($H713="Zoning: Tree Points",$K713="Small",$L713&lt;&gt;"",ISNA(MATCH($L713,Tables!$C$243:$C$244,0))),
Error!$B$59,
IF(AND($H713="Zoning: Tree Points",$K713="Small/Medium",$L713&lt;&gt;"",ISNA(MATCH($L713,Tables!$C$246:$C$247,0))),
Error!$B$59,
IF(AND($H713="Zoning: Tree Points",$K713="Medium/Large",$L713&lt;&gt;"",ISNA(MATCH($L713,Tables!$C$249:$C$250,0))),
Error!$B$59,
IF(AND($H713="Zoning: Tree Points",$K713="Large",$L713&lt;&gt;"",ISNA(MATCH($L713,Tables!$C$252:$C$253,0))),
Error!$B$59,
IF(AND($F713="Retain",$H713="Zoning: Tree Points",$C713&lt;&gt;"",$D713&lt;&gt;"",OR($K713="",$L713="",$M713="")),
Error!$B$20,
""
)))))))))))))))))))))))))))))))))))))))))))))))))))))))),
Error!$B$23))</f>
        <v/>
      </c>
      <c r="O713" s="343" t="str" cm="1">
        <f t="array" aca="1" ref="O713" ca="1">IFERROR(_xlfn.LET(
    _xlpm.txt, $C713,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14" spans="1:15" ht="15" thickBot="1" x14ac:dyDescent="0.35">
      <c r="A714" s="331"/>
      <c r="B714" s="616" t="str">
        <f t="shared" si="842"/>
        <v/>
      </c>
      <c r="C714" s="617" t="str">
        <f t="shared" si="843"/>
        <v/>
      </c>
      <c r="D714" s="618" t="str">
        <f t="shared" si="844"/>
        <v/>
      </c>
      <c r="E714" s="616" t="str">
        <f t="shared" si="845"/>
        <v/>
      </c>
      <c r="F714" s="616" t="str">
        <f t="shared" si="846"/>
        <v/>
      </c>
      <c r="G714" s="619" t="str">
        <f>IF(Tree_Table1[[#This Row],[Tree Status  &amp;]]="Retain", Tables!$B$237, IF(Tree_Table1[[#This Row],[Tree Status  &amp;]]="Remove", Tables!$B$238, ""))</f>
        <v/>
      </c>
      <c r="H714" s="329"/>
      <c r="I714" s="330"/>
      <c r="J714" s="455"/>
      <c r="K714" s="327" t="str">
        <f>IFERROR(
    IF(
        AND($H714="Zoning: Tree Points", NOT(ISNUMBER(SEARCH("sp.", $C714)))),
        VLOOKUP($C714, 'Tree List'!$C$3:$F$601, 4, FALSE),
        ""
    ),
"")</f>
        <v/>
      </c>
      <c r="L714" s="328" t="str" cm="1">
        <f t="array" ref="L714">IFERROR(
IF(
    AND($H714="Zoning: Tree Points", NOT(ISNUMBER(SEARCH("sp.", $C714)))),
    _xlfn.IFS(
        (COUNTIFS('Tree List'!$C$3:$C$601,$C714,'Tree List'!$D$3:$D$601,"Coniferous")
        + COUNTIFS('Tree List'!$C$3:$C$601,$C714,'Tree List'!$D$3:$D$601,"Deciduous Conifer")) &gt; 0,
            _xlfn.IFS($K714="Small",0.5,$K714="Small/Medium",1,$K714="Medium/Large",1.4,$K714="Large",1.8),
        (COUNTIFS('Tree List'!$C$3:$C$601,$C714,'Tree List'!$D$3:$D$601,"Deciduous")
        + COUNTIFS('Tree List'!$C$3:$C$601,$C714,'Tree List'!$D$3:$D$601,"Broadleaf Evergreen")) &gt; 0,
            _xlfn.IFS($K714="Small",0.4,$K714="Small/Medium",0.8,$K714="Medium/Large",1.2,$K714="Large",1.6)
    ),
    ""
),
"")</f>
        <v/>
      </c>
      <c r="M714" s="476" t="str">
        <f t="shared" si="816"/>
        <v/>
      </c>
      <c r="N714" s="347" t="str" cm="1">
        <f t="array" aca="1" ref="N71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IF(AND(_xlpm.baseRow,ISNA(MATCH($C714,'Tree List'!$C$3:$C$601,0)),SUMPRODUCT(--ISNUMBER(SEARCH(Tables2!$C$677:$C$772,$O714)))&gt;0),
Error!$B$57,
IF(AND(_xlpm.hasDM,$F714="Remove",$H714&lt;&gt;"",OR($I714="On-site replacement",$I714="Off-site replacement",$I714="Payment In Lieu")),
Error!$B$56,
IF(AND(_xlpm.hasDM,$F714="Remove",$H714&lt;&gt;"",$I714="Relocation"),
Error!$B$66,
IF(AND(OR(_xlpm.hasCN,_xlpm.hasPH,_xlpm.hasGR),$H714&lt;&gt;"",COUNTIF(Tables!$B$132:$B$134,$H714)&gt;0,$I714="N/A (No replacement required)"),
Error!$B$62,
IF(AND(_xlpm.baseRow,$E714&lt;&gt;"",ISNA(MATCH($E714,Tables!$B$225:$B$232,0))),
Error!$B$2,
IF(AND(_xlpm.baseRow,$F714&lt;&gt;"",ISNA(MATCH($F714,Tables!$B$234:$B$235,0))),
Error!$B$24,
IF(AND(_xlpm.baseRow,_xlpm.ECA_H&gt;0,_xlpm.Shore_H&gt;0),
Error!$B$16,
IF(AND(_xlpm.baseRow,$E714&lt;&gt;"",$D714=""),
Error!$B$3,
IF(AND(_xlpm.baseRow,OR($E714="Tier 3",$E714="Tier 4"),$C714&lt;&gt;"",$D714&gt;=24,COUNTIF(Tables2!$B$166:$B$674,$C714)&gt;0),
Error!$B$44,
IF(AND(_xlpm.baseRow,OR($E714="Tier 3",$E714="Tier 4"),$C714&lt;&gt;"",$D714&lt;&gt;"",COUNTIF(Tables2!$B$73:$B$152,$C714)&gt;0,
$D714&gt;=IFERROR(INDEX(Tables2!$C$73:$C$152,MATCH($C714,Tables2!$B$73:$B$152,0)),-1)),
Error!$B$44,
IF(AND(_xlpm.baseRow,OR($E714="Tier 2",$E714="Tier 2 Grove"),$C714&lt;&gt;"",$D714&gt;=12,COUNTIF(Tables2!$B$153:$B$162,$C714)&gt;0),
Error!$B$45,
IF(AND(_xlpm.baseRow,$E714="Tier 2 Grove",$D714&lt;12),
Error!$B$41,
IF(AND(_xlpm.baseRow,$E714="Tier 2",$D714&lt;5.88),
Error!$B$40,
IF(AND(_xlpm.baseRow,OR($E714="Tier 2",$E714="Tier 2 Grove"),$C714&lt;&gt;"",$D714&lt;12,$D714&gt;=6,COUNTIF(Tables2!$B$153:$B$162,$C714)&gt;0),
Error!$B$54,
IF(AND(_xlpm.baseRow,$E714="Tier 2",COUNTIF(Tables2!$B$166:$B$674,$C714)&gt;0,$D714&lt;24),
Error!$B$54,
IF(AND(_xlpm.baseRow,$E714="Tier 3",ISNA(MATCH($C714,Tables2!$B$153:$B$162,0)),OR($D714&lt;12,$D714&gt;=24)),
Error!$B$9,
IF(AND(_xlpm.baseRow,$E714="Tier 3",COUNTIF(Tables2!$B$153:$B$162,$C714)&gt;0,$D714&lt;12),
Error!$B$46,
IF(AND(_xlpm.baseRow,$E714="Tier 4",OR($D714&lt;6,$D714&gt;=12)),
Error!$B$10,
IF(AND(_xlpm.baseRow,$E714="&lt;6in DSH for Tree Points",OR($D714&gt;=6,$D714="")),
Error!$B$8,
IF(AND(_xlpm.baseRow,$E714="Street Tree for Green Factor",$F714&lt;&gt;"",$F714&lt;&gt;"Retain"),
Error!$B$14,
IF(AND($E714="&lt;6in DSH for Tree Points",$F714="Retain",$H714&lt;&gt;"",ISNA(MATCH($H714,Tables!$B$174:$B$174,0))),
Error!$B$15,
IF(AND($E714="Street Tree for Green Factor",$F714="Retain",$H714&lt;&gt;"",$H714&lt;&gt;"Zoning: Green Factor"),
Error!$B$15,
IF(AND($E714="ECA / Shoreline Tree",$F714="Remove",$H714&lt;&gt;"",ISNA(MATCH($H714,Tables!$B$189:$B$190,0))),
Error!$B$15,
IF(AND($E714="ECA / Shoreline Tree",$F714="Retain",$H714&lt;&gt;"",ISNA(MATCH($H714,Tables!$B$184:$B$186,0))),
Error!$B$15,
IF(AND($E714="Tier 4",$F714="Remove",$H714&lt;&gt;"",ISNA(MATCH($H714,Tables!$B$171,0))),
Error!$B$15,
IF(AND($E714="Tier 4",$F714="Retain",$H714&lt;&gt;"",ISNA(MATCH($H714,Tables!$B$166:$B$168,0))),
Error!$B$15,
IF(AND($E714="Tier 3",$F714="Retain",$H714&lt;&gt;"",ISNA(MATCH($H714,Tables!$B$158:$B$160,0))),
Error!$B$15,
IF(AND($E714="Tier 3",$F714="Remove",$H714&lt;&gt;"",ISNA(MATCH($H714,Tables!$B$163,0))),
Error!$B$15,
IF(AND(OR($E714="Tier 2",$E714="Tier 2 Grove"),$F714="Remove",$H714&lt;&gt;"",ISNA(MATCH($H714,Tables!$B$153:$B$155,0))),
Error!$B$15,
IF(AND(OR($E714="Tier 2",$E714="Tier 2 Grove"),$F714="Retain",$H714&lt;&gt;"",ISNA(MATCH($H714,Tables!$B$147:$B$150,0))),
Error!$B$15,
IF(AND($E714="Tier 1",$F714="Remove",$H714&lt;&gt;"",ISNA(MATCH($H714,Tables!$B$143:$B$144,0))),
Error!$B$15,
IF(AND($E714="Tier 1",$F714="Retain",$H714&lt;&gt;"",ISNA(MATCH($H714,Tables!$B$137:$B$140,0))),
Error!$B$15,
IF(AND($E714&lt;&gt;"Tier 2",$E714&lt;&gt;"Tier 2 Grove",$E714&lt;&gt;"Tier 3",$E714&lt;&gt;"Tier 4",$H714="Zoning: Green Factor",OR($D714="",$D714&lt;6)),
Error!$B$11,
IF(AND(_xlpm.baseRow,$D714&lt;6,$E714="&lt;6in DSH for Tree Points",_xlpm.TreePoints_H=0),
Error!$B$21,
IF(AND(_xlpm.baseRow,$E714&lt;&gt;"",$D714&lt;&gt;"",$F714=""),
Error!$B$4,
IF(AND(_xlpm.baseRow,$F714="Remove",OR($E714="Tier 1",$E714="Tier 2",$E714="Tier 2 Grove"),COUNTBLANK(_xlpm.HRange)&lt;3,_xlpm.uniqueH&gt;=2),
Error!$B$48,
IF(AND(_xlpm.baseRow,$F714="Retain",OR($E714="Tier 1",$E714="Tier 2",$E714="Tier 2 Grove"),COUNTIF(_xlpm.HRange,"Tree Code: Required to Retain Tier 1-2 Tree")=0),
Error!$B$47,
IF(AND(_xlpm.baseRow,$E714&lt;&gt;"",$D714&lt;&gt;"",$F714&lt;&gt;"",COUNTBLANK(_xlpm.HRange)=4),
Error!$B$5,
IF(AND($F714="Remove",$H714&lt;&gt;"",$I714=""),
Error!$B$18,
IF(AND($E714="Tier 4",$F714="Remove",$H714="Tree Protection Code: Tier 3 or Tier 4 Allowance",$H714&lt;&gt;"",ISNA(MATCH($I714,Tables!$B$200,0))),
Error!$B$17,
IF(AND($E714="Tier 3",$F714="Remove",$H714&lt;&gt;"",$H714="Tree Protection Code: Tier 3 or Tier 4 Allowance",OR($I714="",ISNA(MATCH($I714,Tables!$B$193:$B$197,0)))),
Error!$B$17,
IF(AND(OR($E714="Tier 2",$E714="Tier 2 Grove"),$F714="Remove",$H714="Tree Protection Code: Other removal allowance or exemption",$I714&lt;&gt;"",ISNA(MATCH($I714,Tables!$B$215:$B$218,0))),
Error!$B$17,
IF(AND(OR($E714="Tier 2",$E714="Tier 2 Grove"),$F714="Remove",$H714="Tree Protection Code: Development Capacity",$I714&lt;&gt;"",ISNA(MATCH($I714,Tables!$B$193:$B$197,0))),
Error!$B$17,
IF(AND(OR($E714="Tier 2",$E714="Tier 2 Grove"),$F714="Remove",$H714="Tree Protection Code: Necessary for Construction",$I714&lt;&gt;"",ISNA(MATCH($I714,Tables!$B$193:$B$197,0))),
Error!$B$17,
IF(AND($E714="Tier 1",$F714="Remove",$H714="Tree Protection Code: Special Exception",$I714&lt;&gt;"",ISNA(MATCH($I714,Tables!$B$215:$B$218,0))),
Error!$B$17,
IF(AND($E714="Tier 1",$F714="Remove",$H714="Tree Protection Code: Other removal allowance or exemption",$I714&lt;&gt;"",ISNA(MATCH($I714,Tables!$B$215:$B$218,0))),
Error!$B$17,
IF(AND($E714="ECA / Shoreline Tree",$F714="Remove",$H714&lt;&gt;"",OR($H714="Shoreline",$H714="Environmental Critical Area (ECA)"),ISNA(MATCH($I714,Tables!$B$209:$B$212,0))),
Error!$B$17,
IF(AND(_xlpm.baseRow,$F714="Retain",$E714="ECA / Shoreline Tree",_xlpm.ECA_Short=0),
Error!$B$61,
IF(AND($F714="Remove",ISNUMBER(MATCH($E714,{"Tier 1","Tier 2","Tier 3","Tier 4","Tier 2 Grove"},0)),ISNUMBER(MATCH($I714,{"On-site replacement","Off-site replacement"},0)),$J714="",$H714&lt;&gt;""),
Error!$B$19,
IF(AND(_xlpm.baseRow,$E714&lt;&gt;"",$D714&lt;&gt;"",$F714&lt;&gt;"",COUNTBLANK($B714:$C714)&gt;0,COUNTBLANK(_xlpm.HRange)&lt;&gt;4),
Error!$B$22,
IF(AND($H714="Zoning: Tree Points",$K714&lt;&gt;"",ISNA(MATCH($K714,Tables!$B$242:$B$253,0))),
Error!$B$58,
IF(AND($H714="Zoning: Tree Points",$K714="Small",$L714&lt;&gt;"",ISNA(MATCH($L714,Tables!$C$243:$C$244,0))),
Error!$B$59,
IF(AND($H714="Zoning: Tree Points",$K714="Small/Medium",$L714&lt;&gt;"",ISNA(MATCH($L714,Tables!$C$246:$C$247,0))),
Error!$B$59,
IF(AND($H714="Zoning: Tree Points",$K714="Medium/Large",$L714&lt;&gt;"",ISNA(MATCH($L714,Tables!$C$249:$C$250,0))),
Error!$B$59,
IF(AND($H714="Zoning: Tree Points",$K714="Large",$L714&lt;&gt;"",ISNA(MATCH($L714,Tables!$C$252:$C$253,0))),
Error!$B$59,
IF(AND($F714="Retain",$H714="Zoning: Tree Points",$C714&lt;&gt;"",$D714&lt;&gt;"",OR($K714="",$L714="",$M714="")),
Error!$B$20,
""
)))))))))))))))))))))))))))))))))))))))))))))))))))))))),
Error!$B$23))</f>
        <v/>
      </c>
      <c r="O714" s="343" t="str" cm="1">
        <f t="array" aca="1" ref="O714" ca="1">IFERROR(_xlfn.LET(
    _xlpm.txt, $C714,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15" spans="1:15" ht="15" thickBot="1" x14ac:dyDescent="0.35">
      <c r="A715" s="311">
        <v>177</v>
      </c>
      <c r="B715" s="312"/>
      <c r="C715" s="313"/>
      <c r="D715" s="478"/>
      <c r="E715" s="314"/>
      <c r="F715" s="314"/>
      <c r="G715" s="315" t="str">
        <f>IF(Tree_Table1[[#This Row],[Tree Status  &amp;]]="Retain", Tables!$B$237, IF(Tree_Table1[[#This Row],[Tree Status  &amp;]]="Remove", Tables!$B$238, ""))</f>
        <v/>
      </c>
      <c r="H715" s="316"/>
      <c r="I715" s="317"/>
      <c r="J715" s="452"/>
      <c r="K715" s="318" t="str">
        <f>IFERROR(
    IF(
        AND($H715="Zoning: Tree Points", NOT(ISNUMBER(SEARCH("sp.", $C715)))),
        VLOOKUP($C715, 'Tree List'!$C$3:$F$601, 4, FALSE),
        ""
    ),
"")</f>
        <v/>
      </c>
      <c r="L715" s="319" t="str" cm="1">
        <f t="array" ref="L715">IFERROR(
IF(
    AND($H715="Zoning: Tree Points", NOT(ISNUMBER(SEARCH("sp.", $C715)))),
    _xlfn.IFS(
        (COUNTIFS('Tree List'!$C$3:$C$601,$C715,'Tree List'!$D$3:$D$601,"Coniferous")
        + COUNTIFS('Tree List'!$C$3:$C$601,$C715,'Tree List'!$D$3:$D$601,"Deciduous Conifer")) &gt; 0,
            _xlfn.IFS($K715="Small",0.5,$K715="Small/Medium",1,$K715="Medium/Large",1.4,$K715="Large",1.8),
        (COUNTIFS('Tree List'!$C$3:$C$601,$C715,'Tree List'!$D$3:$D$601,"Deciduous")
        + COUNTIFS('Tree List'!$C$3:$C$601,$C715,'Tree List'!$D$3:$D$601,"Broadleaf Evergreen")) &gt; 0,
            _xlfn.IFS($K715="Small",0.4,$K715="Small/Medium",0.8,$K715="Medium/Large",1.2,$K715="Large",1.6)
    ),
    ""
),
"")</f>
        <v/>
      </c>
      <c r="M715" s="474" t="str">
        <f t="shared" si="816"/>
        <v/>
      </c>
      <c r="N715" s="620" t="str" cm="1">
        <f t="array" aca="1" ref="N71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IF(AND(_xlpm.baseRow,ISNA(MATCH($C715,'Tree List'!$C$3:$C$601,0)),SUMPRODUCT(--ISNUMBER(SEARCH(Tables2!$C$677:$C$772,$O715)))&gt;0),
Error!$B$57,
IF(AND(_xlpm.hasDM,$F715="Remove",$H715&lt;&gt;"",OR($I715="On-site replacement",$I715="Off-site replacement",$I715="Payment In Lieu")),
Error!$B$56,
IF(AND(_xlpm.hasDM,$F715="Remove",$H715&lt;&gt;"",$I715="Relocation"),
Error!$B$66,
IF(AND(OR(_xlpm.hasCN,_xlpm.hasPH,_xlpm.hasGR),$H715&lt;&gt;"",COUNTIF(Tables!$B$132:$B$134,$H715)&gt;0,$I715="N/A (No replacement required)"),
Error!$B$62,
IF(AND(_xlpm.baseRow,$E715&lt;&gt;"",ISNA(MATCH($E715,Tables!$B$225:$B$232,0))),
Error!$B$2,
IF(AND(_xlpm.baseRow,$F715&lt;&gt;"",ISNA(MATCH($F715,Tables!$B$234:$B$235,0))),
Error!$B$24,
IF(AND(_xlpm.baseRow,_xlpm.ECA_H&gt;0,_xlpm.Shore_H&gt;0),
Error!$B$16,
IF(AND(_xlpm.baseRow,$E715&lt;&gt;"",$D715=""),
Error!$B$3,
IF(AND(_xlpm.baseRow,OR($E715="Tier 3",$E715="Tier 4"),$C715&lt;&gt;"",$D715&gt;=24,COUNTIF(Tables2!$B$166:$B$674,$C715)&gt;0),
Error!$B$44,
IF(AND(_xlpm.baseRow,OR($E715="Tier 3",$E715="Tier 4"),$C715&lt;&gt;"",$D715&lt;&gt;"",COUNTIF(Tables2!$B$73:$B$152,$C715)&gt;0,
$D715&gt;=IFERROR(INDEX(Tables2!$C$73:$C$152,MATCH($C715,Tables2!$B$73:$B$152,0)),-1)),
Error!$B$44,
IF(AND(_xlpm.baseRow,OR($E715="Tier 2",$E715="Tier 2 Grove"),$C715&lt;&gt;"",$D715&gt;=12,COUNTIF(Tables2!$B$153:$B$162,$C715)&gt;0),
Error!$B$45,
IF(AND(_xlpm.baseRow,$E715="Tier 2 Grove",$D715&lt;12),
Error!$B$41,
IF(AND(_xlpm.baseRow,$E715="Tier 2",$D715&lt;5.88),
Error!$B$40,
IF(AND(_xlpm.baseRow,OR($E715="Tier 2",$E715="Tier 2 Grove"),$C715&lt;&gt;"",$D715&lt;12,$D715&gt;=6,COUNTIF(Tables2!$B$153:$B$162,$C715)&gt;0),
Error!$B$54,
IF(AND(_xlpm.baseRow,$E715="Tier 2",COUNTIF(Tables2!$B$166:$B$674,$C715)&gt;0,$D715&lt;24),
Error!$B$54,
IF(AND(_xlpm.baseRow,$E715="Tier 3",ISNA(MATCH($C715,Tables2!$B$153:$B$162,0)),OR($D715&lt;12,$D715&gt;=24)),
Error!$B$9,
IF(AND(_xlpm.baseRow,$E715="Tier 3",COUNTIF(Tables2!$B$153:$B$162,$C715)&gt;0,$D715&lt;12),
Error!$B$46,
IF(AND(_xlpm.baseRow,$E715="Tier 4",OR($D715&lt;6,$D715&gt;=12)),
Error!$B$10,
IF(AND(_xlpm.baseRow,$E715="&lt;6in DSH for Tree Points",OR($D715&gt;=6,$D715="")),
Error!$B$8,
IF(AND(_xlpm.baseRow,$E715="Street Tree for Green Factor",$F715&lt;&gt;"",$F715&lt;&gt;"Retain"),
Error!$B$14,
IF(AND($E715="&lt;6in DSH for Tree Points",$F715="Retain",$H715&lt;&gt;"",ISNA(MATCH($H715,Tables!$B$174:$B$174,0))),
Error!$B$15,
IF(AND($E715="Street Tree for Green Factor",$F715="Retain",$H715&lt;&gt;"",$H715&lt;&gt;"Zoning: Green Factor"),
Error!$B$15,
IF(AND($E715="ECA / Shoreline Tree",$F715="Remove",$H715&lt;&gt;"",ISNA(MATCH($H715,Tables!$B$189:$B$190,0))),
Error!$B$15,
IF(AND($E715="ECA / Shoreline Tree",$F715="Retain",$H715&lt;&gt;"",ISNA(MATCH($H715,Tables!$B$184:$B$186,0))),
Error!$B$15,
IF(AND($E715="Tier 4",$F715="Remove",$H715&lt;&gt;"",ISNA(MATCH($H715,Tables!$B$171,0))),
Error!$B$15,
IF(AND($E715="Tier 4",$F715="Retain",$H715&lt;&gt;"",ISNA(MATCH($H715,Tables!$B$166:$B$168,0))),
Error!$B$15,
IF(AND($E715="Tier 3",$F715="Retain",$H715&lt;&gt;"",ISNA(MATCH($H715,Tables!$B$158:$B$160,0))),
Error!$B$15,
IF(AND($E715="Tier 3",$F715="Remove",$H715&lt;&gt;"",ISNA(MATCH($H715,Tables!$B$163,0))),
Error!$B$15,
IF(AND(OR($E715="Tier 2",$E715="Tier 2 Grove"),$F715="Remove",$H715&lt;&gt;"",ISNA(MATCH($H715,Tables!$B$153:$B$155,0))),
Error!$B$15,
IF(AND(OR($E715="Tier 2",$E715="Tier 2 Grove"),$F715="Retain",$H715&lt;&gt;"",ISNA(MATCH($H715,Tables!$B$147:$B$150,0))),
Error!$B$15,
IF(AND($E715="Tier 1",$F715="Remove",$H715&lt;&gt;"",ISNA(MATCH($H715,Tables!$B$143:$B$144,0))),
Error!$B$15,
IF(AND($E715="Tier 1",$F715="Retain",$H715&lt;&gt;"",ISNA(MATCH($H715,Tables!$B$137:$B$140,0))),
Error!$B$15,
IF(AND($E715&lt;&gt;"Tier 2",$E715&lt;&gt;"Tier 2 Grove",$E715&lt;&gt;"Tier 3",$E715&lt;&gt;"Tier 4",$H715="Zoning: Green Factor",OR($D715="",$D715&lt;6)),
Error!$B$11,
IF(AND(_xlpm.baseRow,$D715&lt;6,$E715="&lt;6in DSH for Tree Points",_xlpm.TreePoints_H=0),
Error!$B$21,
IF(AND(_xlpm.baseRow,$E715&lt;&gt;"",$D715&lt;&gt;"",$F715=""),
Error!$B$4,
IF(AND(_xlpm.baseRow,$F715="Remove",OR($E715="Tier 1",$E715="Tier 2",$E715="Tier 2 Grove"),COUNTBLANK(_xlpm.HRange)&lt;3,_xlpm.uniqueH&gt;=2),
Error!$B$48,
IF(AND(_xlpm.baseRow,$F715="Retain",OR($E715="Tier 1",$E715="Tier 2",$E715="Tier 2 Grove"),COUNTIF(_xlpm.HRange,"Tree Code: Required to Retain Tier 1-2 Tree")=0),
Error!$B$47,
IF(AND(_xlpm.baseRow,$E715&lt;&gt;"",$D715&lt;&gt;"",$F715&lt;&gt;"",COUNTBLANK(_xlpm.HRange)=4),
Error!$B$5,
IF(AND($F715="Remove",$H715&lt;&gt;"",$I715=""),
Error!$B$18,
IF(AND($E715="Tier 4",$F715="Remove",$H715="Tree Protection Code: Tier 3 or Tier 4 Allowance",$H715&lt;&gt;"",ISNA(MATCH($I715,Tables!$B$200,0))),
Error!$B$17,
IF(AND($E715="Tier 3",$F715="Remove",$H715&lt;&gt;"",$H715="Tree Protection Code: Tier 3 or Tier 4 Allowance",OR($I715="",ISNA(MATCH($I715,Tables!$B$193:$B$197,0)))),
Error!$B$17,
IF(AND(OR($E715="Tier 2",$E715="Tier 2 Grove"),$F715="Remove",$H715="Tree Protection Code: Other removal allowance or exemption",$I715&lt;&gt;"",ISNA(MATCH($I715,Tables!$B$215:$B$218,0))),
Error!$B$17,
IF(AND(OR($E715="Tier 2",$E715="Tier 2 Grove"),$F715="Remove",$H715="Tree Protection Code: Development Capacity",$I715&lt;&gt;"",ISNA(MATCH($I715,Tables!$B$193:$B$197,0))),
Error!$B$17,
IF(AND(OR($E715="Tier 2",$E715="Tier 2 Grove"),$F715="Remove",$H715="Tree Protection Code: Necessary for Construction",$I715&lt;&gt;"",ISNA(MATCH($I715,Tables!$B$193:$B$197,0))),
Error!$B$17,
IF(AND($E715="Tier 1",$F715="Remove",$H715="Tree Protection Code: Special Exception",$I715&lt;&gt;"",ISNA(MATCH($I715,Tables!$B$215:$B$218,0))),
Error!$B$17,
IF(AND($E715="Tier 1",$F715="Remove",$H715="Tree Protection Code: Other removal allowance or exemption",$I715&lt;&gt;"",ISNA(MATCH($I715,Tables!$B$215:$B$218,0))),
Error!$B$17,
IF(AND($E715="ECA / Shoreline Tree",$F715="Remove",$H715&lt;&gt;"",OR($H715="Shoreline",$H715="Environmental Critical Area (ECA)"),ISNA(MATCH($I715,Tables!$B$209:$B$212,0))),
Error!$B$17,
IF(AND(_xlpm.baseRow,$F715="Retain",$E715="ECA / Shoreline Tree",_xlpm.ECA_Short=0),
Error!$B$61,
IF(AND($F715="Remove",ISNUMBER(MATCH($E715,{"Tier 1","Tier 2","Tier 3","Tier 4","Tier 2 Grove"},0)),ISNUMBER(MATCH($I715,{"On-site replacement","Off-site replacement"},0)),$J715="",$H715&lt;&gt;""),
Error!$B$19,
IF(AND(_xlpm.baseRow,$E715&lt;&gt;"",$D715&lt;&gt;"",$F715&lt;&gt;"",COUNTBLANK($B715:$C715)&gt;0,COUNTBLANK(_xlpm.HRange)&lt;&gt;4),
Error!$B$22,
IF(AND($H715="Zoning: Tree Points",$K715&lt;&gt;"",ISNA(MATCH($K715,Tables!$B$242:$B$253,0))),
Error!$B$58,
IF(AND($H715="Zoning: Tree Points",$K715="Small",$L715&lt;&gt;"",ISNA(MATCH($L715,Tables!$C$243:$C$244,0))),
Error!$B$59,
IF(AND($H715="Zoning: Tree Points",$K715="Small/Medium",$L715&lt;&gt;"",ISNA(MATCH($L715,Tables!$C$246:$C$247,0))),
Error!$B$59,
IF(AND($H715="Zoning: Tree Points",$K715="Medium/Large",$L715&lt;&gt;"",ISNA(MATCH($L715,Tables!$C$249:$C$250,0))),
Error!$B$59,
IF(AND($H715="Zoning: Tree Points",$K715="Large",$L715&lt;&gt;"",ISNA(MATCH($L715,Tables!$C$252:$C$253,0))),
Error!$B$59,
IF(AND($F715="Retain",$H715="Zoning: Tree Points",$C715&lt;&gt;"",$D715&lt;&gt;"",OR($K715="",$L715="",$M715="")),
Error!$B$20,
""
)))))))))))))))))))))))))))))))))))))))))))))))))))))))),
Error!$B$23))</f>
        <v/>
      </c>
      <c r="O715" s="343" t="str" cm="1">
        <f t="array" aca="1" ref="O715" ca="1">IFERROR(_xlfn.LET(
    _xlpm.txt, $C715,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16" spans="1:15" x14ac:dyDescent="0.3">
      <c r="A716" s="320"/>
      <c r="B716" s="616" t="str">
        <f t="shared" ref="B716:B718" si="847">IF($B715="", "", $B715)</f>
        <v/>
      </c>
      <c r="C716" s="617" t="str">
        <f t="shared" ref="C716:C718" si="848">IF($C715="", "", $C715)</f>
        <v/>
      </c>
      <c r="D716" s="618" t="str">
        <f t="shared" ref="D716:D718" si="849">IF($D715="", "", $D715)</f>
        <v/>
      </c>
      <c r="E716" s="616" t="str">
        <f t="shared" ref="E716:E718" si="850">IF($E715="", "", $E715)</f>
        <v/>
      </c>
      <c r="F716" s="616" t="str">
        <f t="shared" ref="F716:F718" si="851">IF($F715="", "", $F715)</f>
        <v/>
      </c>
      <c r="G716" s="619" t="str">
        <f>IF(Tree_Table1[[#This Row],[Tree Status  &amp;]]="Retain", Tables!$B$237, IF(Tree_Table1[[#This Row],[Tree Status  &amp;]]="Remove", Tables!$B$238, ""))</f>
        <v/>
      </c>
      <c r="H716" s="321"/>
      <c r="I716" s="322"/>
      <c r="J716" s="453"/>
      <c r="K716" s="323" t="str">
        <f>IFERROR(
    IF(
        AND($H716="Zoning: Tree Points", NOT(ISNUMBER(SEARCH("sp.", $C716)))),
        VLOOKUP($C716, 'Tree List'!$C$3:$F$601, 4, FALSE),
        ""
    ),
"")</f>
        <v/>
      </c>
      <c r="L716" s="324" t="str" cm="1">
        <f t="array" ref="L716">IFERROR(
IF(
    AND($H716="Zoning: Tree Points", NOT(ISNUMBER(SEARCH("sp.", $C716)))),
    _xlfn.IFS(
        (COUNTIFS('Tree List'!$C$3:$C$601,$C716,'Tree List'!$D$3:$D$601,"Coniferous")
        + COUNTIFS('Tree List'!$C$3:$C$601,$C716,'Tree List'!$D$3:$D$601,"Deciduous Conifer")) &gt; 0,
            _xlfn.IFS($K716="Small",0.5,$K716="Small/Medium",1,$K716="Medium/Large",1.4,$K716="Large",1.8),
        (COUNTIFS('Tree List'!$C$3:$C$601,$C716,'Tree List'!$D$3:$D$601,"Deciduous")
        + COUNTIFS('Tree List'!$C$3:$C$601,$C716,'Tree List'!$D$3:$D$601,"Broadleaf Evergreen")) &gt; 0,
            _xlfn.IFS($K716="Small",0.4,$K716="Small/Medium",0.8,$K716="Medium/Large",1.2,$K716="Large",1.6)
    ),
    ""
),
"")</f>
        <v/>
      </c>
      <c r="M716" s="475" t="str">
        <f t="shared" si="816"/>
        <v/>
      </c>
      <c r="N716" s="346" t="str" cm="1">
        <f t="array" aca="1" ref="N71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IF(AND(_xlpm.baseRow,ISNA(MATCH($C716,'Tree List'!$C$3:$C$601,0)),SUMPRODUCT(--ISNUMBER(SEARCH(Tables2!$C$677:$C$772,$O716)))&gt;0),
Error!$B$57,
IF(AND(_xlpm.hasDM,$F716="Remove",$H716&lt;&gt;"",OR($I716="On-site replacement",$I716="Off-site replacement",$I716="Payment In Lieu")),
Error!$B$56,
IF(AND(_xlpm.hasDM,$F716="Remove",$H716&lt;&gt;"",$I716="Relocation"),
Error!$B$66,
IF(AND(OR(_xlpm.hasCN,_xlpm.hasPH,_xlpm.hasGR),$H716&lt;&gt;"",COUNTIF(Tables!$B$132:$B$134,$H716)&gt;0,$I716="N/A (No replacement required)"),
Error!$B$62,
IF(AND(_xlpm.baseRow,$E716&lt;&gt;"",ISNA(MATCH($E716,Tables!$B$225:$B$232,0))),
Error!$B$2,
IF(AND(_xlpm.baseRow,$F716&lt;&gt;"",ISNA(MATCH($F716,Tables!$B$234:$B$235,0))),
Error!$B$24,
IF(AND(_xlpm.baseRow,_xlpm.ECA_H&gt;0,_xlpm.Shore_H&gt;0),
Error!$B$16,
IF(AND(_xlpm.baseRow,$E716&lt;&gt;"",$D716=""),
Error!$B$3,
IF(AND(_xlpm.baseRow,OR($E716="Tier 3",$E716="Tier 4"),$C716&lt;&gt;"",$D716&gt;=24,COUNTIF(Tables2!$B$166:$B$674,$C716)&gt;0),
Error!$B$44,
IF(AND(_xlpm.baseRow,OR($E716="Tier 3",$E716="Tier 4"),$C716&lt;&gt;"",$D716&lt;&gt;"",COUNTIF(Tables2!$B$73:$B$152,$C716)&gt;0,
$D716&gt;=IFERROR(INDEX(Tables2!$C$73:$C$152,MATCH($C716,Tables2!$B$73:$B$152,0)),-1)),
Error!$B$44,
IF(AND(_xlpm.baseRow,OR($E716="Tier 2",$E716="Tier 2 Grove"),$C716&lt;&gt;"",$D716&gt;=12,COUNTIF(Tables2!$B$153:$B$162,$C716)&gt;0),
Error!$B$45,
IF(AND(_xlpm.baseRow,$E716="Tier 2 Grove",$D716&lt;12),
Error!$B$41,
IF(AND(_xlpm.baseRow,$E716="Tier 2",$D716&lt;5.88),
Error!$B$40,
IF(AND(_xlpm.baseRow,OR($E716="Tier 2",$E716="Tier 2 Grove"),$C716&lt;&gt;"",$D716&lt;12,$D716&gt;=6,COUNTIF(Tables2!$B$153:$B$162,$C716)&gt;0),
Error!$B$54,
IF(AND(_xlpm.baseRow,$E716="Tier 2",COUNTIF(Tables2!$B$166:$B$674,$C716)&gt;0,$D716&lt;24),
Error!$B$54,
IF(AND(_xlpm.baseRow,$E716="Tier 3",ISNA(MATCH($C716,Tables2!$B$153:$B$162,0)),OR($D716&lt;12,$D716&gt;=24)),
Error!$B$9,
IF(AND(_xlpm.baseRow,$E716="Tier 3",COUNTIF(Tables2!$B$153:$B$162,$C716)&gt;0,$D716&lt;12),
Error!$B$46,
IF(AND(_xlpm.baseRow,$E716="Tier 4",OR($D716&lt;6,$D716&gt;=12)),
Error!$B$10,
IF(AND(_xlpm.baseRow,$E716="&lt;6in DSH for Tree Points",OR($D716&gt;=6,$D716="")),
Error!$B$8,
IF(AND(_xlpm.baseRow,$E716="Street Tree for Green Factor",$F716&lt;&gt;"",$F716&lt;&gt;"Retain"),
Error!$B$14,
IF(AND($E716="&lt;6in DSH for Tree Points",$F716="Retain",$H716&lt;&gt;"",ISNA(MATCH($H716,Tables!$B$174:$B$174,0))),
Error!$B$15,
IF(AND($E716="Street Tree for Green Factor",$F716="Retain",$H716&lt;&gt;"",$H716&lt;&gt;"Zoning: Green Factor"),
Error!$B$15,
IF(AND($E716="ECA / Shoreline Tree",$F716="Remove",$H716&lt;&gt;"",ISNA(MATCH($H716,Tables!$B$189:$B$190,0))),
Error!$B$15,
IF(AND($E716="ECA / Shoreline Tree",$F716="Retain",$H716&lt;&gt;"",ISNA(MATCH($H716,Tables!$B$184:$B$186,0))),
Error!$B$15,
IF(AND($E716="Tier 4",$F716="Remove",$H716&lt;&gt;"",ISNA(MATCH($H716,Tables!$B$171,0))),
Error!$B$15,
IF(AND($E716="Tier 4",$F716="Retain",$H716&lt;&gt;"",ISNA(MATCH($H716,Tables!$B$166:$B$168,0))),
Error!$B$15,
IF(AND($E716="Tier 3",$F716="Retain",$H716&lt;&gt;"",ISNA(MATCH($H716,Tables!$B$158:$B$160,0))),
Error!$B$15,
IF(AND($E716="Tier 3",$F716="Remove",$H716&lt;&gt;"",ISNA(MATCH($H716,Tables!$B$163,0))),
Error!$B$15,
IF(AND(OR($E716="Tier 2",$E716="Tier 2 Grove"),$F716="Remove",$H716&lt;&gt;"",ISNA(MATCH($H716,Tables!$B$153:$B$155,0))),
Error!$B$15,
IF(AND(OR($E716="Tier 2",$E716="Tier 2 Grove"),$F716="Retain",$H716&lt;&gt;"",ISNA(MATCH($H716,Tables!$B$147:$B$150,0))),
Error!$B$15,
IF(AND($E716="Tier 1",$F716="Remove",$H716&lt;&gt;"",ISNA(MATCH($H716,Tables!$B$143:$B$144,0))),
Error!$B$15,
IF(AND($E716="Tier 1",$F716="Retain",$H716&lt;&gt;"",ISNA(MATCH($H716,Tables!$B$137:$B$140,0))),
Error!$B$15,
IF(AND($E716&lt;&gt;"Tier 2",$E716&lt;&gt;"Tier 2 Grove",$E716&lt;&gt;"Tier 3",$E716&lt;&gt;"Tier 4",$H716="Zoning: Green Factor",OR($D716="",$D716&lt;6)),
Error!$B$11,
IF(AND(_xlpm.baseRow,$D716&lt;6,$E716="&lt;6in DSH for Tree Points",_xlpm.TreePoints_H=0),
Error!$B$21,
IF(AND(_xlpm.baseRow,$E716&lt;&gt;"",$D716&lt;&gt;"",$F716=""),
Error!$B$4,
IF(AND(_xlpm.baseRow,$F716="Remove",OR($E716="Tier 1",$E716="Tier 2",$E716="Tier 2 Grove"),COUNTBLANK(_xlpm.HRange)&lt;3,_xlpm.uniqueH&gt;=2),
Error!$B$48,
IF(AND(_xlpm.baseRow,$F716="Retain",OR($E716="Tier 1",$E716="Tier 2",$E716="Tier 2 Grove"),COUNTIF(_xlpm.HRange,"Tree Code: Required to Retain Tier 1-2 Tree")=0),
Error!$B$47,
IF(AND(_xlpm.baseRow,$E716&lt;&gt;"",$D716&lt;&gt;"",$F716&lt;&gt;"",COUNTBLANK(_xlpm.HRange)=4),
Error!$B$5,
IF(AND($F716="Remove",$H716&lt;&gt;"",$I716=""),
Error!$B$18,
IF(AND($E716="Tier 4",$F716="Remove",$H716="Tree Protection Code: Tier 3 or Tier 4 Allowance",$H716&lt;&gt;"",ISNA(MATCH($I716,Tables!$B$200,0))),
Error!$B$17,
IF(AND($E716="Tier 3",$F716="Remove",$H716&lt;&gt;"",$H716="Tree Protection Code: Tier 3 or Tier 4 Allowance",OR($I716="",ISNA(MATCH($I716,Tables!$B$193:$B$197,0)))),
Error!$B$17,
IF(AND(OR($E716="Tier 2",$E716="Tier 2 Grove"),$F716="Remove",$H716="Tree Protection Code: Other removal allowance or exemption",$I716&lt;&gt;"",ISNA(MATCH($I716,Tables!$B$215:$B$218,0))),
Error!$B$17,
IF(AND(OR($E716="Tier 2",$E716="Tier 2 Grove"),$F716="Remove",$H716="Tree Protection Code: Development Capacity",$I716&lt;&gt;"",ISNA(MATCH($I716,Tables!$B$193:$B$197,0))),
Error!$B$17,
IF(AND(OR($E716="Tier 2",$E716="Tier 2 Grove"),$F716="Remove",$H716="Tree Protection Code: Necessary for Construction",$I716&lt;&gt;"",ISNA(MATCH($I716,Tables!$B$193:$B$197,0))),
Error!$B$17,
IF(AND($E716="Tier 1",$F716="Remove",$H716="Tree Protection Code: Special Exception",$I716&lt;&gt;"",ISNA(MATCH($I716,Tables!$B$215:$B$218,0))),
Error!$B$17,
IF(AND($E716="Tier 1",$F716="Remove",$H716="Tree Protection Code: Other removal allowance or exemption",$I716&lt;&gt;"",ISNA(MATCH($I716,Tables!$B$215:$B$218,0))),
Error!$B$17,
IF(AND($E716="ECA / Shoreline Tree",$F716="Remove",$H716&lt;&gt;"",OR($H716="Shoreline",$H716="Environmental Critical Area (ECA)"),ISNA(MATCH($I716,Tables!$B$209:$B$212,0))),
Error!$B$17,
IF(AND(_xlpm.baseRow,$F716="Retain",$E716="ECA / Shoreline Tree",_xlpm.ECA_Short=0),
Error!$B$61,
IF(AND($F716="Remove",ISNUMBER(MATCH($E716,{"Tier 1","Tier 2","Tier 3","Tier 4","Tier 2 Grove"},0)),ISNUMBER(MATCH($I716,{"On-site replacement","Off-site replacement"},0)),$J716="",$H716&lt;&gt;""),
Error!$B$19,
IF(AND(_xlpm.baseRow,$E716&lt;&gt;"",$D716&lt;&gt;"",$F716&lt;&gt;"",COUNTBLANK($B716:$C716)&gt;0,COUNTBLANK(_xlpm.HRange)&lt;&gt;4),
Error!$B$22,
IF(AND($H716="Zoning: Tree Points",$K716&lt;&gt;"",ISNA(MATCH($K716,Tables!$B$242:$B$253,0))),
Error!$B$58,
IF(AND($H716="Zoning: Tree Points",$K716="Small",$L716&lt;&gt;"",ISNA(MATCH($L716,Tables!$C$243:$C$244,0))),
Error!$B$59,
IF(AND($H716="Zoning: Tree Points",$K716="Small/Medium",$L716&lt;&gt;"",ISNA(MATCH($L716,Tables!$C$246:$C$247,0))),
Error!$B$59,
IF(AND($H716="Zoning: Tree Points",$K716="Medium/Large",$L716&lt;&gt;"",ISNA(MATCH($L716,Tables!$C$249:$C$250,0))),
Error!$B$59,
IF(AND($H716="Zoning: Tree Points",$K716="Large",$L716&lt;&gt;"",ISNA(MATCH($L716,Tables!$C$252:$C$253,0))),
Error!$B$59,
IF(AND($F716="Retain",$H716="Zoning: Tree Points",$C716&lt;&gt;"",$D716&lt;&gt;"",OR($K716="",$L716="",$M716="")),
Error!$B$20,
""
)))))))))))))))))))))))))))))))))))))))))))))))))))))))),
Error!$B$23))</f>
        <v/>
      </c>
      <c r="O716" s="343" t="str" cm="1">
        <f t="array" aca="1" ref="O716" ca="1">IFERROR(_xlfn.LET(
    _xlpm.txt, $C716,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17" spans="1:15" x14ac:dyDescent="0.3">
      <c r="A717" s="320"/>
      <c r="B717" s="616" t="str">
        <f t="shared" si="847"/>
        <v/>
      </c>
      <c r="C717" s="617" t="str">
        <f t="shared" si="848"/>
        <v/>
      </c>
      <c r="D717" s="618" t="str">
        <f t="shared" si="849"/>
        <v/>
      </c>
      <c r="E717" s="616" t="str">
        <f t="shared" si="850"/>
        <v/>
      </c>
      <c r="F717" s="616" t="str">
        <f t="shared" si="851"/>
        <v/>
      </c>
      <c r="G717" s="619" t="str">
        <f>IF(Tree_Table1[[#This Row],[Tree Status  &amp;]]="Retain", Tables!$B$237, IF(Tree_Table1[[#This Row],[Tree Status  &amp;]]="Remove", Tables!$B$238, ""))</f>
        <v/>
      </c>
      <c r="H717" s="321"/>
      <c r="I717" s="322"/>
      <c r="J717" s="453"/>
      <c r="K717" s="323" t="str">
        <f>IFERROR(
    IF(
        AND($H717="Zoning: Tree Points", NOT(ISNUMBER(SEARCH("sp.", $C717)))),
        VLOOKUP($C717, 'Tree List'!$C$3:$F$601, 4, FALSE),
        ""
    ),
"")</f>
        <v/>
      </c>
      <c r="L717" s="324" t="str" cm="1">
        <f t="array" ref="L717">IFERROR(
IF(
    AND($H717="Zoning: Tree Points", NOT(ISNUMBER(SEARCH("sp.", $C717)))),
    _xlfn.IFS(
        (COUNTIFS('Tree List'!$C$3:$C$601,$C717,'Tree List'!$D$3:$D$601,"Coniferous")
        + COUNTIFS('Tree List'!$C$3:$C$601,$C717,'Tree List'!$D$3:$D$601,"Deciduous Conifer")) &gt; 0,
            _xlfn.IFS($K717="Small",0.5,$K717="Small/Medium",1,$K717="Medium/Large",1.4,$K717="Large",1.8),
        (COUNTIFS('Tree List'!$C$3:$C$601,$C717,'Tree List'!$D$3:$D$601,"Deciduous")
        + COUNTIFS('Tree List'!$C$3:$C$601,$C717,'Tree List'!$D$3:$D$601,"Broadleaf Evergreen")) &gt; 0,
            _xlfn.IFS($K717="Small",0.4,$K717="Small/Medium",0.8,$K717="Medium/Large",1.2,$K717="Large",1.6)
    ),
    ""
),
"")</f>
        <v/>
      </c>
      <c r="M717" s="475" t="str">
        <f t="shared" si="816"/>
        <v/>
      </c>
      <c r="N717" s="346" t="str" cm="1">
        <f t="array" aca="1" ref="N71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IF(AND(_xlpm.baseRow,ISNA(MATCH($C717,'Tree List'!$C$3:$C$601,0)),SUMPRODUCT(--ISNUMBER(SEARCH(Tables2!$C$677:$C$772,$O717)))&gt;0),
Error!$B$57,
IF(AND(_xlpm.hasDM,$F717="Remove",$H717&lt;&gt;"",OR($I717="On-site replacement",$I717="Off-site replacement",$I717="Payment In Lieu")),
Error!$B$56,
IF(AND(_xlpm.hasDM,$F717="Remove",$H717&lt;&gt;"",$I717="Relocation"),
Error!$B$66,
IF(AND(OR(_xlpm.hasCN,_xlpm.hasPH,_xlpm.hasGR),$H717&lt;&gt;"",COUNTIF(Tables!$B$132:$B$134,$H717)&gt;0,$I717="N/A (No replacement required)"),
Error!$B$62,
IF(AND(_xlpm.baseRow,$E717&lt;&gt;"",ISNA(MATCH($E717,Tables!$B$225:$B$232,0))),
Error!$B$2,
IF(AND(_xlpm.baseRow,$F717&lt;&gt;"",ISNA(MATCH($F717,Tables!$B$234:$B$235,0))),
Error!$B$24,
IF(AND(_xlpm.baseRow,_xlpm.ECA_H&gt;0,_xlpm.Shore_H&gt;0),
Error!$B$16,
IF(AND(_xlpm.baseRow,$E717&lt;&gt;"",$D717=""),
Error!$B$3,
IF(AND(_xlpm.baseRow,OR($E717="Tier 3",$E717="Tier 4"),$C717&lt;&gt;"",$D717&gt;=24,COUNTIF(Tables2!$B$166:$B$674,$C717)&gt;0),
Error!$B$44,
IF(AND(_xlpm.baseRow,OR($E717="Tier 3",$E717="Tier 4"),$C717&lt;&gt;"",$D717&lt;&gt;"",COUNTIF(Tables2!$B$73:$B$152,$C717)&gt;0,
$D717&gt;=IFERROR(INDEX(Tables2!$C$73:$C$152,MATCH($C717,Tables2!$B$73:$B$152,0)),-1)),
Error!$B$44,
IF(AND(_xlpm.baseRow,OR($E717="Tier 2",$E717="Tier 2 Grove"),$C717&lt;&gt;"",$D717&gt;=12,COUNTIF(Tables2!$B$153:$B$162,$C717)&gt;0),
Error!$B$45,
IF(AND(_xlpm.baseRow,$E717="Tier 2 Grove",$D717&lt;12),
Error!$B$41,
IF(AND(_xlpm.baseRow,$E717="Tier 2",$D717&lt;5.88),
Error!$B$40,
IF(AND(_xlpm.baseRow,OR($E717="Tier 2",$E717="Tier 2 Grove"),$C717&lt;&gt;"",$D717&lt;12,$D717&gt;=6,COUNTIF(Tables2!$B$153:$B$162,$C717)&gt;0),
Error!$B$54,
IF(AND(_xlpm.baseRow,$E717="Tier 2",COUNTIF(Tables2!$B$166:$B$674,$C717)&gt;0,$D717&lt;24),
Error!$B$54,
IF(AND(_xlpm.baseRow,$E717="Tier 3",ISNA(MATCH($C717,Tables2!$B$153:$B$162,0)),OR($D717&lt;12,$D717&gt;=24)),
Error!$B$9,
IF(AND(_xlpm.baseRow,$E717="Tier 3",COUNTIF(Tables2!$B$153:$B$162,$C717)&gt;0,$D717&lt;12),
Error!$B$46,
IF(AND(_xlpm.baseRow,$E717="Tier 4",OR($D717&lt;6,$D717&gt;=12)),
Error!$B$10,
IF(AND(_xlpm.baseRow,$E717="&lt;6in DSH for Tree Points",OR($D717&gt;=6,$D717="")),
Error!$B$8,
IF(AND(_xlpm.baseRow,$E717="Street Tree for Green Factor",$F717&lt;&gt;"",$F717&lt;&gt;"Retain"),
Error!$B$14,
IF(AND($E717="&lt;6in DSH for Tree Points",$F717="Retain",$H717&lt;&gt;"",ISNA(MATCH($H717,Tables!$B$174:$B$174,0))),
Error!$B$15,
IF(AND($E717="Street Tree for Green Factor",$F717="Retain",$H717&lt;&gt;"",$H717&lt;&gt;"Zoning: Green Factor"),
Error!$B$15,
IF(AND($E717="ECA / Shoreline Tree",$F717="Remove",$H717&lt;&gt;"",ISNA(MATCH($H717,Tables!$B$189:$B$190,0))),
Error!$B$15,
IF(AND($E717="ECA / Shoreline Tree",$F717="Retain",$H717&lt;&gt;"",ISNA(MATCH($H717,Tables!$B$184:$B$186,0))),
Error!$B$15,
IF(AND($E717="Tier 4",$F717="Remove",$H717&lt;&gt;"",ISNA(MATCH($H717,Tables!$B$171,0))),
Error!$B$15,
IF(AND($E717="Tier 4",$F717="Retain",$H717&lt;&gt;"",ISNA(MATCH($H717,Tables!$B$166:$B$168,0))),
Error!$B$15,
IF(AND($E717="Tier 3",$F717="Retain",$H717&lt;&gt;"",ISNA(MATCH($H717,Tables!$B$158:$B$160,0))),
Error!$B$15,
IF(AND($E717="Tier 3",$F717="Remove",$H717&lt;&gt;"",ISNA(MATCH($H717,Tables!$B$163,0))),
Error!$B$15,
IF(AND(OR($E717="Tier 2",$E717="Tier 2 Grove"),$F717="Remove",$H717&lt;&gt;"",ISNA(MATCH($H717,Tables!$B$153:$B$155,0))),
Error!$B$15,
IF(AND(OR($E717="Tier 2",$E717="Tier 2 Grove"),$F717="Retain",$H717&lt;&gt;"",ISNA(MATCH($H717,Tables!$B$147:$B$150,0))),
Error!$B$15,
IF(AND($E717="Tier 1",$F717="Remove",$H717&lt;&gt;"",ISNA(MATCH($H717,Tables!$B$143:$B$144,0))),
Error!$B$15,
IF(AND($E717="Tier 1",$F717="Retain",$H717&lt;&gt;"",ISNA(MATCH($H717,Tables!$B$137:$B$140,0))),
Error!$B$15,
IF(AND($E717&lt;&gt;"Tier 2",$E717&lt;&gt;"Tier 2 Grove",$E717&lt;&gt;"Tier 3",$E717&lt;&gt;"Tier 4",$H717="Zoning: Green Factor",OR($D717="",$D717&lt;6)),
Error!$B$11,
IF(AND(_xlpm.baseRow,$D717&lt;6,$E717="&lt;6in DSH for Tree Points",_xlpm.TreePoints_H=0),
Error!$B$21,
IF(AND(_xlpm.baseRow,$E717&lt;&gt;"",$D717&lt;&gt;"",$F717=""),
Error!$B$4,
IF(AND(_xlpm.baseRow,$F717="Remove",OR($E717="Tier 1",$E717="Tier 2",$E717="Tier 2 Grove"),COUNTBLANK(_xlpm.HRange)&lt;3,_xlpm.uniqueH&gt;=2),
Error!$B$48,
IF(AND(_xlpm.baseRow,$F717="Retain",OR($E717="Tier 1",$E717="Tier 2",$E717="Tier 2 Grove"),COUNTIF(_xlpm.HRange,"Tree Code: Required to Retain Tier 1-2 Tree")=0),
Error!$B$47,
IF(AND(_xlpm.baseRow,$E717&lt;&gt;"",$D717&lt;&gt;"",$F717&lt;&gt;"",COUNTBLANK(_xlpm.HRange)=4),
Error!$B$5,
IF(AND($F717="Remove",$H717&lt;&gt;"",$I717=""),
Error!$B$18,
IF(AND($E717="Tier 4",$F717="Remove",$H717="Tree Protection Code: Tier 3 or Tier 4 Allowance",$H717&lt;&gt;"",ISNA(MATCH($I717,Tables!$B$200,0))),
Error!$B$17,
IF(AND($E717="Tier 3",$F717="Remove",$H717&lt;&gt;"",$H717="Tree Protection Code: Tier 3 or Tier 4 Allowance",OR($I717="",ISNA(MATCH($I717,Tables!$B$193:$B$197,0)))),
Error!$B$17,
IF(AND(OR($E717="Tier 2",$E717="Tier 2 Grove"),$F717="Remove",$H717="Tree Protection Code: Other removal allowance or exemption",$I717&lt;&gt;"",ISNA(MATCH($I717,Tables!$B$215:$B$218,0))),
Error!$B$17,
IF(AND(OR($E717="Tier 2",$E717="Tier 2 Grove"),$F717="Remove",$H717="Tree Protection Code: Development Capacity",$I717&lt;&gt;"",ISNA(MATCH($I717,Tables!$B$193:$B$197,0))),
Error!$B$17,
IF(AND(OR($E717="Tier 2",$E717="Tier 2 Grove"),$F717="Remove",$H717="Tree Protection Code: Necessary for Construction",$I717&lt;&gt;"",ISNA(MATCH($I717,Tables!$B$193:$B$197,0))),
Error!$B$17,
IF(AND($E717="Tier 1",$F717="Remove",$H717="Tree Protection Code: Special Exception",$I717&lt;&gt;"",ISNA(MATCH($I717,Tables!$B$215:$B$218,0))),
Error!$B$17,
IF(AND($E717="Tier 1",$F717="Remove",$H717="Tree Protection Code: Other removal allowance or exemption",$I717&lt;&gt;"",ISNA(MATCH($I717,Tables!$B$215:$B$218,0))),
Error!$B$17,
IF(AND($E717="ECA / Shoreline Tree",$F717="Remove",$H717&lt;&gt;"",OR($H717="Shoreline",$H717="Environmental Critical Area (ECA)"),ISNA(MATCH($I717,Tables!$B$209:$B$212,0))),
Error!$B$17,
IF(AND(_xlpm.baseRow,$F717="Retain",$E717="ECA / Shoreline Tree",_xlpm.ECA_Short=0),
Error!$B$61,
IF(AND($F717="Remove",ISNUMBER(MATCH($E717,{"Tier 1","Tier 2","Tier 3","Tier 4","Tier 2 Grove"},0)),ISNUMBER(MATCH($I717,{"On-site replacement","Off-site replacement"},0)),$J717="",$H717&lt;&gt;""),
Error!$B$19,
IF(AND(_xlpm.baseRow,$E717&lt;&gt;"",$D717&lt;&gt;"",$F717&lt;&gt;"",COUNTBLANK($B717:$C717)&gt;0,COUNTBLANK(_xlpm.HRange)&lt;&gt;4),
Error!$B$22,
IF(AND($H717="Zoning: Tree Points",$K717&lt;&gt;"",ISNA(MATCH($K717,Tables!$B$242:$B$253,0))),
Error!$B$58,
IF(AND($H717="Zoning: Tree Points",$K717="Small",$L717&lt;&gt;"",ISNA(MATCH($L717,Tables!$C$243:$C$244,0))),
Error!$B$59,
IF(AND($H717="Zoning: Tree Points",$K717="Small/Medium",$L717&lt;&gt;"",ISNA(MATCH($L717,Tables!$C$246:$C$247,0))),
Error!$B$59,
IF(AND($H717="Zoning: Tree Points",$K717="Medium/Large",$L717&lt;&gt;"",ISNA(MATCH($L717,Tables!$C$249:$C$250,0))),
Error!$B$59,
IF(AND($H717="Zoning: Tree Points",$K717="Large",$L717&lt;&gt;"",ISNA(MATCH($L717,Tables!$C$252:$C$253,0))),
Error!$B$59,
IF(AND($F717="Retain",$H717="Zoning: Tree Points",$C717&lt;&gt;"",$D717&lt;&gt;"",OR($K717="",$L717="",$M717="")),
Error!$B$20,
""
)))))))))))))))))))))))))))))))))))))))))))))))))))))))),
Error!$B$23))</f>
        <v/>
      </c>
      <c r="O717" s="343" t="str" cm="1">
        <f t="array" aca="1" ref="O717" ca="1">IFERROR(_xlfn.LET(
    _xlpm.txt, $C717,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18" spans="1:15" ht="15" thickBot="1" x14ac:dyDescent="0.35">
      <c r="A718" s="331"/>
      <c r="B718" s="616" t="str">
        <f t="shared" si="847"/>
        <v/>
      </c>
      <c r="C718" s="617" t="str">
        <f t="shared" si="848"/>
        <v/>
      </c>
      <c r="D718" s="618" t="str">
        <f t="shared" si="849"/>
        <v/>
      </c>
      <c r="E718" s="616" t="str">
        <f t="shared" si="850"/>
        <v/>
      </c>
      <c r="F718" s="616" t="str">
        <f t="shared" si="851"/>
        <v/>
      </c>
      <c r="G718" s="619" t="str">
        <f>IF(Tree_Table1[[#This Row],[Tree Status  &amp;]]="Retain", Tables!$B$237, IF(Tree_Table1[[#This Row],[Tree Status  &amp;]]="Remove", Tables!$B$238, ""))</f>
        <v/>
      </c>
      <c r="H718" s="329"/>
      <c r="I718" s="330"/>
      <c r="J718" s="455"/>
      <c r="K718" s="327" t="str">
        <f>IFERROR(
    IF(
        AND($H718="Zoning: Tree Points", NOT(ISNUMBER(SEARCH("sp.", $C718)))),
        VLOOKUP($C718, 'Tree List'!$C$3:$F$601, 4, FALSE),
        ""
    ),
"")</f>
        <v/>
      </c>
      <c r="L718" s="328" t="str" cm="1">
        <f t="array" ref="L718">IFERROR(
IF(
    AND($H718="Zoning: Tree Points", NOT(ISNUMBER(SEARCH("sp.", $C718)))),
    _xlfn.IFS(
        (COUNTIFS('Tree List'!$C$3:$C$601,$C718,'Tree List'!$D$3:$D$601,"Coniferous")
        + COUNTIFS('Tree List'!$C$3:$C$601,$C718,'Tree List'!$D$3:$D$601,"Deciduous Conifer")) &gt; 0,
            _xlfn.IFS($K718="Small",0.5,$K718="Small/Medium",1,$K718="Medium/Large",1.4,$K718="Large",1.8),
        (COUNTIFS('Tree List'!$C$3:$C$601,$C718,'Tree List'!$D$3:$D$601,"Deciduous")
        + COUNTIFS('Tree List'!$C$3:$C$601,$C718,'Tree List'!$D$3:$D$601,"Broadleaf Evergreen")) &gt; 0,
            _xlfn.IFS($K718="Small",0.4,$K718="Small/Medium",0.8,$K718="Medium/Large",1.2,$K718="Large",1.6)
    ),
    ""
),
"")</f>
        <v/>
      </c>
      <c r="M718" s="476" t="str">
        <f t="shared" si="816"/>
        <v/>
      </c>
      <c r="N718" s="347" t="str" cm="1">
        <f t="array" aca="1" ref="N71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IF(AND(_xlpm.baseRow,ISNA(MATCH($C718,'Tree List'!$C$3:$C$601,0)),SUMPRODUCT(--ISNUMBER(SEARCH(Tables2!$C$677:$C$772,$O718)))&gt;0),
Error!$B$57,
IF(AND(_xlpm.hasDM,$F718="Remove",$H718&lt;&gt;"",OR($I718="On-site replacement",$I718="Off-site replacement",$I718="Payment In Lieu")),
Error!$B$56,
IF(AND(_xlpm.hasDM,$F718="Remove",$H718&lt;&gt;"",$I718="Relocation"),
Error!$B$66,
IF(AND(OR(_xlpm.hasCN,_xlpm.hasPH,_xlpm.hasGR),$H718&lt;&gt;"",COUNTIF(Tables!$B$132:$B$134,$H718)&gt;0,$I718="N/A (No replacement required)"),
Error!$B$62,
IF(AND(_xlpm.baseRow,$E718&lt;&gt;"",ISNA(MATCH($E718,Tables!$B$225:$B$232,0))),
Error!$B$2,
IF(AND(_xlpm.baseRow,$F718&lt;&gt;"",ISNA(MATCH($F718,Tables!$B$234:$B$235,0))),
Error!$B$24,
IF(AND(_xlpm.baseRow,_xlpm.ECA_H&gt;0,_xlpm.Shore_H&gt;0),
Error!$B$16,
IF(AND(_xlpm.baseRow,$E718&lt;&gt;"",$D718=""),
Error!$B$3,
IF(AND(_xlpm.baseRow,OR($E718="Tier 3",$E718="Tier 4"),$C718&lt;&gt;"",$D718&gt;=24,COUNTIF(Tables2!$B$166:$B$674,$C718)&gt;0),
Error!$B$44,
IF(AND(_xlpm.baseRow,OR($E718="Tier 3",$E718="Tier 4"),$C718&lt;&gt;"",$D718&lt;&gt;"",COUNTIF(Tables2!$B$73:$B$152,$C718)&gt;0,
$D718&gt;=IFERROR(INDEX(Tables2!$C$73:$C$152,MATCH($C718,Tables2!$B$73:$B$152,0)),-1)),
Error!$B$44,
IF(AND(_xlpm.baseRow,OR($E718="Tier 2",$E718="Tier 2 Grove"),$C718&lt;&gt;"",$D718&gt;=12,COUNTIF(Tables2!$B$153:$B$162,$C718)&gt;0),
Error!$B$45,
IF(AND(_xlpm.baseRow,$E718="Tier 2 Grove",$D718&lt;12),
Error!$B$41,
IF(AND(_xlpm.baseRow,$E718="Tier 2",$D718&lt;5.88),
Error!$B$40,
IF(AND(_xlpm.baseRow,OR($E718="Tier 2",$E718="Tier 2 Grove"),$C718&lt;&gt;"",$D718&lt;12,$D718&gt;=6,COUNTIF(Tables2!$B$153:$B$162,$C718)&gt;0),
Error!$B$54,
IF(AND(_xlpm.baseRow,$E718="Tier 2",COUNTIF(Tables2!$B$166:$B$674,$C718)&gt;0,$D718&lt;24),
Error!$B$54,
IF(AND(_xlpm.baseRow,$E718="Tier 3",ISNA(MATCH($C718,Tables2!$B$153:$B$162,0)),OR($D718&lt;12,$D718&gt;=24)),
Error!$B$9,
IF(AND(_xlpm.baseRow,$E718="Tier 3",COUNTIF(Tables2!$B$153:$B$162,$C718)&gt;0,$D718&lt;12),
Error!$B$46,
IF(AND(_xlpm.baseRow,$E718="Tier 4",OR($D718&lt;6,$D718&gt;=12)),
Error!$B$10,
IF(AND(_xlpm.baseRow,$E718="&lt;6in DSH for Tree Points",OR($D718&gt;=6,$D718="")),
Error!$B$8,
IF(AND(_xlpm.baseRow,$E718="Street Tree for Green Factor",$F718&lt;&gt;"",$F718&lt;&gt;"Retain"),
Error!$B$14,
IF(AND($E718="&lt;6in DSH for Tree Points",$F718="Retain",$H718&lt;&gt;"",ISNA(MATCH($H718,Tables!$B$174:$B$174,0))),
Error!$B$15,
IF(AND($E718="Street Tree for Green Factor",$F718="Retain",$H718&lt;&gt;"",$H718&lt;&gt;"Zoning: Green Factor"),
Error!$B$15,
IF(AND($E718="ECA / Shoreline Tree",$F718="Remove",$H718&lt;&gt;"",ISNA(MATCH($H718,Tables!$B$189:$B$190,0))),
Error!$B$15,
IF(AND($E718="ECA / Shoreline Tree",$F718="Retain",$H718&lt;&gt;"",ISNA(MATCH($H718,Tables!$B$184:$B$186,0))),
Error!$B$15,
IF(AND($E718="Tier 4",$F718="Remove",$H718&lt;&gt;"",ISNA(MATCH($H718,Tables!$B$171,0))),
Error!$B$15,
IF(AND($E718="Tier 4",$F718="Retain",$H718&lt;&gt;"",ISNA(MATCH($H718,Tables!$B$166:$B$168,0))),
Error!$B$15,
IF(AND($E718="Tier 3",$F718="Retain",$H718&lt;&gt;"",ISNA(MATCH($H718,Tables!$B$158:$B$160,0))),
Error!$B$15,
IF(AND($E718="Tier 3",$F718="Remove",$H718&lt;&gt;"",ISNA(MATCH($H718,Tables!$B$163,0))),
Error!$B$15,
IF(AND(OR($E718="Tier 2",$E718="Tier 2 Grove"),$F718="Remove",$H718&lt;&gt;"",ISNA(MATCH($H718,Tables!$B$153:$B$155,0))),
Error!$B$15,
IF(AND(OR($E718="Tier 2",$E718="Tier 2 Grove"),$F718="Retain",$H718&lt;&gt;"",ISNA(MATCH($H718,Tables!$B$147:$B$150,0))),
Error!$B$15,
IF(AND($E718="Tier 1",$F718="Remove",$H718&lt;&gt;"",ISNA(MATCH($H718,Tables!$B$143:$B$144,0))),
Error!$B$15,
IF(AND($E718="Tier 1",$F718="Retain",$H718&lt;&gt;"",ISNA(MATCH($H718,Tables!$B$137:$B$140,0))),
Error!$B$15,
IF(AND($E718&lt;&gt;"Tier 2",$E718&lt;&gt;"Tier 2 Grove",$E718&lt;&gt;"Tier 3",$E718&lt;&gt;"Tier 4",$H718="Zoning: Green Factor",OR($D718="",$D718&lt;6)),
Error!$B$11,
IF(AND(_xlpm.baseRow,$D718&lt;6,$E718="&lt;6in DSH for Tree Points",_xlpm.TreePoints_H=0),
Error!$B$21,
IF(AND(_xlpm.baseRow,$E718&lt;&gt;"",$D718&lt;&gt;"",$F718=""),
Error!$B$4,
IF(AND(_xlpm.baseRow,$F718="Remove",OR($E718="Tier 1",$E718="Tier 2",$E718="Tier 2 Grove"),COUNTBLANK(_xlpm.HRange)&lt;3,_xlpm.uniqueH&gt;=2),
Error!$B$48,
IF(AND(_xlpm.baseRow,$F718="Retain",OR($E718="Tier 1",$E718="Tier 2",$E718="Tier 2 Grove"),COUNTIF(_xlpm.HRange,"Tree Code: Required to Retain Tier 1-2 Tree")=0),
Error!$B$47,
IF(AND(_xlpm.baseRow,$E718&lt;&gt;"",$D718&lt;&gt;"",$F718&lt;&gt;"",COUNTBLANK(_xlpm.HRange)=4),
Error!$B$5,
IF(AND($F718="Remove",$H718&lt;&gt;"",$I718=""),
Error!$B$18,
IF(AND($E718="Tier 4",$F718="Remove",$H718="Tree Protection Code: Tier 3 or Tier 4 Allowance",$H718&lt;&gt;"",ISNA(MATCH($I718,Tables!$B$200,0))),
Error!$B$17,
IF(AND($E718="Tier 3",$F718="Remove",$H718&lt;&gt;"",$H718="Tree Protection Code: Tier 3 or Tier 4 Allowance",OR($I718="",ISNA(MATCH($I718,Tables!$B$193:$B$197,0)))),
Error!$B$17,
IF(AND(OR($E718="Tier 2",$E718="Tier 2 Grove"),$F718="Remove",$H718="Tree Protection Code: Other removal allowance or exemption",$I718&lt;&gt;"",ISNA(MATCH($I718,Tables!$B$215:$B$218,0))),
Error!$B$17,
IF(AND(OR($E718="Tier 2",$E718="Tier 2 Grove"),$F718="Remove",$H718="Tree Protection Code: Development Capacity",$I718&lt;&gt;"",ISNA(MATCH($I718,Tables!$B$193:$B$197,0))),
Error!$B$17,
IF(AND(OR($E718="Tier 2",$E718="Tier 2 Grove"),$F718="Remove",$H718="Tree Protection Code: Necessary for Construction",$I718&lt;&gt;"",ISNA(MATCH($I718,Tables!$B$193:$B$197,0))),
Error!$B$17,
IF(AND($E718="Tier 1",$F718="Remove",$H718="Tree Protection Code: Special Exception",$I718&lt;&gt;"",ISNA(MATCH($I718,Tables!$B$215:$B$218,0))),
Error!$B$17,
IF(AND($E718="Tier 1",$F718="Remove",$H718="Tree Protection Code: Other removal allowance or exemption",$I718&lt;&gt;"",ISNA(MATCH($I718,Tables!$B$215:$B$218,0))),
Error!$B$17,
IF(AND($E718="ECA / Shoreline Tree",$F718="Remove",$H718&lt;&gt;"",OR($H718="Shoreline",$H718="Environmental Critical Area (ECA)"),ISNA(MATCH($I718,Tables!$B$209:$B$212,0))),
Error!$B$17,
IF(AND(_xlpm.baseRow,$F718="Retain",$E718="ECA / Shoreline Tree",_xlpm.ECA_Short=0),
Error!$B$61,
IF(AND($F718="Remove",ISNUMBER(MATCH($E718,{"Tier 1","Tier 2","Tier 3","Tier 4","Tier 2 Grove"},0)),ISNUMBER(MATCH($I718,{"On-site replacement","Off-site replacement"},0)),$J718="",$H718&lt;&gt;""),
Error!$B$19,
IF(AND(_xlpm.baseRow,$E718&lt;&gt;"",$D718&lt;&gt;"",$F718&lt;&gt;"",COUNTBLANK($B718:$C718)&gt;0,COUNTBLANK(_xlpm.HRange)&lt;&gt;4),
Error!$B$22,
IF(AND($H718="Zoning: Tree Points",$K718&lt;&gt;"",ISNA(MATCH($K718,Tables!$B$242:$B$253,0))),
Error!$B$58,
IF(AND($H718="Zoning: Tree Points",$K718="Small",$L718&lt;&gt;"",ISNA(MATCH($L718,Tables!$C$243:$C$244,0))),
Error!$B$59,
IF(AND($H718="Zoning: Tree Points",$K718="Small/Medium",$L718&lt;&gt;"",ISNA(MATCH($L718,Tables!$C$246:$C$247,0))),
Error!$B$59,
IF(AND($H718="Zoning: Tree Points",$K718="Medium/Large",$L718&lt;&gt;"",ISNA(MATCH($L718,Tables!$C$249:$C$250,0))),
Error!$B$59,
IF(AND($H718="Zoning: Tree Points",$K718="Large",$L718&lt;&gt;"",ISNA(MATCH($L718,Tables!$C$252:$C$253,0))),
Error!$B$59,
IF(AND($F718="Retain",$H718="Zoning: Tree Points",$C718&lt;&gt;"",$D718&lt;&gt;"",OR($K718="",$L718="",$M718="")),
Error!$B$20,
""
)))))))))))))))))))))))))))))))))))))))))))))))))))))))),
Error!$B$23))</f>
        <v/>
      </c>
      <c r="O718" s="343" t="str" cm="1">
        <f t="array" aca="1" ref="O718" ca="1">IFERROR(_xlfn.LET(
    _xlpm.txt, $C718,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19" spans="1:15" ht="15" thickBot="1" x14ac:dyDescent="0.35">
      <c r="A719" s="311">
        <v>178</v>
      </c>
      <c r="B719" s="312"/>
      <c r="C719" s="313"/>
      <c r="D719" s="478"/>
      <c r="E719" s="314"/>
      <c r="F719" s="314"/>
      <c r="G719" s="315" t="str">
        <f>IF(Tree_Table1[[#This Row],[Tree Status  &amp;]]="Retain", Tables!$B$237, IF(Tree_Table1[[#This Row],[Tree Status  &amp;]]="Remove", Tables!$B$238, ""))</f>
        <v/>
      </c>
      <c r="H719" s="316"/>
      <c r="I719" s="317"/>
      <c r="J719" s="452"/>
      <c r="K719" s="318" t="str">
        <f>IFERROR(
    IF(
        AND($H719="Zoning: Tree Points", NOT(ISNUMBER(SEARCH("sp.", $C719)))),
        VLOOKUP($C719, 'Tree List'!$C$3:$F$601, 4, FALSE),
        ""
    ),
"")</f>
        <v/>
      </c>
      <c r="L719" s="319" t="str" cm="1">
        <f t="array" ref="L719">IFERROR(
IF(
    AND($H719="Zoning: Tree Points", NOT(ISNUMBER(SEARCH("sp.", $C719)))),
    _xlfn.IFS(
        (COUNTIFS('Tree List'!$C$3:$C$601,$C719,'Tree List'!$D$3:$D$601,"Coniferous")
        + COUNTIFS('Tree List'!$C$3:$C$601,$C719,'Tree List'!$D$3:$D$601,"Deciduous Conifer")) &gt; 0,
            _xlfn.IFS($K719="Small",0.5,$K719="Small/Medium",1,$K719="Medium/Large",1.4,$K719="Large",1.8),
        (COUNTIFS('Tree List'!$C$3:$C$601,$C719,'Tree List'!$D$3:$D$601,"Deciduous")
        + COUNTIFS('Tree List'!$C$3:$C$601,$C719,'Tree List'!$D$3:$D$601,"Broadleaf Evergreen")) &gt; 0,
            _xlfn.IFS($K719="Small",0.4,$K719="Small/Medium",0.8,$K719="Medium/Large",1.2,$K719="Large",1.6)
    ),
    ""
),
"")</f>
        <v/>
      </c>
      <c r="M719" s="474" t="str">
        <f t="shared" si="816"/>
        <v/>
      </c>
      <c r="N719" s="620" t="str" cm="1">
        <f t="array" aca="1" ref="N71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IF(AND(_xlpm.baseRow,ISNA(MATCH($C719,'Tree List'!$C$3:$C$601,0)),SUMPRODUCT(--ISNUMBER(SEARCH(Tables2!$C$677:$C$772,$O719)))&gt;0),
Error!$B$57,
IF(AND(_xlpm.hasDM,$F719="Remove",$H719&lt;&gt;"",OR($I719="On-site replacement",$I719="Off-site replacement",$I719="Payment In Lieu")),
Error!$B$56,
IF(AND(_xlpm.hasDM,$F719="Remove",$H719&lt;&gt;"",$I719="Relocation"),
Error!$B$66,
IF(AND(OR(_xlpm.hasCN,_xlpm.hasPH,_xlpm.hasGR),$H719&lt;&gt;"",COUNTIF(Tables!$B$132:$B$134,$H719)&gt;0,$I719="N/A (No replacement required)"),
Error!$B$62,
IF(AND(_xlpm.baseRow,$E719&lt;&gt;"",ISNA(MATCH($E719,Tables!$B$225:$B$232,0))),
Error!$B$2,
IF(AND(_xlpm.baseRow,$F719&lt;&gt;"",ISNA(MATCH($F719,Tables!$B$234:$B$235,0))),
Error!$B$24,
IF(AND(_xlpm.baseRow,_xlpm.ECA_H&gt;0,_xlpm.Shore_H&gt;0),
Error!$B$16,
IF(AND(_xlpm.baseRow,$E719&lt;&gt;"",$D719=""),
Error!$B$3,
IF(AND(_xlpm.baseRow,OR($E719="Tier 3",$E719="Tier 4"),$C719&lt;&gt;"",$D719&gt;=24,COUNTIF(Tables2!$B$166:$B$674,$C719)&gt;0),
Error!$B$44,
IF(AND(_xlpm.baseRow,OR($E719="Tier 3",$E719="Tier 4"),$C719&lt;&gt;"",$D719&lt;&gt;"",COUNTIF(Tables2!$B$73:$B$152,$C719)&gt;0,
$D719&gt;=IFERROR(INDEX(Tables2!$C$73:$C$152,MATCH($C719,Tables2!$B$73:$B$152,0)),-1)),
Error!$B$44,
IF(AND(_xlpm.baseRow,OR($E719="Tier 2",$E719="Tier 2 Grove"),$C719&lt;&gt;"",$D719&gt;=12,COUNTIF(Tables2!$B$153:$B$162,$C719)&gt;0),
Error!$B$45,
IF(AND(_xlpm.baseRow,$E719="Tier 2 Grove",$D719&lt;12),
Error!$B$41,
IF(AND(_xlpm.baseRow,$E719="Tier 2",$D719&lt;5.88),
Error!$B$40,
IF(AND(_xlpm.baseRow,OR($E719="Tier 2",$E719="Tier 2 Grove"),$C719&lt;&gt;"",$D719&lt;12,$D719&gt;=6,COUNTIF(Tables2!$B$153:$B$162,$C719)&gt;0),
Error!$B$54,
IF(AND(_xlpm.baseRow,$E719="Tier 2",COUNTIF(Tables2!$B$166:$B$674,$C719)&gt;0,$D719&lt;24),
Error!$B$54,
IF(AND(_xlpm.baseRow,$E719="Tier 3",ISNA(MATCH($C719,Tables2!$B$153:$B$162,0)),OR($D719&lt;12,$D719&gt;=24)),
Error!$B$9,
IF(AND(_xlpm.baseRow,$E719="Tier 3",COUNTIF(Tables2!$B$153:$B$162,$C719)&gt;0,$D719&lt;12),
Error!$B$46,
IF(AND(_xlpm.baseRow,$E719="Tier 4",OR($D719&lt;6,$D719&gt;=12)),
Error!$B$10,
IF(AND(_xlpm.baseRow,$E719="&lt;6in DSH for Tree Points",OR($D719&gt;=6,$D719="")),
Error!$B$8,
IF(AND(_xlpm.baseRow,$E719="Street Tree for Green Factor",$F719&lt;&gt;"",$F719&lt;&gt;"Retain"),
Error!$B$14,
IF(AND($E719="&lt;6in DSH for Tree Points",$F719="Retain",$H719&lt;&gt;"",ISNA(MATCH($H719,Tables!$B$174:$B$174,0))),
Error!$B$15,
IF(AND($E719="Street Tree for Green Factor",$F719="Retain",$H719&lt;&gt;"",$H719&lt;&gt;"Zoning: Green Factor"),
Error!$B$15,
IF(AND($E719="ECA / Shoreline Tree",$F719="Remove",$H719&lt;&gt;"",ISNA(MATCH($H719,Tables!$B$189:$B$190,0))),
Error!$B$15,
IF(AND($E719="ECA / Shoreline Tree",$F719="Retain",$H719&lt;&gt;"",ISNA(MATCH($H719,Tables!$B$184:$B$186,0))),
Error!$B$15,
IF(AND($E719="Tier 4",$F719="Remove",$H719&lt;&gt;"",ISNA(MATCH($H719,Tables!$B$171,0))),
Error!$B$15,
IF(AND($E719="Tier 4",$F719="Retain",$H719&lt;&gt;"",ISNA(MATCH($H719,Tables!$B$166:$B$168,0))),
Error!$B$15,
IF(AND($E719="Tier 3",$F719="Retain",$H719&lt;&gt;"",ISNA(MATCH($H719,Tables!$B$158:$B$160,0))),
Error!$B$15,
IF(AND($E719="Tier 3",$F719="Remove",$H719&lt;&gt;"",ISNA(MATCH($H719,Tables!$B$163,0))),
Error!$B$15,
IF(AND(OR($E719="Tier 2",$E719="Tier 2 Grove"),$F719="Remove",$H719&lt;&gt;"",ISNA(MATCH($H719,Tables!$B$153:$B$155,0))),
Error!$B$15,
IF(AND(OR($E719="Tier 2",$E719="Tier 2 Grove"),$F719="Retain",$H719&lt;&gt;"",ISNA(MATCH($H719,Tables!$B$147:$B$150,0))),
Error!$B$15,
IF(AND($E719="Tier 1",$F719="Remove",$H719&lt;&gt;"",ISNA(MATCH($H719,Tables!$B$143:$B$144,0))),
Error!$B$15,
IF(AND($E719="Tier 1",$F719="Retain",$H719&lt;&gt;"",ISNA(MATCH($H719,Tables!$B$137:$B$140,0))),
Error!$B$15,
IF(AND($E719&lt;&gt;"Tier 2",$E719&lt;&gt;"Tier 2 Grove",$E719&lt;&gt;"Tier 3",$E719&lt;&gt;"Tier 4",$H719="Zoning: Green Factor",OR($D719="",$D719&lt;6)),
Error!$B$11,
IF(AND(_xlpm.baseRow,$D719&lt;6,$E719="&lt;6in DSH for Tree Points",_xlpm.TreePoints_H=0),
Error!$B$21,
IF(AND(_xlpm.baseRow,$E719&lt;&gt;"",$D719&lt;&gt;"",$F719=""),
Error!$B$4,
IF(AND(_xlpm.baseRow,$F719="Remove",OR($E719="Tier 1",$E719="Tier 2",$E719="Tier 2 Grove"),COUNTBLANK(_xlpm.HRange)&lt;3,_xlpm.uniqueH&gt;=2),
Error!$B$48,
IF(AND(_xlpm.baseRow,$F719="Retain",OR($E719="Tier 1",$E719="Tier 2",$E719="Tier 2 Grove"),COUNTIF(_xlpm.HRange,"Tree Code: Required to Retain Tier 1-2 Tree")=0),
Error!$B$47,
IF(AND(_xlpm.baseRow,$E719&lt;&gt;"",$D719&lt;&gt;"",$F719&lt;&gt;"",COUNTBLANK(_xlpm.HRange)=4),
Error!$B$5,
IF(AND($F719="Remove",$H719&lt;&gt;"",$I719=""),
Error!$B$18,
IF(AND($E719="Tier 4",$F719="Remove",$H719="Tree Protection Code: Tier 3 or Tier 4 Allowance",$H719&lt;&gt;"",ISNA(MATCH($I719,Tables!$B$200,0))),
Error!$B$17,
IF(AND($E719="Tier 3",$F719="Remove",$H719&lt;&gt;"",$H719="Tree Protection Code: Tier 3 or Tier 4 Allowance",OR($I719="",ISNA(MATCH($I719,Tables!$B$193:$B$197,0)))),
Error!$B$17,
IF(AND(OR($E719="Tier 2",$E719="Tier 2 Grove"),$F719="Remove",$H719="Tree Protection Code: Other removal allowance or exemption",$I719&lt;&gt;"",ISNA(MATCH($I719,Tables!$B$215:$B$218,0))),
Error!$B$17,
IF(AND(OR($E719="Tier 2",$E719="Tier 2 Grove"),$F719="Remove",$H719="Tree Protection Code: Development Capacity",$I719&lt;&gt;"",ISNA(MATCH($I719,Tables!$B$193:$B$197,0))),
Error!$B$17,
IF(AND(OR($E719="Tier 2",$E719="Tier 2 Grove"),$F719="Remove",$H719="Tree Protection Code: Necessary for Construction",$I719&lt;&gt;"",ISNA(MATCH($I719,Tables!$B$193:$B$197,0))),
Error!$B$17,
IF(AND($E719="Tier 1",$F719="Remove",$H719="Tree Protection Code: Special Exception",$I719&lt;&gt;"",ISNA(MATCH($I719,Tables!$B$215:$B$218,0))),
Error!$B$17,
IF(AND($E719="Tier 1",$F719="Remove",$H719="Tree Protection Code: Other removal allowance or exemption",$I719&lt;&gt;"",ISNA(MATCH($I719,Tables!$B$215:$B$218,0))),
Error!$B$17,
IF(AND($E719="ECA / Shoreline Tree",$F719="Remove",$H719&lt;&gt;"",OR($H719="Shoreline",$H719="Environmental Critical Area (ECA)"),ISNA(MATCH($I719,Tables!$B$209:$B$212,0))),
Error!$B$17,
IF(AND(_xlpm.baseRow,$F719="Retain",$E719="ECA / Shoreline Tree",_xlpm.ECA_Short=0),
Error!$B$61,
IF(AND($F719="Remove",ISNUMBER(MATCH($E719,{"Tier 1","Tier 2","Tier 3","Tier 4","Tier 2 Grove"},0)),ISNUMBER(MATCH($I719,{"On-site replacement","Off-site replacement"},0)),$J719="",$H719&lt;&gt;""),
Error!$B$19,
IF(AND(_xlpm.baseRow,$E719&lt;&gt;"",$D719&lt;&gt;"",$F719&lt;&gt;"",COUNTBLANK($B719:$C719)&gt;0,COUNTBLANK(_xlpm.HRange)&lt;&gt;4),
Error!$B$22,
IF(AND($H719="Zoning: Tree Points",$K719&lt;&gt;"",ISNA(MATCH($K719,Tables!$B$242:$B$253,0))),
Error!$B$58,
IF(AND($H719="Zoning: Tree Points",$K719="Small",$L719&lt;&gt;"",ISNA(MATCH($L719,Tables!$C$243:$C$244,0))),
Error!$B$59,
IF(AND($H719="Zoning: Tree Points",$K719="Small/Medium",$L719&lt;&gt;"",ISNA(MATCH($L719,Tables!$C$246:$C$247,0))),
Error!$B$59,
IF(AND($H719="Zoning: Tree Points",$K719="Medium/Large",$L719&lt;&gt;"",ISNA(MATCH($L719,Tables!$C$249:$C$250,0))),
Error!$B$59,
IF(AND($H719="Zoning: Tree Points",$K719="Large",$L719&lt;&gt;"",ISNA(MATCH($L719,Tables!$C$252:$C$253,0))),
Error!$B$59,
IF(AND($F719="Retain",$H719="Zoning: Tree Points",$C719&lt;&gt;"",$D719&lt;&gt;"",OR($K719="",$L719="",$M719="")),
Error!$B$20,
""
)))))))))))))))))))))))))))))))))))))))))))))))))))))))),
Error!$B$23))</f>
        <v/>
      </c>
      <c r="O719" s="343" t="str" cm="1">
        <f t="array" aca="1" ref="O719" ca="1">IFERROR(_xlfn.LET(
    _xlpm.txt, $C719,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20" spans="1:15" x14ac:dyDescent="0.3">
      <c r="A720" s="320"/>
      <c r="B720" s="616" t="str">
        <f t="shared" ref="B720:B722" si="852">IF($B719="", "", $B719)</f>
        <v/>
      </c>
      <c r="C720" s="617" t="str">
        <f t="shared" ref="C720:C722" si="853">IF($C719="", "", $C719)</f>
        <v/>
      </c>
      <c r="D720" s="618" t="str">
        <f t="shared" ref="D720:D722" si="854">IF($D719="", "", $D719)</f>
        <v/>
      </c>
      <c r="E720" s="616" t="str">
        <f t="shared" ref="E720:E722" si="855">IF($E719="", "", $E719)</f>
        <v/>
      </c>
      <c r="F720" s="616" t="str">
        <f t="shared" ref="F720:F722" si="856">IF($F719="", "", $F719)</f>
        <v/>
      </c>
      <c r="G720" s="619" t="str">
        <f>IF(Tree_Table1[[#This Row],[Tree Status  &amp;]]="Retain", Tables!$B$237, IF(Tree_Table1[[#This Row],[Tree Status  &amp;]]="Remove", Tables!$B$238, ""))</f>
        <v/>
      </c>
      <c r="H720" s="321"/>
      <c r="I720" s="322"/>
      <c r="J720" s="453"/>
      <c r="K720" s="323" t="str">
        <f>IFERROR(
    IF(
        AND($H720="Zoning: Tree Points", NOT(ISNUMBER(SEARCH("sp.", $C720)))),
        VLOOKUP($C720, 'Tree List'!$C$3:$F$601, 4, FALSE),
        ""
    ),
"")</f>
        <v/>
      </c>
      <c r="L720" s="324" t="str" cm="1">
        <f t="array" ref="L720">IFERROR(
IF(
    AND($H720="Zoning: Tree Points", NOT(ISNUMBER(SEARCH("sp.", $C720)))),
    _xlfn.IFS(
        (COUNTIFS('Tree List'!$C$3:$C$601,$C720,'Tree List'!$D$3:$D$601,"Coniferous")
        + COUNTIFS('Tree List'!$C$3:$C$601,$C720,'Tree List'!$D$3:$D$601,"Deciduous Conifer")) &gt; 0,
            _xlfn.IFS($K720="Small",0.5,$K720="Small/Medium",1,$K720="Medium/Large",1.4,$K720="Large",1.8),
        (COUNTIFS('Tree List'!$C$3:$C$601,$C720,'Tree List'!$D$3:$D$601,"Deciduous")
        + COUNTIFS('Tree List'!$C$3:$C$601,$C720,'Tree List'!$D$3:$D$601,"Broadleaf Evergreen")) &gt; 0,
            _xlfn.IFS($K720="Small",0.4,$K720="Small/Medium",0.8,$K720="Medium/Large",1.2,$K720="Large",1.6)
    ),
    ""
),
"")</f>
        <v/>
      </c>
      <c r="M720" s="475" t="str">
        <f t="shared" si="816"/>
        <v/>
      </c>
      <c r="N720" s="346" t="str" cm="1">
        <f t="array" aca="1" ref="N72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IF(AND(_xlpm.baseRow,ISNA(MATCH($C720,'Tree List'!$C$3:$C$601,0)),SUMPRODUCT(--ISNUMBER(SEARCH(Tables2!$C$677:$C$772,$O720)))&gt;0),
Error!$B$57,
IF(AND(_xlpm.hasDM,$F720="Remove",$H720&lt;&gt;"",OR($I720="On-site replacement",$I720="Off-site replacement",$I720="Payment In Lieu")),
Error!$B$56,
IF(AND(_xlpm.hasDM,$F720="Remove",$H720&lt;&gt;"",$I720="Relocation"),
Error!$B$66,
IF(AND(OR(_xlpm.hasCN,_xlpm.hasPH,_xlpm.hasGR),$H720&lt;&gt;"",COUNTIF(Tables!$B$132:$B$134,$H720)&gt;0,$I720="N/A (No replacement required)"),
Error!$B$62,
IF(AND(_xlpm.baseRow,$E720&lt;&gt;"",ISNA(MATCH($E720,Tables!$B$225:$B$232,0))),
Error!$B$2,
IF(AND(_xlpm.baseRow,$F720&lt;&gt;"",ISNA(MATCH($F720,Tables!$B$234:$B$235,0))),
Error!$B$24,
IF(AND(_xlpm.baseRow,_xlpm.ECA_H&gt;0,_xlpm.Shore_H&gt;0),
Error!$B$16,
IF(AND(_xlpm.baseRow,$E720&lt;&gt;"",$D720=""),
Error!$B$3,
IF(AND(_xlpm.baseRow,OR($E720="Tier 3",$E720="Tier 4"),$C720&lt;&gt;"",$D720&gt;=24,COUNTIF(Tables2!$B$166:$B$674,$C720)&gt;0),
Error!$B$44,
IF(AND(_xlpm.baseRow,OR($E720="Tier 3",$E720="Tier 4"),$C720&lt;&gt;"",$D720&lt;&gt;"",COUNTIF(Tables2!$B$73:$B$152,$C720)&gt;0,
$D720&gt;=IFERROR(INDEX(Tables2!$C$73:$C$152,MATCH($C720,Tables2!$B$73:$B$152,0)),-1)),
Error!$B$44,
IF(AND(_xlpm.baseRow,OR($E720="Tier 2",$E720="Tier 2 Grove"),$C720&lt;&gt;"",$D720&gt;=12,COUNTIF(Tables2!$B$153:$B$162,$C720)&gt;0),
Error!$B$45,
IF(AND(_xlpm.baseRow,$E720="Tier 2 Grove",$D720&lt;12),
Error!$B$41,
IF(AND(_xlpm.baseRow,$E720="Tier 2",$D720&lt;5.88),
Error!$B$40,
IF(AND(_xlpm.baseRow,OR($E720="Tier 2",$E720="Tier 2 Grove"),$C720&lt;&gt;"",$D720&lt;12,$D720&gt;=6,COUNTIF(Tables2!$B$153:$B$162,$C720)&gt;0),
Error!$B$54,
IF(AND(_xlpm.baseRow,$E720="Tier 2",COUNTIF(Tables2!$B$166:$B$674,$C720)&gt;0,$D720&lt;24),
Error!$B$54,
IF(AND(_xlpm.baseRow,$E720="Tier 3",ISNA(MATCH($C720,Tables2!$B$153:$B$162,0)),OR($D720&lt;12,$D720&gt;=24)),
Error!$B$9,
IF(AND(_xlpm.baseRow,$E720="Tier 3",COUNTIF(Tables2!$B$153:$B$162,$C720)&gt;0,$D720&lt;12),
Error!$B$46,
IF(AND(_xlpm.baseRow,$E720="Tier 4",OR($D720&lt;6,$D720&gt;=12)),
Error!$B$10,
IF(AND(_xlpm.baseRow,$E720="&lt;6in DSH for Tree Points",OR($D720&gt;=6,$D720="")),
Error!$B$8,
IF(AND(_xlpm.baseRow,$E720="Street Tree for Green Factor",$F720&lt;&gt;"",$F720&lt;&gt;"Retain"),
Error!$B$14,
IF(AND($E720="&lt;6in DSH for Tree Points",$F720="Retain",$H720&lt;&gt;"",ISNA(MATCH($H720,Tables!$B$174:$B$174,0))),
Error!$B$15,
IF(AND($E720="Street Tree for Green Factor",$F720="Retain",$H720&lt;&gt;"",$H720&lt;&gt;"Zoning: Green Factor"),
Error!$B$15,
IF(AND($E720="ECA / Shoreline Tree",$F720="Remove",$H720&lt;&gt;"",ISNA(MATCH($H720,Tables!$B$189:$B$190,0))),
Error!$B$15,
IF(AND($E720="ECA / Shoreline Tree",$F720="Retain",$H720&lt;&gt;"",ISNA(MATCH($H720,Tables!$B$184:$B$186,0))),
Error!$B$15,
IF(AND($E720="Tier 4",$F720="Remove",$H720&lt;&gt;"",ISNA(MATCH($H720,Tables!$B$171,0))),
Error!$B$15,
IF(AND($E720="Tier 4",$F720="Retain",$H720&lt;&gt;"",ISNA(MATCH($H720,Tables!$B$166:$B$168,0))),
Error!$B$15,
IF(AND($E720="Tier 3",$F720="Retain",$H720&lt;&gt;"",ISNA(MATCH($H720,Tables!$B$158:$B$160,0))),
Error!$B$15,
IF(AND($E720="Tier 3",$F720="Remove",$H720&lt;&gt;"",ISNA(MATCH($H720,Tables!$B$163,0))),
Error!$B$15,
IF(AND(OR($E720="Tier 2",$E720="Tier 2 Grove"),$F720="Remove",$H720&lt;&gt;"",ISNA(MATCH($H720,Tables!$B$153:$B$155,0))),
Error!$B$15,
IF(AND(OR($E720="Tier 2",$E720="Tier 2 Grove"),$F720="Retain",$H720&lt;&gt;"",ISNA(MATCH($H720,Tables!$B$147:$B$150,0))),
Error!$B$15,
IF(AND($E720="Tier 1",$F720="Remove",$H720&lt;&gt;"",ISNA(MATCH($H720,Tables!$B$143:$B$144,0))),
Error!$B$15,
IF(AND($E720="Tier 1",$F720="Retain",$H720&lt;&gt;"",ISNA(MATCH($H720,Tables!$B$137:$B$140,0))),
Error!$B$15,
IF(AND($E720&lt;&gt;"Tier 2",$E720&lt;&gt;"Tier 2 Grove",$E720&lt;&gt;"Tier 3",$E720&lt;&gt;"Tier 4",$H720="Zoning: Green Factor",OR($D720="",$D720&lt;6)),
Error!$B$11,
IF(AND(_xlpm.baseRow,$D720&lt;6,$E720="&lt;6in DSH for Tree Points",_xlpm.TreePoints_H=0),
Error!$B$21,
IF(AND(_xlpm.baseRow,$E720&lt;&gt;"",$D720&lt;&gt;"",$F720=""),
Error!$B$4,
IF(AND(_xlpm.baseRow,$F720="Remove",OR($E720="Tier 1",$E720="Tier 2",$E720="Tier 2 Grove"),COUNTBLANK(_xlpm.HRange)&lt;3,_xlpm.uniqueH&gt;=2),
Error!$B$48,
IF(AND(_xlpm.baseRow,$F720="Retain",OR($E720="Tier 1",$E720="Tier 2",$E720="Tier 2 Grove"),COUNTIF(_xlpm.HRange,"Tree Code: Required to Retain Tier 1-2 Tree")=0),
Error!$B$47,
IF(AND(_xlpm.baseRow,$E720&lt;&gt;"",$D720&lt;&gt;"",$F720&lt;&gt;"",COUNTBLANK(_xlpm.HRange)=4),
Error!$B$5,
IF(AND($F720="Remove",$H720&lt;&gt;"",$I720=""),
Error!$B$18,
IF(AND($E720="Tier 4",$F720="Remove",$H720="Tree Protection Code: Tier 3 or Tier 4 Allowance",$H720&lt;&gt;"",ISNA(MATCH($I720,Tables!$B$200,0))),
Error!$B$17,
IF(AND($E720="Tier 3",$F720="Remove",$H720&lt;&gt;"",$H720="Tree Protection Code: Tier 3 or Tier 4 Allowance",OR($I720="",ISNA(MATCH($I720,Tables!$B$193:$B$197,0)))),
Error!$B$17,
IF(AND(OR($E720="Tier 2",$E720="Tier 2 Grove"),$F720="Remove",$H720="Tree Protection Code: Other removal allowance or exemption",$I720&lt;&gt;"",ISNA(MATCH($I720,Tables!$B$215:$B$218,0))),
Error!$B$17,
IF(AND(OR($E720="Tier 2",$E720="Tier 2 Grove"),$F720="Remove",$H720="Tree Protection Code: Development Capacity",$I720&lt;&gt;"",ISNA(MATCH($I720,Tables!$B$193:$B$197,0))),
Error!$B$17,
IF(AND(OR($E720="Tier 2",$E720="Tier 2 Grove"),$F720="Remove",$H720="Tree Protection Code: Necessary for Construction",$I720&lt;&gt;"",ISNA(MATCH($I720,Tables!$B$193:$B$197,0))),
Error!$B$17,
IF(AND($E720="Tier 1",$F720="Remove",$H720="Tree Protection Code: Special Exception",$I720&lt;&gt;"",ISNA(MATCH($I720,Tables!$B$215:$B$218,0))),
Error!$B$17,
IF(AND($E720="Tier 1",$F720="Remove",$H720="Tree Protection Code: Other removal allowance or exemption",$I720&lt;&gt;"",ISNA(MATCH($I720,Tables!$B$215:$B$218,0))),
Error!$B$17,
IF(AND($E720="ECA / Shoreline Tree",$F720="Remove",$H720&lt;&gt;"",OR($H720="Shoreline",$H720="Environmental Critical Area (ECA)"),ISNA(MATCH($I720,Tables!$B$209:$B$212,0))),
Error!$B$17,
IF(AND(_xlpm.baseRow,$F720="Retain",$E720="ECA / Shoreline Tree",_xlpm.ECA_Short=0),
Error!$B$61,
IF(AND($F720="Remove",ISNUMBER(MATCH($E720,{"Tier 1","Tier 2","Tier 3","Tier 4","Tier 2 Grove"},0)),ISNUMBER(MATCH($I720,{"On-site replacement","Off-site replacement"},0)),$J720="",$H720&lt;&gt;""),
Error!$B$19,
IF(AND(_xlpm.baseRow,$E720&lt;&gt;"",$D720&lt;&gt;"",$F720&lt;&gt;"",COUNTBLANK($B720:$C720)&gt;0,COUNTBLANK(_xlpm.HRange)&lt;&gt;4),
Error!$B$22,
IF(AND($H720="Zoning: Tree Points",$K720&lt;&gt;"",ISNA(MATCH($K720,Tables!$B$242:$B$253,0))),
Error!$B$58,
IF(AND($H720="Zoning: Tree Points",$K720="Small",$L720&lt;&gt;"",ISNA(MATCH($L720,Tables!$C$243:$C$244,0))),
Error!$B$59,
IF(AND($H720="Zoning: Tree Points",$K720="Small/Medium",$L720&lt;&gt;"",ISNA(MATCH($L720,Tables!$C$246:$C$247,0))),
Error!$B$59,
IF(AND($H720="Zoning: Tree Points",$K720="Medium/Large",$L720&lt;&gt;"",ISNA(MATCH($L720,Tables!$C$249:$C$250,0))),
Error!$B$59,
IF(AND($H720="Zoning: Tree Points",$K720="Large",$L720&lt;&gt;"",ISNA(MATCH($L720,Tables!$C$252:$C$253,0))),
Error!$B$59,
IF(AND($F720="Retain",$H720="Zoning: Tree Points",$C720&lt;&gt;"",$D720&lt;&gt;"",OR($K720="",$L720="",$M720="")),
Error!$B$20,
""
)))))))))))))))))))))))))))))))))))))))))))))))))))))))),
Error!$B$23))</f>
        <v/>
      </c>
      <c r="O720" s="343" t="str" cm="1">
        <f t="array" aca="1" ref="O720" ca="1">IFERROR(_xlfn.LET(
    _xlpm.txt, $C720,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21" spans="1:15" x14ac:dyDescent="0.3">
      <c r="A721" s="320"/>
      <c r="B721" s="616" t="str">
        <f t="shared" si="852"/>
        <v/>
      </c>
      <c r="C721" s="617" t="str">
        <f t="shared" si="853"/>
        <v/>
      </c>
      <c r="D721" s="618" t="str">
        <f t="shared" si="854"/>
        <v/>
      </c>
      <c r="E721" s="616" t="str">
        <f t="shared" si="855"/>
        <v/>
      </c>
      <c r="F721" s="616" t="str">
        <f t="shared" si="856"/>
        <v/>
      </c>
      <c r="G721" s="619" t="str">
        <f>IF(Tree_Table1[[#This Row],[Tree Status  &amp;]]="Retain", Tables!$B$237, IF(Tree_Table1[[#This Row],[Tree Status  &amp;]]="Remove", Tables!$B$238, ""))</f>
        <v/>
      </c>
      <c r="H721" s="321"/>
      <c r="I721" s="322"/>
      <c r="J721" s="453"/>
      <c r="K721" s="323" t="str">
        <f>IFERROR(
    IF(
        AND($H721="Zoning: Tree Points", NOT(ISNUMBER(SEARCH("sp.", $C721)))),
        VLOOKUP($C721, 'Tree List'!$C$3:$F$601, 4, FALSE),
        ""
    ),
"")</f>
        <v/>
      </c>
      <c r="L721" s="324" t="str" cm="1">
        <f t="array" ref="L721">IFERROR(
IF(
    AND($H721="Zoning: Tree Points", NOT(ISNUMBER(SEARCH("sp.", $C721)))),
    _xlfn.IFS(
        (COUNTIFS('Tree List'!$C$3:$C$601,$C721,'Tree List'!$D$3:$D$601,"Coniferous")
        + COUNTIFS('Tree List'!$C$3:$C$601,$C721,'Tree List'!$D$3:$D$601,"Deciduous Conifer")) &gt; 0,
            _xlfn.IFS($K721="Small",0.5,$K721="Small/Medium",1,$K721="Medium/Large",1.4,$K721="Large",1.8),
        (COUNTIFS('Tree List'!$C$3:$C$601,$C721,'Tree List'!$D$3:$D$601,"Deciduous")
        + COUNTIFS('Tree List'!$C$3:$C$601,$C721,'Tree List'!$D$3:$D$601,"Broadleaf Evergreen")) &gt; 0,
            _xlfn.IFS($K721="Small",0.4,$K721="Small/Medium",0.8,$K721="Medium/Large",1.2,$K721="Large",1.6)
    ),
    ""
),
"")</f>
        <v/>
      </c>
      <c r="M721" s="475" t="str">
        <f t="shared" si="816"/>
        <v/>
      </c>
      <c r="N721" s="346" t="str" cm="1">
        <f t="array" aca="1" ref="N72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IF(AND(_xlpm.baseRow,ISNA(MATCH($C721,'Tree List'!$C$3:$C$601,0)),SUMPRODUCT(--ISNUMBER(SEARCH(Tables2!$C$677:$C$772,$O721)))&gt;0),
Error!$B$57,
IF(AND(_xlpm.hasDM,$F721="Remove",$H721&lt;&gt;"",OR($I721="On-site replacement",$I721="Off-site replacement",$I721="Payment In Lieu")),
Error!$B$56,
IF(AND(_xlpm.hasDM,$F721="Remove",$H721&lt;&gt;"",$I721="Relocation"),
Error!$B$66,
IF(AND(OR(_xlpm.hasCN,_xlpm.hasPH,_xlpm.hasGR),$H721&lt;&gt;"",COUNTIF(Tables!$B$132:$B$134,$H721)&gt;0,$I721="N/A (No replacement required)"),
Error!$B$62,
IF(AND(_xlpm.baseRow,$E721&lt;&gt;"",ISNA(MATCH($E721,Tables!$B$225:$B$232,0))),
Error!$B$2,
IF(AND(_xlpm.baseRow,$F721&lt;&gt;"",ISNA(MATCH($F721,Tables!$B$234:$B$235,0))),
Error!$B$24,
IF(AND(_xlpm.baseRow,_xlpm.ECA_H&gt;0,_xlpm.Shore_H&gt;0),
Error!$B$16,
IF(AND(_xlpm.baseRow,$E721&lt;&gt;"",$D721=""),
Error!$B$3,
IF(AND(_xlpm.baseRow,OR($E721="Tier 3",$E721="Tier 4"),$C721&lt;&gt;"",$D721&gt;=24,COUNTIF(Tables2!$B$166:$B$674,$C721)&gt;0),
Error!$B$44,
IF(AND(_xlpm.baseRow,OR($E721="Tier 3",$E721="Tier 4"),$C721&lt;&gt;"",$D721&lt;&gt;"",COUNTIF(Tables2!$B$73:$B$152,$C721)&gt;0,
$D721&gt;=IFERROR(INDEX(Tables2!$C$73:$C$152,MATCH($C721,Tables2!$B$73:$B$152,0)),-1)),
Error!$B$44,
IF(AND(_xlpm.baseRow,OR($E721="Tier 2",$E721="Tier 2 Grove"),$C721&lt;&gt;"",$D721&gt;=12,COUNTIF(Tables2!$B$153:$B$162,$C721)&gt;0),
Error!$B$45,
IF(AND(_xlpm.baseRow,$E721="Tier 2 Grove",$D721&lt;12),
Error!$B$41,
IF(AND(_xlpm.baseRow,$E721="Tier 2",$D721&lt;5.88),
Error!$B$40,
IF(AND(_xlpm.baseRow,OR($E721="Tier 2",$E721="Tier 2 Grove"),$C721&lt;&gt;"",$D721&lt;12,$D721&gt;=6,COUNTIF(Tables2!$B$153:$B$162,$C721)&gt;0),
Error!$B$54,
IF(AND(_xlpm.baseRow,$E721="Tier 2",COUNTIF(Tables2!$B$166:$B$674,$C721)&gt;0,$D721&lt;24),
Error!$B$54,
IF(AND(_xlpm.baseRow,$E721="Tier 3",ISNA(MATCH($C721,Tables2!$B$153:$B$162,0)),OR($D721&lt;12,$D721&gt;=24)),
Error!$B$9,
IF(AND(_xlpm.baseRow,$E721="Tier 3",COUNTIF(Tables2!$B$153:$B$162,$C721)&gt;0,$D721&lt;12),
Error!$B$46,
IF(AND(_xlpm.baseRow,$E721="Tier 4",OR($D721&lt;6,$D721&gt;=12)),
Error!$B$10,
IF(AND(_xlpm.baseRow,$E721="&lt;6in DSH for Tree Points",OR($D721&gt;=6,$D721="")),
Error!$B$8,
IF(AND(_xlpm.baseRow,$E721="Street Tree for Green Factor",$F721&lt;&gt;"",$F721&lt;&gt;"Retain"),
Error!$B$14,
IF(AND($E721="&lt;6in DSH for Tree Points",$F721="Retain",$H721&lt;&gt;"",ISNA(MATCH($H721,Tables!$B$174:$B$174,0))),
Error!$B$15,
IF(AND($E721="Street Tree for Green Factor",$F721="Retain",$H721&lt;&gt;"",$H721&lt;&gt;"Zoning: Green Factor"),
Error!$B$15,
IF(AND($E721="ECA / Shoreline Tree",$F721="Remove",$H721&lt;&gt;"",ISNA(MATCH($H721,Tables!$B$189:$B$190,0))),
Error!$B$15,
IF(AND($E721="ECA / Shoreline Tree",$F721="Retain",$H721&lt;&gt;"",ISNA(MATCH($H721,Tables!$B$184:$B$186,0))),
Error!$B$15,
IF(AND($E721="Tier 4",$F721="Remove",$H721&lt;&gt;"",ISNA(MATCH($H721,Tables!$B$171,0))),
Error!$B$15,
IF(AND($E721="Tier 4",$F721="Retain",$H721&lt;&gt;"",ISNA(MATCH($H721,Tables!$B$166:$B$168,0))),
Error!$B$15,
IF(AND($E721="Tier 3",$F721="Retain",$H721&lt;&gt;"",ISNA(MATCH($H721,Tables!$B$158:$B$160,0))),
Error!$B$15,
IF(AND($E721="Tier 3",$F721="Remove",$H721&lt;&gt;"",ISNA(MATCH($H721,Tables!$B$163,0))),
Error!$B$15,
IF(AND(OR($E721="Tier 2",$E721="Tier 2 Grove"),$F721="Remove",$H721&lt;&gt;"",ISNA(MATCH($H721,Tables!$B$153:$B$155,0))),
Error!$B$15,
IF(AND(OR($E721="Tier 2",$E721="Tier 2 Grove"),$F721="Retain",$H721&lt;&gt;"",ISNA(MATCH($H721,Tables!$B$147:$B$150,0))),
Error!$B$15,
IF(AND($E721="Tier 1",$F721="Remove",$H721&lt;&gt;"",ISNA(MATCH($H721,Tables!$B$143:$B$144,0))),
Error!$B$15,
IF(AND($E721="Tier 1",$F721="Retain",$H721&lt;&gt;"",ISNA(MATCH($H721,Tables!$B$137:$B$140,0))),
Error!$B$15,
IF(AND($E721&lt;&gt;"Tier 2",$E721&lt;&gt;"Tier 2 Grove",$E721&lt;&gt;"Tier 3",$E721&lt;&gt;"Tier 4",$H721="Zoning: Green Factor",OR($D721="",$D721&lt;6)),
Error!$B$11,
IF(AND(_xlpm.baseRow,$D721&lt;6,$E721="&lt;6in DSH for Tree Points",_xlpm.TreePoints_H=0),
Error!$B$21,
IF(AND(_xlpm.baseRow,$E721&lt;&gt;"",$D721&lt;&gt;"",$F721=""),
Error!$B$4,
IF(AND(_xlpm.baseRow,$F721="Remove",OR($E721="Tier 1",$E721="Tier 2",$E721="Tier 2 Grove"),COUNTBLANK(_xlpm.HRange)&lt;3,_xlpm.uniqueH&gt;=2),
Error!$B$48,
IF(AND(_xlpm.baseRow,$F721="Retain",OR($E721="Tier 1",$E721="Tier 2",$E721="Tier 2 Grove"),COUNTIF(_xlpm.HRange,"Tree Code: Required to Retain Tier 1-2 Tree")=0),
Error!$B$47,
IF(AND(_xlpm.baseRow,$E721&lt;&gt;"",$D721&lt;&gt;"",$F721&lt;&gt;"",COUNTBLANK(_xlpm.HRange)=4),
Error!$B$5,
IF(AND($F721="Remove",$H721&lt;&gt;"",$I721=""),
Error!$B$18,
IF(AND($E721="Tier 4",$F721="Remove",$H721="Tree Protection Code: Tier 3 or Tier 4 Allowance",$H721&lt;&gt;"",ISNA(MATCH($I721,Tables!$B$200,0))),
Error!$B$17,
IF(AND($E721="Tier 3",$F721="Remove",$H721&lt;&gt;"",$H721="Tree Protection Code: Tier 3 or Tier 4 Allowance",OR($I721="",ISNA(MATCH($I721,Tables!$B$193:$B$197,0)))),
Error!$B$17,
IF(AND(OR($E721="Tier 2",$E721="Tier 2 Grove"),$F721="Remove",$H721="Tree Protection Code: Other removal allowance or exemption",$I721&lt;&gt;"",ISNA(MATCH($I721,Tables!$B$215:$B$218,0))),
Error!$B$17,
IF(AND(OR($E721="Tier 2",$E721="Tier 2 Grove"),$F721="Remove",$H721="Tree Protection Code: Development Capacity",$I721&lt;&gt;"",ISNA(MATCH($I721,Tables!$B$193:$B$197,0))),
Error!$B$17,
IF(AND(OR($E721="Tier 2",$E721="Tier 2 Grove"),$F721="Remove",$H721="Tree Protection Code: Necessary for Construction",$I721&lt;&gt;"",ISNA(MATCH($I721,Tables!$B$193:$B$197,0))),
Error!$B$17,
IF(AND($E721="Tier 1",$F721="Remove",$H721="Tree Protection Code: Special Exception",$I721&lt;&gt;"",ISNA(MATCH($I721,Tables!$B$215:$B$218,0))),
Error!$B$17,
IF(AND($E721="Tier 1",$F721="Remove",$H721="Tree Protection Code: Other removal allowance or exemption",$I721&lt;&gt;"",ISNA(MATCH($I721,Tables!$B$215:$B$218,0))),
Error!$B$17,
IF(AND($E721="ECA / Shoreline Tree",$F721="Remove",$H721&lt;&gt;"",OR($H721="Shoreline",$H721="Environmental Critical Area (ECA)"),ISNA(MATCH($I721,Tables!$B$209:$B$212,0))),
Error!$B$17,
IF(AND(_xlpm.baseRow,$F721="Retain",$E721="ECA / Shoreline Tree",_xlpm.ECA_Short=0),
Error!$B$61,
IF(AND($F721="Remove",ISNUMBER(MATCH($E721,{"Tier 1","Tier 2","Tier 3","Tier 4","Tier 2 Grove"},0)),ISNUMBER(MATCH($I721,{"On-site replacement","Off-site replacement"},0)),$J721="",$H721&lt;&gt;""),
Error!$B$19,
IF(AND(_xlpm.baseRow,$E721&lt;&gt;"",$D721&lt;&gt;"",$F721&lt;&gt;"",COUNTBLANK($B721:$C721)&gt;0,COUNTBLANK(_xlpm.HRange)&lt;&gt;4),
Error!$B$22,
IF(AND($H721="Zoning: Tree Points",$K721&lt;&gt;"",ISNA(MATCH($K721,Tables!$B$242:$B$253,0))),
Error!$B$58,
IF(AND($H721="Zoning: Tree Points",$K721="Small",$L721&lt;&gt;"",ISNA(MATCH($L721,Tables!$C$243:$C$244,0))),
Error!$B$59,
IF(AND($H721="Zoning: Tree Points",$K721="Small/Medium",$L721&lt;&gt;"",ISNA(MATCH($L721,Tables!$C$246:$C$247,0))),
Error!$B$59,
IF(AND($H721="Zoning: Tree Points",$K721="Medium/Large",$L721&lt;&gt;"",ISNA(MATCH($L721,Tables!$C$249:$C$250,0))),
Error!$B$59,
IF(AND($H721="Zoning: Tree Points",$K721="Large",$L721&lt;&gt;"",ISNA(MATCH($L721,Tables!$C$252:$C$253,0))),
Error!$B$59,
IF(AND($F721="Retain",$H721="Zoning: Tree Points",$C721&lt;&gt;"",$D721&lt;&gt;"",OR($K721="",$L721="",$M721="")),
Error!$B$20,
""
)))))))))))))))))))))))))))))))))))))))))))))))))))))))),
Error!$B$23))</f>
        <v/>
      </c>
      <c r="O721" s="343" t="str" cm="1">
        <f t="array" aca="1" ref="O721" ca="1">IFERROR(_xlfn.LET(
    _xlpm.txt, $C721,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22" spans="1:15" ht="15" thickBot="1" x14ac:dyDescent="0.35">
      <c r="A722" s="331"/>
      <c r="B722" s="616" t="str">
        <f t="shared" si="852"/>
        <v/>
      </c>
      <c r="C722" s="617" t="str">
        <f t="shared" si="853"/>
        <v/>
      </c>
      <c r="D722" s="618" t="str">
        <f t="shared" si="854"/>
        <v/>
      </c>
      <c r="E722" s="616" t="str">
        <f t="shared" si="855"/>
        <v/>
      </c>
      <c r="F722" s="616" t="str">
        <f t="shared" si="856"/>
        <v/>
      </c>
      <c r="G722" s="619" t="str">
        <f>IF(Tree_Table1[[#This Row],[Tree Status  &amp;]]="Retain", Tables!$B$237, IF(Tree_Table1[[#This Row],[Tree Status  &amp;]]="Remove", Tables!$B$238, ""))</f>
        <v/>
      </c>
      <c r="H722" s="329"/>
      <c r="I722" s="330"/>
      <c r="J722" s="455"/>
      <c r="K722" s="327" t="str">
        <f>IFERROR(
    IF(
        AND($H722="Zoning: Tree Points", NOT(ISNUMBER(SEARCH("sp.", $C722)))),
        VLOOKUP($C722, 'Tree List'!$C$3:$F$601, 4, FALSE),
        ""
    ),
"")</f>
        <v/>
      </c>
      <c r="L722" s="328" t="str" cm="1">
        <f t="array" ref="L722">IFERROR(
IF(
    AND($H722="Zoning: Tree Points", NOT(ISNUMBER(SEARCH("sp.", $C722)))),
    _xlfn.IFS(
        (COUNTIFS('Tree List'!$C$3:$C$601,$C722,'Tree List'!$D$3:$D$601,"Coniferous")
        + COUNTIFS('Tree List'!$C$3:$C$601,$C722,'Tree List'!$D$3:$D$601,"Deciduous Conifer")) &gt; 0,
            _xlfn.IFS($K722="Small",0.5,$K722="Small/Medium",1,$K722="Medium/Large",1.4,$K722="Large",1.8),
        (COUNTIFS('Tree List'!$C$3:$C$601,$C722,'Tree List'!$D$3:$D$601,"Deciduous")
        + COUNTIFS('Tree List'!$C$3:$C$601,$C722,'Tree List'!$D$3:$D$601,"Broadleaf Evergreen")) &gt; 0,
            _xlfn.IFS($K722="Small",0.4,$K722="Small/Medium",0.8,$K722="Medium/Large",1.2,$K722="Large",1.6)
    ),
    ""
),
"")</f>
        <v/>
      </c>
      <c r="M722" s="476" t="str">
        <f t="shared" si="816"/>
        <v/>
      </c>
      <c r="N722" s="347" t="str" cm="1">
        <f t="array" aca="1" ref="N72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IF(AND(_xlpm.baseRow,ISNA(MATCH($C722,'Tree List'!$C$3:$C$601,0)),SUMPRODUCT(--ISNUMBER(SEARCH(Tables2!$C$677:$C$772,$O722)))&gt;0),
Error!$B$57,
IF(AND(_xlpm.hasDM,$F722="Remove",$H722&lt;&gt;"",OR($I722="On-site replacement",$I722="Off-site replacement",$I722="Payment In Lieu")),
Error!$B$56,
IF(AND(_xlpm.hasDM,$F722="Remove",$H722&lt;&gt;"",$I722="Relocation"),
Error!$B$66,
IF(AND(OR(_xlpm.hasCN,_xlpm.hasPH,_xlpm.hasGR),$H722&lt;&gt;"",COUNTIF(Tables!$B$132:$B$134,$H722)&gt;0,$I722="N/A (No replacement required)"),
Error!$B$62,
IF(AND(_xlpm.baseRow,$E722&lt;&gt;"",ISNA(MATCH($E722,Tables!$B$225:$B$232,0))),
Error!$B$2,
IF(AND(_xlpm.baseRow,$F722&lt;&gt;"",ISNA(MATCH($F722,Tables!$B$234:$B$235,0))),
Error!$B$24,
IF(AND(_xlpm.baseRow,_xlpm.ECA_H&gt;0,_xlpm.Shore_H&gt;0),
Error!$B$16,
IF(AND(_xlpm.baseRow,$E722&lt;&gt;"",$D722=""),
Error!$B$3,
IF(AND(_xlpm.baseRow,OR($E722="Tier 3",$E722="Tier 4"),$C722&lt;&gt;"",$D722&gt;=24,COUNTIF(Tables2!$B$166:$B$674,$C722)&gt;0),
Error!$B$44,
IF(AND(_xlpm.baseRow,OR($E722="Tier 3",$E722="Tier 4"),$C722&lt;&gt;"",$D722&lt;&gt;"",COUNTIF(Tables2!$B$73:$B$152,$C722)&gt;0,
$D722&gt;=IFERROR(INDEX(Tables2!$C$73:$C$152,MATCH($C722,Tables2!$B$73:$B$152,0)),-1)),
Error!$B$44,
IF(AND(_xlpm.baseRow,OR($E722="Tier 2",$E722="Tier 2 Grove"),$C722&lt;&gt;"",$D722&gt;=12,COUNTIF(Tables2!$B$153:$B$162,$C722)&gt;0),
Error!$B$45,
IF(AND(_xlpm.baseRow,$E722="Tier 2 Grove",$D722&lt;12),
Error!$B$41,
IF(AND(_xlpm.baseRow,$E722="Tier 2",$D722&lt;5.88),
Error!$B$40,
IF(AND(_xlpm.baseRow,OR($E722="Tier 2",$E722="Tier 2 Grove"),$C722&lt;&gt;"",$D722&lt;12,$D722&gt;=6,COUNTIF(Tables2!$B$153:$B$162,$C722)&gt;0),
Error!$B$54,
IF(AND(_xlpm.baseRow,$E722="Tier 2",COUNTIF(Tables2!$B$166:$B$674,$C722)&gt;0,$D722&lt;24),
Error!$B$54,
IF(AND(_xlpm.baseRow,$E722="Tier 3",ISNA(MATCH($C722,Tables2!$B$153:$B$162,0)),OR($D722&lt;12,$D722&gt;=24)),
Error!$B$9,
IF(AND(_xlpm.baseRow,$E722="Tier 3",COUNTIF(Tables2!$B$153:$B$162,$C722)&gt;0,$D722&lt;12),
Error!$B$46,
IF(AND(_xlpm.baseRow,$E722="Tier 4",OR($D722&lt;6,$D722&gt;=12)),
Error!$B$10,
IF(AND(_xlpm.baseRow,$E722="&lt;6in DSH for Tree Points",OR($D722&gt;=6,$D722="")),
Error!$B$8,
IF(AND(_xlpm.baseRow,$E722="Street Tree for Green Factor",$F722&lt;&gt;"",$F722&lt;&gt;"Retain"),
Error!$B$14,
IF(AND($E722="&lt;6in DSH for Tree Points",$F722="Retain",$H722&lt;&gt;"",ISNA(MATCH($H722,Tables!$B$174:$B$174,0))),
Error!$B$15,
IF(AND($E722="Street Tree for Green Factor",$F722="Retain",$H722&lt;&gt;"",$H722&lt;&gt;"Zoning: Green Factor"),
Error!$B$15,
IF(AND($E722="ECA / Shoreline Tree",$F722="Remove",$H722&lt;&gt;"",ISNA(MATCH($H722,Tables!$B$189:$B$190,0))),
Error!$B$15,
IF(AND($E722="ECA / Shoreline Tree",$F722="Retain",$H722&lt;&gt;"",ISNA(MATCH($H722,Tables!$B$184:$B$186,0))),
Error!$B$15,
IF(AND($E722="Tier 4",$F722="Remove",$H722&lt;&gt;"",ISNA(MATCH($H722,Tables!$B$171,0))),
Error!$B$15,
IF(AND($E722="Tier 4",$F722="Retain",$H722&lt;&gt;"",ISNA(MATCH($H722,Tables!$B$166:$B$168,0))),
Error!$B$15,
IF(AND($E722="Tier 3",$F722="Retain",$H722&lt;&gt;"",ISNA(MATCH($H722,Tables!$B$158:$B$160,0))),
Error!$B$15,
IF(AND($E722="Tier 3",$F722="Remove",$H722&lt;&gt;"",ISNA(MATCH($H722,Tables!$B$163,0))),
Error!$B$15,
IF(AND(OR($E722="Tier 2",$E722="Tier 2 Grove"),$F722="Remove",$H722&lt;&gt;"",ISNA(MATCH($H722,Tables!$B$153:$B$155,0))),
Error!$B$15,
IF(AND(OR($E722="Tier 2",$E722="Tier 2 Grove"),$F722="Retain",$H722&lt;&gt;"",ISNA(MATCH($H722,Tables!$B$147:$B$150,0))),
Error!$B$15,
IF(AND($E722="Tier 1",$F722="Remove",$H722&lt;&gt;"",ISNA(MATCH($H722,Tables!$B$143:$B$144,0))),
Error!$B$15,
IF(AND($E722="Tier 1",$F722="Retain",$H722&lt;&gt;"",ISNA(MATCH($H722,Tables!$B$137:$B$140,0))),
Error!$B$15,
IF(AND($E722&lt;&gt;"Tier 2",$E722&lt;&gt;"Tier 2 Grove",$E722&lt;&gt;"Tier 3",$E722&lt;&gt;"Tier 4",$H722="Zoning: Green Factor",OR($D722="",$D722&lt;6)),
Error!$B$11,
IF(AND(_xlpm.baseRow,$D722&lt;6,$E722="&lt;6in DSH for Tree Points",_xlpm.TreePoints_H=0),
Error!$B$21,
IF(AND(_xlpm.baseRow,$E722&lt;&gt;"",$D722&lt;&gt;"",$F722=""),
Error!$B$4,
IF(AND(_xlpm.baseRow,$F722="Remove",OR($E722="Tier 1",$E722="Tier 2",$E722="Tier 2 Grove"),COUNTBLANK(_xlpm.HRange)&lt;3,_xlpm.uniqueH&gt;=2),
Error!$B$48,
IF(AND(_xlpm.baseRow,$F722="Retain",OR($E722="Tier 1",$E722="Tier 2",$E722="Tier 2 Grove"),COUNTIF(_xlpm.HRange,"Tree Code: Required to Retain Tier 1-2 Tree")=0),
Error!$B$47,
IF(AND(_xlpm.baseRow,$E722&lt;&gt;"",$D722&lt;&gt;"",$F722&lt;&gt;"",COUNTBLANK(_xlpm.HRange)=4),
Error!$B$5,
IF(AND($F722="Remove",$H722&lt;&gt;"",$I722=""),
Error!$B$18,
IF(AND($E722="Tier 4",$F722="Remove",$H722="Tree Protection Code: Tier 3 or Tier 4 Allowance",$H722&lt;&gt;"",ISNA(MATCH($I722,Tables!$B$200,0))),
Error!$B$17,
IF(AND($E722="Tier 3",$F722="Remove",$H722&lt;&gt;"",$H722="Tree Protection Code: Tier 3 or Tier 4 Allowance",OR($I722="",ISNA(MATCH($I722,Tables!$B$193:$B$197,0)))),
Error!$B$17,
IF(AND(OR($E722="Tier 2",$E722="Tier 2 Grove"),$F722="Remove",$H722="Tree Protection Code: Other removal allowance or exemption",$I722&lt;&gt;"",ISNA(MATCH($I722,Tables!$B$215:$B$218,0))),
Error!$B$17,
IF(AND(OR($E722="Tier 2",$E722="Tier 2 Grove"),$F722="Remove",$H722="Tree Protection Code: Development Capacity",$I722&lt;&gt;"",ISNA(MATCH($I722,Tables!$B$193:$B$197,0))),
Error!$B$17,
IF(AND(OR($E722="Tier 2",$E722="Tier 2 Grove"),$F722="Remove",$H722="Tree Protection Code: Necessary for Construction",$I722&lt;&gt;"",ISNA(MATCH($I722,Tables!$B$193:$B$197,0))),
Error!$B$17,
IF(AND($E722="Tier 1",$F722="Remove",$H722="Tree Protection Code: Special Exception",$I722&lt;&gt;"",ISNA(MATCH($I722,Tables!$B$215:$B$218,0))),
Error!$B$17,
IF(AND($E722="Tier 1",$F722="Remove",$H722="Tree Protection Code: Other removal allowance or exemption",$I722&lt;&gt;"",ISNA(MATCH($I722,Tables!$B$215:$B$218,0))),
Error!$B$17,
IF(AND($E722="ECA / Shoreline Tree",$F722="Remove",$H722&lt;&gt;"",OR($H722="Shoreline",$H722="Environmental Critical Area (ECA)"),ISNA(MATCH($I722,Tables!$B$209:$B$212,0))),
Error!$B$17,
IF(AND(_xlpm.baseRow,$F722="Retain",$E722="ECA / Shoreline Tree",_xlpm.ECA_Short=0),
Error!$B$61,
IF(AND($F722="Remove",ISNUMBER(MATCH($E722,{"Tier 1","Tier 2","Tier 3","Tier 4","Tier 2 Grove"},0)),ISNUMBER(MATCH($I722,{"On-site replacement","Off-site replacement"},0)),$J722="",$H722&lt;&gt;""),
Error!$B$19,
IF(AND(_xlpm.baseRow,$E722&lt;&gt;"",$D722&lt;&gt;"",$F722&lt;&gt;"",COUNTBLANK($B722:$C722)&gt;0,COUNTBLANK(_xlpm.HRange)&lt;&gt;4),
Error!$B$22,
IF(AND($H722="Zoning: Tree Points",$K722&lt;&gt;"",ISNA(MATCH($K722,Tables!$B$242:$B$253,0))),
Error!$B$58,
IF(AND($H722="Zoning: Tree Points",$K722="Small",$L722&lt;&gt;"",ISNA(MATCH($L722,Tables!$C$243:$C$244,0))),
Error!$B$59,
IF(AND($H722="Zoning: Tree Points",$K722="Small/Medium",$L722&lt;&gt;"",ISNA(MATCH($L722,Tables!$C$246:$C$247,0))),
Error!$B$59,
IF(AND($H722="Zoning: Tree Points",$K722="Medium/Large",$L722&lt;&gt;"",ISNA(MATCH($L722,Tables!$C$249:$C$250,0))),
Error!$B$59,
IF(AND($H722="Zoning: Tree Points",$K722="Large",$L722&lt;&gt;"",ISNA(MATCH($L722,Tables!$C$252:$C$253,0))),
Error!$B$59,
IF(AND($F722="Retain",$H722="Zoning: Tree Points",$C722&lt;&gt;"",$D722&lt;&gt;"",OR($K722="",$L722="",$M722="")),
Error!$B$20,
""
)))))))))))))))))))))))))))))))))))))))))))))))))))))))),
Error!$B$23))</f>
        <v/>
      </c>
      <c r="O722" s="343" t="str" cm="1">
        <f t="array" aca="1" ref="O722" ca="1">IFERROR(_xlfn.LET(
    _xlpm.txt, $C722,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23" spans="1:15" ht="15" thickBot="1" x14ac:dyDescent="0.35">
      <c r="A723" s="311">
        <v>179</v>
      </c>
      <c r="B723" s="312"/>
      <c r="C723" s="313"/>
      <c r="D723" s="478"/>
      <c r="E723" s="314"/>
      <c r="F723" s="314"/>
      <c r="G723" s="315" t="str">
        <f>IF(Tree_Table1[[#This Row],[Tree Status  &amp;]]="Retain", Tables!$B$237, IF(Tree_Table1[[#This Row],[Tree Status  &amp;]]="Remove", Tables!$B$238, ""))</f>
        <v/>
      </c>
      <c r="H723" s="316"/>
      <c r="I723" s="317"/>
      <c r="J723" s="452"/>
      <c r="K723" s="318" t="str">
        <f>IFERROR(
    IF(
        AND($H723="Zoning: Tree Points", NOT(ISNUMBER(SEARCH("sp.", $C723)))),
        VLOOKUP($C723, 'Tree List'!$C$3:$F$601, 4, FALSE),
        ""
    ),
"")</f>
        <v/>
      </c>
      <c r="L723" s="319" t="str" cm="1">
        <f t="array" ref="L723">IFERROR(
IF(
    AND($H723="Zoning: Tree Points", NOT(ISNUMBER(SEARCH("sp.", $C723)))),
    _xlfn.IFS(
        (COUNTIFS('Tree List'!$C$3:$C$601,$C723,'Tree List'!$D$3:$D$601,"Coniferous")
        + COUNTIFS('Tree List'!$C$3:$C$601,$C723,'Tree List'!$D$3:$D$601,"Deciduous Conifer")) &gt; 0,
            _xlfn.IFS($K723="Small",0.5,$K723="Small/Medium",1,$K723="Medium/Large",1.4,$K723="Large",1.8),
        (COUNTIFS('Tree List'!$C$3:$C$601,$C723,'Tree List'!$D$3:$D$601,"Deciduous")
        + COUNTIFS('Tree List'!$C$3:$C$601,$C723,'Tree List'!$D$3:$D$601,"Broadleaf Evergreen")) &gt; 0,
            _xlfn.IFS($K723="Small",0.4,$K723="Small/Medium",0.8,$K723="Medium/Large",1.2,$K723="Large",1.6)
    ),
    ""
),
"")</f>
        <v/>
      </c>
      <c r="M723" s="474" t="str">
        <f t="shared" si="816"/>
        <v/>
      </c>
      <c r="N723" s="620" t="str" cm="1">
        <f t="array" aca="1" ref="N72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IF(AND(_xlpm.baseRow,ISNA(MATCH($C723,'Tree List'!$C$3:$C$601,0)),SUMPRODUCT(--ISNUMBER(SEARCH(Tables2!$C$677:$C$772,$O723)))&gt;0),
Error!$B$57,
IF(AND(_xlpm.hasDM,$F723="Remove",$H723&lt;&gt;"",OR($I723="On-site replacement",$I723="Off-site replacement",$I723="Payment In Lieu")),
Error!$B$56,
IF(AND(_xlpm.hasDM,$F723="Remove",$H723&lt;&gt;"",$I723="Relocation"),
Error!$B$66,
IF(AND(OR(_xlpm.hasCN,_xlpm.hasPH,_xlpm.hasGR),$H723&lt;&gt;"",COUNTIF(Tables!$B$132:$B$134,$H723)&gt;0,$I723="N/A (No replacement required)"),
Error!$B$62,
IF(AND(_xlpm.baseRow,$E723&lt;&gt;"",ISNA(MATCH($E723,Tables!$B$225:$B$232,0))),
Error!$B$2,
IF(AND(_xlpm.baseRow,$F723&lt;&gt;"",ISNA(MATCH($F723,Tables!$B$234:$B$235,0))),
Error!$B$24,
IF(AND(_xlpm.baseRow,_xlpm.ECA_H&gt;0,_xlpm.Shore_H&gt;0),
Error!$B$16,
IF(AND(_xlpm.baseRow,$E723&lt;&gt;"",$D723=""),
Error!$B$3,
IF(AND(_xlpm.baseRow,OR($E723="Tier 3",$E723="Tier 4"),$C723&lt;&gt;"",$D723&gt;=24,COUNTIF(Tables2!$B$166:$B$674,$C723)&gt;0),
Error!$B$44,
IF(AND(_xlpm.baseRow,OR($E723="Tier 3",$E723="Tier 4"),$C723&lt;&gt;"",$D723&lt;&gt;"",COUNTIF(Tables2!$B$73:$B$152,$C723)&gt;0,
$D723&gt;=IFERROR(INDEX(Tables2!$C$73:$C$152,MATCH($C723,Tables2!$B$73:$B$152,0)),-1)),
Error!$B$44,
IF(AND(_xlpm.baseRow,OR($E723="Tier 2",$E723="Tier 2 Grove"),$C723&lt;&gt;"",$D723&gt;=12,COUNTIF(Tables2!$B$153:$B$162,$C723)&gt;0),
Error!$B$45,
IF(AND(_xlpm.baseRow,$E723="Tier 2 Grove",$D723&lt;12),
Error!$B$41,
IF(AND(_xlpm.baseRow,$E723="Tier 2",$D723&lt;5.88),
Error!$B$40,
IF(AND(_xlpm.baseRow,OR($E723="Tier 2",$E723="Tier 2 Grove"),$C723&lt;&gt;"",$D723&lt;12,$D723&gt;=6,COUNTIF(Tables2!$B$153:$B$162,$C723)&gt;0),
Error!$B$54,
IF(AND(_xlpm.baseRow,$E723="Tier 2",COUNTIF(Tables2!$B$166:$B$674,$C723)&gt;0,$D723&lt;24),
Error!$B$54,
IF(AND(_xlpm.baseRow,$E723="Tier 3",ISNA(MATCH($C723,Tables2!$B$153:$B$162,0)),OR($D723&lt;12,$D723&gt;=24)),
Error!$B$9,
IF(AND(_xlpm.baseRow,$E723="Tier 3",COUNTIF(Tables2!$B$153:$B$162,$C723)&gt;0,$D723&lt;12),
Error!$B$46,
IF(AND(_xlpm.baseRow,$E723="Tier 4",OR($D723&lt;6,$D723&gt;=12)),
Error!$B$10,
IF(AND(_xlpm.baseRow,$E723="&lt;6in DSH for Tree Points",OR($D723&gt;=6,$D723="")),
Error!$B$8,
IF(AND(_xlpm.baseRow,$E723="Street Tree for Green Factor",$F723&lt;&gt;"",$F723&lt;&gt;"Retain"),
Error!$B$14,
IF(AND($E723="&lt;6in DSH for Tree Points",$F723="Retain",$H723&lt;&gt;"",ISNA(MATCH($H723,Tables!$B$174:$B$174,0))),
Error!$B$15,
IF(AND($E723="Street Tree for Green Factor",$F723="Retain",$H723&lt;&gt;"",$H723&lt;&gt;"Zoning: Green Factor"),
Error!$B$15,
IF(AND($E723="ECA / Shoreline Tree",$F723="Remove",$H723&lt;&gt;"",ISNA(MATCH($H723,Tables!$B$189:$B$190,0))),
Error!$B$15,
IF(AND($E723="ECA / Shoreline Tree",$F723="Retain",$H723&lt;&gt;"",ISNA(MATCH($H723,Tables!$B$184:$B$186,0))),
Error!$B$15,
IF(AND($E723="Tier 4",$F723="Remove",$H723&lt;&gt;"",ISNA(MATCH($H723,Tables!$B$171,0))),
Error!$B$15,
IF(AND($E723="Tier 4",$F723="Retain",$H723&lt;&gt;"",ISNA(MATCH($H723,Tables!$B$166:$B$168,0))),
Error!$B$15,
IF(AND($E723="Tier 3",$F723="Retain",$H723&lt;&gt;"",ISNA(MATCH($H723,Tables!$B$158:$B$160,0))),
Error!$B$15,
IF(AND($E723="Tier 3",$F723="Remove",$H723&lt;&gt;"",ISNA(MATCH($H723,Tables!$B$163,0))),
Error!$B$15,
IF(AND(OR($E723="Tier 2",$E723="Tier 2 Grove"),$F723="Remove",$H723&lt;&gt;"",ISNA(MATCH($H723,Tables!$B$153:$B$155,0))),
Error!$B$15,
IF(AND(OR($E723="Tier 2",$E723="Tier 2 Grove"),$F723="Retain",$H723&lt;&gt;"",ISNA(MATCH($H723,Tables!$B$147:$B$150,0))),
Error!$B$15,
IF(AND($E723="Tier 1",$F723="Remove",$H723&lt;&gt;"",ISNA(MATCH($H723,Tables!$B$143:$B$144,0))),
Error!$B$15,
IF(AND($E723="Tier 1",$F723="Retain",$H723&lt;&gt;"",ISNA(MATCH($H723,Tables!$B$137:$B$140,0))),
Error!$B$15,
IF(AND($E723&lt;&gt;"Tier 2",$E723&lt;&gt;"Tier 2 Grove",$E723&lt;&gt;"Tier 3",$E723&lt;&gt;"Tier 4",$H723="Zoning: Green Factor",OR($D723="",$D723&lt;6)),
Error!$B$11,
IF(AND(_xlpm.baseRow,$D723&lt;6,$E723="&lt;6in DSH for Tree Points",_xlpm.TreePoints_H=0),
Error!$B$21,
IF(AND(_xlpm.baseRow,$E723&lt;&gt;"",$D723&lt;&gt;"",$F723=""),
Error!$B$4,
IF(AND(_xlpm.baseRow,$F723="Remove",OR($E723="Tier 1",$E723="Tier 2",$E723="Tier 2 Grove"),COUNTBLANK(_xlpm.HRange)&lt;3,_xlpm.uniqueH&gt;=2),
Error!$B$48,
IF(AND(_xlpm.baseRow,$F723="Retain",OR($E723="Tier 1",$E723="Tier 2",$E723="Tier 2 Grove"),COUNTIF(_xlpm.HRange,"Tree Code: Required to Retain Tier 1-2 Tree")=0),
Error!$B$47,
IF(AND(_xlpm.baseRow,$E723&lt;&gt;"",$D723&lt;&gt;"",$F723&lt;&gt;"",COUNTBLANK(_xlpm.HRange)=4),
Error!$B$5,
IF(AND($F723="Remove",$H723&lt;&gt;"",$I723=""),
Error!$B$18,
IF(AND($E723="Tier 4",$F723="Remove",$H723="Tree Protection Code: Tier 3 or Tier 4 Allowance",$H723&lt;&gt;"",ISNA(MATCH($I723,Tables!$B$200,0))),
Error!$B$17,
IF(AND($E723="Tier 3",$F723="Remove",$H723&lt;&gt;"",$H723="Tree Protection Code: Tier 3 or Tier 4 Allowance",OR($I723="",ISNA(MATCH($I723,Tables!$B$193:$B$197,0)))),
Error!$B$17,
IF(AND(OR($E723="Tier 2",$E723="Tier 2 Grove"),$F723="Remove",$H723="Tree Protection Code: Other removal allowance or exemption",$I723&lt;&gt;"",ISNA(MATCH($I723,Tables!$B$215:$B$218,0))),
Error!$B$17,
IF(AND(OR($E723="Tier 2",$E723="Tier 2 Grove"),$F723="Remove",$H723="Tree Protection Code: Development Capacity",$I723&lt;&gt;"",ISNA(MATCH($I723,Tables!$B$193:$B$197,0))),
Error!$B$17,
IF(AND(OR($E723="Tier 2",$E723="Tier 2 Grove"),$F723="Remove",$H723="Tree Protection Code: Necessary for Construction",$I723&lt;&gt;"",ISNA(MATCH($I723,Tables!$B$193:$B$197,0))),
Error!$B$17,
IF(AND($E723="Tier 1",$F723="Remove",$H723="Tree Protection Code: Special Exception",$I723&lt;&gt;"",ISNA(MATCH($I723,Tables!$B$215:$B$218,0))),
Error!$B$17,
IF(AND($E723="Tier 1",$F723="Remove",$H723="Tree Protection Code: Other removal allowance or exemption",$I723&lt;&gt;"",ISNA(MATCH($I723,Tables!$B$215:$B$218,0))),
Error!$B$17,
IF(AND($E723="ECA / Shoreline Tree",$F723="Remove",$H723&lt;&gt;"",OR($H723="Shoreline",$H723="Environmental Critical Area (ECA)"),ISNA(MATCH($I723,Tables!$B$209:$B$212,0))),
Error!$B$17,
IF(AND(_xlpm.baseRow,$F723="Retain",$E723="ECA / Shoreline Tree",_xlpm.ECA_Short=0),
Error!$B$61,
IF(AND($F723="Remove",ISNUMBER(MATCH($E723,{"Tier 1","Tier 2","Tier 3","Tier 4","Tier 2 Grove"},0)),ISNUMBER(MATCH($I723,{"On-site replacement","Off-site replacement"},0)),$J723="",$H723&lt;&gt;""),
Error!$B$19,
IF(AND(_xlpm.baseRow,$E723&lt;&gt;"",$D723&lt;&gt;"",$F723&lt;&gt;"",COUNTBLANK($B723:$C723)&gt;0,COUNTBLANK(_xlpm.HRange)&lt;&gt;4),
Error!$B$22,
IF(AND($H723="Zoning: Tree Points",$K723&lt;&gt;"",ISNA(MATCH($K723,Tables!$B$242:$B$253,0))),
Error!$B$58,
IF(AND($H723="Zoning: Tree Points",$K723="Small",$L723&lt;&gt;"",ISNA(MATCH($L723,Tables!$C$243:$C$244,0))),
Error!$B$59,
IF(AND($H723="Zoning: Tree Points",$K723="Small/Medium",$L723&lt;&gt;"",ISNA(MATCH($L723,Tables!$C$246:$C$247,0))),
Error!$B$59,
IF(AND($H723="Zoning: Tree Points",$K723="Medium/Large",$L723&lt;&gt;"",ISNA(MATCH($L723,Tables!$C$249:$C$250,0))),
Error!$B$59,
IF(AND($H723="Zoning: Tree Points",$K723="Large",$L723&lt;&gt;"",ISNA(MATCH($L723,Tables!$C$252:$C$253,0))),
Error!$B$59,
IF(AND($F723="Retain",$H723="Zoning: Tree Points",$C723&lt;&gt;"",$D723&lt;&gt;"",OR($K723="",$L723="",$M723="")),
Error!$B$20,
""
)))))))))))))))))))))))))))))))))))))))))))))))))))))))),
Error!$B$23))</f>
        <v/>
      </c>
      <c r="O723" s="343" t="str" cm="1">
        <f t="array" aca="1" ref="O723" ca="1">IFERROR(_xlfn.LET(
    _xlpm.txt, $C723,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24" spans="1:15" x14ac:dyDescent="0.3">
      <c r="A724" s="320"/>
      <c r="B724" s="616" t="str">
        <f t="shared" ref="B724:B726" si="857">IF($B723="", "", $B723)</f>
        <v/>
      </c>
      <c r="C724" s="617" t="str">
        <f t="shared" ref="C724:C726" si="858">IF($C723="", "", $C723)</f>
        <v/>
      </c>
      <c r="D724" s="618" t="str">
        <f t="shared" ref="D724:D726" si="859">IF($D723="", "", $D723)</f>
        <v/>
      </c>
      <c r="E724" s="616" t="str">
        <f t="shared" ref="E724:E726" si="860">IF($E723="", "", $E723)</f>
        <v/>
      </c>
      <c r="F724" s="616" t="str">
        <f t="shared" ref="F724:F726" si="861">IF($F723="", "", $F723)</f>
        <v/>
      </c>
      <c r="G724" s="619" t="str">
        <f>IF(Tree_Table1[[#This Row],[Tree Status  &amp;]]="Retain", Tables!$B$237, IF(Tree_Table1[[#This Row],[Tree Status  &amp;]]="Remove", Tables!$B$238, ""))</f>
        <v/>
      </c>
      <c r="H724" s="321"/>
      <c r="I724" s="322"/>
      <c r="J724" s="453"/>
      <c r="K724" s="323" t="str">
        <f>IFERROR(
    IF(
        AND($H724="Zoning: Tree Points", NOT(ISNUMBER(SEARCH("sp.", $C724)))),
        VLOOKUP($C724, 'Tree List'!$C$3:$F$601, 4, FALSE),
        ""
    ),
"")</f>
        <v/>
      </c>
      <c r="L724" s="324" t="str" cm="1">
        <f t="array" ref="L724">IFERROR(
IF(
    AND($H724="Zoning: Tree Points", NOT(ISNUMBER(SEARCH("sp.", $C724)))),
    _xlfn.IFS(
        (COUNTIFS('Tree List'!$C$3:$C$601,$C724,'Tree List'!$D$3:$D$601,"Coniferous")
        + COUNTIFS('Tree List'!$C$3:$C$601,$C724,'Tree List'!$D$3:$D$601,"Deciduous Conifer")) &gt; 0,
            _xlfn.IFS($K724="Small",0.5,$K724="Small/Medium",1,$K724="Medium/Large",1.4,$K724="Large",1.8),
        (COUNTIFS('Tree List'!$C$3:$C$601,$C724,'Tree List'!$D$3:$D$601,"Deciduous")
        + COUNTIFS('Tree List'!$C$3:$C$601,$C724,'Tree List'!$D$3:$D$601,"Broadleaf Evergreen")) &gt; 0,
            _xlfn.IFS($K724="Small",0.4,$K724="Small/Medium",0.8,$K724="Medium/Large",1.2,$K724="Large",1.6)
    ),
    ""
),
"")</f>
        <v/>
      </c>
      <c r="M724" s="475" t="str">
        <f t="shared" si="816"/>
        <v/>
      </c>
      <c r="N724" s="346" t="str" cm="1">
        <f t="array" aca="1" ref="N72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IF(AND(_xlpm.baseRow,ISNA(MATCH($C724,'Tree List'!$C$3:$C$601,0)),SUMPRODUCT(--ISNUMBER(SEARCH(Tables2!$C$677:$C$772,$O724)))&gt;0),
Error!$B$57,
IF(AND(_xlpm.hasDM,$F724="Remove",$H724&lt;&gt;"",OR($I724="On-site replacement",$I724="Off-site replacement",$I724="Payment In Lieu")),
Error!$B$56,
IF(AND(_xlpm.hasDM,$F724="Remove",$H724&lt;&gt;"",$I724="Relocation"),
Error!$B$66,
IF(AND(OR(_xlpm.hasCN,_xlpm.hasPH,_xlpm.hasGR),$H724&lt;&gt;"",COUNTIF(Tables!$B$132:$B$134,$H724)&gt;0,$I724="N/A (No replacement required)"),
Error!$B$62,
IF(AND(_xlpm.baseRow,$E724&lt;&gt;"",ISNA(MATCH($E724,Tables!$B$225:$B$232,0))),
Error!$B$2,
IF(AND(_xlpm.baseRow,$F724&lt;&gt;"",ISNA(MATCH($F724,Tables!$B$234:$B$235,0))),
Error!$B$24,
IF(AND(_xlpm.baseRow,_xlpm.ECA_H&gt;0,_xlpm.Shore_H&gt;0),
Error!$B$16,
IF(AND(_xlpm.baseRow,$E724&lt;&gt;"",$D724=""),
Error!$B$3,
IF(AND(_xlpm.baseRow,OR($E724="Tier 3",$E724="Tier 4"),$C724&lt;&gt;"",$D724&gt;=24,COUNTIF(Tables2!$B$166:$B$674,$C724)&gt;0),
Error!$B$44,
IF(AND(_xlpm.baseRow,OR($E724="Tier 3",$E724="Tier 4"),$C724&lt;&gt;"",$D724&lt;&gt;"",COUNTIF(Tables2!$B$73:$B$152,$C724)&gt;0,
$D724&gt;=IFERROR(INDEX(Tables2!$C$73:$C$152,MATCH($C724,Tables2!$B$73:$B$152,0)),-1)),
Error!$B$44,
IF(AND(_xlpm.baseRow,OR($E724="Tier 2",$E724="Tier 2 Grove"),$C724&lt;&gt;"",$D724&gt;=12,COUNTIF(Tables2!$B$153:$B$162,$C724)&gt;0),
Error!$B$45,
IF(AND(_xlpm.baseRow,$E724="Tier 2 Grove",$D724&lt;12),
Error!$B$41,
IF(AND(_xlpm.baseRow,$E724="Tier 2",$D724&lt;5.88),
Error!$B$40,
IF(AND(_xlpm.baseRow,OR($E724="Tier 2",$E724="Tier 2 Grove"),$C724&lt;&gt;"",$D724&lt;12,$D724&gt;=6,COUNTIF(Tables2!$B$153:$B$162,$C724)&gt;0),
Error!$B$54,
IF(AND(_xlpm.baseRow,$E724="Tier 2",COUNTIF(Tables2!$B$166:$B$674,$C724)&gt;0,$D724&lt;24),
Error!$B$54,
IF(AND(_xlpm.baseRow,$E724="Tier 3",ISNA(MATCH($C724,Tables2!$B$153:$B$162,0)),OR($D724&lt;12,$D724&gt;=24)),
Error!$B$9,
IF(AND(_xlpm.baseRow,$E724="Tier 3",COUNTIF(Tables2!$B$153:$B$162,$C724)&gt;0,$D724&lt;12),
Error!$B$46,
IF(AND(_xlpm.baseRow,$E724="Tier 4",OR($D724&lt;6,$D724&gt;=12)),
Error!$B$10,
IF(AND(_xlpm.baseRow,$E724="&lt;6in DSH for Tree Points",OR($D724&gt;=6,$D724="")),
Error!$B$8,
IF(AND(_xlpm.baseRow,$E724="Street Tree for Green Factor",$F724&lt;&gt;"",$F724&lt;&gt;"Retain"),
Error!$B$14,
IF(AND($E724="&lt;6in DSH for Tree Points",$F724="Retain",$H724&lt;&gt;"",ISNA(MATCH($H724,Tables!$B$174:$B$174,0))),
Error!$B$15,
IF(AND($E724="Street Tree for Green Factor",$F724="Retain",$H724&lt;&gt;"",$H724&lt;&gt;"Zoning: Green Factor"),
Error!$B$15,
IF(AND($E724="ECA / Shoreline Tree",$F724="Remove",$H724&lt;&gt;"",ISNA(MATCH($H724,Tables!$B$189:$B$190,0))),
Error!$B$15,
IF(AND($E724="ECA / Shoreline Tree",$F724="Retain",$H724&lt;&gt;"",ISNA(MATCH($H724,Tables!$B$184:$B$186,0))),
Error!$B$15,
IF(AND($E724="Tier 4",$F724="Remove",$H724&lt;&gt;"",ISNA(MATCH($H724,Tables!$B$171,0))),
Error!$B$15,
IF(AND($E724="Tier 4",$F724="Retain",$H724&lt;&gt;"",ISNA(MATCH($H724,Tables!$B$166:$B$168,0))),
Error!$B$15,
IF(AND($E724="Tier 3",$F724="Retain",$H724&lt;&gt;"",ISNA(MATCH($H724,Tables!$B$158:$B$160,0))),
Error!$B$15,
IF(AND($E724="Tier 3",$F724="Remove",$H724&lt;&gt;"",ISNA(MATCH($H724,Tables!$B$163,0))),
Error!$B$15,
IF(AND(OR($E724="Tier 2",$E724="Tier 2 Grove"),$F724="Remove",$H724&lt;&gt;"",ISNA(MATCH($H724,Tables!$B$153:$B$155,0))),
Error!$B$15,
IF(AND(OR($E724="Tier 2",$E724="Tier 2 Grove"),$F724="Retain",$H724&lt;&gt;"",ISNA(MATCH($H724,Tables!$B$147:$B$150,0))),
Error!$B$15,
IF(AND($E724="Tier 1",$F724="Remove",$H724&lt;&gt;"",ISNA(MATCH($H724,Tables!$B$143:$B$144,0))),
Error!$B$15,
IF(AND($E724="Tier 1",$F724="Retain",$H724&lt;&gt;"",ISNA(MATCH($H724,Tables!$B$137:$B$140,0))),
Error!$B$15,
IF(AND($E724&lt;&gt;"Tier 2",$E724&lt;&gt;"Tier 2 Grove",$E724&lt;&gt;"Tier 3",$E724&lt;&gt;"Tier 4",$H724="Zoning: Green Factor",OR($D724="",$D724&lt;6)),
Error!$B$11,
IF(AND(_xlpm.baseRow,$D724&lt;6,$E724="&lt;6in DSH for Tree Points",_xlpm.TreePoints_H=0),
Error!$B$21,
IF(AND(_xlpm.baseRow,$E724&lt;&gt;"",$D724&lt;&gt;"",$F724=""),
Error!$B$4,
IF(AND(_xlpm.baseRow,$F724="Remove",OR($E724="Tier 1",$E724="Tier 2",$E724="Tier 2 Grove"),COUNTBLANK(_xlpm.HRange)&lt;3,_xlpm.uniqueH&gt;=2),
Error!$B$48,
IF(AND(_xlpm.baseRow,$F724="Retain",OR($E724="Tier 1",$E724="Tier 2",$E724="Tier 2 Grove"),COUNTIF(_xlpm.HRange,"Tree Code: Required to Retain Tier 1-2 Tree")=0),
Error!$B$47,
IF(AND(_xlpm.baseRow,$E724&lt;&gt;"",$D724&lt;&gt;"",$F724&lt;&gt;"",COUNTBLANK(_xlpm.HRange)=4),
Error!$B$5,
IF(AND($F724="Remove",$H724&lt;&gt;"",$I724=""),
Error!$B$18,
IF(AND($E724="Tier 4",$F724="Remove",$H724="Tree Protection Code: Tier 3 or Tier 4 Allowance",$H724&lt;&gt;"",ISNA(MATCH($I724,Tables!$B$200,0))),
Error!$B$17,
IF(AND($E724="Tier 3",$F724="Remove",$H724&lt;&gt;"",$H724="Tree Protection Code: Tier 3 or Tier 4 Allowance",OR($I724="",ISNA(MATCH($I724,Tables!$B$193:$B$197,0)))),
Error!$B$17,
IF(AND(OR($E724="Tier 2",$E724="Tier 2 Grove"),$F724="Remove",$H724="Tree Protection Code: Other removal allowance or exemption",$I724&lt;&gt;"",ISNA(MATCH($I724,Tables!$B$215:$B$218,0))),
Error!$B$17,
IF(AND(OR($E724="Tier 2",$E724="Tier 2 Grove"),$F724="Remove",$H724="Tree Protection Code: Development Capacity",$I724&lt;&gt;"",ISNA(MATCH($I724,Tables!$B$193:$B$197,0))),
Error!$B$17,
IF(AND(OR($E724="Tier 2",$E724="Tier 2 Grove"),$F724="Remove",$H724="Tree Protection Code: Necessary for Construction",$I724&lt;&gt;"",ISNA(MATCH($I724,Tables!$B$193:$B$197,0))),
Error!$B$17,
IF(AND($E724="Tier 1",$F724="Remove",$H724="Tree Protection Code: Special Exception",$I724&lt;&gt;"",ISNA(MATCH($I724,Tables!$B$215:$B$218,0))),
Error!$B$17,
IF(AND($E724="Tier 1",$F724="Remove",$H724="Tree Protection Code: Other removal allowance or exemption",$I724&lt;&gt;"",ISNA(MATCH($I724,Tables!$B$215:$B$218,0))),
Error!$B$17,
IF(AND($E724="ECA / Shoreline Tree",$F724="Remove",$H724&lt;&gt;"",OR($H724="Shoreline",$H724="Environmental Critical Area (ECA)"),ISNA(MATCH($I724,Tables!$B$209:$B$212,0))),
Error!$B$17,
IF(AND(_xlpm.baseRow,$F724="Retain",$E724="ECA / Shoreline Tree",_xlpm.ECA_Short=0),
Error!$B$61,
IF(AND($F724="Remove",ISNUMBER(MATCH($E724,{"Tier 1","Tier 2","Tier 3","Tier 4","Tier 2 Grove"},0)),ISNUMBER(MATCH($I724,{"On-site replacement","Off-site replacement"},0)),$J724="",$H724&lt;&gt;""),
Error!$B$19,
IF(AND(_xlpm.baseRow,$E724&lt;&gt;"",$D724&lt;&gt;"",$F724&lt;&gt;"",COUNTBLANK($B724:$C724)&gt;0,COUNTBLANK(_xlpm.HRange)&lt;&gt;4),
Error!$B$22,
IF(AND($H724="Zoning: Tree Points",$K724&lt;&gt;"",ISNA(MATCH($K724,Tables!$B$242:$B$253,0))),
Error!$B$58,
IF(AND($H724="Zoning: Tree Points",$K724="Small",$L724&lt;&gt;"",ISNA(MATCH($L724,Tables!$C$243:$C$244,0))),
Error!$B$59,
IF(AND($H724="Zoning: Tree Points",$K724="Small/Medium",$L724&lt;&gt;"",ISNA(MATCH($L724,Tables!$C$246:$C$247,0))),
Error!$B$59,
IF(AND($H724="Zoning: Tree Points",$K724="Medium/Large",$L724&lt;&gt;"",ISNA(MATCH($L724,Tables!$C$249:$C$250,0))),
Error!$B$59,
IF(AND($H724="Zoning: Tree Points",$K724="Large",$L724&lt;&gt;"",ISNA(MATCH($L724,Tables!$C$252:$C$253,0))),
Error!$B$59,
IF(AND($F724="Retain",$H724="Zoning: Tree Points",$C724&lt;&gt;"",$D724&lt;&gt;"",OR($K724="",$L724="",$M724="")),
Error!$B$20,
""
)))))))))))))))))))))))))))))))))))))))))))))))))))))))),
Error!$B$23))</f>
        <v/>
      </c>
      <c r="O724" s="343" t="str" cm="1">
        <f t="array" aca="1" ref="O724" ca="1">IFERROR(_xlfn.LET(
    _xlpm.txt, $C724,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25" spans="1:15" x14ac:dyDescent="0.3">
      <c r="A725" s="320"/>
      <c r="B725" s="616" t="str">
        <f t="shared" si="857"/>
        <v/>
      </c>
      <c r="C725" s="617" t="str">
        <f t="shared" si="858"/>
        <v/>
      </c>
      <c r="D725" s="618" t="str">
        <f t="shared" si="859"/>
        <v/>
      </c>
      <c r="E725" s="616" t="str">
        <f t="shared" si="860"/>
        <v/>
      </c>
      <c r="F725" s="616" t="str">
        <f t="shared" si="861"/>
        <v/>
      </c>
      <c r="G725" s="619" t="str">
        <f>IF(Tree_Table1[[#This Row],[Tree Status  &amp;]]="Retain", Tables!$B$237, IF(Tree_Table1[[#This Row],[Tree Status  &amp;]]="Remove", Tables!$B$238, ""))</f>
        <v/>
      </c>
      <c r="H725" s="321"/>
      <c r="I725" s="322"/>
      <c r="J725" s="453"/>
      <c r="K725" s="323" t="str">
        <f>IFERROR(
    IF(
        AND($H725="Zoning: Tree Points", NOT(ISNUMBER(SEARCH("sp.", $C725)))),
        VLOOKUP($C725, 'Tree List'!$C$3:$F$601, 4, FALSE),
        ""
    ),
"")</f>
        <v/>
      </c>
      <c r="L725" s="324" t="str" cm="1">
        <f t="array" ref="L725">IFERROR(
IF(
    AND($H725="Zoning: Tree Points", NOT(ISNUMBER(SEARCH("sp.", $C725)))),
    _xlfn.IFS(
        (COUNTIFS('Tree List'!$C$3:$C$601,$C725,'Tree List'!$D$3:$D$601,"Coniferous")
        + COUNTIFS('Tree List'!$C$3:$C$601,$C725,'Tree List'!$D$3:$D$601,"Deciduous Conifer")) &gt; 0,
            _xlfn.IFS($K725="Small",0.5,$K725="Small/Medium",1,$K725="Medium/Large",1.4,$K725="Large",1.8),
        (COUNTIFS('Tree List'!$C$3:$C$601,$C725,'Tree List'!$D$3:$D$601,"Deciduous")
        + COUNTIFS('Tree List'!$C$3:$C$601,$C725,'Tree List'!$D$3:$D$601,"Broadleaf Evergreen")) &gt; 0,
            _xlfn.IFS($K725="Small",0.4,$K725="Small/Medium",0.8,$K725="Medium/Large",1.2,$K725="Large",1.6)
    ),
    ""
),
"")</f>
        <v/>
      </c>
      <c r="M725" s="475" t="str">
        <f t="shared" si="816"/>
        <v/>
      </c>
      <c r="N725" s="346" t="str" cm="1">
        <f t="array" aca="1" ref="N72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IF(AND(_xlpm.baseRow,ISNA(MATCH($C725,'Tree List'!$C$3:$C$601,0)),SUMPRODUCT(--ISNUMBER(SEARCH(Tables2!$C$677:$C$772,$O725)))&gt;0),
Error!$B$57,
IF(AND(_xlpm.hasDM,$F725="Remove",$H725&lt;&gt;"",OR($I725="On-site replacement",$I725="Off-site replacement",$I725="Payment In Lieu")),
Error!$B$56,
IF(AND(_xlpm.hasDM,$F725="Remove",$H725&lt;&gt;"",$I725="Relocation"),
Error!$B$66,
IF(AND(OR(_xlpm.hasCN,_xlpm.hasPH,_xlpm.hasGR),$H725&lt;&gt;"",COUNTIF(Tables!$B$132:$B$134,$H725)&gt;0,$I725="N/A (No replacement required)"),
Error!$B$62,
IF(AND(_xlpm.baseRow,$E725&lt;&gt;"",ISNA(MATCH($E725,Tables!$B$225:$B$232,0))),
Error!$B$2,
IF(AND(_xlpm.baseRow,$F725&lt;&gt;"",ISNA(MATCH($F725,Tables!$B$234:$B$235,0))),
Error!$B$24,
IF(AND(_xlpm.baseRow,_xlpm.ECA_H&gt;0,_xlpm.Shore_H&gt;0),
Error!$B$16,
IF(AND(_xlpm.baseRow,$E725&lt;&gt;"",$D725=""),
Error!$B$3,
IF(AND(_xlpm.baseRow,OR($E725="Tier 3",$E725="Tier 4"),$C725&lt;&gt;"",$D725&gt;=24,COUNTIF(Tables2!$B$166:$B$674,$C725)&gt;0),
Error!$B$44,
IF(AND(_xlpm.baseRow,OR($E725="Tier 3",$E725="Tier 4"),$C725&lt;&gt;"",$D725&lt;&gt;"",COUNTIF(Tables2!$B$73:$B$152,$C725)&gt;0,
$D725&gt;=IFERROR(INDEX(Tables2!$C$73:$C$152,MATCH($C725,Tables2!$B$73:$B$152,0)),-1)),
Error!$B$44,
IF(AND(_xlpm.baseRow,OR($E725="Tier 2",$E725="Tier 2 Grove"),$C725&lt;&gt;"",$D725&gt;=12,COUNTIF(Tables2!$B$153:$B$162,$C725)&gt;0),
Error!$B$45,
IF(AND(_xlpm.baseRow,$E725="Tier 2 Grove",$D725&lt;12),
Error!$B$41,
IF(AND(_xlpm.baseRow,$E725="Tier 2",$D725&lt;5.88),
Error!$B$40,
IF(AND(_xlpm.baseRow,OR($E725="Tier 2",$E725="Tier 2 Grove"),$C725&lt;&gt;"",$D725&lt;12,$D725&gt;=6,COUNTIF(Tables2!$B$153:$B$162,$C725)&gt;0),
Error!$B$54,
IF(AND(_xlpm.baseRow,$E725="Tier 2",COUNTIF(Tables2!$B$166:$B$674,$C725)&gt;0,$D725&lt;24),
Error!$B$54,
IF(AND(_xlpm.baseRow,$E725="Tier 3",ISNA(MATCH($C725,Tables2!$B$153:$B$162,0)),OR($D725&lt;12,$D725&gt;=24)),
Error!$B$9,
IF(AND(_xlpm.baseRow,$E725="Tier 3",COUNTIF(Tables2!$B$153:$B$162,$C725)&gt;0,$D725&lt;12),
Error!$B$46,
IF(AND(_xlpm.baseRow,$E725="Tier 4",OR($D725&lt;6,$D725&gt;=12)),
Error!$B$10,
IF(AND(_xlpm.baseRow,$E725="&lt;6in DSH for Tree Points",OR($D725&gt;=6,$D725="")),
Error!$B$8,
IF(AND(_xlpm.baseRow,$E725="Street Tree for Green Factor",$F725&lt;&gt;"",$F725&lt;&gt;"Retain"),
Error!$B$14,
IF(AND($E725="&lt;6in DSH for Tree Points",$F725="Retain",$H725&lt;&gt;"",ISNA(MATCH($H725,Tables!$B$174:$B$174,0))),
Error!$B$15,
IF(AND($E725="Street Tree for Green Factor",$F725="Retain",$H725&lt;&gt;"",$H725&lt;&gt;"Zoning: Green Factor"),
Error!$B$15,
IF(AND($E725="ECA / Shoreline Tree",$F725="Remove",$H725&lt;&gt;"",ISNA(MATCH($H725,Tables!$B$189:$B$190,0))),
Error!$B$15,
IF(AND($E725="ECA / Shoreline Tree",$F725="Retain",$H725&lt;&gt;"",ISNA(MATCH($H725,Tables!$B$184:$B$186,0))),
Error!$B$15,
IF(AND($E725="Tier 4",$F725="Remove",$H725&lt;&gt;"",ISNA(MATCH($H725,Tables!$B$171,0))),
Error!$B$15,
IF(AND($E725="Tier 4",$F725="Retain",$H725&lt;&gt;"",ISNA(MATCH($H725,Tables!$B$166:$B$168,0))),
Error!$B$15,
IF(AND($E725="Tier 3",$F725="Retain",$H725&lt;&gt;"",ISNA(MATCH($H725,Tables!$B$158:$B$160,0))),
Error!$B$15,
IF(AND($E725="Tier 3",$F725="Remove",$H725&lt;&gt;"",ISNA(MATCH($H725,Tables!$B$163,0))),
Error!$B$15,
IF(AND(OR($E725="Tier 2",$E725="Tier 2 Grove"),$F725="Remove",$H725&lt;&gt;"",ISNA(MATCH($H725,Tables!$B$153:$B$155,0))),
Error!$B$15,
IF(AND(OR($E725="Tier 2",$E725="Tier 2 Grove"),$F725="Retain",$H725&lt;&gt;"",ISNA(MATCH($H725,Tables!$B$147:$B$150,0))),
Error!$B$15,
IF(AND($E725="Tier 1",$F725="Remove",$H725&lt;&gt;"",ISNA(MATCH($H725,Tables!$B$143:$B$144,0))),
Error!$B$15,
IF(AND($E725="Tier 1",$F725="Retain",$H725&lt;&gt;"",ISNA(MATCH($H725,Tables!$B$137:$B$140,0))),
Error!$B$15,
IF(AND($E725&lt;&gt;"Tier 2",$E725&lt;&gt;"Tier 2 Grove",$E725&lt;&gt;"Tier 3",$E725&lt;&gt;"Tier 4",$H725="Zoning: Green Factor",OR($D725="",$D725&lt;6)),
Error!$B$11,
IF(AND(_xlpm.baseRow,$D725&lt;6,$E725="&lt;6in DSH for Tree Points",_xlpm.TreePoints_H=0),
Error!$B$21,
IF(AND(_xlpm.baseRow,$E725&lt;&gt;"",$D725&lt;&gt;"",$F725=""),
Error!$B$4,
IF(AND(_xlpm.baseRow,$F725="Remove",OR($E725="Tier 1",$E725="Tier 2",$E725="Tier 2 Grove"),COUNTBLANK(_xlpm.HRange)&lt;3,_xlpm.uniqueH&gt;=2),
Error!$B$48,
IF(AND(_xlpm.baseRow,$F725="Retain",OR($E725="Tier 1",$E725="Tier 2",$E725="Tier 2 Grove"),COUNTIF(_xlpm.HRange,"Tree Code: Required to Retain Tier 1-2 Tree")=0),
Error!$B$47,
IF(AND(_xlpm.baseRow,$E725&lt;&gt;"",$D725&lt;&gt;"",$F725&lt;&gt;"",COUNTBLANK(_xlpm.HRange)=4),
Error!$B$5,
IF(AND($F725="Remove",$H725&lt;&gt;"",$I725=""),
Error!$B$18,
IF(AND($E725="Tier 4",$F725="Remove",$H725="Tree Protection Code: Tier 3 or Tier 4 Allowance",$H725&lt;&gt;"",ISNA(MATCH($I725,Tables!$B$200,0))),
Error!$B$17,
IF(AND($E725="Tier 3",$F725="Remove",$H725&lt;&gt;"",$H725="Tree Protection Code: Tier 3 or Tier 4 Allowance",OR($I725="",ISNA(MATCH($I725,Tables!$B$193:$B$197,0)))),
Error!$B$17,
IF(AND(OR($E725="Tier 2",$E725="Tier 2 Grove"),$F725="Remove",$H725="Tree Protection Code: Other removal allowance or exemption",$I725&lt;&gt;"",ISNA(MATCH($I725,Tables!$B$215:$B$218,0))),
Error!$B$17,
IF(AND(OR($E725="Tier 2",$E725="Tier 2 Grove"),$F725="Remove",$H725="Tree Protection Code: Development Capacity",$I725&lt;&gt;"",ISNA(MATCH($I725,Tables!$B$193:$B$197,0))),
Error!$B$17,
IF(AND(OR($E725="Tier 2",$E725="Tier 2 Grove"),$F725="Remove",$H725="Tree Protection Code: Necessary for Construction",$I725&lt;&gt;"",ISNA(MATCH($I725,Tables!$B$193:$B$197,0))),
Error!$B$17,
IF(AND($E725="Tier 1",$F725="Remove",$H725="Tree Protection Code: Special Exception",$I725&lt;&gt;"",ISNA(MATCH($I725,Tables!$B$215:$B$218,0))),
Error!$B$17,
IF(AND($E725="Tier 1",$F725="Remove",$H725="Tree Protection Code: Other removal allowance or exemption",$I725&lt;&gt;"",ISNA(MATCH($I725,Tables!$B$215:$B$218,0))),
Error!$B$17,
IF(AND($E725="ECA / Shoreline Tree",$F725="Remove",$H725&lt;&gt;"",OR($H725="Shoreline",$H725="Environmental Critical Area (ECA)"),ISNA(MATCH($I725,Tables!$B$209:$B$212,0))),
Error!$B$17,
IF(AND(_xlpm.baseRow,$F725="Retain",$E725="ECA / Shoreline Tree",_xlpm.ECA_Short=0),
Error!$B$61,
IF(AND($F725="Remove",ISNUMBER(MATCH($E725,{"Tier 1","Tier 2","Tier 3","Tier 4","Tier 2 Grove"},0)),ISNUMBER(MATCH($I725,{"On-site replacement","Off-site replacement"},0)),$J725="",$H725&lt;&gt;""),
Error!$B$19,
IF(AND(_xlpm.baseRow,$E725&lt;&gt;"",$D725&lt;&gt;"",$F725&lt;&gt;"",COUNTBLANK($B725:$C725)&gt;0,COUNTBLANK(_xlpm.HRange)&lt;&gt;4),
Error!$B$22,
IF(AND($H725="Zoning: Tree Points",$K725&lt;&gt;"",ISNA(MATCH($K725,Tables!$B$242:$B$253,0))),
Error!$B$58,
IF(AND($H725="Zoning: Tree Points",$K725="Small",$L725&lt;&gt;"",ISNA(MATCH($L725,Tables!$C$243:$C$244,0))),
Error!$B$59,
IF(AND($H725="Zoning: Tree Points",$K725="Small/Medium",$L725&lt;&gt;"",ISNA(MATCH($L725,Tables!$C$246:$C$247,0))),
Error!$B$59,
IF(AND($H725="Zoning: Tree Points",$K725="Medium/Large",$L725&lt;&gt;"",ISNA(MATCH($L725,Tables!$C$249:$C$250,0))),
Error!$B$59,
IF(AND($H725="Zoning: Tree Points",$K725="Large",$L725&lt;&gt;"",ISNA(MATCH($L725,Tables!$C$252:$C$253,0))),
Error!$B$59,
IF(AND($F725="Retain",$H725="Zoning: Tree Points",$C725&lt;&gt;"",$D725&lt;&gt;"",OR($K725="",$L725="",$M725="")),
Error!$B$20,
""
)))))))))))))))))))))))))))))))))))))))))))))))))))))))),
Error!$B$23))</f>
        <v/>
      </c>
      <c r="O725" s="343" t="str" cm="1">
        <f t="array" aca="1" ref="O725" ca="1">IFERROR(_xlfn.LET(
    _xlpm.txt, $C725,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26" spans="1:15" ht="15" thickBot="1" x14ac:dyDescent="0.35">
      <c r="A726" s="331"/>
      <c r="B726" s="616" t="str">
        <f t="shared" si="857"/>
        <v/>
      </c>
      <c r="C726" s="617" t="str">
        <f t="shared" si="858"/>
        <v/>
      </c>
      <c r="D726" s="618" t="str">
        <f t="shared" si="859"/>
        <v/>
      </c>
      <c r="E726" s="616" t="str">
        <f t="shared" si="860"/>
        <v/>
      </c>
      <c r="F726" s="616" t="str">
        <f t="shared" si="861"/>
        <v/>
      </c>
      <c r="G726" s="619" t="str">
        <f>IF(Tree_Table1[[#This Row],[Tree Status  &amp;]]="Retain", Tables!$B$237, IF(Tree_Table1[[#This Row],[Tree Status  &amp;]]="Remove", Tables!$B$238, ""))</f>
        <v/>
      </c>
      <c r="H726" s="329"/>
      <c r="I726" s="330"/>
      <c r="J726" s="455"/>
      <c r="K726" s="327" t="str">
        <f>IFERROR(
    IF(
        AND($H726="Zoning: Tree Points", NOT(ISNUMBER(SEARCH("sp.", $C726)))),
        VLOOKUP($C726, 'Tree List'!$C$3:$F$601, 4, FALSE),
        ""
    ),
"")</f>
        <v/>
      </c>
      <c r="L726" s="328" t="str" cm="1">
        <f t="array" ref="L726">IFERROR(
IF(
    AND($H726="Zoning: Tree Points", NOT(ISNUMBER(SEARCH("sp.", $C726)))),
    _xlfn.IFS(
        (COUNTIFS('Tree List'!$C$3:$C$601,$C726,'Tree List'!$D$3:$D$601,"Coniferous")
        + COUNTIFS('Tree List'!$C$3:$C$601,$C726,'Tree List'!$D$3:$D$601,"Deciduous Conifer")) &gt; 0,
            _xlfn.IFS($K726="Small",0.5,$K726="Small/Medium",1,$K726="Medium/Large",1.4,$K726="Large",1.8),
        (COUNTIFS('Tree List'!$C$3:$C$601,$C726,'Tree List'!$D$3:$D$601,"Deciduous")
        + COUNTIFS('Tree List'!$C$3:$C$601,$C726,'Tree List'!$D$3:$D$601,"Broadleaf Evergreen")) &gt; 0,
            _xlfn.IFS($K726="Small",0.4,$K726="Small/Medium",0.8,$K726="Medium/Large",1.2,$K726="Large",1.6)
    ),
    ""
),
"")</f>
        <v/>
      </c>
      <c r="M726" s="476" t="str">
        <f t="shared" si="816"/>
        <v/>
      </c>
      <c r="N726" s="347" t="str" cm="1">
        <f t="array" aca="1" ref="N72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IF(AND(_xlpm.baseRow,ISNA(MATCH($C726,'Tree List'!$C$3:$C$601,0)),SUMPRODUCT(--ISNUMBER(SEARCH(Tables2!$C$677:$C$772,$O726)))&gt;0),
Error!$B$57,
IF(AND(_xlpm.hasDM,$F726="Remove",$H726&lt;&gt;"",OR($I726="On-site replacement",$I726="Off-site replacement",$I726="Payment In Lieu")),
Error!$B$56,
IF(AND(_xlpm.hasDM,$F726="Remove",$H726&lt;&gt;"",$I726="Relocation"),
Error!$B$66,
IF(AND(OR(_xlpm.hasCN,_xlpm.hasPH,_xlpm.hasGR),$H726&lt;&gt;"",COUNTIF(Tables!$B$132:$B$134,$H726)&gt;0,$I726="N/A (No replacement required)"),
Error!$B$62,
IF(AND(_xlpm.baseRow,$E726&lt;&gt;"",ISNA(MATCH($E726,Tables!$B$225:$B$232,0))),
Error!$B$2,
IF(AND(_xlpm.baseRow,$F726&lt;&gt;"",ISNA(MATCH($F726,Tables!$B$234:$B$235,0))),
Error!$B$24,
IF(AND(_xlpm.baseRow,_xlpm.ECA_H&gt;0,_xlpm.Shore_H&gt;0),
Error!$B$16,
IF(AND(_xlpm.baseRow,$E726&lt;&gt;"",$D726=""),
Error!$B$3,
IF(AND(_xlpm.baseRow,OR($E726="Tier 3",$E726="Tier 4"),$C726&lt;&gt;"",$D726&gt;=24,COUNTIF(Tables2!$B$166:$B$674,$C726)&gt;0),
Error!$B$44,
IF(AND(_xlpm.baseRow,OR($E726="Tier 3",$E726="Tier 4"),$C726&lt;&gt;"",$D726&lt;&gt;"",COUNTIF(Tables2!$B$73:$B$152,$C726)&gt;0,
$D726&gt;=IFERROR(INDEX(Tables2!$C$73:$C$152,MATCH($C726,Tables2!$B$73:$B$152,0)),-1)),
Error!$B$44,
IF(AND(_xlpm.baseRow,OR($E726="Tier 2",$E726="Tier 2 Grove"),$C726&lt;&gt;"",$D726&gt;=12,COUNTIF(Tables2!$B$153:$B$162,$C726)&gt;0),
Error!$B$45,
IF(AND(_xlpm.baseRow,$E726="Tier 2 Grove",$D726&lt;12),
Error!$B$41,
IF(AND(_xlpm.baseRow,$E726="Tier 2",$D726&lt;5.88),
Error!$B$40,
IF(AND(_xlpm.baseRow,OR($E726="Tier 2",$E726="Tier 2 Grove"),$C726&lt;&gt;"",$D726&lt;12,$D726&gt;=6,COUNTIF(Tables2!$B$153:$B$162,$C726)&gt;0),
Error!$B$54,
IF(AND(_xlpm.baseRow,$E726="Tier 2",COUNTIF(Tables2!$B$166:$B$674,$C726)&gt;0,$D726&lt;24),
Error!$B$54,
IF(AND(_xlpm.baseRow,$E726="Tier 3",ISNA(MATCH($C726,Tables2!$B$153:$B$162,0)),OR($D726&lt;12,$D726&gt;=24)),
Error!$B$9,
IF(AND(_xlpm.baseRow,$E726="Tier 3",COUNTIF(Tables2!$B$153:$B$162,$C726)&gt;0,$D726&lt;12),
Error!$B$46,
IF(AND(_xlpm.baseRow,$E726="Tier 4",OR($D726&lt;6,$D726&gt;=12)),
Error!$B$10,
IF(AND(_xlpm.baseRow,$E726="&lt;6in DSH for Tree Points",OR($D726&gt;=6,$D726="")),
Error!$B$8,
IF(AND(_xlpm.baseRow,$E726="Street Tree for Green Factor",$F726&lt;&gt;"",$F726&lt;&gt;"Retain"),
Error!$B$14,
IF(AND($E726="&lt;6in DSH for Tree Points",$F726="Retain",$H726&lt;&gt;"",ISNA(MATCH($H726,Tables!$B$174:$B$174,0))),
Error!$B$15,
IF(AND($E726="Street Tree for Green Factor",$F726="Retain",$H726&lt;&gt;"",$H726&lt;&gt;"Zoning: Green Factor"),
Error!$B$15,
IF(AND($E726="ECA / Shoreline Tree",$F726="Remove",$H726&lt;&gt;"",ISNA(MATCH($H726,Tables!$B$189:$B$190,0))),
Error!$B$15,
IF(AND($E726="ECA / Shoreline Tree",$F726="Retain",$H726&lt;&gt;"",ISNA(MATCH($H726,Tables!$B$184:$B$186,0))),
Error!$B$15,
IF(AND($E726="Tier 4",$F726="Remove",$H726&lt;&gt;"",ISNA(MATCH($H726,Tables!$B$171,0))),
Error!$B$15,
IF(AND($E726="Tier 4",$F726="Retain",$H726&lt;&gt;"",ISNA(MATCH($H726,Tables!$B$166:$B$168,0))),
Error!$B$15,
IF(AND($E726="Tier 3",$F726="Retain",$H726&lt;&gt;"",ISNA(MATCH($H726,Tables!$B$158:$B$160,0))),
Error!$B$15,
IF(AND($E726="Tier 3",$F726="Remove",$H726&lt;&gt;"",ISNA(MATCH($H726,Tables!$B$163,0))),
Error!$B$15,
IF(AND(OR($E726="Tier 2",$E726="Tier 2 Grove"),$F726="Remove",$H726&lt;&gt;"",ISNA(MATCH($H726,Tables!$B$153:$B$155,0))),
Error!$B$15,
IF(AND(OR($E726="Tier 2",$E726="Tier 2 Grove"),$F726="Retain",$H726&lt;&gt;"",ISNA(MATCH($H726,Tables!$B$147:$B$150,0))),
Error!$B$15,
IF(AND($E726="Tier 1",$F726="Remove",$H726&lt;&gt;"",ISNA(MATCH($H726,Tables!$B$143:$B$144,0))),
Error!$B$15,
IF(AND($E726="Tier 1",$F726="Retain",$H726&lt;&gt;"",ISNA(MATCH($H726,Tables!$B$137:$B$140,0))),
Error!$B$15,
IF(AND($E726&lt;&gt;"Tier 2",$E726&lt;&gt;"Tier 2 Grove",$E726&lt;&gt;"Tier 3",$E726&lt;&gt;"Tier 4",$H726="Zoning: Green Factor",OR($D726="",$D726&lt;6)),
Error!$B$11,
IF(AND(_xlpm.baseRow,$D726&lt;6,$E726="&lt;6in DSH for Tree Points",_xlpm.TreePoints_H=0),
Error!$B$21,
IF(AND(_xlpm.baseRow,$E726&lt;&gt;"",$D726&lt;&gt;"",$F726=""),
Error!$B$4,
IF(AND(_xlpm.baseRow,$F726="Remove",OR($E726="Tier 1",$E726="Tier 2",$E726="Tier 2 Grove"),COUNTBLANK(_xlpm.HRange)&lt;3,_xlpm.uniqueH&gt;=2),
Error!$B$48,
IF(AND(_xlpm.baseRow,$F726="Retain",OR($E726="Tier 1",$E726="Tier 2",$E726="Tier 2 Grove"),COUNTIF(_xlpm.HRange,"Tree Code: Required to Retain Tier 1-2 Tree")=0),
Error!$B$47,
IF(AND(_xlpm.baseRow,$E726&lt;&gt;"",$D726&lt;&gt;"",$F726&lt;&gt;"",COUNTBLANK(_xlpm.HRange)=4),
Error!$B$5,
IF(AND($F726="Remove",$H726&lt;&gt;"",$I726=""),
Error!$B$18,
IF(AND($E726="Tier 4",$F726="Remove",$H726="Tree Protection Code: Tier 3 or Tier 4 Allowance",$H726&lt;&gt;"",ISNA(MATCH($I726,Tables!$B$200,0))),
Error!$B$17,
IF(AND($E726="Tier 3",$F726="Remove",$H726&lt;&gt;"",$H726="Tree Protection Code: Tier 3 or Tier 4 Allowance",OR($I726="",ISNA(MATCH($I726,Tables!$B$193:$B$197,0)))),
Error!$B$17,
IF(AND(OR($E726="Tier 2",$E726="Tier 2 Grove"),$F726="Remove",$H726="Tree Protection Code: Other removal allowance or exemption",$I726&lt;&gt;"",ISNA(MATCH($I726,Tables!$B$215:$B$218,0))),
Error!$B$17,
IF(AND(OR($E726="Tier 2",$E726="Tier 2 Grove"),$F726="Remove",$H726="Tree Protection Code: Development Capacity",$I726&lt;&gt;"",ISNA(MATCH($I726,Tables!$B$193:$B$197,0))),
Error!$B$17,
IF(AND(OR($E726="Tier 2",$E726="Tier 2 Grove"),$F726="Remove",$H726="Tree Protection Code: Necessary for Construction",$I726&lt;&gt;"",ISNA(MATCH($I726,Tables!$B$193:$B$197,0))),
Error!$B$17,
IF(AND($E726="Tier 1",$F726="Remove",$H726="Tree Protection Code: Special Exception",$I726&lt;&gt;"",ISNA(MATCH($I726,Tables!$B$215:$B$218,0))),
Error!$B$17,
IF(AND($E726="Tier 1",$F726="Remove",$H726="Tree Protection Code: Other removal allowance or exemption",$I726&lt;&gt;"",ISNA(MATCH($I726,Tables!$B$215:$B$218,0))),
Error!$B$17,
IF(AND($E726="ECA / Shoreline Tree",$F726="Remove",$H726&lt;&gt;"",OR($H726="Shoreline",$H726="Environmental Critical Area (ECA)"),ISNA(MATCH($I726,Tables!$B$209:$B$212,0))),
Error!$B$17,
IF(AND(_xlpm.baseRow,$F726="Retain",$E726="ECA / Shoreline Tree",_xlpm.ECA_Short=0),
Error!$B$61,
IF(AND($F726="Remove",ISNUMBER(MATCH($E726,{"Tier 1","Tier 2","Tier 3","Tier 4","Tier 2 Grove"},0)),ISNUMBER(MATCH($I726,{"On-site replacement","Off-site replacement"},0)),$J726="",$H726&lt;&gt;""),
Error!$B$19,
IF(AND(_xlpm.baseRow,$E726&lt;&gt;"",$D726&lt;&gt;"",$F726&lt;&gt;"",COUNTBLANK($B726:$C726)&gt;0,COUNTBLANK(_xlpm.HRange)&lt;&gt;4),
Error!$B$22,
IF(AND($H726="Zoning: Tree Points",$K726&lt;&gt;"",ISNA(MATCH($K726,Tables!$B$242:$B$253,0))),
Error!$B$58,
IF(AND($H726="Zoning: Tree Points",$K726="Small",$L726&lt;&gt;"",ISNA(MATCH($L726,Tables!$C$243:$C$244,0))),
Error!$B$59,
IF(AND($H726="Zoning: Tree Points",$K726="Small/Medium",$L726&lt;&gt;"",ISNA(MATCH($L726,Tables!$C$246:$C$247,0))),
Error!$B$59,
IF(AND($H726="Zoning: Tree Points",$K726="Medium/Large",$L726&lt;&gt;"",ISNA(MATCH($L726,Tables!$C$249:$C$250,0))),
Error!$B$59,
IF(AND($H726="Zoning: Tree Points",$K726="Large",$L726&lt;&gt;"",ISNA(MATCH($L726,Tables!$C$252:$C$253,0))),
Error!$B$59,
IF(AND($F726="Retain",$H726="Zoning: Tree Points",$C726&lt;&gt;"",$D726&lt;&gt;"",OR($K726="",$L726="",$M726="")),
Error!$B$20,
""
)))))))))))))))))))))))))))))))))))))))))))))))))))))))),
Error!$B$23))</f>
        <v/>
      </c>
      <c r="O726" s="343" t="str" cm="1">
        <f t="array" aca="1" ref="O726" ca="1">IFERROR(_xlfn.LET(
    _xlpm.txt, $C726,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27" spans="1:15" ht="15" thickBot="1" x14ac:dyDescent="0.35">
      <c r="A727" s="311">
        <v>180</v>
      </c>
      <c r="B727" s="312"/>
      <c r="C727" s="313"/>
      <c r="D727" s="478"/>
      <c r="E727" s="314"/>
      <c r="F727" s="314"/>
      <c r="G727" s="315" t="str">
        <f>IF(Tree_Table1[[#This Row],[Tree Status  &amp;]]="Retain", Tables!$B$237, IF(Tree_Table1[[#This Row],[Tree Status  &amp;]]="Remove", Tables!$B$238, ""))</f>
        <v/>
      </c>
      <c r="H727" s="316"/>
      <c r="I727" s="317"/>
      <c r="J727" s="452"/>
      <c r="K727" s="318" t="str">
        <f>IFERROR(
    IF(
        AND($H727="Zoning: Tree Points", NOT(ISNUMBER(SEARCH("sp.", $C727)))),
        VLOOKUP($C727, 'Tree List'!$C$3:$F$601, 4, FALSE),
        ""
    ),
"")</f>
        <v/>
      </c>
      <c r="L727" s="319" t="str" cm="1">
        <f t="array" ref="L727">IFERROR(
IF(
    AND($H727="Zoning: Tree Points", NOT(ISNUMBER(SEARCH("sp.", $C727)))),
    _xlfn.IFS(
        (COUNTIFS('Tree List'!$C$3:$C$601,$C727,'Tree List'!$D$3:$D$601,"Coniferous")
        + COUNTIFS('Tree List'!$C$3:$C$601,$C727,'Tree List'!$D$3:$D$601,"Deciduous Conifer")) &gt; 0,
            _xlfn.IFS($K727="Small",0.5,$K727="Small/Medium",1,$K727="Medium/Large",1.4,$K727="Large",1.8),
        (COUNTIFS('Tree List'!$C$3:$C$601,$C727,'Tree List'!$D$3:$D$601,"Deciduous")
        + COUNTIFS('Tree List'!$C$3:$C$601,$C727,'Tree List'!$D$3:$D$601,"Broadleaf Evergreen")) &gt; 0,
            _xlfn.IFS($K727="Small",0.4,$K727="Small/Medium",0.8,$K727="Medium/Large",1.2,$K727="Large",1.6)
    ),
    ""
),
"")</f>
        <v/>
      </c>
      <c r="M727" s="474" t="str">
        <f t="shared" si="816"/>
        <v/>
      </c>
      <c r="N727" s="620" t="str" cm="1">
        <f t="array" aca="1" ref="N72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IF(AND(_xlpm.baseRow,ISNA(MATCH($C727,'Tree List'!$C$3:$C$601,0)),SUMPRODUCT(--ISNUMBER(SEARCH(Tables2!$C$677:$C$772,$O727)))&gt;0),
Error!$B$57,
IF(AND(_xlpm.hasDM,$F727="Remove",$H727&lt;&gt;"",OR($I727="On-site replacement",$I727="Off-site replacement",$I727="Payment In Lieu")),
Error!$B$56,
IF(AND(_xlpm.hasDM,$F727="Remove",$H727&lt;&gt;"",$I727="Relocation"),
Error!$B$66,
IF(AND(OR(_xlpm.hasCN,_xlpm.hasPH,_xlpm.hasGR),$H727&lt;&gt;"",COUNTIF(Tables!$B$132:$B$134,$H727)&gt;0,$I727="N/A (No replacement required)"),
Error!$B$62,
IF(AND(_xlpm.baseRow,$E727&lt;&gt;"",ISNA(MATCH($E727,Tables!$B$225:$B$232,0))),
Error!$B$2,
IF(AND(_xlpm.baseRow,$F727&lt;&gt;"",ISNA(MATCH($F727,Tables!$B$234:$B$235,0))),
Error!$B$24,
IF(AND(_xlpm.baseRow,_xlpm.ECA_H&gt;0,_xlpm.Shore_H&gt;0),
Error!$B$16,
IF(AND(_xlpm.baseRow,$E727&lt;&gt;"",$D727=""),
Error!$B$3,
IF(AND(_xlpm.baseRow,OR($E727="Tier 3",$E727="Tier 4"),$C727&lt;&gt;"",$D727&gt;=24,COUNTIF(Tables2!$B$166:$B$674,$C727)&gt;0),
Error!$B$44,
IF(AND(_xlpm.baseRow,OR($E727="Tier 3",$E727="Tier 4"),$C727&lt;&gt;"",$D727&lt;&gt;"",COUNTIF(Tables2!$B$73:$B$152,$C727)&gt;0,
$D727&gt;=IFERROR(INDEX(Tables2!$C$73:$C$152,MATCH($C727,Tables2!$B$73:$B$152,0)),-1)),
Error!$B$44,
IF(AND(_xlpm.baseRow,OR($E727="Tier 2",$E727="Tier 2 Grove"),$C727&lt;&gt;"",$D727&gt;=12,COUNTIF(Tables2!$B$153:$B$162,$C727)&gt;0),
Error!$B$45,
IF(AND(_xlpm.baseRow,$E727="Tier 2 Grove",$D727&lt;12),
Error!$B$41,
IF(AND(_xlpm.baseRow,$E727="Tier 2",$D727&lt;5.88),
Error!$B$40,
IF(AND(_xlpm.baseRow,OR($E727="Tier 2",$E727="Tier 2 Grove"),$C727&lt;&gt;"",$D727&lt;12,$D727&gt;=6,COUNTIF(Tables2!$B$153:$B$162,$C727)&gt;0),
Error!$B$54,
IF(AND(_xlpm.baseRow,$E727="Tier 2",COUNTIF(Tables2!$B$166:$B$674,$C727)&gt;0,$D727&lt;24),
Error!$B$54,
IF(AND(_xlpm.baseRow,$E727="Tier 3",ISNA(MATCH($C727,Tables2!$B$153:$B$162,0)),OR($D727&lt;12,$D727&gt;=24)),
Error!$B$9,
IF(AND(_xlpm.baseRow,$E727="Tier 3",COUNTIF(Tables2!$B$153:$B$162,$C727)&gt;0,$D727&lt;12),
Error!$B$46,
IF(AND(_xlpm.baseRow,$E727="Tier 4",OR($D727&lt;6,$D727&gt;=12)),
Error!$B$10,
IF(AND(_xlpm.baseRow,$E727="&lt;6in DSH for Tree Points",OR($D727&gt;=6,$D727="")),
Error!$B$8,
IF(AND(_xlpm.baseRow,$E727="Street Tree for Green Factor",$F727&lt;&gt;"",$F727&lt;&gt;"Retain"),
Error!$B$14,
IF(AND($E727="&lt;6in DSH for Tree Points",$F727="Retain",$H727&lt;&gt;"",ISNA(MATCH($H727,Tables!$B$174:$B$174,0))),
Error!$B$15,
IF(AND($E727="Street Tree for Green Factor",$F727="Retain",$H727&lt;&gt;"",$H727&lt;&gt;"Zoning: Green Factor"),
Error!$B$15,
IF(AND($E727="ECA / Shoreline Tree",$F727="Remove",$H727&lt;&gt;"",ISNA(MATCH($H727,Tables!$B$189:$B$190,0))),
Error!$B$15,
IF(AND($E727="ECA / Shoreline Tree",$F727="Retain",$H727&lt;&gt;"",ISNA(MATCH($H727,Tables!$B$184:$B$186,0))),
Error!$B$15,
IF(AND($E727="Tier 4",$F727="Remove",$H727&lt;&gt;"",ISNA(MATCH($H727,Tables!$B$171,0))),
Error!$B$15,
IF(AND($E727="Tier 4",$F727="Retain",$H727&lt;&gt;"",ISNA(MATCH($H727,Tables!$B$166:$B$168,0))),
Error!$B$15,
IF(AND($E727="Tier 3",$F727="Retain",$H727&lt;&gt;"",ISNA(MATCH($H727,Tables!$B$158:$B$160,0))),
Error!$B$15,
IF(AND($E727="Tier 3",$F727="Remove",$H727&lt;&gt;"",ISNA(MATCH($H727,Tables!$B$163,0))),
Error!$B$15,
IF(AND(OR($E727="Tier 2",$E727="Tier 2 Grove"),$F727="Remove",$H727&lt;&gt;"",ISNA(MATCH($H727,Tables!$B$153:$B$155,0))),
Error!$B$15,
IF(AND(OR($E727="Tier 2",$E727="Tier 2 Grove"),$F727="Retain",$H727&lt;&gt;"",ISNA(MATCH($H727,Tables!$B$147:$B$150,0))),
Error!$B$15,
IF(AND($E727="Tier 1",$F727="Remove",$H727&lt;&gt;"",ISNA(MATCH($H727,Tables!$B$143:$B$144,0))),
Error!$B$15,
IF(AND($E727="Tier 1",$F727="Retain",$H727&lt;&gt;"",ISNA(MATCH($H727,Tables!$B$137:$B$140,0))),
Error!$B$15,
IF(AND($E727&lt;&gt;"Tier 2",$E727&lt;&gt;"Tier 2 Grove",$E727&lt;&gt;"Tier 3",$E727&lt;&gt;"Tier 4",$H727="Zoning: Green Factor",OR($D727="",$D727&lt;6)),
Error!$B$11,
IF(AND(_xlpm.baseRow,$D727&lt;6,$E727="&lt;6in DSH for Tree Points",_xlpm.TreePoints_H=0),
Error!$B$21,
IF(AND(_xlpm.baseRow,$E727&lt;&gt;"",$D727&lt;&gt;"",$F727=""),
Error!$B$4,
IF(AND(_xlpm.baseRow,$F727="Remove",OR($E727="Tier 1",$E727="Tier 2",$E727="Tier 2 Grove"),COUNTBLANK(_xlpm.HRange)&lt;3,_xlpm.uniqueH&gt;=2),
Error!$B$48,
IF(AND(_xlpm.baseRow,$F727="Retain",OR($E727="Tier 1",$E727="Tier 2",$E727="Tier 2 Grove"),COUNTIF(_xlpm.HRange,"Tree Code: Required to Retain Tier 1-2 Tree")=0),
Error!$B$47,
IF(AND(_xlpm.baseRow,$E727&lt;&gt;"",$D727&lt;&gt;"",$F727&lt;&gt;"",COUNTBLANK(_xlpm.HRange)=4),
Error!$B$5,
IF(AND($F727="Remove",$H727&lt;&gt;"",$I727=""),
Error!$B$18,
IF(AND($E727="Tier 4",$F727="Remove",$H727="Tree Protection Code: Tier 3 or Tier 4 Allowance",$H727&lt;&gt;"",ISNA(MATCH($I727,Tables!$B$200,0))),
Error!$B$17,
IF(AND($E727="Tier 3",$F727="Remove",$H727&lt;&gt;"",$H727="Tree Protection Code: Tier 3 or Tier 4 Allowance",OR($I727="",ISNA(MATCH($I727,Tables!$B$193:$B$197,0)))),
Error!$B$17,
IF(AND(OR($E727="Tier 2",$E727="Tier 2 Grove"),$F727="Remove",$H727="Tree Protection Code: Other removal allowance or exemption",$I727&lt;&gt;"",ISNA(MATCH($I727,Tables!$B$215:$B$218,0))),
Error!$B$17,
IF(AND(OR($E727="Tier 2",$E727="Tier 2 Grove"),$F727="Remove",$H727="Tree Protection Code: Development Capacity",$I727&lt;&gt;"",ISNA(MATCH($I727,Tables!$B$193:$B$197,0))),
Error!$B$17,
IF(AND(OR($E727="Tier 2",$E727="Tier 2 Grove"),$F727="Remove",$H727="Tree Protection Code: Necessary for Construction",$I727&lt;&gt;"",ISNA(MATCH($I727,Tables!$B$193:$B$197,0))),
Error!$B$17,
IF(AND($E727="Tier 1",$F727="Remove",$H727="Tree Protection Code: Special Exception",$I727&lt;&gt;"",ISNA(MATCH($I727,Tables!$B$215:$B$218,0))),
Error!$B$17,
IF(AND($E727="Tier 1",$F727="Remove",$H727="Tree Protection Code: Other removal allowance or exemption",$I727&lt;&gt;"",ISNA(MATCH($I727,Tables!$B$215:$B$218,0))),
Error!$B$17,
IF(AND($E727="ECA / Shoreline Tree",$F727="Remove",$H727&lt;&gt;"",OR($H727="Shoreline",$H727="Environmental Critical Area (ECA)"),ISNA(MATCH($I727,Tables!$B$209:$B$212,0))),
Error!$B$17,
IF(AND(_xlpm.baseRow,$F727="Retain",$E727="ECA / Shoreline Tree",_xlpm.ECA_Short=0),
Error!$B$61,
IF(AND($F727="Remove",ISNUMBER(MATCH($E727,{"Tier 1","Tier 2","Tier 3","Tier 4","Tier 2 Grove"},0)),ISNUMBER(MATCH($I727,{"On-site replacement","Off-site replacement"},0)),$J727="",$H727&lt;&gt;""),
Error!$B$19,
IF(AND(_xlpm.baseRow,$E727&lt;&gt;"",$D727&lt;&gt;"",$F727&lt;&gt;"",COUNTBLANK($B727:$C727)&gt;0,COUNTBLANK(_xlpm.HRange)&lt;&gt;4),
Error!$B$22,
IF(AND($H727="Zoning: Tree Points",$K727&lt;&gt;"",ISNA(MATCH($K727,Tables!$B$242:$B$253,0))),
Error!$B$58,
IF(AND($H727="Zoning: Tree Points",$K727="Small",$L727&lt;&gt;"",ISNA(MATCH($L727,Tables!$C$243:$C$244,0))),
Error!$B$59,
IF(AND($H727="Zoning: Tree Points",$K727="Small/Medium",$L727&lt;&gt;"",ISNA(MATCH($L727,Tables!$C$246:$C$247,0))),
Error!$B$59,
IF(AND($H727="Zoning: Tree Points",$K727="Medium/Large",$L727&lt;&gt;"",ISNA(MATCH($L727,Tables!$C$249:$C$250,0))),
Error!$B$59,
IF(AND($H727="Zoning: Tree Points",$K727="Large",$L727&lt;&gt;"",ISNA(MATCH($L727,Tables!$C$252:$C$253,0))),
Error!$B$59,
IF(AND($F727="Retain",$H727="Zoning: Tree Points",$C727&lt;&gt;"",$D727&lt;&gt;"",OR($K727="",$L727="",$M727="")),
Error!$B$20,
""
)))))))))))))))))))))))))))))))))))))))))))))))))))))))),
Error!$B$23))</f>
        <v/>
      </c>
      <c r="O727" s="343" t="str" cm="1">
        <f t="array" aca="1" ref="O727" ca="1">IFERROR(_xlfn.LET(
    _xlpm.txt, $C727,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28" spans="1:15" x14ac:dyDescent="0.3">
      <c r="A728" s="320"/>
      <c r="B728" s="616" t="str">
        <f t="shared" ref="B728:B730" si="862">IF($B727="", "", $B727)</f>
        <v/>
      </c>
      <c r="C728" s="617" t="str">
        <f t="shared" ref="C728:C730" si="863">IF($C727="", "", $C727)</f>
        <v/>
      </c>
      <c r="D728" s="618" t="str">
        <f t="shared" ref="D728:D730" si="864">IF($D727="", "", $D727)</f>
        <v/>
      </c>
      <c r="E728" s="616" t="str">
        <f t="shared" ref="E728:E730" si="865">IF($E727="", "", $E727)</f>
        <v/>
      </c>
      <c r="F728" s="616" t="str">
        <f t="shared" ref="F728:F730" si="866">IF($F727="", "", $F727)</f>
        <v/>
      </c>
      <c r="G728" s="619" t="str">
        <f>IF(Tree_Table1[[#This Row],[Tree Status  &amp;]]="Retain", Tables!$B$237, IF(Tree_Table1[[#This Row],[Tree Status  &amp;]]="Remove", Tables!$B$238, ""))</f>
        <v/>
      </c>
      <c r="H728" s="321"/>
      <c r="I728" s="322"/>
      <c r="J728" s="453"/>
      <c r="K728" s="323" t="str">
        <f>IFERROR(
    IF(
        AND($H728="Zoning: Tree Points", NOT(ISNUMBER(SEARCH("sp.", $C728)))),
        VLOOKUP($C728, 'Tree List'!$C$3:$F$601, 4, FALSE),
        ""
    ),
"")</f>
        <v/>
      </c>
      <c r="L728" s="324" t="str" cm="1">
        <f t="array" ref="L728">IFERROR(
IF(
    AND($H728="Zoning: Tree Points", NOT(ISNUMBER(SEARCH("sp.", $C728)))),
    _xlfn.IFS(
        (COUNTIFS('Tree List'!$C$3:$C$601,$C728,'Tree List'!$D$3:$D$601,"Coniferous")
        + COUNTIFS('Tree List'!$C$3:$C$601,$C728,'Tree List'!$D$3:$D$601,"Deciduous Conifer")) &gt; 0,
            _xlfn.IFS($K728="Small",0.5,$K728="Small/Medium",1,$K728="Medium/Large",1.4,$K728="Large",1.8),
        (COUNTIFS('Tree List'!$C$3:$C$601,$C728,'Tree List'!$D$3:$D$601,"Deciduous")
        + COUNTIFS('Tree List'!$C$3:$C$601,$C728,'Tree List'!$D$3:$D$601,"Broadleaf Evergreen")) &gt; 0,
            _xlfn.IFS($K728="Small",0.4,$K728="Small/Medium",0.8,$K728="Medium/Large",1.2,$K728="Large",1.6)
    ),
    ""
),
"")</f>
        <v/>
      </c>
      <c r="M728" s="475" t="str">
        <f t="shared" si="816"/>
        <v/>
      </c>
      <c r="N728" s="346" t="str" cm="1">
        <f t="array" aca="1" ref="N72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IF(AND(_xlpm.baseRow,ISNA(MATCH($C728,'Tree List'!$C$3:$C$601,0)),SUMPRODUCT(--ISNUMBER(SEARCH(Tables2!$C$677:$C$772,$O728)))&gt;0),
Error!$B$57,
IF(AND(_xlpm.hasDM,$F728="Remove",$H728&lt;&gt;"",OR($I728="On-site replacement",$I728="Off-site replacement",$I728="Payment In Lieu")),
Error!$B$56,
IF(AND(_xlpm.hasDM,$F728="Remove",$H728&lt;&gt;"",$I728="Relocation"),
Error!$B$66,
IF(AND(OR(_xlpm.hasCN,_xlpm.hasPH,_xlpm.hasGR),$H728&lt;&gt;"",COUNTIF(Tables!$B$132:$B$134,$H728)&gt;0,$I728="N/A (No replacement required)"),
Error!$B$62,
IF(AND(_xlpm.baseRow,$E728&lt;&gt;"",ISNA(MATCH($E728,Tables!$B$225:$B$232,0))),
Error!$B$2,
IF(AND(_xlpm.baseRow,$F728&lt;&gt;"",ISNA(MATCH($F728,Tables!$B$234:$B$235,0))),
Error!$B$24,
IF(AND(_xlpm.baseRow,_xlpm.ECA_H&gt;0,_xlpm.Shore_H&gt;0),
Error!$B$16,
IF(AND(_xlpm.baseRow,$E728&lt;&gt;"",$D728=""),
Error!$B$3,
IF(AND(_xlpm.baseRow,OR($E728="Tier 3",$E728="Tier 4"),$C728&lt;&gt;"",$D728&gt;=24,COUNTIF(Tables2!$B$166:$B$674,$C728)&gt;0),
Error!$B$44,
IF(AND(_xlpm.baseRow,OR($E728="Tier 3",$E728="Tier 4"),$C728&lt;&gt;"",$D728&lt;&gt;"",COUNTIF(Tables2!$B$73:$B$152,$C728)&gt;0,
$D728&gt;=IFERROR(INDEX(Tables2!$C$73:$C$152,MATCH($C728,Tables2!$B$73:$B$152,0)),-1)),
Error!$B$44,
IF(AND(_xlpm.baseRow,OR($E728="Tier 2",$E728="Tier 2 Grove"),$C728&lt;&gt;"",$D728&gt;=12,COUNTIF(Tables2!$B$153:$B$162,$C728)&gt;0),
Error!$B$45,
IF(AND(_xlpm.baseRow,$E728="Tier 2 Grove",$D728&lt;12),
Error!$B$41,
IF(AND(_xlpm.baseRow,$E728="Tier 2",$D728&lt;5.88),
Error!$B$40,
IF(AND(_xlpm.baseRow,OR($E728="Tier 2",$E728="Tier 2 Grove"),$C728&lt;&gt;"",$D728&lt;12,$D728&gt;=6,COUNTIF(Tables2!$B$153:$B$162,$C728)&gt;0),
Error!$B$54,
IF(AND(_xlpm.baseRow,$E728="Tier 2",COUNTIF(Tables2!$B$166:$B$674,$C728)&gt;0,$D728&lt;24),
Error!$B$54,
IF(AND(_xlpm.baseRow,$E728="Tier 3",ISNA(MATCH($C728,Tables2!$B$153:$B$162,0)),OR($D728&lt;12,$D728&gt;=24)),
Error!$B$9,
IF(AND(_xlpm.baseRow,$E728="Tier 3",COUNTIF(Tables2!$B$153:$B$162,$C728)&gt;0,$D728&lt;12),
Error!$B$46,
IF(AND(_xlpm.baseRow,$E728="Tier 4",OR($D728&lt;6,$D728&gt;=12)),
Error!$B$10,
IF(AND(_xlpm.baseRow,$E728="&lt;6in DSH for Tree Points",OR($D728&gt;=6,$D728="")),
Error!$B$8,
IF(AND(_xlpm.baseRow,$E728="Street Tree for Green Factor",$F728&lt;&gt;"",$F728&lt;&gt;"Retain"),
Error!$B$14,
IF(AND($E728="&lt;6in DSH for Tree Points",$F728="Retain",$H728&lt;&gt;"",ISNA(MATCH($H728,Tables!$B$174:$B$174,0))),
Error!$B$15,
IF(AND($E728="Street Tree for Green Factor",$F728="Retain",$H728&lt;&gt;"",$H728&lt;&gt;"Zoning: Green Factor"),
Error!$B$15,
IF(AND($E728="ECA / Shoreline Tree",$F728="Remove",$H728&lt;&gt;"",ISNA(MATCH($H728,Tables!$B$189:$B$190,0))),
Error!$B$15,
IF(AND($E728="ECA / Shoreline Tree",$F728="Retain",$H728&lt;&gt;"",ISNA(MATCH($H728,Tables!$B$184:$B$186,0))),
Error!$B$15,
IF(AND($E728="Tier 4",$F728="Remove",$H728&lt;&gt;"",ISNA(MATCH($H728,Tables!$B$171,0))),
Error!$B$15,
IF(AND($E728="Tier 4",$F728="Retain",$H728&lt;&gt;"",ISNA(MATCH($H728,Tables!$B$166:$B$168,0))),
Error!$B$15,
IF(AND($E728="Tier 3",$F728="Retain",$H728&lt;&gt;"",ISNA(MATCH($H728,Tables!$B$158:$B$160,0))),
Error!$B$15,
IF(AND($E728="Tier 3",$F728="Remove",$H728&lt;&gt;"",ISNA(MATCH($H728,Tables!$B$163,0))),
Error!$B$15,
IF(AND(OR($E728="Tier 2",$E728="Tier 2 Grove"),$F728="Remove",$H728&lt;&gt;"",ISNA(MATCH($H728,Tables!$B$153:$B$155,0))),
Error!$B$15,
IF(AND(OR($E728="Tier 2",$E728="Tier 2 Grove"),$F728="Retain",$H728&lt;&gt;"",ISNA(MATCH($H728,Tables!$B$147:$B$150,0))),
Error!$B$15,
IF(AND($E728="Tier 1",$F728="Remove",$H728&lt;&gt;"",ISNA(MATCH($H728,Tables!$B$143:$B$144,0))),
Error!$B$15,
IF(AND($E728="Tier 1",$F728="Retain",$H728&lt;&gt;"",ISNA(MATCH($H728,Tables!$B$137:$B$140,0))),
Error!$B$15,
IF(AND($E728&lt;&gt;"Tier 2",$E728&lt;&gt;"Tier 2 Grove",$E728&lt;&gt;"Tier 3",$E728&lt;&gt;"Tier 4",$H728="Zoning: Green Factor",OR($D728="",$D728&lt;6)),
Error!$B$11,
IF(AND(_xlpm.baseRow,$D728&lt;6,$E728="&lt;6in DSH for Tree Points",_xlpm.TreePoints_H=0),
Error!$B$21,
IF(AND(_xlpm.baseRow,$E728&lt;&gt;"",$D728&lt;&gt;"",$F728=""),
Error!$B$4,
IF(AND(_xlpm.baseRow,$F728="Remove",OR($E728="Tier 1",$E728="Tier 2",$E728="Tier 2 Grove"),COUNTBLANK(_xlpm.HRange)&lt;3,_xlpm.uniqueH&gt;=2),
Error!$B$48,
IF(AND(_xlpm.baseRow,$F728="Retain",OR($E728="Tier 1",$E728="Tier 2",$E728="Tier 2 Grove"),COUNTIF(_xlpm.HRange,"Tree Code: Required to Retain Tier 1-2 Tree")=0),
Error!$B$47,
IF(AND(_xlpm.baseRow,$E728&lt;&gt;"",$D728&lt;&gt;"",$F728&lt;&gt;"",COUNTBLANK(_xlpm.HRange)=4),
Error!$B$5,
IF(AND($F728="Remove",$H728&lt;&gt;"",$I728=""),
Error!$B$18,
IF(AND($E728="Tier 4",$F728="Remove",$H728="Tree Protection Code: Tier 3 or Tier 4 Allowance",$H728&lt;&gt;"",ISNA(MATCH($I728,Tables!$B$200,0))),
Error!$B$17,
IF(AND($E728="Tier 3",$F728="Remove",$H728&lt;&gt;"",$H728="Tree Protection Code: Tier 3 or Tier 4 Allowance",OR($I728="",ISNA(MATCH($I728,Tables!$B$193:$B$197,0)))),
Error!$B$17,
IF(AND(OR($E728="Tier 2",$E728="Tier 2 Grove"),$F728="Remove",$H728="Tree Protection Code: Other removal allowance or exemption",$I728&lt;&gt;"",ISNA(MATCH($I728,Tables!$B$215:$B$218,0))),
Error!$B$17,
IF(AND(OR($E728="Tier 2",$E728="Tier 2 Grove"),$F728="Remove",$H728="Tree Protection Code: Development Capacity",$I728&lt;&gt;"",ISNA(MATCH($I728,Tables!$B$193:$B$197,0))),
Error!$B$17,
IF(AND(OR($E728="Tier 2",$E728="Tier 2 Grove"),$F728="Remove",$H728="Tree Protection Code: Necessary for Construction",$I728&lt;&gt;"",ISNA(MATCH($I728,Tables!$B$193:$B$197,0))),
Error!$B$17,
IF(AND($E728="Tier 1",$F728="Remove",$H728="Tree Protection Code: Special Exception",$I728&lt;&gt;"",ISNA(MATCH($I728,Tables!$B$215:$B$218,0))),
Error!$B$17,
IF(AND($E728="Tier 1",$F728="Remove",$H728="Tree Protection Code: Other removal allowance or exemption",$I728&lt;&gt;"",ISNA(MATCH($I728,Tables!$B$215:$B$218,0))),
Error!$B$17,
IF(AND($E728="ECA / Shoreline Tree",$F728="Remove",$H728&lt;&gt;"",OR($H728="Shoreline",$H728="Environmental Critical Area (ECA)"),ISNA(MATCH($I728,Tables!$B$209:$B$212,0))),
Error!$B$17,
IF(AND(_xlpm.baseRow,$F728="Retain",$E728="ECA / Shoreline Tree",_xlpm.ECA_Short=0),
Error!$B$61,
IF(AND($F728="Remove",ISNUMBER(MATCH($E728,{"Tier 1","Tier 2","Tier 3","Tier 4","Tier 2 Grove"},0)),ISNUMBER(MATCH($I728,{"On-site replacement","Off-site replacement"},0)),$J728="",$H728&lt;&gt;""),
Error!$B$19,
IF(AND(_xlpm.baseRow,$E728&lt;&gt;"",$D728&lt;&gt;"",$F728&lt;&gt;"",COUNTBLANK($B728:$C728)&gt;0,COUNTBLANK(_xlpm.HRange)&lt;&gt;4),
Error!$B$22,
IF(AND($H728="Zoning: Tree Points",$K728&lt;&gt;"",ISNA(MATCH($K728,Tables!$B$242:$B$253,0))),
Error!$B$58,
IF(AND($H728="Zoning: Tree Points",$K728="Small",$L728&lt;&gt;"",ISNA(MATCH($L728,Tables!$C$243:$C$244,0))),
Error!$B$59,
IF(AND($H728="Zoning: Tree Points",$K728="Small/Medium",$L728&lt;&gt;"",ISNA(MATCH($L728,Tables!$C$246:$C$247,0))),
Error!$B$59,
IF(AND($H728="Zoning: Tree Points",$K728="Medium/Large",$L728&lt;&gt;"",ISNA(MATCH($L728,Tables!$C$249:$C$250,0))),
Error!$B$59,
IF(AND($H728="Zoning: Tree Points",$K728="Large",$L728&lt;&gt;"",ISNA(MATCH($L728,Tables!$C$252:$C$253,0))),
Error!$B$59,
IF(AND($F728="Retain",$H728="Zoning: Tree Points",$C728&lt;&gt;"",$D728&lt;&gt;"",OR($K728="",$L728="",$M728="")),
Error!$B$20,
""
)))))))))))))))))))))))))))))))))))))))))))))))))))))))),
Error!$B$23))</f>
        <v/>
      </c>
      <c r="O728" s="343" t="str" cm="1">
        <f t="array" aca="1" ref="O728" ca="1">IFERROR(_xlfn.LET(
    _xlpm.txt, $C728,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29" spans="1:15" x14ac:dyDescent="0.3">
      <c r="A729" s="320"/>
      <c r="B729" s="616" t="str">
        <f t="shared" si="862"/>
        <v/>
      </c>
      <c r="C729" s="617" t="str">
        <f t="shared" si="863"/>
        <v/>
      </c>
      <c r="D729" s="618" t="str">
        <f t="shared" si="864"/>
        <v/>
      </c>
      <c r="E729" s="616" t="str">
        <f t="shared" si="865"/>
        <v/>
      </c>
      <c r="F729" s="616" t="str">
        <f t="shared" si="866"/>
        <v/>
      </c>
      <c r="G729" s="619" t="str">
        <f>IF(Tree_Table1[[#This Row],[Tree Status  &amp;]]="Retain", Tables!$B$237, IF(Tree_Table1[[#This Row],[Tree Status  &amp;]]="Remove", Tables!$B$238, ""))</f>
        <v/>
      </c>
      <c r="H729" s="321"/>
      <c r="I729" s="322"/>
      <c r="J729" s="453"/>
      <c r="K729" s="323" t="str">
        <f>IFERROR(
    IF(
        AND($H729="Zoning: Tree Points", NOT(ISNUMBER(SEARCH("sp.", $C729)))),
        VLOOKUP($C729, 'Tree List'!$C$3:$F$601, 4, FALSE),
        ""
    ),
"")</f>
        <v/>
      </c>
      <c r="L729" s="324" t="str" cm="1">
        <f t="array" ref="L729">IFERROR(
IF(
    AND($H729="Zoning: Tree Points", NOT(ISNUMBER(SEARCH("sp.", $C729)))),
    _xlfn.IFS(
        (COUNTIFS('Tree List'!$C$3:$C$601,$C729,'Tree List'!$D$3:$D$601,"Coniferous")
        + COUNTIFS('Tree List'!$C$3:$C$601,$C729,'Tree List'!$D$3:$D$601,"Deciduous Conifer")) &gt; 0,
            _xlfn.IFS($K729="Small",0.5,$K729="Small/Medium",1,$K729="Medium/Large",1.4,$K729="Large",1.8),
        (COUNTIFS('Tree List'!$C$3:$C$601,$C729,'Tree List'!$D$3:$D$601,"Deciduous")
        + COUNTIFS('Tree List'!$C$3:$C$601,$C729,'Tree List'!$D$3:$D$601,"Broadleaf Evergreen")) &gt; 0,
            _xlfn.IFS($K729="Small",0.4,$K729="Small/Medium",0.8,$K729="Medium/Large",1.2,$K729="Large",1.6)
    ),
    ""
),
"")</f>
        <v/>
      </c>
      <c r="M729" s="475" t="str">
        <f t="shared" si="816"/>
        <v/>
      </c>
      <c r="N729" s="346" t="str" cm="1">
        <f t="array" aca="1" ref="N72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IF(AND(_xlpm.baseRow,ISNA(MATCH($C729,'Tree List'!$C$3:$C$601,0)),SUMPRODUCT(--ISNUMBER(SEARCH(Tables2!$C$677:$C$772,$O729)))&gt;0),
Error!$B$57,
IF(AND(_xlpm.hasDM,$F729="Remove",$H729&lt;&gt;"",OR($I729="On-site replacement",$I729="Off-site replacement",$I729="Payment In Lieu")),
Error!$B$56,
IF(AND(_xlpm.hasDM,$F729="Remove",$H729&lt;&gt;"",$I729="Relocation"),
Error!$B$66,
IF(AND(OR(_xlpm.hasCN,_xlpm.hasPH,_xlpm.hasGR),$H729&lt;&gt;"",COUNTIF(Tables!$B$132:$B$134,$H729)&gt;0,$I729="N/A (No replacement required)"),
Error!$B$62,
IF(AND(_xlpm.baseRow,$E729&lt;&gt;"",ISNA(MATCH($E729,Tables!$B$225:$B$232,0))),
Error!$B$2,
IF(AND(_xlpm.baseRow,$F729&lt;&gt;"",ISNA(MATCH($F729,Tables!$B$234:$B$235,0))),
Error!$B$24,
IF(AND(_xlpm.baseRow,_xlpm.ECA_H&gt;0,_xlpm.Shore_H&gt;0),
Error!$B$16,
IF(AND(_xlpm.baseRow,$E729&lt;&gt;"",$D729=""),
Error!$B$3,
IF(AND(_xlpm.baseRow,OR($E729="Tier 3",$E729="Tier 4"),$C729&lt;&gt;"",$D729&gt;=24,COUNTIF(Tables2!$B$166:$B$674,$C729)&gt;0),
Error!$B$44,
IF(AND(_xlpm.baseRow,OR($E729="Tier 3",$E729="Tier 4"),$C729&lt;&gt;"",$D729&lt;&gt;"",COUNTIF(Tables2!$B$73:$B$152,$C729)&gt;0,
$D729&gt;=IFERROR(INDEX(Tables2!$C$73:$C$152,MATCH($C729,Tables2!$B$73:$B$152,0)),-1)),
Error!$B$44,
IF(AND(_xlpm.baseRow,OR($E729="Tier 2",$E729="Tier 2 Grove"),$C729&lt;&gt;"",$D729&gt;=12,COUNTIF(Tables2!$B$153:$B$162,$C729)&gt;0),
Error!$B$45,
IF(AND(_xlpm.baseRow,$E729="Tier 2 Grove",$D729&lt;12),
Error!$B$41,
IF(AND(_xlpm.baseRow,$E729="Tier 2",$D729&lt;5.88),
Error!$B$40,
IF(AND(_xlpm.baseRow,OR($E729="Tier 2",$E729="Tier 2 Grove"),$C729&lt;&gt;"",$D729&lt;12,$D729&gt;=6,COUNTIF(Tables2!$B$153:$B$162,$C729)&gt;0),
Error!$B$54,
IF(AND(_xlpm.baseRow,$E729="Tier 2",COUNTIF(Tables2!$B$166:$B$674,$C729)&gt;0,$D729&lt;24),
Error!$B$54,
IF(AND(_xlpm.baseRow,$E729="Tier 3",ISNA(MATCH($C729,Tables2!$B$153:$B$162,0)),OR($D729&lt;12,$D729&gt;=24)),
Error!$B$9,
IF(AND(_xlpm.baseRow,$E729="Tier 3",COUNTIF(Tables2!$B$153:$B$162,$C729)&gt;0,$D729&lt;12),
Error!$B$46,
IF(AND(_xlpm.baseRow,$E729="Tier 4",OR($D729&lt;6,$D729&gt;=12)),
Error!$B$10,
IF(AND(_xlpm.baseRow,$E729="&lt;6in DSH for Tree Points",OR($D729&gt;=6,$D729="")),
Error!$B$8,
IF(AND(_xlpm.baseRow,$E729="Street Tree for Green Factor",$F729&lt;&gt;"",$F729&lt;&gt;"Retain"),
Error!$B$14,
IF(AND($E729="&lt;6in DSH for Tree Points",$F729="Retain",$H729&lt;&gt;"",ISNA(MATCH($H729,Tables!$B$174:$B$174,0))),
Error!$B$15,
IF(AND($E729="Street Tree for Green Factor",$F729="Retain",$H729&lt;&gt;"",$H729&lt;&gt;"Zoning: Green Factor"),
Error!$B$15,
IF(AND($E729="ECA / Shoreline Tree",$F729="Remove",$H729&lt;&gt;"",ISNA(MATCH($H729,Tables!$B$189:$B$190,0))),
Error!$B$15,
IF(AND($E729="ECA / Shoreline Tree",$F729="Retain",$H729&lt;&gt;"",ISNA(MATCH($H729,Tables!$B$184:$B$186,0))),
Error!$B$15,
IF(AND($E729="Tier 4",$F729="Remove",$H729&lt;&gt;"",ISNA(MATCH($H729,Tables!$B$171,0))),
Error!$B$15,
IF(AND($E729="Tier 4",$F729="Retain",$H729&lt;&gt;"",ISNA(MATCH($H729,Tables!$B$166:$B$168,0))),
Error!$B$15,
IF(AND($E729="Tier 3",$F729="Retain",$H729&lt;&gt;"",ISNA(MATCH($H729,Tables!$B$158:$B$160,0))),
Error!$B$15,
IF(AND($E729="Tier 3",$F729="Remove",$H729&lt;&gt;"",ISNA(MATCH($H729,Tables!$B$163,0))),
Error!$B$15,
IF(AND(OR($E729="Tier 2",$E729="Tier 2 Grove"),$F729="Remove",$H729&lt;&gt;"",ISNA(MATCH($H729,Tables!$B$153:$B$155,0))),
Error!$B$15,
IF(AND(OR($E729="Tier 2",$E729="Tier 2 Grove"),$F729="Retain",$H729&lt;&gt;"",ISNA(MATCH($H729,Tables!$B$147:$B$150,0))),
Error!$B$15,
IF(AND($E729="Tier 1",$F729="Remove",$H729&lt;&gt;"",ISNA(MATCH($H729,Tables!$B$143:$B$144,0))),
Error!$B$15,
IF(AND($E729="Tier 1",$F729="Retain",$H729&lt;&gt;"",ISNA(MATCH($H729,Tables!$B$137:$B$140,0))),
Error!$B$15,
IF(AND($E729&lt;&gt;"Tier 2",$E729&lt;&gt;"Tier 2 Grove",$E729&lt;&gt;"Tier 3",$E729&lt;&gt;"Tier 4",$H729="Zoning: Green Factor",OR($D729="",$D729&lt;6)),
Error!$B$11,
IF(AND(_xlpm.baseRow,$D729&lt;6,$E729="&lt;6in DSH for Tree Points",_xlpm.TreePoints_H=0),
Error!$B$21,
IF(AND(_xlpm.baseRow,$E729&lt;&gt;"",$D729&lt;&gt;"",$F729=""),
Error!$B$4,
IF(AND(_xlpm.baseRow,$F729="Remove",OR($E729="Tier 1",$E729="Tier 2",$E729="Tier 2 Grove"),COUNTBLANK(_xlpm.HRange)&lt;3,_xlpm.uniqueH&gt;=2),
Error!$B$48,
IF(AND(_xlpm.baseRow,$F729="Retain",OR($E729="Tier 1",$E729="Tier 2",$E729="Tier 2 Grove"),COUNTIF(_xlpm.HRange,"Tree Code: Required to Retain Tier 1-2 Tree")=0),
Error!$B$47,
IF(AND(_xlpm.baseRow,$E729&lt;&gt;"",$D729&lt;&gt;"",$F729&lt;&gt;"",COUNTBLANK(_xlpm.HRange)=4),
Error!$B$5,
IF(AND($F729="Remove",$H729&lt;&gt;"",$I729=""),
Error!$B$18,
IF(AND($E729="Tier 4",$F729="Remove",$H729="Tree Protection Code: Tier 3 or Tier 4 Allowance",$H729&lt;&gt;"",ISNA(MATCH($I729,Tables!$B$200,0))),
Error!$B$17,
IF(AND($E729="Tier 3",$F729="Remove",$H729&lt;&gt;"",$H729="Tree Protection Code: Tier 3 or Tier 4 Allowance",OR($I729="",ISNA(MATCH($I729,Tables!$B$193:$B$197,0)))),
Error!$B$17,
IF(AND(OR($E729="Tier 2",$E729="Tier 2 Grove"),$F729="Remove",$H729="Tree Protection Code: Other removal allowance or exemption",$I729&lt;&gt;"",ISNA(MATCH($I729,Tables!$B$215:$B$218,0))),
Error!$B$17,
IF(AND(OR($E729="Tier 2",$E729="Tier 2 Grove"),$F729="Remove",$H729="Tree Protection Code: Development Capacity",$I729&lt;&gt;"",ISNA(MATCH($I729,Tables!$B$193:$B$197,0))),
Error!$B$17,
IF(AND(OR($E729="Tier 2",$E729="Tier 2 Grove"),$F729="Remove",$H729="Tree Protection Code: Necessary for Construction",$I729&lt;&gt;"",ISNA(MATCH($I729,Tables!$B$193:$B$197,0))),
Error!$B$17,
IF(AND($E729="Tier 1",$F729="Remove",$H729="Tree Protection Code: Special Exception",$I729&lt;&gt;"",ISNA(MATCH($I729,Tables!$B$215:$B$218,0))),
Error!$B$17,
IF(AND($E729="Tier 1",$F729="Remove",$H729="Tree Protection Code: Other removal allowance or exemption",$I729&lt;&gt;"",ISNA(MATCH($I729,Tables!$B$215:$B$218,0))),
Error!$B$17,
IF(AND($E729="ECA / Shoreline Tree",$F729="Remove",$H729&lt;&gt;"",OR($H729="Shoreline",$H729="Environmental Critical Area (ECA)"),ISNA(MATCH($I729,Tables!$B$209:$B$212,0))),
Error!$B$17,
IF(AND(_xlpm.baseRow,$F729="Retain",$E729="ECA / Shoreline Tree",_xlpm.ECA_Short=0),
Error!$B$61,
IF(AND($F729="Remove",ISNUMBER(MATCH($E729,{"Tier 1","Tier 2","Tier 3","Tier 4","Tier 2 Grove"},0)),ISNUMBER(MATCH($I729,{"On-site replacement","Off-site replacement"},0)),$J729="",$H729&lt;&gt;""),
Error!$B$19,
IF(AND(_xlpm.baseRow,$E729&lt;&gt;"",$D729&lt;&gt;"",$F729&lt;&gt;"",COUNTBLANK($B729:$C729)&gt;0,COUNTBLANK(_xlpm.HRange)&lt;&gt;4),
Error!$B$22,
IF(AND($H729="Zoning: Tree Points",$K729&lt;&gt;"",ISNA(MATCH($K729,Tables!$B$242:$B$253,0))),
Error!$B$58,
IF(AND($H729="Zoning: Tree Points",$K729="Small",$L729&lt;&gt;"",ISNA(MATCH($L729,Tables!$C$243:$C$244,0))),
Error!$B$59,
IF(AND($H729="Zoning: Tree Points",$K729="Small/Medium",$L729&lt;&gt;"",ISNA(MATCH($L729,Tables!$C$246:$C$247,0))),
Error!$B$59,
IF(AND($H729="Zoning: Tree Points",$K729="Medium/Large",$L729&lt;&gt;"",ISNA(MATCH($L729,Tables!$C$249:$C$250,0))),
Error!$B$59,
IF(AND($H729="Zoning: Tree Points",$K729="Large",$L729&lt;&gt;"",ISNA(MATCH($L729,Tables!$C$252:$C$253,0))),
Error!$B$59,
IF(AND($F729="Retain",$H729="Zoning: Tree Points",$C729&lt;&gt;"",$D729&lt;&gt;"",OR($K729="",$L729="",$M729="")),
Error!$B$20,
""
)))))))))))))))))))))))))))))))))))))))))))))))))))))))),
Error!$B$23))</f>
        <v/>
      </c>
      <c r="O729" s="343" t="str" cm="1">
        <f t="array" aca="1" ref="O729" ca="1">IFERROR(_xlfn.LET(
    _xlpm.txt, $C729,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30" spans="1:15" ht="15" thickBot="1" x14ac:dyDescent="0.35">
      <c r="A730" s="331"/>
      <c r="B730" s="616" t="str">
        <f t="shared" si="862"/>
        <v/>
      </c>
      <c r="C730" s="617" t="str">
        <f t="shared" si="863"/>
        <v/>
      </c>
      <c r="D730" s="618" t="str">
        <f t="shared" si="864"/>
        <v/>
      </c>
      <c r="E730" s="616" t="str">
        <f t="shared" si="865"/>
        <v/>
      </c>
      <c r="F730" s="616" t="str">
        <f t="shared" si="866"/>
        <v/>
      </c>
      <c r="G730" s="619" t="str">
        <f>IF(Tree_Table1[[#This Row],[Tree Status  &amp;]]="Retain", Tables!$B$237, IF(Tree_Table1[[#This Row],[Tree Status  &amp;]]="Remove", Tables!$B$238, ""))</f>
        <v/>
      </c>
      <c r="H730" s="329"/>
      <c r="I730" s="330"/>
      <c r="J730" s="455"/>
      <c r="K730" s="327" t="str">
        <f>IFERROR(
    IF(
        AND($H730="Zoning: Tree Points", NOT(ISNUMBER(SEARCH("sp.", $C730)))),
        VLOOKUP($C730, 'Tree List'!$C$3:$F$601, 4, FALSE),
        ""
    ),
"")</f>
        <v/>
      </c>
      <c r="L730" s="328" t="str" cm="1">
        <f t="array" ref="L730">IFERROR(
IF(
    AND($H730="Zoning: Tree Points", NOT(ISNUMBER(SEARCH("sp.", $C730)))),
    _xlfn.IFS(
        (COUNTIFS('Tree List'!$C$3:$C$601,$C730,'Tree List'!$D$3:$D$601,"Coniferous")
        + COUNTIFS('Tree List'!$C$3:$C$601,$C730,'Tree List'!$D$3:$D$601,"Deciduous Conifer")) &gt; 0,
            _xlfn.IFS($K730="Small",0.5,$K730="Small/Medium",1,$K730="Medium/Large",1.4,$K730="Large",1.8),
        (COUNTIFS('Tree List'!$C$3:$C$601,$C730,'Tree List'!$D$3:$D$601,"Deciduous")
        + COUNTIFS('Tree List'!$C$3:$C$601,$C730,'Tree List'!$D$3:$D$601,"Broadleaf Evergreen")) &gt; 0,
            _xlfn.IFS($K730="Small",0.4,$K730="Small/Medium",0.8,$K730="Medium/Large",1.2,$K730="Large",1.6)
    ),
    ""
),
"")</f>
        <v/>
      </c>
      <c r="M730" s="476" t="str">
        <f t="shared" si="816"/>
        <v/>
      </c>
      <c r="N730" s="347" t="str" cm="1">
        <f t="array" aca="1" ref="N73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IF(AND(_xlpm.baseRow,ISNA(MATCH($C730,'Tree List'!$C$3:$C$601,0)),SUMPRODUCT(--ISNUMBER(SEARCH(Tables2!$C$677:$C$772,$O730)))&gt;0),
Error!$B$57,
IF(AND(_xlpm.hasDM,$F730="Remove",$H730&lt;&gt;"",OR($I730="On-site replacement",$I730="Off-site replacement",$I730="Payment In Lieu")),
Error!$B$56,
IF(AND(_xlpm.hasDM,$F730="Remove",$H730&lt;&gt;"",$I730="Relocation"),
Error!$B$66,
IF(AND(OR(_xlpm.hasCN,_xlpm.hasPH,_xlpm.hasGR),$H730&lt;&gt;"",COUNTIF(Tables!$B$132:$B$134,$H730)&gt;0,$I730="N/A (No replacement required)"),
Error!$B$62,
IF(AND(_xlpm.baseRow,$E730&lt;&gt;"",ISNA(MATCH($E730,Tables!$B$225:$B$232,0))),
Error!$B$2,
IF(AND(_xlpm.baseRow,$F730&lt;&gt;"",ISNA(MATCH($F730,Tables!$B$234:$B$235,0))),
Error!$B$24,
IF(AND(_xlpm.baseRow,_xlpm.ECA_H&gt;0,_xlpm.Shore_H&gt;0),
Error!$B$16,
IF(AND(_xlpm.baseRow,$E730&lt;&gt;"",$D730=""),
Error!$B$3,
IF(AND(_xlpm.baseRow,OR($E730="Tier 3",$E730="Tier 4"),$C730&lt;&gt;"",$D730&gt;=24,COUNTIF(Tables2!$B$166:$B$674,$C730)&gt;0),
Error!$B$44,
IF(AND(_xlpm.baseRow,OR($E730="Tier 3",$E730="Tier 4"),$C730&lt;&gt;"",$D730&lt;&gt;"",COUNTIF(Tables2!$B$73:$B$152,$C730)&gt;0,
$D730&gt;=IFERROR(INDEX(Tables2!$C$73:$C$152,MATCH($C730,Tables2!$B$73:$B$152,0)),-1)),
Error!$B$44,
IF(AND(_xlpm.baseRow,OR($E730="Tier 2",$E730="Tier 2 Grove"),$C730&lt;&gt;"",$D730&gt;=12,COUNTIF(Tables2!$B$153:$B$162,$C730)&gt;0),
Error!$B$45,
IF(AND(_xlpm.baseRow,$E730="Tier 2 Grove",$D730&lt;12),
Error!$B$41,
IF(AND(_xlpm.baseRow,$E730="Tier 2",$D730&lt;5.88),
Error!$B$40,
IF(AND(_xlpm.baseRow,OR($E730="Tier 2",$E730="Tier 2 Grove"),$C730&lt;&gt;"",$D730&lt;12,$D730&gt;=6,COUNTIF(Tables2!$B$153:$B$162,$C730)&gt;0),
Error!$B$54,
IF(AND(_xlpm.baseRow,$E730="Tier 2",COUNTIF(Tables2!$B$166:$B$674,$C730)&gt;0,$D730&lt;24),
Error!$B$54,
IF(AND(_xlpm.baseRow,$E730="Tier 3",ISNA(MATCH($C730,Tables2!$B$153:$B$162,0)),OR($D730&lt;12,$D730&gt;=24)),
Error!$B$9,
IF(AND(_xlpm.baseRow,$E730="Tier 3",COUNTIF(Tables2!$B$153:$B$162,$C730)&gt;0,$D730&lt;12),
Error!$B$46,
IF(AND(_xlpm.baseRow,$E730="Tier 4",OR($D730&lt;6,$D730&gt;=12)),
Error!$B$10,
IF(AND(_xlpm.baseRow,$E730="&lt;6in DSH for Tree Points",OR($D730&gt;=6,$D730="")),
Error!$B$8,
IF(AND(_xlpm.baseRow,$E730="Street Tree for Green Factor",$F730&lt;&gt;"",$F730&lt;&gt;"Retain"),
Error!$B$14,
IF(AND($E730="&lt;6in DSH for Tree Points",$F730="Retain",$H730&lt;&gt;"",ISNA(MATCH($H730,Tables!$B$174:$B$174,0))),
Error!$B$15,
IF(AND($E730="Street Tree for Green Factor",$F730="Retain",$H730&lt;&gt;"",$H730&lt;&gt;"Zoning: Green Factor"),
Error!$B$15,
IF(AND($E730="ECA / Shoreline Tree",$F730="Remove",$H730&lt;&gt;"",ISNA(MATCH($H730,Tables!$B$189:$B$190,0))),
Error!$B$15,
IF(AND($E730="ECA / Shoreline Tree",$F730="Retain",$H730&lt;&gt;"",ISNA(MATCH($H730,Tables!$B$184:$B$186,0))),
Error!$B$15,
IF(AND($E730="Tier 4",$F730="Remove",$H730&lt;&gt;"",ISNA(MATCH($H730,Tables!$B$171,0))),
Error!$B$15,
IF(AND($E730="Tier 4",$F730="Retain",$H730&lt;&gt;"",ISNA(MATCH($H730,Tables!$B$166:$B$168,0))),
Error!$B$15,
IF(AND($E730="Tier 3",$F730="Retain",$H730&lt;&gt;"",ISNA(MATCH($H730,Tables!$B$158:$B$160,0))),
Error!$B$15,
IF(AND($E730="Tier 3",$F730="Remove",$H730&lt;&gt;"",ISNA(MATCH($H730,Tables!$B$163,0))),
Error!$B$15,
IF(AND(OR($E730="Tier 2",$E730="Tier 2 Grove"),$F730="Remove",$H730&lt;&gt;"",ISNA(MATCH($H730,Tables!$B$153:$B$155,0))),
Error!$B$15,
IF(AND(OR($E730="Tier 2",$E730="Tier 2 Grove"),$F730="Retain",$H730&lt;&gt;"",ISNA(MATCH($H730,Tables!$B$147:$B$150,0))),
Error!$B$15,
IF(AND($E730="Tier 1",$F730="Remove",$H730&lt;&gt;"",ISNA(MATCH($H730,Tables!$B$143:$B$144,0))),
Error!$B$15,
IF(AND($E730="Tier 1",$F730="Retain",$H730&lt;&gt;"",ISNA(MATCH($H730,Tables!$B$137:$B$140,0))),
Error!$B$15,
IF(AND($E730&lt;&gt;"Tier 2",$E730&lt;&gt;"Tier 2 Grove",$E730&lt;&gt;"Tier 3",$E730&lt;&gt;"Tier 4",$H730="Zoning: Green Factor",OR($D730="",$D730&lt;6)),
Error!$B$11,
IF(AND(_xlpm.baseRow,$D730&lt;6,$E730="&lt;6in DSH for Tree Points",_xlpm.TreePoints_H=0),
Error!$B$21,
IF(AND(_xlpm.baseRow,$E730&lt;&gt;"",$D730&lt;&gt;"",$F730=""),
Error!$B$4,
IF(AND(_xlpm.baseRow,$F730="Remove",OR($E730="Tier 1",$E730="Tier 2",$E730="Tier 2 Grove"),COUNTBLANK(_xlpm.HRange)&lt;3,_xlpm.uniqueH&gt;=2),
Error!$B$48,
IF(AND(_xlpm.baseRow,$F730="Retain",OR($E730="Tier 1",$E730="Tier 2",$E730="Tier 2 Grove"),COUNTIF(_xlpm.HRange,"Tree Code: Required to Retain Tier 1-2 Tree")=0),
Error!$B$47,
IF(AND(_xlpm.baseRow,$E730&lt;&gt;"",$D730&lt;&gt;"",$F730&lt;&gt;"",COUNTBLANK(_xlpm.HRange)=4),
Error!$B$5,
IF(AND($F730="Remove",$H730&lt;&gt;"",$I730=""),
Error!$B$18,
IF(AND($E730="Tier 4",$F730="Remove",$H730="Tree Protection Code: Tier 3 or Tier 4 Allowance",$H730&lt;&gt;"",ISNA(MATCH($I730,Tables!$B$200,0))),
Error!$B$17,
IF(AND($E730="Tier 3",$F730="Remove",$H730&lt;&gt;"",$H730="Tree Protection Code: Tier 3 or Tier 4 Allowance",OR($I730="",ISNA(MATCH($I730,Tables!$B$193:$B$197,0)))),
Error!$B$17,
IF(AND(OR($E730="Tier 2",$E730="Tier 2 Grove"),$F730="Remove",$H730="Tree Protection Code: Other removal allowance or exemption",$I730&lt;&gt;"",ISNA(MATCH($I730,Tables!$B$215:$B$218,0))),
Error!$B$17,
IF(AND(OR($E730="Tier 2",$E730="Tier 2 Grove"),$F730="Remove",$H730="Tree Protection Code: Development Capacity",$I730&lt;&gt;"",ISNA(MATCH($I730,Tables!$B$193:$B$197,0))),
Error!$B$17,
IF(AND(OR($E730="Tier 2",$E730="Tier 2 Grove"),$F730="Remove",$H730="Tree Protection Code: Necessary for Construction",$I730&lt;&gt;"",ISNA(MATCH($I730,Tables!$B$193:$B$197,0))),
Error!$B$17,
IF(AND($E730="Tier 1",$F730="Remove",$H730="Tree Protection Code: Special Exception",$I730&lt;&gt;"",ISNA(MATCH($I730,Tables!$B$215:$B$218,0))),
Error!$B$17,
IF(AND($E730="Tier 1",$F730="Remove",$H730="Tree Protection Code: Other removal allowance or exemption",$I730&lt;&gt;"",ISNA(MATCH($I730,Tables!$B$215:$B$218,0))),
Error!$B$17,
IF(AND($E730="ECA / Shoreline Tree",$F730="Remove",$H730&lt;&gt;"",OR($H730="Shoreline",$H730="Environmental Critical Area (ECA)"),ISNA(MATCH($I730,Tables!$B$209:$B$212,0))),
Error!$B$17,
IF(AND(_xlpm.baseRow,$F730="Retain",$E730="ECA / Shoreline Tree",_xlpm.ECA_Short=0),
Error!$B$61,
IF(AND($F730="Remove",ISNUMBER(MATCH($E730,{"Tier 1","Tier 2","Tier 3","Tier 4","Tier 2 Grove"},0)),ISNUMBER(MATCH($I730,{"On-site replacement","Off-site replacement"},0)),$J730="",$H730&lt;&gt;""),
Error!$B$19,
IF(AND(_xlpm.baseRow,$E730&lt;&gt;"",$D730&lt;&gt;"",$F730&lt;&gt;"",COUNTBLANK($B730:$C730)&gt;0,COUNTBLANK(_xlpm.HRange)&lt;&gt;4),
Error!$B$22,
IF(AND($H730="Zoning: Tree Points",$K730&lt;&gt;"",ISNA(MATCH($K730,Tables!$B$242:$B$253,0))),
Error!$B$58,
IF(AND($H730="Zoning: Tree Points",$K730="Small",$L730&lt;&gt;"",ISNA(MATCH($L730,Tables!$C$243:$C$244,0))),
Error!$B$59,
IF(AND($H730="Zoning: Tree Points",$K730="Small/Medium",$L730&lt;&gt;"",ISNA(MATCH($L730,Tables!$C$246:$C$247,0))),
Error!$B$59,
IF(AND($H730="Zoning: Tree Points",$K730="Medium/Large",$L730&lt;&gt;"",ISNA(MATCH($L730,Tables!$C$249:$C$250,0))),
Error!$B$59,
IF(AND($H730="Zoning: Tree Points",$K730="Large",$L730&lt;&gt;"",ISNA(MATCH($L730,Tables!$C$252:$C$253,0))),
Error!$B$59,
IF(AND($F730="Retain",$H730="Zoning: Tree Points",$C730&lt;&gt;"",$D730&lt;&gt;"",OR($K730="",$L730="",$M730="")),
Error!$B$20,
""
)))))))))))))))))))))))))))))))))))))))))))))))))))))))),
Error!$B$23))</f>
        <v/>
      </c>
      <c r="O730" s="343" t="str" cm="1">
        <f t="array" aca="1" ref="O730" ca="1">IFERROR(_xlfn.LET(
    _xlpm.txt, $C730,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31" spans="1:15" ht="15" thickBot="1" x14ac:dyDescent="0.35">
      <c r="A731" s="311">
        <v>181</v>
      </c>
      <c r="B731" s="312"/>
      <c r="C731" s="313"/>
      <c r="D731" s="478"/>
      <c r="E731" s="314"/>
      <c r="F731" s="314"/>
      <c r="G731" s="315" t="str">
        <f>IF(Tree_Table1[[#This Row],[Tree Status  &amp;]]="Retain", Tables!$B$237, IF(Tree_Table1[[#This Row],[Tree Status  &amp;]]="Remove", Tables!$B$238, ""))</f>
        <v/>
      </c>
      <c r="H731" s="316"/>
      <c r="I731" s="317"/>
      <c r="J731" s="452"/>
      <c r="K731" s="318" t="str">
        <f>IFERROR(
    IF(
        AND($H731="Zoning: Tree Points", NOT(ISNUMBER(SEARCH("sp.", $C731)))),
        VLOOKUP($C731, 'Tree List'!$C$3:$F$601, 4, FALSE),
        ""
    ),
"")</f>
        <v/>
      </c>
      <c r="L731" s="319" t="str" cm="1">
        <f t="array" ref="L731">IFERROR(
IF(
    AND($H731="Zoning: Tree Points", NOT(ISNUMBER(SEARCH("sp.", $C731)))),
    _xlfn.IFS(
        (COUNTIFS('Tree List'!$C$3:$C$601,$C731,'Tree List'!$D$3:$D$601,"Coniferous")
        + COUNTIFS('Tree List'!$C$3:$C$601,$C731,'Tree List'!$D$3:$D$601,"Deciduous Conifer")) &gt; 0,
            _xlfn.IFS($K731="Small",0.5,$K731="Small/Medium",1,$K731="Medium/Large",1.4,$K731="Large",1.8),
        (COUNTIFS('Tree List'!$C$3:$C$601,$C731,'Tree List'!$D$3:$D$601,"Deciduous")
        + COUNTIFS('Tree List'!$C$3:$C$601,$C731,'Tree List'!$D$3:$D$601,"Broadleaf Evergreen")) &gt; 0,
            _xlfn.IFS($K731="Small",0.4,$K731="Small/Medium",0.8,$K731="Medium/Large",1.2,$K731="Large",1.6)
    ),
    ""
),
"")</f>
        <v/>
      </c>
      <c r="M731" s="474" t="str">
        <f t="shared" si="816"/>
        <v/>
      </c>
      <c r="N731" s="620" t="str" cm="1">
        <f t="array" aca="1" ref="N73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IF(AND(_xlpm.baseRow,ISNA(MATCH($C731,'Tree List'!$C$3:$C$601,0)),SUMPRODUCT(--ISNUMBER(SEARCH(Tables2!$C$677:$C$772,$O731)))&gt;0),
Error!$B$57,
IF(AND(_xlpm.hasDM,$F731="Remove",$H731&lt;&gt;"",OR($I731="On-site replacement",$I731="Off-site replacement",$I731="Payment In Lieu")),
Error!$B$56,
IF(AND(_xlpm.hasDM,$F731="Remove",$H731&lt;&gt;"",$I731="Relocation"),
Error!$B$66,
IF(AND(OR(_xlpm.hasCN,_xlpm.hasPH,_xlpm.hasGR),$H731&lt;&gt;"",COUNTIF(Tables!$B$132:$B$134,$H731)&gt;0,$I731="N/A (No replacement required)"),
Error!$B$62,
IF(AND(_xlpm.baseRow,$E731&lt;&gt;"",ISNA(MATCH($E731,Tables!$B$225:$B$232,0))),
Error!$B$2,
IF(AND(_xlpm.baseRow,$F731&lt;&gt;"",ISNA(MATCH($F731,Tables!$B$234:$B$235,0))),
Error!$B$24,
IF(AND(_xlpm.baseRow,_xlpm.ECA_H&gt;0,_xlpm.Shore_H&gt;0),
Error!$B$16,
IF(AND(_xlpm.baseRow,$E731&lt;&gt;"",$D731=""),
Error!$B$3,
IF(AND(_xlpm.baseRow,OR($E731="Tier 3",$E731="Tier 4"),$C731&lt;&gt;"",$D731&gt;=24,COUNTIF(Tables2!$B$166:$B$674,$C731)&gt;0),
Error!$B$44,
IF(AND(_xlpm.baseRow,OR($E731="Tier 3",$E731="Tier 4"),$C731&lt;&gt;"",$D731&lt;&gt;"",COUNTIF(Tables2!$B$73:$B$152,$C731)&gt;0,
$D731&gt;=IFERROR(INDEX(Tables2!$C$73:$C$152,MATCH($C731,Tables2!$B$73:$B$152,0)),-1)),
Error!$B$44,
IF(AND(_xlpm.baseRow,OR($E731="Tier 2",$E731="Tier 2 Grove"),$C731&lt;&gt;"",$D731&gt;=12,COUNTIF(Tables2!$B$153:$B$162,$C731)&gt;0),
Error!$B$45,
IF(AND(_xlpm.baseRow,$E731="Tier 2 Grove",$D731&lt;12),
Error!$B$41,
IF(AND(_xlpm.baseRow,$E731="Tier 2",$D731&lt;5.88),
Error!$B$40,
IF(AND(_xlpm.baseRow,OR($E731="Tier 2",$E731="Tier 2 Grove"),$C731&lt;&gt;"",$D731&lt;12,$D731&gt;=6,COUNTIF(Tables2!$B$153:$B$162,$C731)&gt;0),
Error!$B$54,
IF(AND(_xlpm.baseRow,$E731="Tier 2",COUNTIF(Tables2!$B$166:$B$674,$C731)&gt;0,$D731&lt;24),
Error!$B$54,
IF(AND(_xlpm.baseRow,$E731="Tier 3",ISNA(MATCH($C731,Tables2!$B$153:$B$162,0)),OR($D731&lt;12,$D731&gt;=24)),
Error!$B$9,
IF(AND(_xlpm.baseRow,$E731="Tier 3",COUNTIF(Tables2!$B$153:$B$162,$C731)&gt;0,$D731&lt;12),
Error!$B$46,
IF(AND(_xlpm.baseRow,$E731="Tier 4",OR($D731&lt;6,$D731&gt;=12)),
Error!$B$10,
IF(AND(_xlpm.baseRow,$E731="&lt;6in DSH for Tree Points",OR($D731&gt;=6,$D731="")),
Error!$B$8,
IF(AND(_xlpm.baseRow,$E731="Street Tree for Green Factor",$F731&lt;&gt;"",$F731&lt;&gt;"Retain"),
Error!$B$14,
IF(AND($E731="&lt;6in DSH for Tree Points",$F731="Retain",$H731&lt;&gt;"",ISNA(MATCH($H731,Tables!$B$174:$B$174,0))),
Error!$B$15,
IF(AND($E731="Street Tree for Green Factor",$F731="Retain",$H731&lt;&gt;"",$H731&lt;&gt;"Zoning: Green Factor"),
Error!$B$15,
IF(AND($E731="ECA / Shoreline Tree",$F731="Remove",$H731&lt;&gt;"",ISNA(MATCH($H731,Tables!$B$189:$B$190,0))),
Error!$B$15,
IF(AND($E731="ECA / Shoreline Tree",$F731="Retain",$H731&lt;&gt;"",ISNA(MATCH($H731,Tables!$B$184:$B$186,0))),
Error!$B$15,
IF(AND($E731="Tier 4",$F731="Remove",$H731&lt;&gt;"",ISNA(MATCH($H731,Tables!$B$171,0))),
Error!$B$15,
IF(AND($E731="Tier 4",$F731="Retain",$H731&lt;&gt;"",ISNA(MATCH($H731,Tables!$B$166:$B$168,0))),
Error!$B$15,
IF(AND($E731="Tier 3",$F731="Retain",$H731&lt;&gt;"",ISNA(MATCH($H731,Tables!$B$158:$B$160,0))),
Error!$B$15,
IF(AND($E731="Tier 3",$F731="Remove",$H731&lt;&gt;"",ISNA(MATCH($H731,Tables!$B$163,0))),
Error!$B$15,
IF(AND(OR($E731="Tier 2",$E731="Tier 2 Grove"),$F731="Remove",$H731&lt;&gt;"",ISNA(MATCH($H731,Tables!$B$153:$B$155,0))),
Error!$B$15,
IF(AND(OR($E731="Tier 2",$E731="Tier 2 Grove"),$F731="Retain",$H731&lt;&gt;"",ISNA(MATCH($H731,Tables!$B$147:$B$150,0))),
Error!$B$15,
IF(AND($E731="Tier 1",$F731="Remove",$H731&lt;&gt;"",ISNA(MATCH($H731,Tables!$B$143:$B$144,0))),
Error!$B$15,
IF(AND($E731="Tier 1",$F731="Retain",$H731&lt;&gt;"",ISNA(MATCH($H731,Tables!$B$137:$B$140,0))),
Error!$B$15,
IF(AND($E731&lt;&gt;"Tier 2",$E731&lt;&gt;"Tier 2 Grove",$E731&lt;&gt;"Tier 3",$E731&lt;&gt;"Tier 4",$H731="Zoning: Green Factor",OR($D731="",$D731&lt;6)),
Error!$B$11,
IF(AND(_xlpm.baseRow,$D731&lt;6,$E731="&lt;6in DSH for Tree Points",_xlpm.TreePoints_H=0),
Error!$B$21,
IF(AND(_xlpm.baseRow,$E731&lt;&gt;"",$D731&lt;&gt;"",$F731=""),
Error!$B$4,
IF(AND(_xlpm.baseRow,$F731="Remove",OR($E731="Tier 1",$E731="Tier 2",$E731="Tier 2 Grove"),COUNTBLANK(_xlpm.HRange)&lt;3,_xlpm.uniqueH&gt;=2),
Error!$B$48,
IF(AND(_xlpm.baseRow,$F731="Retain",OR($E731="Tier 1",$E731="Tier 2",$E731="Tier 2 Grove"),COUNTIF(_xlpm.HRange,"Tree Code: Required to Retain Tier 1-2 Tree")=0),
Error!$B$47,
IF(AND(_xlpm.baseRow,$E731&lt;&gt;"",$D731&lt;&gt;"",$F731&lt;&gt;"",COUNTBLANK(_xlpm.HRange)=4),
Error!$B$5,
IF(AND($F731="Remove",$H731&lt;&gt;"",$I731=""),
Error!$B$18,
IF(AND($E731="Tier 4",$F731="Remove",$H731="Tree Protection Code: Tier 3 or Tier 4 Allowance",$H731&lt;&gt;"",ISNA(MATCH($I731,Tables!$B$200,0))),
Error!$B$17,
IF(AND($E731="Tier 3",$F731="Remove",$H731&lt;&gt;"",$H731="Tree Protection Code: Tier 3 or Tier 4 Allowance",OR($I731="",ISNA(MATCH($I731,Tables!$B$193:$B$197,0)))),
Error!$B$17,
IF(AND(OR($E731="Tier 2",$E731="Tier 2 Grove"),$F731="Remove",$H731="Tree Protection Code: Other removal allowance or exemption",$I731&lt;&gt;"",ISNA(MATCH($I731,Tables!$B$215:$B$218,0))),
Error!$B$17,
IF(AND(OR($E731="Tier 2",$E731="Tier 2 Grove"),$F731="Remove",$H731="Tree Protection Code: Development Capacity",$I731&lt;&gt;"",ISNA(MATCH($I731,Tables!$B$193:$B$197,0))),
Error!$B$17,
IF(AND(OR($E731="Tier 2",$E731="Tier 2 Grove"),$F731="Remove",$H731="Tree Protection Code: Necessary for Construction",$I731&lt;&gt;"",ISNA(MATCH($I731,Tables!$B$193:$B$197,0))),
Error!$B$17,
IF(AND($E731="Tier 1",$F731="Remove",$H731="Tree Protection Code: Special Exception",$I731&lt;&gt;"",ISNA(MATCH($I731,Tables!$B$215:$B$218,0))),
Error!$B$17,
IF(AND($E731="Tier 1",$F731="Remove",$H731="Tree Protection Code: Other removal allowance or exemption",$I731&lt;&gt;"",ISNA(MATCH($I731,Tables!$B$215:$B$218,0))),
Error!$B$17,
IF(AND($E731="ECA / Shoreline Tree",$F731="Remove",$H731&lt;&gt;"",OR($H731="Shoreline",$H731="Environmental Critical Area (ECA)"),ISNA(MATCH($I731,Tables!$B$209:$B$212,0))),
Error!$B$17,
IF(AND(_xlpm.baseRow,$F731="Retain",$E731="ECA / Shoreline Tree",_xlpm.ECA_Short=0),
Error!$B$61,
IF(AND($F731="Remove",ISNUMBER(MATCH($E731,{"Tier 1","Tier 2","Tier 3","Tier 4","Tier 2 Grove"},0)),ISNUMBER(MATCH($I731,{"On-site replacement","Off-site replacement"},0)),$J731="",$H731&lt;&gt;""),
Error!$B$19,
IF(AND(_xlpm.baseRow,$E731&lt;&gt;"",$D731&lt;&gt;"",$F731&lt;&gt;"",COUNTBLANK($B731:$C731)&gt;0,COUNTBLANK(_xlpm.HRange)&lt;&gt;4),
Error!$B$22,
IF(AND($H731="Zoning: Tree Points",$K731&lt;&gt;"",ISNA(MATCH($K731,Tables!$B$242:$B$253,0))),
Error!$B$58,
IF(AND($H731="Zoning: Tree Points",$K731="Small",$L731&lt;&gt;"",ISNA(MATCH($L731,Tables!$C$243:$C$244,0))),
Error!$B$59,
IF(AND($H731="Zoning: Tree Points",$K731="Small/Medium",$L731&lt;&gt;"",ISNA(MATCH($L731,Tables!$C$246:$C$247,0))),
Error!$B$59,
IF(AND($H731="Zoning: Tree Points",$K731="Medium/Large",$L731&lt;&gt;"",ISNA(MATCH($L731,Tables!$C$249:$C$250,0))),
Error!$B$59,
IF(AND($H731="Zoning: Tree Points",$K731="Large",$L731&lt;&gt;"",ISNA(MATCH($L731,Tables!$C$252:$C$253,0))),
Error!$B$59,
IF(AND($F731="Retain",$H731="Zoning: Tree Points",$C731&lt;&gt;"",$D731&lt;&gt;"",OR($K731="",$L731="",$M731="")),
Error!$B$20,
""
)))))))))))))))))))))))))))))))))))))))))))))))))))))))),
Error!$B$23))</f>
        <v/>
      </c>
      <c r="O731" s="343" t="str" cm="1">
        <f t="array" aca="1" ref="O731" ca="1">IFERROR(_xlfn.LET(
    _xlpm.txt, $C731,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32" spans="1:15" x14ac:dyDescent="0.3">
      <c r="A732" s="320"/>
      <c r="B732" s="616" t="str">
        <f t="shared" ref="B732:B734" si="867">IF($B731="", "", $B731)</f>
        <v/>
      </c>
      <c r="C732" s="617" t="str">
        <f t="shared" ref="C732:C734" si="868">IF($C731="", "", $C731)</f>
        <v/>
      </c>
      <c r="D732" s="618" t="str">
        <f t="shared" ref="D732:D734" si="869">IF($D731="", "", $D731)</f>
        <v/>
      </c>
      <c r="E732" s="616" t="str">
        <f t="shared" ref="E732:E734" si="870">IF($E731="", "", $E731)</f>
        <v/>
      </c>
      <c r="F732" s="616" t="str">
        <f t="shared" ref="F732:F734" si="871">IF($F731="", "", $F731)</f>
        <v/>
      </c>
      <c r="G732" s="619" t="str">
        <f>IF(Tree_Table1[[#This Row],[Tree Status  &amp;]]="Retain", Tables!$B$237, IF(Tree_Table1[[#This Row],[Tree Status  &amp;]]="Remove", Tables!$B$238, ""))</f>
        <v/>
      </c>
      <c r="H732" s="321"/>
      <c r="I732" s="322"/>
      <c r="J732" s="453"/>
      <c r="K732" s="323" t="str">
        <f>IFERROR(
    IF(
        AND($H732="Zoning: Tree Points", NOT(ISNUMBER(SEARCH("sp.", $C732)))),
        VLOOKUP($C732, 'Tree List'!$C$3:$F$601, 4, FALSE),
        ""
    ),
"")</f>
        <v/>
      </c>
      <c r="L732" s="324" t="str" cm="1">
        <f t="array" ref="L732">IFERROR(
IF(
    AND($H732="Zoning: Tree Points", NOT(ISNUMBER(SEARCH("sp.", $C732)))),
    _xlfn.IFS(
        (COUNTIFS('Tree List'!$C$3:$C$601,$C732,'Tree List'!$D$3:$D$601,"Coniferous")
        + COUNTIFS('Tree List'!$C$3:$C$601,$C732,'Tree List'!$D$3:$D$601,"Deciduous Conifer")) &gt; 0,
            _xlfn.IFS($K732="Small",0.5,$K732="Small/Medium",1,$K732="Medium/Large",1.4,$K732="Large",1.8),
        (COUNTIFS('Tree List'!$C$3:$C$601,$C732,'Tree List'!$D$3:$D$601,"Deciduous")
        + COUNTIFS('Tree List'!$C$3:$C$601,$C732,'Tree List'!$D$3:$D$601,"Broadleaf Evergreen")) &gt; 0,
            _xlfn.IFS($K732="Small",0.4,$K732="Small/Medium",0.8,$K732="Medium/Large",1.2,$K732="Large",1.6)
    ),
    ""
),
"")</f>
        <v/>
      </c>
      <c r="M732" s="475" t="str">
        <f t="shared" si="816"/>
        <v/>
      </c>
      <c r="N732" s="346" t="str" cm="1">
        <f t="array" aca="1" ref="N73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IF(AND(_xlpm.baseRow,ISNA(MATCH($C732,'Tree List'!$C$3:$C$601,0)),SUMPRODUCT(--ISNUMBER(SEARCH(Tables2!$C$677:$C$772,$O732)))&gt;0),
Error!$B$57,
IF(AND(_xlpm.hasDM,$F732="Remove",$H732&lt;&gt;"",OR($I732="On-site replacement",$I732="Off-site replacement",$I732="Payment In Lieu")),
Error!$B$56,
IF(AND(_xlpm.hasDM,$F732="Remove",$H732&lt;&gt;"",$I732="Relocation"),
Error!$B$66,
IF(AND(OR(_xlpm.hasCN,_xlpm.hasPH,_xlpm.hasGR),$H732&lt;&gt;"",COUNTIF(Tables!$B$132:$B$134,$H732)&gt;0,$I732="N/A (No replacement required)"),
Error!$B$62,
IF(AND(_xlpm.baseRow,$E732&lt;&gt;"",ISNA(MATCH($E732,Tables!$B$225:$B$232,0))),
Error!$B$2,
IF(AND(_xlpm.baseRow,$F732&lt;&gt;"",ISNA(MATCH($F732,Tables!$B$234:$B$235,0))),
Error!$B$24,
IF(AND(_xlpm.baseRow,_xlpm.ECA_H&gt;0,_xlpm.Shore_H&gt;0),
Error!$B$16,
IF(AND(_xlpm.baseRow,$E732&lt;&gt;"",$D732=""),
Error!$B$3,
IF(AND(_xlpm.baseRow,OR($E732="Tier 3",$E732="Tier 4"),$C732&lt;&gt;"",$D732&gt;=24,COUNTIF(Tables2!$B$166:$B$674,$C732)&gt;0),
Error!$B$44,
IF(AND(_xlpm.baseRow,OR($E732="Tier 3",$E732="Tier 4"),$C732&lt;&gt;"",$D732&lt;&gt;"",COUNTIF(Tables2!$B$73:$B$152,$C732)&gt;0,
$D732&gt;=IFERROR(INDEX(Tables2!$C$73:$C$152,MATCH($C732,Tables2!$B$73:$B$152,0)),-1)),
Error!$B$44,
IF(AND(_xlpm.baseRow,OR($E732="Tier 2",$E732="Tier 2 Grove"),$C732&lt;&gt;"",$D732&gt;=12,COUNTIF(Tables2!$B$153:$B$162,$C732)&gt;0),
Error!$B$45,
IF(AND(_xlpm.baseRow,$E732="Tier 2 Grove",$D732&lt;12),
Error!$B$41,
IF(AND(_xlpm.baseRow,$E732="Tier 2",$D732&lt;5.88),
Error!$B$40,
IF(AND(_xlpm.baseRow,OR($E732="Tier 2",$E732="Tier 2 Grove"),$C732&lt;&gt;"",$D732&lt;12,$D732&gt;=6,COUNTIF(Tables2!$B$153:$B$162,$C732)&gt;0),
Error!$B$54,
IF(AND(_xlpm.baseRow,$E732="Tier 2",COUNTIF(Tables2!$B$166:$B$674,$C732)&gt;0,$D732&lt;24),
Error!$B$54,
IF(AND(_xlpm.baseRow,$E732="Tier 3",ISNA(MATCH($C732,Tables2!$B$153:$B$162,0)),OR($D732&lt;12,$D732&gt;=24)),
Error!$B$9,
IF(AND(_xlpm.baseRow,$E732="Tier 3",COUNTIF(Tables2!$B$153:$B$162,$C732)&gt;0,$D732&lt;12),
Error!$B$46,
IF(AND(_xlpm.baseRow,$E732="Tier 4",OR($D732&lt;6,$D732&gt;=12)),
Error!$B$10,
IF(AND(_xlpm.baseRow,$E732="&lt;6in DSH for Tree Points",OR($D732&gt;=6,$D732="")),
Error!$B$8,
IF(AND(_xlpm.baseRow,$E732="Street Tree for Green Factor",$F732&lt;&gt;"",$F732&lt;&gt;"Retain"),
Error!$B$14,
IF(AND($E732="&lt;6in DSH for Tree Points",$F732="Retain",$H732&lt;&gt;"",ISNA(MATCH($H732,Tables!$B$174:$B$174,0))),
Error!$B$15,
IF(AND($E732="Street Tree for Green Factor",$F732="Retain",$H732&lt;&gt;"",$H732&lt;&gt;"Zoning: Green Factor"),
Error!$B$15,
IF(AND($E732="ECA / Shoreline Tree",$F732="Remove",$H732&lt;&gt;"",ISNA(MATCH($H732,Tables!$B$189:$B$190,0))),
Error!$B$15,
IF(AND($E732="ECA / Shoreline Tree",$F732="Retain",$H732&lt;&gt;"",ISNA(MATCH($H732,Tables!$B$184:$B$186,0))),
Error!$B$15,
IF(AND($E732="Tier 4",$F732="Remove",$H732&lt;&gt;"",ISNA(MATCH($H732,Tables!$B$171,0))),
Error!$B$15,
IF(AND($E732="Tier 4",$F732="Retain",$H732&lt;&gt;"",ISNA(MATCH($H732,Tables!$B$166:$B$168,0))),
Error!$B$15,
IF(AND($E732="Tier 3",$F732="Retain",$H732&lt;&gt;"",ISNA(MATCH($H732,Tables!$B$158:$B$160,0))),
Error!$B$15,
IF(AND($E732="Tier 3",$F732="Remove",$H732&lt;&gt;"",ISNA(MATCH($H732,Tables!$B$163,0))),
Error!$B$15,
IF(AND(OR($E732="Tier 2",$E732="Tier 2 Grove"),$F732="Remove",$H732&lt;&gt;"",ISNA(MATCH($H732,Tables!$B$153:$B$155,0))),
Error!$B$15,
IF(AND(OR($E732="Tier 2",$E732="Tier 2 Grove"),$F732="Retain",$H732&lt;&gt;"",ISNA(MATCH($H732,Tables!$B$147:$B$150,0))),
Error!$B$15,
IF(AND($E732="Tier 1",$F732="Remove",$H732&lt;&gt;"",ISNA(MATCH($H732,Tables!$B$143:$B$144,0))),
Error!$B$15,
IF(AND($E732="Tier 1",$F732="Retain",$H732&lt;&gt;"",ISNA(MATCH($H732,Tables!$B$137:$B$140,0))),
Error!$B$15,
IF(AND($E732&lt;&gt;"Tier 2",$E732&lt;&gt;"Tier 2 Grove",$E732&lt;&gt;"Tier 3",$E732&lt;&gt;"Tier 4",$H732="Zoning: Green Factor",OR($D732="",$D732&lt;6)),
Error!$B$11,
IF(AND(_xlpm.baseRow,$D732&lt;6,$E732="&lt;6in DSH for Tree Points",_xlpm.TreePoints_H=0),
Error!$B$21,
IF(AND(_xlpm.baseRow,$E732&lt;&gt;"",$D732&lt;&gt;"",$F732=""),
Error!$B$4,
IF(AND(_xlpm.baseRow,$F732="Remove",OR($E732="Tier 1",$E732="Tier 2",$E732="Tier 2 Grove"),COUNTBLANK(_xlpm.HRange)&lt;3,_xlpm.uniqueH&gt;=2),
Error!$B$48,
IF(AND(_xlpm.baseRow,$F732="Retain",OR($E732="Tier 1",$E732="Tier 2",$E732="Tier 2 Grove"),COUNTIF(_xlpm.HRange,"Tree Code: Required to Retain Tier 1-2 Tree")=0),
Error!$B$47,
IF(AND(_xlpm.baseRow,$E732&lt;&gt;"",$D732&lt;&gt;"",$F732&lt;&gt;"",COUNTBLANK(_xlpm.HRange)=4),
Error!$B$5,
IF(AND($F732="Remove",$H732&lt;&gt;"",$I732=""),
Error!$B$18,
IF(AND($E732="Tier 4",$F732="Remove",$H732="Tree Protection Code: Tier 3 or Tier 4 Allowance",$H732&lt;&gt;"",ISNA(MATCH($I732,Tables!$B$200,0))),
Error!$B$17,
IF(AND($E732="Tier 3",$F732="Remove",$H732&lt;&gt;"",$H732="Tree Protection Code: Tier 3 or Tier 4 Allowance",OR($I732="",ISNA(MATCH($I732,Tables!$B$193:$B$197,0)))),
Error!$B$17,
IF(AND(OR($E732="Tier 2",$E732="Tier 2 Grove"),$F732="Remove",$H732="Tree Protection Code: Other removal allowance or exemption",$I732&lt;&gt;"",ISNA(MATCH($I732,Tables!$B$215:$B$218,0))),
Error!$B$17,
IF(AND(OR($E732="Tier 2",$E732="Tier 2 Grove"),$F732="Remove",$H732="Tree Protection Code: Development Capacity",$I732&lt;&gt;"",ISNA(MATCH($I732,Tables!$B$193:$B$197,0))),
Error!$B$17,
IF(AND(OR($E732="Tier 2",$E732="Tier 2 Grove"),$F732="Remove",$H732="Tree Protection Code: Necessary for Construction",$I732&lt;&gt;"",ISNA(MATCH($I732,Tables!$B$193:$B$197,0))),
Error!$B$17,
IF(AND($E732="Tier 1",$F732="Remove",$H732="Tree Protection Code: Special Exception",$I732&lt;&gt;"",ISNA(MATCH($I732,Tables!$B$215:$B$218,0))),
Error!$B$17,
IF(AND($E732="Tier 1",$F732="Remove",$H732="Tree Protection Code: Other removal allowance or exemption",$I732&lt;&gt;"",ISNA(MATCH($I732,Tables!$B$215:$B$218,0))),
Error!$B$17,
IF(AND($E732="ECA / Shoreline Tree",$F732="Remove",$H732&lt;&gt;"",OR($H732="Shoreline",$H732="Environmental Critical Area (ECA)"),ISNA(MATCH($I732,Tables!$B$209:$B$212,0))),
Error!$B$17,
IF(AND(_xlpm.baseRow,$F732="Retain",$E732="ECA / Shoreline Tree",_xlpm.ECA_Short=0),
Error!$B$61,
IF(AND($F732="Remove",ISNUMBER(MATCH($E732,{"Tier 1","Tier 2","Tier 3","Tier 4","Tier 2 Grove"},0)),ISNUMBER(MATCH($I732,{"On-site replacement","Off-site replacement"},0)),$J732="",$H732&lt;&gt;""),
Error!$B$19,
IF(AND(_xlpm.baseRow,$E732&lt;&gt;"",$D732&lt;&gt;"",$F732&lt;&gt;"",COUNTBLANK($B732:$C732)&gt;0,COUNTBLANK(_xlpm.HRange)&lt;&gt;4),
Error!$B$22,
IF(AND($H732="Zoning: Tree Points",$K732&lt;&gt;"",ISNA(MATCH($K732,Tables!$B$242:$B$253,0))),
Error!$B$58,
IF(AND($H732="Zoning: Tree Points",$K732="Small",$L732&lt;&gt;"",ISNA(MATCH($L732,Tables!$C$243:$C$244,0))),
Error!$B$59,
IF(AND($H732="Zoning: Tree Points",$K732="Small/Medium",$L732&lt;&gt;"",ISNA(MATCH($L732,Tables!$C$246:$C$247,0))),
Error!$B$59,
IF(AND($H732="Zoning: Tree Points",$K732="Medium/Large",$L732&lt;&gt;"",ISNA(MATCH($L732,Tables!$C$249:$C$250,0))),
Error!$B$59,
IF(AND($H732="Zoning: Tree Points",$K732="Large",$L732&lt;&gt;"",ISNA(MATCH($L732,Tables!$C$252:$C$253,0))),
Error!$B$59,
IF(AND($F732="Retain",$H732="Zoning: Tree Points",$C732&lt;&gt;"",$D732&lt;&gt;"",OR($K732="",$L732="",$M732="")),
Error!$B$20,
""
)))))))))))))))))))))))))))))))))))))))))))))))))))))))),
Error!$B$23))</f>
        <v/>
      </c>
      <c r="O732" s="343" t="str" cm="1">
        <f t="array" aca="1" ref="O732" ca="1">IFERROR(_xlfn.LET(
    _xlpm.txt, $C732,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33" spans="1:15" x14ac:dyDescent="0.3">
      <c r="A733" s="320"/>
      <c r="B733" s="616" t="str">
        <f t="shared" si="867"/>
        <v/>
      </c>
      <c r="C733" s="617" t="str">
        <f t="shared" si="868"/>
        <v/>
      </c>
      <c r="D733" s="618" t="str">
        <f t="shared" si="869"/>
        <v/>
      </c>
      <c r="E733" s="616" t="str">
        <f t="shared" si="870"/>
        <v/>
      </c>
      <c r="F733" s="616" t="str">
        <f t="shared" si="871"/>
        <v/>
      </c>
      <c r="G733" s="619" t="str">
        <f>IF(Tree_Table1[[#This Row],[Tree Status  &amp;]]="Retain", Tables!$B$237, IF(Tree_Table1[[#This Row],[Tree Status  &amp;]]="Remove", Tables!$B$238, ""))</f>
        <v/>
      </c>
      <c r="H733" s="321"/>
      <c r="I733" s="322"/>
      <c r="J733" s="453"/>
      <c r="K733" s="323" t="str">
        <f>IFERROR(
    IF(
        AND($H733="Zoning: Tree Points", NOT(ISNUMBER(SEARCH("sp.", $C733)))),
        VLOOKUP($C733, 'Tree List'!$C$3:$F$601, 4, FALSE),
        ""
    ),
"")</f>
        <v/>
      </c>
      <c r="L733" s="324" t="str" cm="1">
        <f t="array" ref="L733">IFERROR(
IF(
    AND($H733="Zoning: Tree Points", NOT(ISNUMBER(SEARCH("sp.", $C733)))),
    _xlfn.IFS(
        (COUNTIFS('Tree List'!$C$3:$C$601,$C733,'Tree List'!$D$3:$D$601,"Coniferous")
        + COUNTIFS('Tree List'!$C$3:$C$601,$C733,'Tree List'!$D$3:$D$601,"Deciduous Conifer")) &gt; 0,
            _xlfn.IFS($K733="Small",0.5,$K733="Small/Medium",1,$K733="Medium/Large",1.4,$K733="Large",1.8),
        (COUNTIFS('Tree List'!$C$3:$C$601,$C733,'Tree List'!$D$3:$D$601,"Deciduous")
        + COUNTIFS('Tree List'!$C$3:$C$601,$C733,'Tree List'!$D$3:$D$601,"Broadleaf Evergreen")) &gt; 0,
            _xlfn.IFS($K733="Small",0.4,$K733="Small/Medium",0.8,$K733="Medium/Large",1.2,$K733="Large",1.6)
    ),
    ""
),
"")</f>
        <v/>
      </c>
      <c r="M733" s="475" t="str">
        <f t="shared" si="816"/>
        <v/>
      </c>
      <c r="N733" s="346" t="str" cm="1">
        <f t="array" aca="1" ref="N73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IF(AND(_xlpm.baseRow,ISNA(MATCH($C733,'Tree List'!$C$3:$C$601,0)),SUMPRODUCT(--ISNUMBER(SEARCH(Tables2!$C$677:$C$772,$O733)))&gt;0),
Error!$B$57,
IF(AND(_xlpm.hasDM,$F733="Remove",$H733&lt;&gt;"",OR($I733="On-site replacement",$I733="Off-site replacement",$I733="Payment In Lieu")),
Error!$B$56,
IF(AND(_xlpm.hasDM,$F733="Remove",$H733&lt;&gt;"",$I733="Relocation"),
Error!$B$66,
IF(AND(OR(_xlpm.hasCN,_xlpm.hasPH,_xlpm.hasGR),$H733&lt;&gt;"",COUNTIF(Tables!$B$132:$B$134,$H733)&gt;0,$I733="N/A (No replacement required)"),
Error!$B$62,
IF(AND(_xlpm.baseRow,$E733&lt;&gt;"",ISNA(MATCH($E733,Tables!$B$225:$B$232,0))),
Error!$B$2,
IF(AND(_xlpm.baseRow,$F733&lt;&gt;"",ISNA(MATCH($F733,Tables!$B$234:$B$235,0))),
Error!$B$24,
IF(AND(_xlpm.baseRow,_xlpm.ECA_H&gt;0,_xlpm.Shore_H&gt;0),
Error!$B$16,
IF(AND(_xlpm.baseRow,$E733&lt;&gt;"",$D733=""),
Error!$B$3,
IF(AND(_xlpm.baseRow,OR($E733="Tier 3",$E733="Tier 4"),$C733&lt;&gt;"",$D733&gt;=24,COUNTIF(Tables2!$B$166:$B$674,$C733)&gt;0),
Error!$B$44,
IF(AND(_xlpm.baseRow,OR($E733="Tier 3",$E733="Tier 4"),$C733&lt;&gt;"",$D733&lt;&gt;"",COUNTIF(Tables2!$B$73:$B$152,$C733)&gt;0,
$D733&gt;=IFERROR(INDEX(Tables2!$C$73:$C$152,MATCH($C733,Tables2!$B$73:$B$152,0)),-1)),
Error!$B$44,
IF(AND(_xlpm.baseRow,OR($E733="Tier 2",$E733="Tier 2 Grove"),$C733&lt;&gt;"",$D733&gt;=12,COUNTIF(Tables2!$B$153:$B$162,$C733)&gt;0),
Error!$B$45,
IF(AND(_xlpm.baseRow,$E733="Tier 2 Grove",$D733&lt;12),
Error!$B$41,
IF(AND(_xlpm.baseRow,$E733="Tier 2",$D733&lt;5.88),
Error!$B$40,
IF(AND(_xlpm.baseRow,OR($E733="Tier 2",$E733="Tier 2 Grove"),$C733&lt;&gt;"",$D733&lt;12,$D733&gt;=6,COUNTIF(Tables2!$B$153:$B$162,$C733)&gt;0),
Error!$B$54,
IF(AND(_xlpm.baseRow,$E733="Tier 2",COUNTIF(Tables2!$B$166:$B$674,$C733)&gt;0,$D733&lt;24),
Error!$B$54,
IF(AND(_xlpm.baseRow,$E733="Tier 3",ISNA(MATCH($C733,Tables2!$B$153:$B$162,0)),OR($D733&lt;12,$D733&gt;=24)),
Error!$B$9,
IF(AND(_xlpm.baseRow,$E733="Tier 3",COUNTIF(Tables2!$B$153:$B$162,$C733)&gt;0,$D733&lt;12),
Error!$B$46,
IF(AND(_xlpm.baseRow,$E733="Tier 4",OR($D733&lt;6,$D733&gt;=12)),
Error!$B$10,
IF(AND(_xlpm.baseRow,$E733="&lt;6in DSH for Tree Points",OR($D733&gt;=6,$D733="")),
Error!$B$8,
IF(AND(_xlpm.baseRow,$E733="Street Tree for Green Factor",$F733&lt;&gt;"",$F733&lt;&gt;"Retain"),
Error!$B$14,
IF(AND($E733="&lt;6in DSH for Tree Points",$F733="Retain",$H733&lt;&gt;"",ISNA(MATCH($H733,Tables!$B$174:$B$174,0))),
Error!$B$15,
IF(AND($E733="Street Tree for Green Factor",$F733="Retain",$H733&lt;&gt;"",$H733&lt;&gt;"Zoning: Green Factor"),
Error!$B$15,
IF(AND($E733="ECA / Shoreline Tree",$F733="Remove",$H733&lt;&gt;"",ISNA(MATCH($H733,Tables!$B$189:$B$190,0))),
Error!$B$15,
IF(AND($E733="ECA / Shoreline Tree",$F733="Retain",$H733&lt;&gt;"",ISNA(MATCH($H733,Tables!$B$184:$B$186,0))),
Error!$B$15,
IF(AND($E733="Tier 4",$F733="Remove",$H733&lt;&gt;"",ISNA(MATCH($H733,Tables!$B$171,0))),
Error!$B$15,
IF(AND($E733="Tier 4",$F733="Retain",$H733&lt;&gt;"",ISNA(MATCH($H733,Tables!$B$166:$B$168,0))),
Error!$B$15,
IF(AND($E733="Tier 3",$F733="Retain",$H733&lt;&gt;"",ISNA(MATCH($H733,Tables!$B$158:$B$160,0))),
Error!$B$15,
IF(AND($E733="Tier 3",$F733="Remove",$H733&lt;&gt;"",ISNA(MATCH($H733,Tables!$B$163,0))),
Error!$B$15,
IF(AND(OR($E733="Tier 2",$E733="Tier 2 Grove"),$F733="Remove",$H733&lt;&gt;"",ISNA(MATCH($H733,Tables!$B$153:$B$155,0))),
Error!$B$15,
IF(AND(OR($E733="Tier 2",$E733="Tier 2 Grove"),$F733="Retain",$H733&lt;&gt;"",ISNA(MATCH($H733,Tables!$B$147:$B$150,0))),
Error!$B$15,
IF(AND($E733="Tier 1",$F733="Remove",$H733&lt;&gt;"",ISNA(MATCH($H733,Tables!$B$143:$B$144,0))),
Error!$B$15,
IF(AND($E733="Tier 1",$F733="Retain",$H733&lt;&gt;"",ISNA(MATCH($H733,Tables!$B$137:$B$140,0))),
Error!$B$15,
IF(AND($E733&lt;&gt;"Tier 2",$E733&lt;&gt;"Tier 2 Grove",$E733&lt;&gt;"Tier 3",$E733&lt;&gt;"Tier 4",$H733="Zoning: Green Factor",OR($D733="",$D733&lt;6)),
Error!$B$11,
IF(AND(_xlpm.baseRow,$D733&lt;6,$E733="&lt;6in DSH for Tree Points",_xlpm.TreePoints_H=0),
Error!$B$21,
IF(AND(_xlpm.baseRow,$E733&lt;&gt;"",$D733&lt;&gt;"",$F733=""),
Error!$B$4,
IF(AND(_xlpm.baseRow,$F733="Remove",OR($E733="Tier 1",$E733="Tier 2",$E733="Tier 2 Grove"),COUNTBLANK(_xlpm.HRange)&lt;3,_xlpm.uniqueH&gt;=2),
Error!$B$48,
IF(AND(_xlpm.baseRow,$F733="Retain",OR($E733="Tier 1",$E733="Tier 2",$E733="Tier 2 Grove"),COUNTIF(_xlpm.HRange,"Tree Code: Required to Retain Tier 1-2 Tree")=0),
Error!$B$47,
IF(AND(_xlpm.baseRow,$E733&lt;&gt;"",$D733&lt;&gt;"",$F733&lt;&gt;"",COUNTBLANK(_xlpm.HRange)=4),
Error!$B$5,
IF(AND($F733="Remove",$H733&lt;&gt;"",$I733=""),
Error!$B$18,
IF(AND($E733="Tier 4",$F733="Remove",$H733="Tree Protection Code: Tier 3 or Tier 4 Allowance",$H733&lt;&gt;"",ISNA(MATCH($I733,Tables!$B$200,0))),
Error!$B$17,
IF(AND($E733="Tier 3",$F733="Remove",$H733&lt;&gt;"",$H733="Tree Protection Code: Tier 3 or Tier 4 Allowance",OR($I733="",ISNA(MATCH($I733,Tables!$B$193:$B$197,0)))),
Error!$B$17,
IF(AND(OR($E733="Tier 2",$E733="Tier 2 Grove"),$F733="Remove",$H733="Tree Protection Code: Other removal allowance or exemption",$I733&lt;&gt;"",ISNA(MATCH($I733,Tables!$B$215:$B$218,0))),
Error!$B$17,
IF(AND(OR($E733="Tier 2",$E733="Tier 2 Grove"),$F733="Remove",$H733="Tree Protection Code: Development Capacity",$I733&lt;&gt;"",ISNA(MATCH($I733,Tables!$B$193:$B$197,0))),
Error!$B$17,
IF(AND(OR($E733="Tier 2",$E733="Tier 2 Grove"),$F733="Remove",$H733="Tree Protection Code: Necessary for Construction",$I733&lt;&gt;"",ISNA(MATCH($I733,Tables!$B$193:$B$197,0))),
Error!$B$17,
IF(AND($E733="Tier 1",$F733="Remove",$H733="Tree Protection Code: Special Exception",$I733&lt;&gt;"",ISNA(MATCH($I733,Tables!$B$215:$B$218,0))),
Error!$B$17,
IF(AND($E733="Tier 1",$F733="Remove",$H733="Tree Protection Code: Other removal allowance or exemption",$I733&lt;&gt;"",ISNA(MATCH($I733,Tables!$B$215:$B$218,0))),
Error!$B$17,
IF(AND($E733="ECA / Shoreline Tree",$F733="Remove",$H733&lt;&gt;"",OR($H733="Shoreline",$H733="Environmental Critical Area (ECA)"),ISNA(MATCH($I733,Tables!$B$209:$B$212,0))),
Error!$B$17,
IF(AND(_xlpm.baseRow,$F733="Retain",$E733="ECA / Shoreline Tree",_xlpm.ECA_Short=0),
Error!$B$61,
IF(AND($F733="Remove",ISNUMBER(MATCH($E733,{"Tier 1","Tier 2","Tier 3","Tier 4","Tier 2 Grove"},0)),ISNUMBER(MATCH($I733,{"On-site replacement","Off-site replacement"},0)),$J733="",$H733&lt;&gt;""),
Error!$B$19,
IF(AND(_xlpm.baseRow,$E733&lt;&gt;"",$D733&lt;&gt;"",$F733&lt;&gt;"",COUNTBLANK($B733:$C733)&gt;0,COUNTBLANK(_xlpm.HRange)&lt;&gt;4),
Error!$B$22,
IF(AND($H733="Zoning: Tree Points",$K733&lt;&gt;"",ISNA(MATCH($K733,Tables!$B$242:$B$253,0))),
Error!$B$58,
IF(AND($H733="Zoning: Tree Points",$K733="Small",$L733&lt;&gt;"",ISNA(MATCH($L733,Tables!$C$243:$C$244,0))),
Error!$B$59,
IF(AND($H733="Zoning: Tree Points",$K733="Small/Medium",$L733&lt;&gt;"",ISNA(MATCH($L733,Tables!$C$246:$C$247,0))),
Error!$B$59,
IF(AND($H733="Zoning: Tree Points",$K733="Medium/Large",$L733&lt;&gt;"",ISNA(MATCH($L733,Tables!$C$249:$C$250,0))),
Error!$B$59,
IF(AND($H733="Zoning: Tree Points",$K733="Large",$L733&lt;&gt;"",ISNA(MATCH($L733,Tables!$C$252:$C$253,0))),
Error!$B$59,
IF(AND($F733="Retain",$H733="Zoning: Tree Points",$C733&lt;&gt;"",$D733&lt;&gt;"",OR($K733="",$L733="",$M733="")),
Error!$B$20,
""
)))))))))))))))))))))))))))))))))))))))))))))))))))))))),
Error!$B$23))</f>
        <v/>
      </c>
      <c r="O733" s="343" t="str" cm="1">
        <f t="array" aca="1" ref="O733" ca="1">IFERROR(_xlfn.LET(
    _xlpm.txt, $C733,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34" spans="1:15" ht="15" thickBot="1" x14ac:dyDescent="0.35">
      <c r="A734" s="331"/>
      <c r="B734" s="616" t="str">
        <f t="shared" si="867"/>
        <v/>
      </c>
      <c r="C734" s="617" t="str">
        <f t="shared" si="868"/>
        <v/>
      </c>
      <c r="D734" s="618" t="str">
        <f t="shared" si="869"/>
        <v/>
      </c>
      <c r="E734" s="616" t="str">
        <f t="shared" si="870"/>
        <v/>
      </c>
      <c r="F734" s="616" t="str">
        <f t="shared" si="871"/>
        <v/>
      </c>
      <c r="G734" s="619" t="str">
        <f>IF(Tree_Table1[[#This Row],[Tree Status  &amp;]]="Retain", Tables!$B$237, IF(Tree_Table1[[#This Row],[Tree Status  &amp;]]="Remove", Tables!$B$238, ""))</f>
        <v/>
      </c>
      <c r="H734" s="329"/>
      <c r="I734" s="330"/>
      <c r="J734" s="455"/>
      <c r="K734" s="327" t="str">
        <f>IFERROR(
    IF(
        AND($H734="Zoning: Tree Points", NOT(ISNUMBER(SEARCH("sp.", $C734)))),
        VLOOKUP($C734, 'Tree List'!$C$3:$F$601, 4, FALSE),
        ""
    ),
"")</f>
        <v/>
      </c>
      <c r="L734" s="328" t="str" cm="1">
        <f t="array" ref="L734">IFERROR(
IF(
    AND($H734="Zoning: Tree Points", NOT(ISNUMBER(SEARCH("sp.", $C734)))),
    _xlfn.IFS(
        (COUNTIFS('Tree List'!$C$3:$C$601,$C734,'Tree List'!$D$3:$D$601,"Coniferous")
        + COUNTIFS('Tree List'!$C$3:$C$601,$C734,'Tree List'!$D$3:$D$601,"Deciduous Conifer")) &gt; 0,
            _xlfn.IFS($K734="Small",0.5,$K734="Small/Medium",1,$K734="Medium/Large",1.4,$K734="Large",1.8),
        (COUNTIFS('Tree List'!$C$3:$C$601,$C734,'Tree List'!$D$3:$D$601,"Deciduous")
        + COUNTIFS('Tree List'!$C$3:$C$601,$C734,'Tree List'!$D$3:$D$601,"Broadleaf Evergreen")) &gt; 0,
            _xlfn.IFS($K734="Small",0.4,$K734="Small/Medium",0.8,$K734="Medium/Large",1.2,$K734="Large",1.6)
    ),
    ""
),
"")</f>
        <v/>
      </c>
      <c r="M734" s="476" t="str">
        <f t="shared" si="816"/>
        <v/>
      </c>
      <c r="N734" s="347" t="str" cm="1">
        <f t="array" aca="1" ref="N73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IF(AND(_xlpm.baseRow,ISNA(MATCH($C734,'Tree List'!$C$3:$C$601,0)),SUMPRODUCT(--ISNUMBER(SEARCH(Tables2!$C$677:$C$772,$O734)))&gt;0),
Error!$B$57,
IF(AND(_xlpm.hasDM,$F734="Remove",$H734&lt;&gt;"",OR($I734="On-site replacement",$I734="Off-site replacement",$I734="Payment In Lieu")),
Error!$B$56,
IF(AND(_xlpm.hasDM,$F734="Remove",$H734&lt;&gt;"",$I734="Relocation"),
Error!$B$66,
IF(AND(OR(_xlpm.hasCN,_xlpm.hasPH,_xlpm.hasGR),$H734&lt;&gt;"",COUNTIF(Tables!$B$132:$B$134,$H734)&gt;0,$I734="N/A (No replacement required)"),
Error!$B$62,
IF(AND(_xlpm.baseRow,$E734&lt;&gt;"",ISNA(MATCH($E734,Tables!$B$225:$B$232,0))),
Error!$B$2,
IF(AND(_xlpm.baseRow,$F734&lt;&gt;"",ISNA(MATCH($F734,Tables!$B$234:$B$235,0))),
Error!$B$24,
IF(AND(_xlpm.baseRow,_xlpm.ECA_H&gt;0,_xlpm.Shore_H&gt;0),
Error!$B$16,
IF(AND(_xlpm.baseRow,$E734&lt;&gt;"",$D734=""),
Error!$B$3,
IF(AND(_xlpm.baseRow,OR($E734="Tier 3",$E734="Tier 4"),$C734&lt;&gt;"",$D734&gt;=24,COUNTIF(Tables2!$B$166:$B$674,$C734)&gt;0),
Error!$B$44,
IF(AND(_xlpm.baseRow,OR($E734="Tier 3",$E734="Tier 4"),$C734&lt;&gt;"",$D734&lt;&gt;"",COUNTIF(Tables2!$B$73:$B$152,$C734)&gt;0,
$D734&gt;=IFERROR(INDEX(Tables2!$C$73:$C$152,MATCH($C734,Tables2!$B$73:$B$152,0)),-1)),
Error!$B$44,
IF(AND(_xlpm.baseRow,OR($E734="Tier 2",$E734="Tier 2 Grove"),$C734&lt;&gt;"",$D734&gt;=12,COUNTIF(Tables2!$B$153:$B$162,$C734)&gt;0),
Error!$B$45,
IF(AND(_xlpm.baseRow,$E734="Tier 2 Grove",$D734&lt;12),
Error!$B$41,
IF(AND(_xlpm.baseRow,$E734="Tier 2",$D734&lt;5.88),
Error!$B$40,
IF(AND(_xlpm.baseRow,OR($E734="Tier 2",$E734="Tier 2 Grove"),$C734&lt;&gt;"",$D734&lt;12,$D734&gt;=6,COUNTIF(Tables2!$B$153:$B$162,$C734)&gt;0),
Error!$B$54,
IF(AND(_xlpm.baseRow,$E734="Tier 2",COUNTIF(Tables2!$B$166:$B$674,$C734)&gt;0,$D734&lt;24),
Error!$B$54,
IF(AND(_xlpm.baseRow,$E734="Tier 3",ISNA(MATCH($C734,Tables2!$B$153:$B$162,0)),OR($D734&lt;12,$D734&gt;=24)),
Error!$B$9,
IF(AND(_xlpm.baseRow,$E734="Tier 3",COUNTIF(Tables2!$B$153:$B$162,$C734)&gt;0,$D734&lt;12),
Error!$B$46,
IF(AND(_xlpm.baseRow,$E734="Tier 4",OR($D734&lt;6,$D734&gt;=12)),
Error!$B$10,
IF(AND(_xlpm.baseRow,$E734="&lt;6in DSH for Tree Points",OR($D734&gt;=6,$D734="")),
Error!$B$8,
IF(AND(_xlpm.baseRow,$E734="Street Tree for Green Factor",$F734&lt;&gt;"",$F734&lt;&gt;"Retain"),
Error!$B$14,
IF(AND($E734="&lt;6in DSH for Tree Points",$F734="Retain",$H734&lt;&gt;"",ISNA(MATCH($H734,Tables!$B$174:$B$174,0))),
Error!$B$15,
IF(AND($E734="Street Tree for Green Factor",$F734="Retain",$H734&lt;&gt;"",$H734&lt;&gt;"Zoning: Green Factor"),
Error!$B$15,
IF(AND($E734="ECA / Shoreline Tree",$F734="Remove",$H734&lt;&gt;"",ISNA(MATCH($H734,Tables!$B$189:$B$190,0))),
Error!$B$15,
IF(AND($E734="ECA / Shoreline Tree",$F734="Retain",$H734&lt;&gt;"",ISNA(MATCH($H734,Tables!$B$184:$B$186,0))),
Error!$B$15,
IF(AND($E734="Tier 4",$F734="Remove",$H734&lt;&gt;"",ISNA(MATCH($H734,Tables!$B$171,0))),
Error!$B$15,
IF(AND($E734="Tier 4",$F734="Retain",$H734&lt;&gt;"",ISNA(MATCH($H734,Tables!$B$166:$B$168,0))),
Error!$B$15,
IF(AND($E734="Tier 3",$F734="Retain",$H734&lt;&gt;"",ISNA(MATCH($H734,Tables!$B$158:$B$160,0))),
Error!$B$15,
IF(AND($E734="Tier 3",$F734="Remove",$H734&lt;&gt;"",ISNA(MATCH($H734,Tables!$B$163,0))),
Error!$B$15,
IF(AND(OR($E734="Tier 2",$E734="Tier 2 Grove"),$F734="Remove",$H734&lt;&gt;"",ISNA(MATCH($H734,Tables!$B$153:$B$155,0))),
Error!$B$15,
IF(AND(OR($E734="Tier 2",$E734="Tier 2 Grove"),$F734="Retain",$H734&lt;&gt;"",ISNA(MATCH($H734,Tables!$B$147:$B$150,0))),
Error!$B$15,
IF(AND($E734="Tier 1",$F734="Remove",$H734&lt;&gt;"",ISNA(MATCH($H734,Tables!$B$143:$B$144,0))),
Error!$B$15,
IF(AND($E734="Tier 1",$F734="Retain",$H734&lt;&gt;"",ISNA(MATCH($H734,Tables!$B$137:$B$140,0))),
Error!$B$15,
IF(AND($E734&lt;&gt;"Tier 2",$E734&lt;&gt;"Tier 2 Grove",$E734&lt;&gt;"Tier 3",$E734&lt;&gt;"Tier 4",$H734="Zoning: Green Factor",OR($D734="",$D734&lt;6)),
Error!$B$11,
IF(AND(_xlpm.baseRow,$D734&lt;6,$E734="&lt;6in DSH for Tree Points",_xlpm.TreePoints_H=0),
Error!$B$21,
IF(AND(_xlpm.baseRow,$E734&lt;&gt;"",$D734&lt;&gt;"",$F734=""),
Error!$B$4,
IF(AND(_xlpm.baseRow,$F734="Remove",OR($E734="Tier 1",$E734="Tier 2",$E734="Tier 2 Grove"),COUNTBLANK(_xlpm.HRange)&lt;3,_xlpm.uniqueH&gt;=2),
Error!$B$48,
IF(AND(_xlpm.baseRow,$F734="Retain",OR($E734="Tier 1",$E734="Tier 2",$E734="Tier 2 Grove"),COUNTIF(_xlpm.HRange,"Tree Code: Required to Retain Tier 1-2 Tree")=0),
Error!$B$47,
IF(AND(_xlpm.baseRow,$E734&lt;&gt;"",$D734&lt;&gt;"",$F734&lt;&gt;"",COUNTBLANK(_xlpm.HRange)=4),
Error!$B$5,
IF(AND($F734="Remove",$H734&lt;&gt;"",$I734=""),
Error!$B$18,
IF(AND($E734="Tier 4",$F734="Remove",$H734="Tree Protection Code: Tier 3 or Tier 4 Allowance",$H734&lt;&gt;"",ISNA(MATCH($I734,Tables!$B$200,0))),
Error!$B$17,
IF(AND($E734="Tier 3",$F734="Remove",$H734&lt;&gt;"",$H734="Tree Protection Code: Tier 3 or Tier 4 Allowance",OR($I734="",ISNA(MATCH($I734,Tables!$B$193:$B$197,0)))),
Error!$B$17,
IF(AND(OR($E734="Tier 2",$E734="Tier 2 Grove"),$F734="Remove",$H734="Tree Protection Code: Other removal allowance or exemption",$I734&lt;&gt;"",ISNA(MATCH($I734,Tables!$B$215:$B$218,0))),
Error!$B$17,
IF(AND(OR($E734="Tier 2",$E734="Tier 2 Grove"),$F734="Remove",$H734="Tree Protection Code: Development Capacity",$I734&lt;&gt;"",ISNA(MATCH($I734,Tables!$B$193:$B$197,0))),
Error!$B$17,
IF(AND(OR($E734="Tier 2",$E734="Tier 2 Grove"),$F734="Remove",$H734="Tree Protection Code: Necessary for Construction",$I734&lt;&gt;"",ISNA(MATCH($I734,Tables!$B$193:$B$197,0))),
Error!$B$17,
IF(AND($E734="Tier 1",$F734="Remove",$H734="Tree Protection Code: Special Exception",$I734&lt;&gt;"",ISNA(MATCH($I734,Tables!$B$215:$B$218,0))),
Error!$B$17,
IF(AND($E734="Tier 1",$F734="Remove",$H734="Tree Protection Code: Other removal allowance or exemption",$I734&lt;&gt;"",ISNA(MATCH($I734,Tables!$B$215:$B$218,0))),
Error!$B$17,
IF(AND($E734="ECA / Shoreline Tree",$F734="Remove",$H734&lt;&gt;"",OR($H734="Shoreline",$H734="Environmental Critical Area (ECA)"),ISNA(MATCH($I734,Tables!$B$209:$B$212,0))),
Error!$B$17,
IF(AND(_xlpm.baseRow,$F734="Retain",$E734="ECA / Shoreline Tree",_xlpm.ECA_Short=0),
Error!$B$61,
IF(AND($F734="Remove",ISNUMBER(MATCH($E734,{"Tier 1","Tier 2","Tier 3","Tier 4","Tier 2 Grove"},0)),ISNUMBER(MATCH($I734,{"On-site replacement","Off-site replacement"},0)),$J734="",$H734&lt;&gt;""),
Error!$B$19,
IF(AND(_xlpm.baseRow,$E734&lt;&gt;"",$D734&lt;&gt;"",$F734&lt;&gt;"",COUNTBLANK($B734:$C734)&gt;0,COUNTBLANK(_xlpm.HRange)&lt;&gt;4),
Error!$B$22,
IF(AND($H734="Zoning: Tree Points",$K734&lt;&gt;"",ISNA(MATCH($K734,Tables!$B$242:$B$253,0))),
Error!$B$58,
IF(AND($H734="Zoning: Tree Points",$K734="Small",$L734&lt;&gt;"",ISNA(MATCH($L734,Tables!$C$243:$C$244,0))),
Error!$B$59,
IF(AND($H734="Zoning: Tree Points",$K734="Small/Medium",$L734&lt;&gt;"",ISNA(MATCH($L734,Tables!$C$246:$C$247,0))),
Error!$B$59,
IF(AND($H734="Zoning: Tree Points",$K734="Medium/Large",$L734&lt;&gt;"",ISNA(MATCH($L734,Tables!$C$249:$C$250,0))),
Error!$B$59,
IF(AND($H734="Zoning: Tree Points",$K734="Large",$L734&lt;&gt;"",ISNA(MATCH($L734,Tables!$C$252:$C$253,0))),
Error!$B$59,
IF(AND($F734="Retain",$H734="Zoning: Tree Points",$C734&lt;&gt;"",$D734&lt;&gt;"",OR($K734="",$L734="",$M734="")),
Error!$B$20,
""
)))))))))))))))))))))))))))))))))))))))))))))))))))))))),
Error!$B$23))</f>
        <v/>
      </c>
      <c r="O734" s="343" t="str" cm="1">
        <f t="array" aca="1" ref="O734" ca="1">IFERROR(_xlfn.LET(
    _xlpm.txt, $C734,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35" spans="1:15" ht="15" thickBot="1" x14ac:dyDescent="0.35">
      <c r="A735" s="311">
        <v>182</v>
      </c>
      <c r="B735" s="312"/>
      <c r="C735" s="313"/>
      <c r="D735" s="478"/>
      <c r="E735" s="314"/>
      <c r="F735" s="314"/>
      <c r="G735" s="315" t="str">
        <f>IF(Tree_Table1[[#This Row],[Tree Status  &amp;]]="Retain", Tables!$B$237, IF(Tree_Table1[[#This Row],[Tree Status  &amp;]]="Remove", Tables!$B$238, ""))</f>
        <v/>
      </c>
      <c r="H735" s="316"/>
      <c r="I735" s="317"/>
      <c r="J735" s="452"/>
      <c r="K735" s="318" t="str">
        <f>IFERROR(
    IF(
        AND($H735="Zoning: Tree Points", NOT(ISNUMBER(SEARCH("sp.", $C735)))),
        VLOOKUP($C735, 'Tree List'!$C$3:$F$601, 4, FALSE),
        ""
    ),
"")</f>
        <v/>
      </c>
      <c r="L735" s="319" t="str" cm="1">
        <f t="array" ref="L735">IFERROR(
IF(
    AND($H735="Zoning: Tree Points", NOT(ISNUMBER(SEARCH("sp.", $C735)))),
    _xlfn.IFS(
        (COUNTIFS('Tree List'!$C$3:$C$601,$C735,'Tree List'!$D$3:$D$601,"Coniferous")
        + COUNTIFS('Tree List'!$C$3:$C$601,$C735,'Tree List'!$D$3:$D$601,"Deciduous Conifer")) &gt; 0,
            _xlfn.IFS($K735="Small",0.5,$K735="Small/Medium",1,$K735="Medium/Large",1.4,$K735="Large",1.8),
        (COUNTIFS('Tree List'!$C$3:$C$601,$C735,'Tree List'!$D$3:$D$601,"Deciduous")
        + COUNTIFS('Tree List'!$C$3:$C$601,$C735,'Tree List'!$D$3:$D$601,"Broadleaf Evergreen")) &gt; 0,
            _xlfn.IFS($K735="Small",0.4,$K735="Small/Medium",0.8,$K735="Medium/Large",1.2,$K735="Large",1.6)
    ),
    ""
),
"")</f>
        <v/>
      </c>
      <c r="M735" s="474" t="str">
        <f t="shared" si="816"/>
        <v/>
      </c>
      <c r="N735" s="620" t="str" cm="1">
        <f t="array" aca="1" ref="N73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IF(AND(_xlpm.baseRow,ISNA(MATCH($C735,'Tree List'!$C$3:$C$601,0)),SUMPRODUCT(--ISNUMBER(SEARCH(Tables2!$C$677:$C$772,$O735)))&gt;0),
Error!$B$57,
IF(AND(_xlpm.hasDM,$F735="Remove",$H735&lt;&gt;"",OR($I735="On-site replacement",$I735="Off-site replacement",$I735="Payment In Lieu")),
Error!$B$56,
IF(AND(_xlpm.hasDM,$F735="Remove",$H735&lt;&gt;"",$I735="Relocation"),
Error!$B$66,
IF(AND(OR(_xlpm.hasCN,_xlpm.hasPH,_xlpm.hasGR),$H735&lt;&gt;"",COUNTIF(Tables!$B$132:$B$134,$H735)&gt;0,$I735="N/A (No replacement required)"),
Error!$B$62,
IF(AND(_xlpm.baseRow,$E735&lt;&gt;"",ISNA(MATCH($E735,Tables!$B$225:$B$232,0))),
Error!$B$2,
IF(AND(_xlpm.baseRow,$F735&lt;&gt;"",ISNA(MATCH($F735,Tables!$B$234:$B$235,0))),
Error!$B$24,
IF(AND(_xlpm.baseRow,_xlpm.ECA_H&gt;0,_xlpm.Shore_H&gt;0),
Error!$B$16,
IF(AND(_xlpm.baseRow,$E735&lt;&gt;"",$D735=""),
Error!$B$3,
IF(AND(_xlpm.baseRow,OR($E735="Tier 3",$E735="Tier 4"),$C735&lt;&gt;"",$D735&gt;=24,COUNTIF(Tables2!$B$166:$B$674,$C735)&gt;0),
Error!$B$44,
IF(AND(_xlpm.baseRow,OR($E735="Tier 3",$E735="Tier 4"),$C735&lt;&gt;"",$D735&lt;&gt;"",COUNTIF(Tables2!$B$73:$B$152,$C735)&gt;0,
$D735&gt;=IFERROR(INDEX(Tables2!$C$73:$C$152,MATCH($C735,Tables2!$B$73:$B$152,0)),-1)),
Error!$B$44,
IF(AND(_xlpm.baseRow,OR($E735="Tier 2",$E735="Tier 2 Grove"),$C735&lt;&gt;"",$D735&gt;=12,COUNTIF(Tables2!$B$153:$B$162,$C735)&gt;0),
Error!$B$45,
IF(AND(_xlpm.baseRow,$E735="Tier 2 Grove",$D735&lt;12),
Error!$B$41,
IF(AND(_xlpm.baseRow,$E735="Tier 2",$D735&lt;5.88),
Error!$B$40,
IF(AND(_xlpm.baseRow,OR($E735="Tier 2",$E735="Tier 2 Grove"),$C735&lt;&gt;"",$D735&lt;12,$D735&gt;=6,COUNTIF(Tables2!$B$153:$B$162,$C735)&gt;0),
Error!$B$54,
IF(AND(_xlpm.baseRow,$E735="Tier 2",COUNTIF(Tables2!$B$166:$B$674,$C735)&gt;0,$D735&lt;24),
Error!$B$54,
IF(AND(_xlpm.baseRow,$E735="Tier 3",ISNA(MATCH($C735,Tables2!$B$153:$B$162,0)),OR($D735&lt;12,$D735&gt;=24)),
Error!$B$9,
IF(AND(_xlpm.baseRow,$E735="Tier 3",COUNTIF(Tables2!$B$153:$B$162,$C735)&gt;0,$D735&lt;12),
Error!$B$46,
IF(AND(_xlpm.baseRow,$E735="Tier 4",OR($D735&lt;6,$D735&gt;=12)),
Error!$B$10,
IF(AND(_xlpm.baseRow,$E735="&lt;6in DSH for Tree Points",OR($D735&gt;=6,$D735="")),
Error!$B$8,
IF(AND(_xlpm.baseRow,$E735="Street Tree for Green Factor",$F735&lt;&gt;"",$F735&lt;&gt;"Retain"),
Error!$B$14,
IF(AND($E735="&lt;6in DSH for Tree Points",$F735="Retain",$H735&lt;&gt;"",ISNA(MATCH($H735,Tables!$B$174:$B$174,0))),
Error!$B$15,
IF(AND($E735="Street Tree for Green Factor",$F735="Retain",$H735&lt;&gt;"",$H735&lt;&gt;"Zoning: Green Factor"),
Error!$B$15,
IF(AND($E735="ECA / Shoreline Tree",$F735="Remove",$H735&lt;&gt;"",ISNA(MATCH($H735,Tables!$B$189:$B$190,0))),
Error!$B$15,
IF(AND($E735="ECA / Shoreline Tree",$F735="Retain",$H735&lt;&gt;"",ISNA(MATCH($H735,Tables!$B$184:$B$186,0))),
Error!$B$15,
IF(AND($E735="Tier 4",$F735="Remove",$H735&lt;&gt;"",ISNA(MATCH($H735,Tables!$B$171,0))),
Error!$B$15,
IF(AND($E735="Tier 4",$F735="Retain",$H735&lt;&gt;"",ISNA(MATCH($H735,Tables!$B$166:$B$168,0))),
Error!$B$15,
IF(AND($E735="Tier 3",$F735="Retain",$H735&lt;&gt;"",ISNA(MATCH($H735,Tables!$B$158:$B$160,0))),
Error!$B$15,
IF(AND($E735="Tier 3",$F735="Remove",$H735&lt;&gt;"",ISNA(MATCH($H735,Tables!$B$163,0))),
Error!$B$15,
IF(AND(OR($E735="Tier 2",$E735="Tier 2 Grove"),$F735="Remove",$H735&lt;&gt;"",ISNA(MATCH($H735,Tables!$B$153:$B$155,0))),
Error!$B$15,
IF(AND(OR($E735="Tier 2",$E735="Tier 2 Grove"),$F735="Retain",$H735&lt;&gt;"",ISNA(MATCH($H735,Tables!$B$147:$B$150,0))),
Error!$B$15,
IF(AND($E735="Tier 1",$F735="Remove",$H735&lt;&gt;"",ISNA(MATCH($H735,Tables!$B$143:$B$144,0))),
Error!$B$15,
IF(AND($E735="Tier 1",$F735="Retain",$H735&lt;&gt;"",ISNA(MATCH($H735,Tables!$B$137:$B$140,0))),
Error!$B$15,
IF(AND($E735&lt;&gt;"Tier 2",$E735&lt;&gt;"Tier 2 Grove",$E735&lt;&gt;"Tier 3",$E735&lt;&gt;"Tier 4",$H735="Zoning: Green Factor",OR($D735="",$D735&lt;6)),
Error!$B$11,
IF(AND(_xlpm.baseRow,$D735&lt;6,$E735="&lt;6in DSH for Tree Points",_xlpm.TreePoints_H=0),
Error!$B$21,
IF(AND(_xlpm.baseRow,$E735&lt;&gt;"",$D735&lt;&gt;"",$F735=""),
Error!$B$4,
IF(AND(_xlpm.baseRow,$F735="Remove",OR($E735="Tier 1",$E735="Tier 2",$E735="Tier 2 Grove"),COUNTBLANK(_xlpm.HRange)&lt;3,_xlpm.uniqueH&gt;=2),
Error!$B$48,
IF(AND(_xlpm.baseRow,$F735="Retain",OR($E735="Tier 1",$E735="Tier 2",$E735="Tier 2 Grove"),COUNTIF(_xlpm.HRange,"Tree Code: Required to Retain Tier 1-2 Tree")=0),
Error!$B$47,
IF(AND(_xlpm.baseRow,$E735&lt;&gt;"",$D735&lt;&gt;"",$F735&lt;&gt;"",COUNTBLANK(_xlpm.HRange)=4),
Error!$B$5,
IF(AND($F735="Remove",$H735&lt;&gt;"",$I735=""),
Error!$B$18,
IF(AND($E735="Tier 4",$F735="Remove",$H735="Tree Protection Code: Tier 3 or Tier 4 Allowance",$H735&lt;&gt;"",ISNA(MATCH($I735,Tables!$B$200,0))),
Error!$B$17,
IF(AND($E735="Tier 3",$F735="Remove",$H735&lt;&gt;"",$H735="Tree Protection Code: Tier 3 or Tier 4 Allowance",OR($I735="",ISNA(MATCH($I735,Tables!$B$193:$B$197,0)))),
Error!$B$17,
IF(AND(OR($E735="Tier 2",$E735="Tier 2 Grove"),$F735="Remove",$H735="Tree Protection Code: Other removal allowance or exemption",$I735&lt;&gt;"",ISNA(MATCH($I735,Tables!$B$215:$B$218,0))),
Error!$B$17,
IF(AND(OR($E735="Tier 2",$E735="Tier 2 Grove"),$F735="Remove",$H735="Tree Protection Code: Development Capacity",$I735&lt;&gt;"",ISNA(MATCH($I735,Tables!$B$193:$B$197,0))),
Error!$B$17,
IF(AND(OR($E735="Tier 2",$E735="Tier 2 Grove"),$F735="Remove",$H735="Tree Protection Code: Necessary for Construction",$I735&lt;&gt;"",ISNA(MATCH($I735,Tables!$B$193:$B$197,0))),
Error!$B$17,
IF(AND($E735="Tier 1",$F735="Remove",$H735="Tree Protection Code: Special Exception",$I735&lt;&gt;"",ISNA(MATCH($I735,Tables!$B$215:$B$218,0))),
Error!$B$17,
IF(AND($E735="Tier 1",$F735="Remove",$H735="Tree Protection Code: Other removal allowance or exemption",$I735&lt;&gt;"",ISNA(MATCH($I735,Tables!$B$215:$B$218,0))),
Error!$B$17,
IF(AND($E735="ECA / Shoreline Tree",$F735="Remove",$H735&lt;&gt;"",OR($H735="Shoreline",$H735="Environmental Critical Area (ECA)"),ISNA(MATCH($I735,Tables!$B$209:$B$212,0))),
Error!$B$17,
IF(AND(_xlpm.baseRow,$F735="Retain",$E735="ECA / Shoreline Tree",_xlpm.ECA_Short=0),
Error!$B$61,
IF(AND($F735="Remove",ISNUMBER(MATCH($E735,{"Tier 1","Tier 2","Tier 3","Tier 4","Tier 2 Grove"},0)),ISNUMBER(MATCH($I735,{"On-site replacement","Off-site replacement"},0)),$J735="",$H735&lt;&gt;""),
Error!$B$19,
IF(AND(_xlpm.baseRow,$E735&lt;&gt;"",$D735&lt;&gt;"",$F735&lt;&gt;"",COUNTBLANK($B735:$C735)&gt;0,COUNTBLANK(_xlpm.HRange)&lt;&gt;4),
Error!$B$22,
IF(AND($H735="Zoning: Tree Points",$K735&lt;&gt;"",ISNA(MATCH($K735,Tables!$B$242:$B$253,0))),
Error!$B$58,
IF(AND($H735="Zoning: Tree Points",$K735="Small",$L735&lt;&gt;"",ISNA(MATCH($L735,Tables!$C$243:$C$244,0))),
Error!$B$59,
IF(AND($H735="Zoning: Tree Points",$K735="Small/Medium",$L735&lt;&gt;"",ISNA(MATCH($L735,Tables!$C$246:$C$247,0))),
Error!$B$59,
IF(AND($H735="Zoning: Tree Points",$K735="Medium/Large",$L735&lt;&gt;"",ISNA(MATCH($L735,Tables!$C$249:$C$250,0))),
Error!$B$59,
IF(AND($H735="Zoning: Tree Points",$K735="Large",$L735&lt;&gt;"",ISNA(MATCH($L735,Tables!$C$252:$C$253,0))),
Error!$B$59,
IF(AND($F735="Retain",$H735="Zoning: Tree Points",$C735&lt;&gt;"",$D735&lt;&gt;"",OR($K735="",$L735="",$M735="")),
Error!$B$20,
""
)))))))))))))))))))))))))))))))))))))))))))))))))))))))),
Error!$B$23))</f>
        <v/>
      </c>
      <c r="O735" s="343" t="str" cm="1">
        <f t="array" aca="1" ref="O735" ca="1">IFERROR(_xlfn.LET(
    _xlpm.txt, $C735,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36" spans="1:15" x14ac:dyDescent="0.3">
      <c r="A736" s="320"/>
      <c r="B736" s="616" t="str">
        <f t="shared" ref="B736:B738" si="872">IF($B735="", "", $B735)</f>
        <v/>
      </c>
      <c r="C736" s="617" t="str">
        <f t="shared" ref="C736:C738" si="873">IF($C735="", "", $C735)</f>
        <v/>
      </c>
      <c r="D736" s="618" t="str">
        <f t="shared" ref="D736:D738" si="874">IF($D735="", "", $D735)</f>
        <v/>
      </c>
      <c r="E736" s="616" t="str">
        <f t="shared" ref="E736:E738" si="875">IF($E735="", "", $E735)</f>
        <v/>
      </c>
      <c r="F736" s="616" t="str">
        <f t="shared" ref="F736:F738" si="876">IF($F735="", "", $F735)</f>
        <v/>
      </c>
      <c r="G736" s="619" t="str">
        <f>IF(Tree_Table1[[#This Row],[Tree Status  &amp;]]="Retain", Tables!$B$237, IF(Tree_Table1[[#This Row],[Tree Status  &amp;]]="Remove", Tables!$B$238, ""))</f>
        <v/>
      </c>
      <c r="H736" s="321"/>
      <c r="I736" s="322"/>
      <c r="J736" s="453"/>
      <c r="K736" s="323" t="str">
        <f>IFERROR(
    IF(
        AND($H736="Zoning: Tree Points", NOT(ISNUMBER(SEARCH("sp.", $C736)))),
        VLOOKUP($C736, 'Tree List'!$C$3:$F$601, 4, FALSE),
        ""
    ),
"")</f>
        <v/>
      </c>
      <c r="L736" s="324" t="str" cm="1">
        <f t="array" ref="L736">IFERROR(
IF(
    AND($H736="Zoning: Tree Points", NOT(ISNUMBER(SEARCH("sp.", $C736)))),
    _xlfn.IFS(
        (COUNTIFS('Tree List'!$C$3:$C$601,$C736,'Tree List'!$D$3:$D$601,"Coniferous")
        + COUNTIFS('Tree List'!$C$3:$C$601,$C736,'Tree List'!$D$3:$D$601,"Deciduous Conifer")) &gt; 0,
            _xlfn.IFS($K736="Small",0.5,$K736="Small/Medium",1,$K736="Medium/Large",1.4,$K736="Large",1.8),
        (COUNTIFS('Tree List'!$C$3:$C$601,$C736,'Tree List'!$D$3:$D$601,"Deciduous")
        + COUNTIFS('Tree List'!$C$3:$C$601,$C736,'Tree List'!$D$3:$D$601,"Broadleaf Evergreen")) &gt; 0,
            _xlfn.IFS($K736="Small",0.4,$K736="Small/Medium",0.8,$K736="Medium/Large",1.2,$K736="Large",1.6)
    ),
    ""
),
"")</f>
        <v/>
      </c>
      <c r="M736" s="475" t="str">
        <f t="shared" si="816"/>
        <v/>
      </c>
      <c r="N736" s="346" t="str" cm="1">
        <f t="array" aca="1" ref="N73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IF(AND(_xlpm.baseRow,ISNA(MATCH($C736,'Tree List'!$C$3:$C$601,0)),SUMPRODUCT(--ISNUMBER(SEARCH(Tables2!$C$677:$C$772,$O736)))&gt;0),
Error!$B$57,
IF(AND(_xlpm.hasDM,$F736="Remove",$H736&lt;&gt;"",OR($I736="On-site replacement",$I736="Off-site replacement",$I736="Payment In Lieu")),
Error!$B$56,
IF(AND(_xlpm.hasDM,$F736="Remove",$H736&lt;&gt;"",$I736="Relocation"),
Error!$B$66,
IF(AND(OR(_xlpm.hasCN,_xlpm.hasPH,_xlpm.hasGR),$H736&lt;&gt;"",COUNTIF(Tables!$B$132:$B$134,$H736)&gt;0,$I736="N/A (No replacement required)"),
Error!$B$62,
IF(AND(_xlpm.baseRow,$E736&lt;&gt;"",ISNA(MATCH($E736,Tables!$B$225:$B$232,0))),
Error!$B$2,
IF(AND(_xlpm.baseRow,$F736&lt;&gt;"",ISNA(MATCH($F736,Tables!$B$234:$B$235,0))),
Error!$B$24,
IF(AND(_xlpm.baseRow,_xlpm.ECA_H&gt;0,_xlpm.Shore_H&gt;0),
Error!$B$16,
IF(AND(_xlpm.baseRow,$E736&lt;&gt;"",$D736=""),
Error!$B$3,
IF(AND(_xlpm.baseRow,OR($E736="Tier 3",$E736="Tier 4"),$C736&lt;&gt;"",$D736&gt;=24,COUNTIF(Tables2!$B$166:$B$674,$C736)&gt;0),
Error!$B$44,
IF(AND(_xlpm.baseRow,OR($E736="Tier 3",$E736="Tier 4"),$C736&lt;&gt;"",$D736&lt;&gt;"",COUNTIF(Tables2!$B$73:$B$152,$C736)&gt;0,
$D736&gt;=IFERROR(INDEX(Tables2!$C$73:$C$152,MATCH($C736,Tables2!$B$73:$B$152,0)),-1)),
Error!$B$44,
IF(AND(_xlpm.baseRow,OR($E736="Tier 2",$E736="Tier 2 Grove"),$C736&lt;&gt;"",$D736&gt;=12,COUNTIF(Tables2!$B$153:$B$162,$C736)&gt;0),
Error!$B$45,
IF(AND(_xlpm.baseRow,$E736="Tier 2 Grove",$D736&lt;12),
Error!$B$41,
IF(AND(_xlpm.baseRow,$E736="Tier 2",$D736&lt;5.88),
Error!$B$40,
IF(AND(_xlpm.baseRow,OR($E736="Tier 2",$E736="Tier 2 Grove"),$C736&lt;&gt;"",$D736&lt;12,$D736&gt;=6,COUNTIF(Tables2!$B$153:$B$162,$C736)&gt;0),
Error!$B$54,
IF(AND(_xlpm.baseRow,$E736="Tier 2",COUNTIF(Tables2!$B$166:$B$674,$C736)&gt;0,$D736&lt;24),
Error!$B$54,
IF(AND(_xlpm.baseRow,$E736="Tier 3",ISNA(MATCH($C736,Tables2!$B$153:$B$162,0)),OR($D736&lt;12,$D736&gt;=24)),
Error!$B$9,
IF(AND(_xlpm.baseRow,$E736="Tier 3",COUNTIF(Tables2!$B$153:$B$162,$C736)&gt;0,$D736&lt;12),
Error!$B$46,
IF(AND(_xlpm.baseRow,$E736="Tier 4",OR($D736&lt;6,$D736&gt;=12)),
Error!$B$10,
IF(AND(_xlpm.baseRow,$E736="&lt;6in DSH for Tree Points",OR($D736&gt;=6,$D736="")),
Error!$B$8,
IF(AND(_xlpm.baseRow,$E736="Street Tree for Green Factor",$F736&lt;&gt;"",$F736&lt;&gt;"Retain"),
Error!$B$14,
IF(AND($E736="&lt;6in DSH for Tree Points",$F736="Retain",$H736&lt;&gt;"",ISNA(MATCH($H736,Tables!$B$174:$B$174,0))),
Error!$B$15,
IF(AND($E736="Street Tree for Green Factor",$F736="Retain",$H736&lt;&gt;"",$H736&lt;&gt;"Zoning: Green Factor"),
Error!$B$15,
IF(AND($E736="ECA / Shoreline Tree",$F736="Remove",$H736&lt;&gt;"",ISNA(MATCH($H736,Tables!$B$189:$B$190,0))),
Error!$B$15,
IF(AND($E736="ECA / Shoreline Tree",$F736="Retain",$H736&lt;&gt;"",ISNA(MATCH($H736,Tables!$B$184:$B$186,0))),
Error!$B$15,
IF(AND($E736="Tier 4",$F736="Remove",$H736&lt;&gt;"",ISNA(MATCH($H736,Tables!$B$171,0))),
Error!$B$15,
IF(AND($E736="Tier 4",$F736="Retain",$H736&lt;&gt;"",ISNA(MATCH($H736,Tables!$B$166:$B$168,0))),
Error!$B$15,
IF(AND($E736="Tier 3",$F736="Retain",$H736&lt;&gt;"",ISNA(MATCH($H736,Tables!$B$158:$B$160,0))),
Error!$B$15,
IF(AND($E736="Tier 3",$F736="Remove",$H736&lt;&gt;"",ISNA(MATCH($H736,Tables!$B$163,0))),
Error!$B$15,
IF(AND(OR($E736="Tier 2",$E736="Tier 2 Grove"),$F736="Remove",$H736&lt;&gt;"",ISNA(MATCH($H736,Tables!$B$153:$B$155,0))),
Error!$B$15,
IF(AND(OR($E736="Tier 2",$E736="Tier 2 Grove"),$F736="Retain",$H736&lt;&gt;"",ISNA(MATCH($H736,Tables!$B$147:$B$150,0))),
Error!$B$15,
IF(AND($E736="Tier 1",$F736="Remove",$H736&lt;&gt;"",ISNA(MATCH($H736,Tables!$B$143:$B$144,0))),
Error!$B$15,
IF(AND($E736="Tier 1",$F736="Retain",$H736&lt;&gt;"",ISNA(MATCH($H736,Tables!$B$137:$B$140,0))),
Error!$B$15,
IF(AND($E736&lt;&gt;"Tier 2",$E736&lt;&gt;"Tier 2 Grove",$E736&lt;&gt;"Tier 3",$E736&lt;&gt;"Tier 4",$H736="Zoning: Green Factor",OR($D736="",$D736&lt;6)),
Error!$B$11,
IF(AND(_xlpm.baseRow,$D736&lt;6,$E736="&lt;6in DSH for Tree Points",_xlpm.TreePoints_H=0),
Error!$B$21,
IF(AND(_xlpm.baseRow,$E736&lt;&gt;"",$D736&lt;&gt;"",$F736=""),
Error!$B$4,
IF(AND(_xlpm.baseRow,$F736="Remove",OR($E736="Tier 1",$E736="Tier 2",$E736="Tier 2 Grove"),COUNTBLANK(_xlpm.HRange)&lt;3,_xlpm.uniqueH&gt;=2),
Error!$B$48,
IF(AND(_xlpm.baseRow,$F736="Retain",OR($E736="Tier 1",$E736="Tier 2",$E736="Tier 2 Grove"),COUNTIF(_xlpm.HRange,"Tree Code: Required to Retain Tier 1-2 Tree")=0),
Error!$B$47,
IF(AND(_xlpm.baseRow,$E736&lt;&gt;"",$D736&lt;&gt;"",$F736&lt;&gt;"",COUNTBLANK(_xlpm.HRange)=4),
Error!$B$5,
IF(AND($F736="Remove",$H736&lt;&gt;"",$I736=""),
Error!$B$18,
IF(AND($E736="Tier 4",$F736="Remove",$H736="Tree Protection Code: Tier 3 or Tier 4 Allowance",$H736&lt;&gt;"",ISNA(MATCH($I736,Tables!$B$200,0))),
Error!$B$17,
IF(AND($E736="Tier 3",$F736="Remove",$H736&lt;&gt;"",$H736="Tree Protection Code: Tier 3 or Tier 4 Allowance",OR($I736="",ISNA(MATCH($I736,Tables!$B$193:$B$197,0)))),
Error!$B$17,
IF(AND(OR($E736="Tier 2",$E736="Tier 2 Grove"),$F736="Remove",$H736="Tree Protection Code: Other removal allowance or exemption",$I736&lt;&gt;"",ISNA(MATCH($I736,Tables!$B$215:$B$218,0))),
Error!$B$17,
IF(AND(OR($E736="Tier 2",$E736="Tier 2 Grove"),$F736="Remove",$H736="Tree Protection Code: Development Capacity",$I736&lt;&gt;"",ISNA(MATCH($I736,Tables!$B$193:$B$197,0))),
Error!$B$17,
IF(AND(OR($E736="Tier 2",$E736="Tier 2 Grove"),$F736="Remove",$H736="Tree Protection Code: Necessary for Construction",$I736&lt;&gt;"",ISNA(MATCH($I736,Tables!$B$193:$B$197,0))),
Error!$B$17,
IF(AND($E736="Tier 1",$F736="Remove",$H736="Tree Protection Code: Special Exception",$I736&lt;&gt;"",ISNA(MATCH($I736,Tables!$B$215:$B$218,0))),
Error!$B$17,
IF(AND($E736="Tier 1",$F736="Remove",$H736="Tree Protection Code: Other removal allowance or exemption",$I736&lt;&gt;"",ISNA(MATCH($I736,Tables!$B$215:$B$218,0))),
Error!$B$17,
IF(AND($E736="ECA / Shoreline Tree",$F736="Remove",$H736&lt;&gt;"",OR($H736="Shoreline",$H736="Environmental Critical Area (ECA)"),ISNA(MATCH($I736,Tables!$B$209:$B$212,0))),
Error!$B$17,
IF(AND(_xlpm.baseRow,$F736="Retain",$E736="ECA / Shoreline Tree",_xlpm.ECA_Short=0),
Error!$B$61,
IF(AND($F736="Remove",ISNUMBER(MATCH($E736,{"Tier 1","Tier 2","Tier 3","Tier 4","Tier 2 Grove"},0)),ISNUMBER(MATCH($I736,{"On-site replacement","Off-site replacement"},0)),$J736="",$H736&lt;&gt;""),
Error!$B$19,
IF(AND(_xlpm.baseRow,$E736&lt;&gt;"",$D736&lt;&gt;"",$F736&lt;&gt;"",COUNTBLANK($B736:$C736)&gt;0,COUNTBLANK(_xlpm.HRange)&lt;&gt;4),
Error!$B$22,
IF(AND($H736="Zoning: Tree Points",$K736&lt;&gt;"",ISNA(MATCH($K736,Tables!$B$242:$B$253,0))),
Error!$B$58,
IF(AND($H736="Zoning: Tree Points",$K736="Small",$L736&lt;&gt;"",ISNA(MATCH($L736,Tables!$C$243:$C$244,0))),
Error!$B$59,
IF(AND($H736="Zoning: Tree Points",$K736="Small/Medium",$L736&lt;&gt;"",ISNA(MATCH($L736,Tables!$C$246:$C$247,0))),
Error!$B$59,
IF(AND($H736="Zoning: Tree Points",$K736="Medium/Large",$L736&lt;&gt;"",ISNA(MATCH($L736,Tables!$C$249:$C$250,0))),
Error!$B$59,
IF(AND($H736="Zoning: Tree Points",$K736="Large",$L736&lt;&gt;"",ISNA(MATCH($L736,Tables!$C$252:$C$253,0))),
Error!$B$59,
IF(AND($F736="Retain",$H736="Zoning: Tree Points",$C736&lt;&gt;"",$D736&lt;&gt;"",OR($K736="",$L736="",$M736="")),
Error!$B$20,
""
)))))))))))))))))))))))))))))))))))))))))))))))))))))))),
Error!$B$23))</f>
        <v/>
      </c>
      <c r="O736" s="343" t="str" cm="1">
        <f t="array" aca="1" ref="O736" ca="1">IFERROR(_xlfn.LET(
    _xlpm.txt, $C736,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37" spans="1:15" x14ac:dyDescent="0.3">
      <c r="A737" s="320"/>
      <c r="B737" s="616" t="str">
        <f t="shared" si="872"/>
        <v/>
      </c>
      <c r="C737" s="617" t="str">
        <f t="shared" si="873"/>
        <v/>
      </c>
      <c r="D737" s="618" t="str">
        <f t="shared" si="874"/>
        <v/>
      </c>
      <c r="E737" s="616" t="str">
        <f t="shared" si="875"/>
        <v/>
      </c>
      <c r="F737" s="616" t="str">
        <f t="shared" si="876"/>
        <v/>
      </c>
      <c r="G737" s="619" t="str">
        <f>IF(Tree_Table1[[#This Row],[Tree Status  &amp;]]="Retain", Tables!$B$237, IF(Tree_Table1[[#This Row],[Tree Status  &amp;]]="Remove", Tables!$B$238, ""))</f>
        <v/>
      </c>
      <c r="H737" s="321"/>
      <c r="I737" s="322"/>
      <c r="J737" s="453"/>
      <c r="K737" s="323" t="str">
        <f>IFERROR(
    IF(
        AND($H737="Zoning: Tree Points", NOT(ISNUMBER(SEARCH("sp.", $C737)))),
        VLOOKUP($C737, 'Tree List'!$C$3:$F$601, 4, FALSE),
        ""
    ),
"")</f>
        <v/>
      </c>
      <c r="L737" s="324" t="str" cm="1">
        <f t="array" ref="L737">IFERROR(
IF(
    AND($H737="Zoning: Tree Points", NOT(ISNUMBER(SEARCH("sp.", $C737)))),
    _xlfn.IFS(
        (COUNTIFS('Tree List'!$C$3:$C$601,$C737,'Tree List'!$D$3:$D$601,"Coniferous")
        + COUNTIFS('Tree List'!$C$3:$C$601,$C737,'Tree List'!$D$3:$D$601,"Deciduous Conifer")) &gt; 0,
            _xlfn.IFS($K737="Small",0.5,$K737="Small/Medium",1,$K737="Medium/Large",1.4,$K737="Large",1.8),
        (COUNTIFS('Tree List'!$C$3:$C$601,$C737,'Tree List'!$D$3:$D$601,"Deciduous")
        + COUNTIFS('Tree List'!$C$3:$C$601,$C737,'Tree List'!$D$3:$D$601,"Broadleaf Evergreen")) &gt; 0,
            _xlfn.IFS($K737="Small",0.4,$K737="Small/Medium",0.8,$K737="Medium/Large",1.2,$K737="Large",1.6)
    ),
    ""
),
"")</f>
        <v/>
      </c>
      <c r="M737" s="475" t="str">
        <f t="shared" si="816"/>
        <v/>
      </c>
      <c r="N737" s="346" t="str" cm="1">
        <f t="array" aca="1" ref="N73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IF(AND(_xlpm.baseRow,ISNA(MATCH($C737,'Tree List'!$C$3:$C$601,0)),SUMPRODUCT(--ISNUMBER(SEARCH(Tables2!$C$677:$C$772,$O737)))&gt;0),
Error!$B$57,
IF(AND(_xlpm.hasDM,$F737="Remove",$H737&lt;&gt;"",OR($I737="On-site replacement",$I737="Off-site replacement",$I737="Payment In Lieu")),
Error!$B$56,
IF(AND(_xlpm.hasDM,$F737="Remove",$H737&lt;&gt;"",$I737="Relocation"),
Error!$B$66,
IF(AND(OR(_xlpm.hasCN,_xlpm.hasPH,_xlpm.hasGR),$H737&lt;&gt;"",COUNTIF(Tables!$B$132:$B$134,$H737)&gt;0,$I737="N/A (No replacement required)"),
Error!$B$62,
IF(AND(_xlpm.baseRow,$E737&lt;&gt;"",ISNA(MATCH($E737,Tables!$B$225:$B$232,0))),
Error!$B$2,
IF(AND(_xlpm.baseRow,$F737&lt;&gt;"",ISNA(MATCH($F737,Tables!$B$234:$B$235,0))),
Error!$B$24,
IF(AND(_xlpm.baseRow,_xlpm.ECA_H&gt;0,_xlpm.Shore_H&gt;0),
Error!$B$16,
IF(AND(_xlpm.baseRow,$E737&lt;&gt;"",$D737=""),
Error!$B$3,
IF(AND(_xlpm.baseRow,OR($E737="Tier 3",$E737="Tier 4"),$C737&lt;&gt;"",$D737&gt;=24,COUNTIF(Tables2!$B$166:$B$674,$C737)&gt;0),
Error!$B$44,
IF(AND(_xlpm.baseRow,OR($E737="Tier 3",$E737="Tier 4"),$C737&lt;&gt;"",$D737&lt;&gt;"",COUNTIF(Tables2!$B$73:$B$152,$C737)&gt;0,
$D737&gt;=IFERROR(INDEX(Tables2!$C$73:$C$152,MATCH($C737,Tables2!$B$73:$B$152,0)),-1)),
Error!$B$44,
IF(AND(_xlpm.baseRow,OR($E737="Tier 2",$E737="Tier 2 Grove"),$C737&lt;&gt;"",$D737&gt;=12,COUNTIF(Tables2!$B$153:$B$162,$C737)&gt;0),
Error!$B$45,
IF(AND(_xlpm.baseRow,$E737="Tier 2 Grove",$D737&lt;12),
Error!$B$41,
IF(AND(_xlpm.baseRow,$E737="Tier 2",$D737&lt;5.88),
Error!$B$40,
IF(AND(_xlpm.baseRow,OR($E737="Tier 2",$E737="Tier 2 Grove"),$C737&lt;&gt;"",$D737&lt;12,$D737&gt;=6,COUNTIF(Tables2!$B$153:$B$162,$C737)&gt;0),
Error!$B$54,
IF(AND(_xlpm.baseRow,$E737="Tier 2",COUNTIF(Tables2!$B$166:$B$674,$C737)&gt;0,$D737&lt;24),
Error!$B$54,
IF(AND(_xlpm.baseRow,$E737="Tier 3",ISNA(MATCH($C737,Tables2!$B$153:$B$162,0)),OR($D737&lt;12,$D737&gt;=24)),
Error!$B$9,
IF(AND(_xlpm.baseRow,$E737="Tier 3",COUNTIF(Tables2!$B$153:$B$162,$C737)&gt;0,$D737&lt;12),
Error!$B$46,
IF(AND(_xlpm.baseRow,$E737="Tier 4",OR($D737&lt;6,$D737&gt;=12)),
Error!$B$10,
IF(AND(_xlpm.baseRow,$E737="&lt;6in DSH for Tree Points",OR($D737&gt;=6,$D737="")),
Error!$B$8,
IF(AND(_xlpm.baseRow,$E737="Street Tree for Green Factor",$F737&lt;&gt;"",$F737&lt;&gt;"Retain"),
Error!$B$14,
IF(AND($E737="&lt;6in DSH for Tree Points",$F737="Retain",$H737&lt;&gt;"",ISNA(MATCH($H737,Tables!$B$174:$B$174,0))),
Error!$B$15,
IF(AND($E737="Street Tree for Green Factor",$F737="Retain",$H737&lt;&gt;"",$H737&lt;&gt;"Zoning: Green Factor"),
Error!$B$15,
IF(AND($E737="ECA / Shoreline Tree",$F737="Remove",$H737&lt;&gt;"",ISNA(MATCH($H737,Tables!$B$189:$B$190,0))),
Error!$B$15,
IF(AND($E737="ECA / Shoreline Tree",$F737="Retain",$H737&lt;&gt;"",ISNA(MATCH($H737,Tables!$B$184:$B$186,0))),
Error!$B$15,
IF(AND($E737="Tier 4",$F737="Remove",$H737&lt;&gt;"",ISNA(MATCH($H737,Tables!$B$171,0))),
Error!$B$15,
IF(AND($E737="Tier 4",$F737="Retain",$H737&lt;&gt;"",ISNA(MATCH($H737,Tables!$B$166:$B$168,0))),
Error!$B$15,
IF(AND($E737="Tier 3",$F737="Retain",$H737&lt;&gt;"",ISNA(MATCH($H737,Tables!$B$158:$B$160,0))),
Error!$B$15,
IF(AND($E737="Tier 3",$F737="Remove",$H737&lt;&gt;"",ISNA(MATCH($H737,Tables!$B$163,0))),
Error!$B$15,
IF(AND(OR($E737="Tier 2",$E737="Tier 2 Grove"),$F737="Remove",$H737&lt;&gt;"",ISNA(MATCH($H737,Tables!$B$153:$B$155,0))),
Error!$B$15,
IF(AND(OR($E737="Tier 2",$E737="Tier 2 Grove"),$F737="Retain",$H737&lt;&gt;"",ISNA(MATCH($H737,Tables!$B$147:$B$150,0))),
Error!$B$15,
IF(AND($E737="Tier 1",$F737="Remove",$H737&lt;&gt;"",ISNA(MATCH($H737,Tables!$B$143:$B$144,0))),
Error!$B$15,
IF(AND($E737="Tier 1",$F737="Retain",$H737&lt;&gt;"",ISNA(MATCH($H737,Tables!$B$137:$B$140,0))),
Error!$B$15,
IF(AND($E737&lt;&gt;"Tier 2",$E737&lt;&gt;"Tier 2 Grove",$E737&lt;&gt;"Tier 3",$E737&lt;&gt;"Tier 4",$H737="Zoning: Green Factor",OR($D737="",$D737&lt;6)),
Error!$B$11,
IF(AND(_xlpm.baseRow,$D737&lt;6,$E737="&lt;6in DSH for Tree Points",_xlpm.TreePoints_H=0),
Error!$B$21,
IF(AND(_xlpm.baseRow,$E737&lt;&gt;"",$D737&lt;&gt;"",$F737=""),
Error!$B$4,
IF(AND(_xlpm.baseRow,$F737="Remove",OR($E737="Tier 1",$E737="Tier 2",$E737="Tier 2 Grove"),COUNTBLANK(_xlpm.HRange)&lt;3,_xlpm.uniqueH&gt;=2),
Error!$B$48,
IF(AND(_xlpm.baseRow,$F737="Retain",OR($E737="Tier 1",$E737="Tier 2",$E737="Tier 2 Grove"),COUNTIF(_xlpm.HRange,"Tree Code: Required to Retain Tier 1-2 Tree")=0),
Error!$B$47,
IF(AND(_xlpm.baseRow,$E737&lt;&gt;"",$D737&lt;&gt;"",$F737&lt;&gt;"",COUNTBLANK(_xlpm.HRange)=4),
Error!$B$5,
IF(AND($F737="Remove",$H737&lt;&gt;"",$I737=""),
Error!$B$18,
IF(AND($E737="Tier 4",$F737="Remove",$H737="Tree Protection Code: Tier 3 or Tier 4 Allowance",$H737&lt;&gt;"",ISNA(MATCH($I737,Tables!$B$200,0))),
Error!$B$17,
IF(AND($E737="Tier 3",$F737="Remove",$H737&lt;&gt;"",$H737="Tree Protection Code: Tier 3 or Tier 4 Allowance",OR($I737="",ISNA(MATCH($I737,Tables!$B$193:$B$197,0)))),
Error!$B$17,
IF(AND(OR($E737="Tier 2",$E737="Tier 2 Grove"),$F737="Remove",$H737="Tree Protection Code: Other removal allowance or exemption",$I737&lt;&gt;"",ISNA(MATCH($I737,Tables!$B$215:$B$218,0))),
Error!$B$17,
IF(AND(OR($E737="Tier 2",$E737="Tier 2 Grove"),$F737="Remove",$H737="Tree Protection Code: Development Capacity",$I737&lt;&gt;"",ISNA(MATCH($I737,Tables!$B$193:$B$197,0))),
Error!$B$17,
IF(AND(OR($E737="Tier 2",$E737="Tier 2 Grove"),$F737="Remove",$H737="Tree Protection Code: Necessary for Construction",$I737&lt;&gt;"",ISNA(MATCH($I737,Tables!$B$193:$B$197,0))),
Error!$B$17,
IF(AND($E737="Tier 1",$F737="Remove",$H737="Tree Protection Code: Special Exception",$I737&lt;&gt;"",ISNA(MATCH($I737,Tables!$B$215:$B$218,0))),
Error!$B$17,
IF(AND($E737="Tier 1",$F737="Remove",$H737="Tree Protection Code: Other removal allowance or exemption",$I737&lt;&gt;"",ISNA(MATCH($I737,Tables!$B$215:$B$218,0))),
Error!$B$17,
IF(AND($E737="ECA / Shoreline Tree",$F737="Remove",$H737&lt;&gt;"",OR($H737="Shoreline",$H737="Environmental Critical Area (ECA)"),ISNA(MATCH($I737,Tables!$B$209:$B$212,0))),
Error!$B$17,
IF(AND(_xlpm.baseRow,$F737="Retain",$E737="ECA / Shoreline Tree",_xlpm.ECA_Short=0),
Error!$B$61,
IF(AND($F737="Remove",ISNUMBER(MATCH($E737,{"Tier 1","Tier 2","Tier 3","Tier 4","Tier 2 Grove"},0)),ISNUMBER(MATCH($I737,{"On-site replacement","Off-site replacement"},0)),$J737="",$H737&lt;&gt;""),
Error!$B$19,
IF(AND(_xlpm.baseRow,$E737&lt;&gt;"",$D737&lt;&gt;"",$F737&lt;&gt;"",COUNTBLANK($B737:$C737)&gt;0,COUNTBLANK(_xlpm.HRange)&lt;&gt;4),
Error!$B$22,
IF(AND($H737="Zoning: Tree Points",$K737&lt;&gt;"",ISNA(MATCH($K737,Tables!$B$242:$B$253,0))),
Error!$B$58,
IF(AND($H737="Zoning: Tree Points",$K737="Small",$L737&lt;&gt;"",ISNA(MATCH($L737,Tables!$C$243:$C$244,0))),
Error!$B$59,
IF(AND($H737="Zoning: Tree Points",$K737="Small/Medium",$L737&lt;&gt;"",ISNA(MATCH($L737,Tables!$C$246:$C$247,0))),
Error!$B$59,
IF(AND($H737="Zoning: Tree Points",$K737="Medium/Large",$L737&lt;&gt;"",ISNA(MATCH($L737,Tables!$C$249:$C$250,0))),
Error!$B$59,
IF(AND($H737="Zoning: Tree Points",$K737="Large",$L737&lt;&gt;"",ISNA(MATCH($L737,Tables!$C$252:$C$253,0))),
Error!$B$59,
IF(AND($F737="Retain",$H737="Zoning: Tree Points",$C737&lt;&gt;"",$D737&lt;&gt;"",OR($K737="",$L737="",$M737="")),
Error!$B$20,
""
)))))))))))))))))))))))))))))))))))))))))))))))))))))))),
Error!$B$23))</f>
        <v/>
      </c>
      <c r="O737" s="343" t="str" cm="1">
        <f t="array" aca="1" ref="O737" ca="1">IFERROR(_xlfn.LET(
    _xlpm.txt, $C737,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38" spans="1:15" ht="15" thickBot="1" x14ac:dyDescent="0.35">
      <c r="A738" s="331"/>
      <c r="B738" s="616" t="str">
        <f t="shared" si="872"/>
        <v/>
      </c>
      <c r="C738" s="617" t="str">
        <f t="shared" si="873"/>
        <v/>
      </c>
      <c r="D738" s="618" t="str">
        <f t="shared" si="874"/>
        <v/>
      </c>
      <c r="E738" s="616" t="str">
        <f t="shared" si="875"/>
        <v/>
      </c>
      <c r="F738" s="616" t="str">
        <f t="shared" si="876"/>
        <v/>
      </c>
      <c r="G738" s="619" t="str">
        <f>IF(Tree_Table1[[#This Row],[Tree Status  &amp;]]="Retain", Tables!$B$237, IF(Tree_Table1[[#This Row],[Tree Status  &amp;]]="Remove", Tables!$B$238, ""))</f>
        <v/>
      </c>
      <c r="H738" s="329"/>
      <c r="I738" s="330"/>
      <c r="J738" s="455"/>
      <c r="K738" s="327" t="str">
        <f>IFERROR(
    IF(
        AND($H738="Zoning: Tree Points", NOT(ISNUMBER(SEARCH("sp.", $C738)))),
        VLOOKUP($C738, 'Tree List'!$C$3:$F$601, 4, FALSE),
        ""
    ),
"")</f>
        <v/>
      </c>
      <c r="L738" s="328" t="str" cm="1">
        <f t="array" ref="L738">IFERROR(
IF(
    AND($H738="Zoning: Tree Points", NOT(ISNUMBER(SEARCH("sp.", $C738)))),
    _xlfn.IFS(
        (COUNTIFS('Tree List'!$C$3:$C$601,$C738,'Tree List'!$D$3:$D$601,"Coniferous")
        + COUNTIFS('Tree List'!$C$3:$C$601,$C738,'Tree List'!$D$3:$D$601,"Deciduous Conifer")) &gt; 0,
            _xlfn.IFS($K738="Small",0.5,$K738="Small/Medium",1,$K738="Medium/Large",1.4,$K738="Large",1.8),
        (COUNTIFS('Tree List'!$C$3:$C$601,$C738,'Tree List'!$D$3:$D$601,"Deciduous")
        + COUNTIFS('Tree List'!$C$3:$C$601,$C738,'Tree List'!$D$3:$D$601,"Broadleaf Evergreen")) &gt; 0,
            _xlfn.IFS($K738="Small",0.4,$K738="Small/Medium",0.8,$K738="Medium/Large",1.2,$K738="Large",1.6)
    ),
    ""
),
"")</f>
        <v/>
      </c>
      <c r="M738" s="476" t="str">
        <f t="shared" si="816"/>
        <v/>
      </c>
      <c r="N738" s="347" t="str" cm="1">
        <f t="array" aca="1" ref="N73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IF(AND(_xlpm.baseRow,ISNA(MATCH($C738,'Tree List'!$C$3:$C$601,0)),SUMPRODUCT(--ISNUMBER(SEARCH(Tables2!$C$677:$C$772,$O738)))&gt;0),
Error!$B$57,
IF(AND(_xlpm.hasDM,$F738="Remove",$H738&lt;&gt;"",OR($I738="On-site replacement",$I738="Off-site replacement",$I738="Payment In Lieu")),
Error!$B$56,
IF(AND(_xlpm.hasDM,$F738="Remove",$H738&lt;&gt;"",$I738="Relocation"),
Error!$B$66,
IF(AND(OR(_xlpm.hasCN,_xlpm.hasPH,_xlpm.hasGR),$H738&lt;&gt;"",COUNTIF(Tables!$B$132:$B$134,$H738)&gt;0,$I738="N/A (No replacement required)"),
Error!$B$62,
IF(AND(_xlpm.baseRow,$E738&lt;&gt;"",ISNA(MATCH($E738,Tables!$B$225:$B$232,0))),
Error!$B$2,
IF(AND(_xlpm.baseRow,$F738&lt;&gt;"",ISNA(MATCH($F738,Tables!$B$234:$B$235,0))),
Error!$B$24,
IF(AND(_xlpm.baseRow,_xlpm.ECA_H&gt;0,_xlpm.Shore_H&gt;0),
Error!$B$16,
IF(AND(_xlpm.baseRow,$E738&lt;&gt;"",$D738=""),
Error!$B$3,
IF(AND(_xlpm.baseRow,OR($E738="Tier 3",$E738="Tier 4"),$C738&lt;&gt;"",$D738&gt;=24,COUNTIF(Tables2!$B$166:$B$674,$C738)&gt;0),
Error!$B$44,
IF(AND(_xlpm.baseRow,OR($E738="Tier 3",$E738="Tier 4"),$C738&lt;&gt;"",$D738&lt;&gt;"",COUNTIF(Tables2!$B$73:$B$152,$C738)&gt;0,
$D738&gt;=IFERROR(INDEX(Tables2!$C$73:$C$152,MATCH($C738,Tables2!$B$73:$B$152,0)),-1)),
Error!$B$44,
IF(AND(_xlpm.baseRow,OR($E738="Tier 2",$E738="Tier 2 Grove"),$C738&lt;&gt;"",$D738&gt;=12,COUNTIF(Tables2!$B$153:$B$162,$C738)&gt;0),
Error!$B$45,
IF(AND(_xlpm.baseRow,$E738="Tier 2 Grove",$D738&lt;12),
Error!$B$41,
IF(AND(_xlpm.baseRow,$E738="Tier 2",$D738&lt;5.88),
Error!$B$40,
IF(AND(_xlpm.baseRow,OR($E738="Tier 2",$E738="Tier 2 Grove"),$C738&lt;&gt;"",$D738&lt;12,$D738&gt;=6,COUNTIF(Tables2!$B$153:$B$162,$C738)&gt;0),
Error!$B$54,
IF(AND(_xlpm.baseRow,$E738="Tier 2",COUNTIF(Tables2!$B$166:$B$674,$C738)&gt;0,$D738&lt;24),
Error!$B$54,
IF(AND(_xlpm.baseRow,$E738="Tier 3",ISNA(MATCH($C738,Tables2!$B$153:$B$162,0)),OR($D738&lt;12,$D738&gt;=24)),
Error!$B$9,
IF(AND(_xlpm.baseRow,$E738="Tier 3",COUNTIF(Tables2!$B$153:$B$162,$C738)&gt;0,$D738&lt;12),
Error!$B$46,
IF(AND(_xlpm.baseRow,$E738="Tier 4",OR($D738&lt;6,$D738&gt;=12)),
Error!$B$10,
IF(AND(_xlpm.baseRow,$E738="&lt;6in DSH for Tree Points",OR($D738&gt;=6,$D738="")),
Error!$B$8,
IF(AND(_xlpm.baseRow,$E738="Street Tree for Green Factor",$F738&lt;&gt;"",$F738&lt;&gt;"Retain"),
Error!$B$14,
IF(AND($E738="&lt;6in DSH for Tree Points",$F738="Retain",$H738&lt;&gt;"",ISNA(MATCH($H738,Tables!$B$174:$B$174,0))),
Error!$B$15,
IF(AND($E738="Street Tree for Green Factor",$F738="Retain",$H738&lt;&gt;"",$H738&lt;&gt;"Zoning: Green Factor"),
Error!$B$15,
IF(AND($E738="ECA / Shoreline Tree",$F738="Remove",$H738&lt;&gt;"",ISNA(MATCH($H738,Tables!$B$189:$B$190,0))),
Error!$B$15,
IF(AND($E738="ECA / Shoreline Tree",$F738="Retain",$H738&lt;&gt;"",ISNA(MATCH($H738,Tables!$B$184:$B$186,0))),
Error!$B$15,
IF(AND($E738="Tier 4",$F738="Remove",$H738&lt;&gt;"",ISNA(MATCH($H738,Tables!$B$171,0))),
Error!$B$15,
IF(AND($E738="Tier 4",$F738="Retain",$H738&lt;&gt;"",ISNA(MATCH($H738,Tables!$B$166:$B$168,0))),
Error!$B$15,
IF(AND($E738="Tier 3",$F738="Retain",$H738&lt;&gt;"",ISNA(MATCH($H738,Tables!$B$158:$B$160,0))),
Error!$B$15,
IF(AND($E738="Tier 3",$F738="Remove",$H738&lt;&gt;"",ISNA(MATCH($H738,Tables!$B$163,0))),
Error!$B$15,
IF(AND(OR($E738="Tier 2",$E738="Tier 2 Grove"),$F738="Remove",$H738&lt;&gt;"",ISNA(MATCH($H738,Tables!$B$153:$B$155,0))),
Error!$B$15,
IF(AND(OR($E738="Tier 2",$E738="Tier 2 Grove"),$F738="Retain",$H738&lt;&gt;"",ISNA(MATCH($H738,Tables!$B$147:$B$150,0))),
Error!$B$15,
IF(AND($E738="Tier 1",$F738="Remove",$H738&lt;&gt;"",ISNA(MATCH($H738,Tables!$B$143:$B$144,0))),
Error!$B$15,
IF(AND($E738="Tier 1",$F738="Retain",$H738&lt;&gt;"",ISNA(MATCH($H738,Tables!$B$137:$B$140,0))),
Error!$B$15,
IF(AND($E738&lt;&gt;"Tier 2",$E738&lt;&gt;"Tier 2 Grove",$E738&lt;&gt;"Tier 3",$E738&lt;&gt;"Tier 4",$H738="Zoning: Green Factor",OR($D738="",$D738&lt;6)),
Error!$B$11,
IF(AND(_xlpm.baseRow,$D738&lt;6,$E738="&lt;6in DSH for Tree Points",_xlpm.TreePoints_H=0),
Error!$B$21,
IF(AND(_xlpm.baseRow,$E738&lt;&gt;"",$D738&lt;&gt;"",$F738=""),
Error!$B$4,
IF(AND(_xlpm.baseRow,$F738="Remove",OR($E738="Tier 1",$E738="Tier 2",$E738="Tier 2 Grove"),COUNTBLANK(_xlpm.HRange)&lt;3,_xlpm.uniqueH&gt;=2),
Error!$B$48,
IF(AND(_xlpm.baseRow,$F738="Retain",OR($E738="Tier 1",$E738="Tier 2",$E738="Tier 2 Grove"),COUNTIF(_xlpm.HRange,"Tree Code: Required to Retain Tier 1-2 Tree")=0),
Error!$B$47,
IF(AND(_xlpm.baseRow,$E738&lt;&gt;"",$D738&lt;&gt;"",$F738&lt;&gt;"",COUNTBLANK(_xlpm.HRange)=4),
Error!$B$5,
IF(AND($F738="Remove",$H738&lt;&gt;"",$I738=""),
Error!$B$18,
IF(AND($E738="Tier 4",$F738="Remove",$H738="Tree Protection Code: Tier 3 or Tier 4 Allowance",$H738&lt;&gt;"",ISNA(MATCH($I738,Tables!$B$200,0))),
Error!$B$17,
IF(AND($E738="Tier 3",$F738="Remove",$H738&lt;&gt;"",$H738="Tree Protection Code: Tier 3 or Tier 4 Allowance",OR($I738="",ISNA(MATCH($I738,Tables!$B$193:$B$197,0)))),
Error!$B$17,
IF(AND(OR($E738="Tier 2",$E738="Tier 2 Grove"),$F738="Remove",$H738="Tree Protection Code: Other removal allowance or exemption",$I738&lt;&gt;"",ISNA(MATCH($I738,Tables!$B$215:$B$218,0))),
Error!$B$17,
IF(AND(OR($E738="Tier 2",$E738="Tier 2 Grove"),$F738="Remove",$H738="Tree Protection Code: Development Capacity",$I738&lt;&gt;"",ISNA(MATCH($I738,Tables!$B$193:$B$197,0))),
Error!$B$17,
IF(AND(OR($E738="Tier 2",$E738="Tier 2 Grove"),$F738="Remove",$H738="Tree Protection Code: Necessary for Construction",$I738&lt;&gt;"",ISNA(MATCH($I738,Tables!$B$193:$B$197,0))),
Error!$B$17,
IF(AND($E738="Tier 1",$F738="Remove",$H738="Tree Protection Code: Special Exception",$I738&lt;&gt;"",ISNA(MATCH($I738,Tables!$B$215:$B$218,0))),
Error!$B$17,
IF(AND($E738="Tier 1",$F738="Remove",$H738="Tree Protection Code: Other removal allowance or exemption",$I738&lt;&gt;"",ISNA(MATCH($I738,Tables!$B$215:$B$218,0))),
Error!$B$17,
IF(AND($E738="ECA / Shoreline Tree",$F738="Remove",$H738&lt;&gt;"",OR($H738="Shoreline",$H738="Environmental Critical Area (ECA)"),ISNA(MATCH($I738,Tables!$B$209:$B$212,0))),
Error!$B$17,
IF(AND(_xlpm.baseRow,$F738="Retain",$E738="ECA / Shoreline Tree",_xlpm.ECA_Short=0),
Error!$B$61,
IF(AND($F738="Remove",ISNUMBER(MATCH($E738,{"Tier 1","Tier 2","Tier 3","Tier 4","Tier 2 Grove"},0)),ISNUMBER(MATCH($I738,{"On-site replacement","Off-site replacement"},0)),$J738="",$H738&lt;&gt;""),
Error!$B$19,
IF(AND(_xlpm.baseRow,$E738&lt;&gt;"",$D738&lt;&gt;"",$F738&lt;&gt;"",COUNTBLANK($B738:$C738)&gt;0,COUNTBLANK(_xlpm.HRange)&lt;&gt;4),
Error!$B$22,
IF(AND($H738="Zoning: Tree Points",$K738&lt;&gt;"",ISNA(MATCH($K738,Tables!$B$242:$B$253,0))),
Error!$B$58,
IF(AND($H738="Zoning: Tree Points",$K738="Small",$L738&lt;&gt;"",ISNA(MATCH($L738,Tables!$C$243:$C$244,0))),
Error!$B$59,
IF(AND($H738="Zoning: Tree Points",$K738="Small/Medium",$L738&lt;&gt;"",ISNA(MATCH($L738,Tables!$C$246:$C$247,0))),
Error!$B$59,
IF(AND($H738="Zoning: Tree Points",$K738="Medium/Large",$L738&lt;&gt;"",ISNA(MATCH($L738,Tables!$C$249:$C$250,0))),
Error!$B$59,
IF(AND($H738="Zoning: Tree Points",$K738="Large",$L738&lt;&gt;"",ISNA(MATCH($L738,Tables!$C$252:$C$253,0))),
Error!$B$59,
IF(AND($F738="Retain",$H738="Zoning: Tree Points",$C738&lt;&gt;"",$D738&lt;&gt;"",OR($K738="",$L738="",$M738="")),
Error!$B$20,
""
)))))))))))))))))))))))))))))))))))))))))))))))))))))))),
Error!$B$23))</f>
        <v/>
      </c>
      <c r="O738" s="343" t="str" cm="1">
        <f t="array" aca="1" ref="O738" ca="1">IFERROR(_xlfn.LET(
    _xlpm.txt, $C738,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39" spans="1:15" ht="15" thickBot="1" x14ac:dyDescent="0.35">
      <c r="A739" s="311">
        <v>183</v>
      </c>
      <c r="B739" s="312"/>
      <c r="C739" s="313"/>
      <c r="D739" s="478"/>
      <c r="E739" s="314"/>
      <c r="F739" s="314"/>
      <c r="G739" s="315" t="str">
        <f>IF(Tree_Table1[[#This Row],[Tree Status  &amp;]]="Retain", Tables!$B$237, IF(Tree_Table1[[#This Row],[Tree Status  &amp;]]="Remove", Tables!$B$238, ""))</f>
        <v/>
      </c>
      <c r="H739" s="316"/>
      <c r="I739" s="317"/>
      <c r="J739" s="452"/>
      <c r="K739" s="318" t="str">
        <f>IFERROR(
    IF(
        AND($H739="Zoning: Tree Points", NOT(ISNUMBER(SEARCH("sp.", $C739)))),
        VLOOKUP($C739, 'Tree List'!$C$3:$F$601, 4, FALSE),
        ""
    ),
"")</f>
        <v/>
      </c>
      <c r="L739" s="319" t="str" cm="1">
        <f t="array" ref="L739">IFERROR(
IF(
    AND($H739="Zoning: Tree Points", NOT(ISNUMBER(SEARCH("sp.", $C739)))),
    _xlfn.IFS(
        (COUNTIFS('Tree List'!$C$3:$C$601,$C739,'Tree List'!$D$3:$D$601,"Coniferous")
        + COUNTIFS('Tree List'!$C$3:$C$601,$C739,'Tree List'!$D$3:$D$601,"Deciduous Conifer")) &gt; 0,
            _xlfn.IFS($K739="Small",0.5,$K739="Small/Medium",1,$K739="Medium/Large",1.4,$K739="Large",1.8),
        (COUNTIFS('Tree List'!$C$3:$C$601,$C739,'Tree List'!$D$3:$D$601,"Deciduous")
        + COUNTIFS('Tree List'!$C$3:$C$601,$C739,'Tree List'!$D$3:$D$601,"Broadleaf Evergreen")) &gt; 0,
            _xlfn.IFS($K739="Small",0.4,$K739="Small/Medium",0.8,$K739="Medium/Large",1.2,$K739="Large",1.6)
    ),
    ""
),
"")</f>
        <v/>
      </c>
      <c r="M739" s="474" t="str">
        <f t="shared" si="816"/>
        <v/>
      </c>
      <c r="N739" s="620" t="str" cm="1">
        <f t="array" aca="1" ref="N73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IF(AND(_xlpm.baseRow,ISNA(MATCH($C739,'Tree List'!$C$3:$C$601,0)),SUMPRODUCT(--ISNUMBER(SEARCH(Tables2!$C$677:$C$772,$O739)))&gt;0),
Error!$B$57,
IF(AND(_xlpm.hasDM,$F739="Remove",$H739&lt;&gt;"",OR($I739="On-site replacement",$I739="Off-site replacement",$I739="Payment In Lieu")),
Error!$B$56,
IF(AND(_xlpm.hasDM,$F739="Remove",$H739&lt;&gt;"",$I739="Relocation"),
Error!$B$66,
IF(AND(OR(_xlpm.hasCN,_xlpm.hasPH,_xlpm.hasGR),$H739&lt;&gt;"",COUNTIF(Tables!$B$132:$B$134,$H739)&gt;0,$I739="N/A (No replacement required)"),
Error!$B$62,
IF(AND(_xlpm.baseRow,$E739&lt;&gt;"",ISNA(MATCH($E739,Tables!$B$225:$B$232,0))),
Error!$B$2,
IF(AND(_xlpm.baseRow,$F739&lt;&gt;"",ISNA(MATCH($F739,Tables!$B$234:$B$235,0))),
Error!$B$24,
IF(AND(_xlpm.baseRow,_xlpm.ECA_H&gt;0,_xlpm.Shore_H&gt;0),
Error!$B$16,
IF(AND(_xlpm.baseRow,$E739&lt;&gt;"",$D739=""),
Error!$B$3,
IF(AND(_xlpm.baseRow,OR($E739="Tier 3",$E739="Tier 4"),$C739&lt;&gt;"",$D739&gt;=24,COUNTIF(Tables2!$B$166:$B$674,$C739)&gt;0),
Error!$B$44,
IF(AND(_xlpm.baseRow,OR($E739="Tier 3",$E739="Tier 4"),$C739&lt;&gt;"",$D739&lt;&gt;"",COUNTIF(Tables2!$B$73:$B$152,$C739)&gt;0,
$D739&gt;=IFERROR(INDEX(Tables2!$C$73:$C$152,MATCH($C739,Tables2!$B$73:$B$152,0)),-1)),
Error!$B$44,
IF(AND(_xlpm.baseRow,OR($E739="Tier 2",$E739="Tier 2 Grove"),$C739&lt;&gt;"",$D739&gt;=12,COUNTIF(Tables2!$B$153:$B$162,$C739)&gt;0),
Error!$B$45,
IF(AND(_xlpm.baseRow,$E739="Tier 2 Grove",$D739&lt;12),
Error!$B$41,
IF(AND(_xlpm.baseRow,$E739="Tier 2",$D739&lt;5.88),
Error!$B$40,
IF(AND(_xlpm.baseRow,OR($E739="Tier 2",$E739="Tier 2 Grove"),$C739&lt;&gt;"",$D739&lt;12,$D739&gt;=6,COUNTIF(Tables2!$B$153:$B$162,$C739)&gt;0),
Error!$B$54,
IF(AND(_xlpm.baseRow,$E739="Tier 2",COUNTIF(Tables2!$B$166:$B$674,$C739)&gt;0,$D739&lt;24),
Error!$B$54,
IF(AND(_xlpm.baseRow,$E739="Tier 3",ISNA(MATCH($C739,Tables2!$B$153:$B$162,0)),OR($D739&lt;12,$D739&gt;=24)),
Error!$B$9,
IF(AND(_xlpm.baseRow,$E739="Tier 3",COUNTIF(Tables2!$B$153:$B$162,$C739)&gt;0,$D739&lt;12),
Error!$B$46,
IF(AND(_xlpm.baseRow,$E739="Tier 4",OR($D739&lt;6,$D739&gt;=12)),
Error!$B$10,
IF(AND(_xlpm.baseRow,$E739="&lt;6in DSH for Tree Points",OR($D739&gt;=6,$D739="")),
Error!$B$8,
IF(AND(_xlpm.baseRow,$E739="Street Tree for Green Factor",$F739&lt;&gt;"",$F739&lt;&gt;"Retain"),
Error!$B$14,
IF(AND($E739="&lt;6in DSH for Tree Points",$F739="Retain",$H739&lt;&gt;"",ISNA(MATCH($H739,Tables!$B$174:$B$174,0))),
Error!$B$15,
IF(AND($E739="Street Tree for Green Factor",$F739="Retain",$H739&lt;&gt;"",$H739&lt;&gt;"Zoning: Green Factor"),
Error!$B$15,
IF(AND($E739="ECA / Shoreline Tree",$F739="Remove",$H739&lt;&gt;"",ISNA(MATCH($H739,Tables!$B$189:$B$190,0))),
Error!$B$15,
IF(AND($E739="ECA / Shoreline Tree",$F739="Retain",$H739&lt;&gt;"",ISNA(MATCH($H739,Tables!$B$184:$B$186,0))),
Error!$B$15,
IF(AND($E739="Tier 4",$F739="Remove",$H739&lt;&gt;"",ISNA(MATCH($H739,Tables!$B$171,0))),
Error!$B$15,
IF(AND($E739="Tier 4",$F739="Retain",$H739&lt;&gt;"",ISNA(MATCH($H739,Tables!$B$166:$B$168,0))),
Error!$B$15,
IF(AND($E739="Tier 3",$F739="Retain",$H739&lt;&gt;"",ISNA(MATCH($H739,Tables!$B$158:$B$160,0))),
Error!$B$15,
IF(AND($E739="Tier 3",$F739="Remove",$H739&lt;&gt;"",ISNA(MATCH($H739,Tables!$B$163,0))),
Error!$B$15,
IF(AND(OR($E739="Tier 2",$E739="Tier 2 Grove"),$F739="Remove",$H739&lt;&gt;"",ISNA(MATCH($H739,Tables!$B$153:$B$155,0))),
Error!$B$15,
IF(AND(OR($E739="Tier 2",$E739="Tier 2 Grove"),$F739="Retain",$H739&lt;&gt;"",ISNA(MATCH($H739,Tables!$B$147:$B$150,0))),
Error!$B$15,
IF(AND($E739="Tier 1",$F739="Remove",$H739&lt;&gt;"",ISNA(MATCH($H739,Tables!$B$143:$B$144,0))),
Error!$B$15,
IF(AND($E739="Tier 1",$F739="Retain",$H739&lt;&gt;"",ISNA(MATCH($H739,Tables!$B$137:$B$140,0))),
Error!$B$15,
IF(AND($E739&lt;&gt;"Tier 2",$E739&lt;&gt;"Tier 2 Grove",$E739&lt;&gt;"Tier 3",$E739&lt;&gt;"Tier 4",$H739="Zoning: Green Factor",OR($D739="",$D739&lt;6)),
Error!$B$11,
IF(AND(_xlpm.baseRow,$D739&lt;6,$E739="&lt;6in DSH for Tree Points",_xlpm.TreePoints_H=0),
Error!$B$21,
IF(AND(_xlpm.baseRow,$E739&lt;&gt;"",$D739&lt;&gt;"",$F739=""),
Error!$B$4,
IF(AND(_xlpm.baseRow,$F739="Remove",OR($E739="Tier 1",$E739="Tier 2",$E739="Tier 2 Grove"),COUNTBLANK(_xlpm.HRange)&lt;3,_xlpm.uniqueH&gt;=2),
Error!$B$48,
IF(AND(_xlpm.baseRow,$F739="Retain",OR($E739="Tier 1",$E739="Tier 2",$E739="Tier 2 Grove"),COUNTIF(_xlpm.HRange,"Tree Code: Required to Retain Tier 1-2 Tree")=0),
Error!$B$47,
IF(AND(_xlpm.baseRow,$E739&lt;&gt;"",$D739&lt;&gt;"",$F739&lt;&gt;"",COUNTBLANK(_xlpm.HRange)=4),
Error!$B$5,
IF(AND($F739="Remove",$H739&lt;&gt;"",$I739=""),
Error!$B$18,
IF(AND($E739="Tier 4",$F739="Remove",$H739="Tree Protection Code: Tier 3 or Tier 4 Allowance",$H739&lt;&gt;"",ISNA(MATCH($I739,Tables!$B$200,0))),
Error!$B$17,
IF(AND($E739="Tier 3",$F739="Remove",$H739&lt;&gt;"",$H739="Tree Protection Code: Tier 3 or Tier 4 Allowance",OR($I739="",ISNA(MATCH($I739,Tables!$B$193:$B$197,0)))),
Error!$B$17,
IF(AND(OR($E739="Tier 2",$E739="Tier 2 Grove"),$F739="Remove",$H739="Tree Protection Code: Other removal allowance or exemption",$I739&lt;&gt;"",ISNA(MATCH($I739,Tables!$B$215:$B$218,0))),
Error!$B$17,
IF(AND(OR($E739="Tier 2",$E739="Tier 2 Grove"),$F739="Remove",$H739="Tree Protection Code: Development Capacity",$I739&lt;&gt;"",ISNA(MATCH($I739,Tables!$B$193:$B$197,0))),
Error!$B$17,
IF(AND(OR($E739="Tier 2",$E739="Tier 2 Grove"),$F739="Remove",$H739="Tree Protection Code: Necessary for Construction",$I739&lt;&gt;"",ISNA(MATCH($I739,Tables!$B$193:$B$197,0))),
Error!$B$17,
IF(AND($E739="Tier 1",$F739="Remove",$H739="Tree Protection Code: Special Exception",$I739&lt;&gt;"",ISNA(MATCH($I739,Tables!$B$215:$B$218,0))),
Error!$B$17,
IF(AND($E739="Tier 1",$F739="Remove",$H739="Tree Protection Code: Other removal allowance or exemption",$I739&lt;&gt;"",ISNA(MATCH($I739,Tables!$B$215:$B$218,0))),
Error!$B$17,
IF(AND($E739="ECA / Shoreline Tree",$F739="Remove",$H739&lt;&gt;"",OR($H739="Shoreline",$H739="Environmental Critical Area (ECA)"),ISNA(MATCH($I739,Tables!$B$209:$B$212,0))),
Error!$B$17,
IF(AND(_xlpm.baseRow,$F739="Retain",$E739="ECA / Shoreline Tree",_xlpm.ECA_Short=0),
Error!$B$61,
IF(AND($F739="Remove",ISNUMBER(MATCH($E739,{"Tier 1","Tier 2","Tier 3","Tier 4","Tier 2 Grove"},0)),ISNUMBER(MATCH($I739,{"On-site replacement","Off-site replacement"},0)),$J739="",$H739&lt;&gt;""),
Error!$B$19,
IF(AND(_xlpm.baseRow,$E739&lt;&gt;"",$D739&lt;&gt;"",$F739&lt;&gt;"",COUNTBLANK($B739:$C739)&gt;0,COUNTBLANK(_xlpm.HRange)&lt;&gt;4),
Error!$B$22,
IF(AND($H739="Zoning: Tree Points",$K739&lt;&gt;"",ISNA(MATCH($K739,Tables!$B$242:$B$253,0))),
Error!$B$58,
IF(AND($H739="Zoning: Tree Points",$K739="Small",$L739&lt;&gt;"",ISNA(MATCH($L739,Tables!$C$243:$C$244,0))),
Error!$B$59,
IF(AND($H739="Zoning: Tree Points",$K739="Small/Medium",$L739&lt;&gt;"",ISNA(MATCH($L739,Tables!$C$246:$C$247,0))),
Error!$B$59,
IF(AND($H739="Zoning: Tree Points",$K739="Medium/Large",$L739&lt;&gt;"",ISNA(MATCH($L739,Tables!$C$249:$C$250,0))),
Error!$B$59,
IF(AND($H739="Zoning: Tree Points",$K739="Large",$L739&lt;&gt;"",ISNA(MATCH($L739,Tables!$C$252:$C$253,0))),
Error!$B$59,
IF(AND($F739="Retain",$H739="Zoning: Tree Points",$C739&lt;&gt;"",$D739&lt;&gt;"",OR($K739="",$L739="",$M739="")),
Error!$B$20,
""
)))))))))))))))))))))))))))))))))))))))))))))))))))))))),
Error!$B$23))</f>
        <v/>
      </c>
      <c r="O739" s="343" t="str" cm="1">
        <f t="array" aca="1" ref="O739" ca="1">IFERROR(_xlfn.LET(
    _xlpm.txt, $C739,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40" spans="1:15" x14ac:dyDescent="0.3">
      <c r="A740" s="320"/>
      <c r="B740" s="616" t="str">
        <f t="shared" ref="B740:B742" si="877">IF($B739="", "", $B739)</f>
        <v/>
      </c>
      <c r="C740" s="617" t="str">
        <f t="shared" ref="C740:C742" si="878">IF($C739="", "", $C739)</f>
        <v/>
      </c>
      <c r="D740" s="618" t="str">
        <f t="shared" ref="D740:D742" si="879">IF($D739="", "", $D739)</f>
        <v/>
      </c>
      <c r="E740" s="616" t="str">
        <f t="shared" ref="E740:E742" si="880">IF($E739="", "", $E739)</f>
        <v/>
      </c>
      <c r="F740" s="616" t="str">
        <f t="shared" ref="F740:F742" si="881">IF($F739="", "", $F739)</f>
        <v/>
      </c>
      <c r="G740" s="619" t="str">
        <f>IF(Tree_Table1[[#This Row],[Tree Status  &amp;]]="Retain", Tables!$B$237, IF(Tree_Table1[[#This Row],[Tree Status  &amp;]]="Remove", Tables!$B$238, ""))</f>
        <v/>
      </c>
      <c r="H740" s="321"/>
      <c r="I740" s="322"/>
      <c r="J740" s="453"/>
      <c r="K740" s="323" t="str">
        <f>IFERROR(
    IF(
        AND($H740="Zoning: Tree Points", NOT(ISNUMBER(SEARCH("sp.", $C740)))),
        VLOOKUP($C740, 'Tree List'!$C$3:$F$601, 4, FALSE),
        ""
    ),
"")</f>
        <v/>
      </c>
      <c r="L740" s="324" t="str" cm="1">
        <f t="array" ref="L740">IFERROR(
IF(
    AND($H740="Zoning: Tree Points", NOT(ISNUMBER(SEARCH("sp.", $C740)))),
    _xlfn.IFS(
        (COUNTIFS('Tree List'!$C$3:$C$601,$C740,'Tree List'!$D$3:$D$601,"Coniferous")
        + COUNTIFS('Tree List'!$C$3:$C$601,$C740,'Tree List'!$D$3:$D$601,"Deciduous Conifer")) &gt; 0,
            _xlfn.IFS($K740="Small",0.5,$K740="Small/Medium",1,$K740="Medium/Large",1.4,$K740="Large",1.8),
        (COUNTIFS('Tree List'!$C$3:$C$601,$C740,'Tree List'!$D$3:$D$601,"Deciduous")
        + COUNTIFS('Tree List'!$C$3:$C$601,$C740,'Tree List'!$D$3:$D$601,"Broadleaf Evergreen")) &gt; 0,
            _xlfn.IFS($K740="Small",0.4,$K740="Small/Medium",0.8,$K740="Medium/Large",1.2,$K740="Large",1.6)
    ),
    ""
),
"")</f>
        <v/>
      </c>
      <c r="M740" s="475" t="str">
        <f t="shared" si="816"/>
        <v/>
      </c>
      <c r="N740" s="346" t="str" cm="1">
        <f t="array" aca="1" ref="N74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IF(AND(_xlpm.baseRow,ISNA(MATCH($C740,'Tree List'!$C$3:$C$601,0)),SUMPRODUCT(--ISNUMBER(SEARCH(Tables2!$C$677:$C$772,$O740)))&gt;0),
Error!$B$57,
IF(AND(_xlpm.hasDM,$F740="Remove",$H740&lt;&gt;"",OR($I740="On-site replacement",$I740="Off-site replacement",$I740="Payment In Lieu")),
Error!$B$56,
IF(AND(_xlpm.hasDM,$F740="Remove",$H740&lt;&gt;"",$I740="Relocation"),
Error!$B$66,
IF(AND(OR(_xlpm.hasCN,_xlpm.hasPH,_xlpm.hasGR),$H740&lt;&gt;"",COUNTIF(Tables!$B$132:$B$134,$H740)&gt;0,$I740="N/A (No replacement required)"),
Error!$B$62,
IF(AND(_xlpm.baseRow,$E740&lt;&gt;"",ISNA(MATCH($E740,Tables!$B$225:$B$232,0))),
Error!$B$2,
IF(AND(_xlpm.baseRow,$F740&lt;&gt;"",ISNA(MATCH($F740,Tables!$B$234:$B$235,0))),
Error!$B$24,
IF(AND(_xlpm.baseRow,_xlpm.ECA_H&gt;0,_xlpm.Shore_H&gt;0),
Error!$B$16,
IF(AND(_xlpm.baseRow,$E740&lt;&gt;"",$D740=""),
Error!$B$3,
IF(AND(_xlpm.baseRow,OR($E740="Tier 3",$E740="Tier 4"),$C740&lt;&gt;"",$D740&gt;=24,COUNTIF(Tables2!$B$166:$B$674,$C740)&gt;0),
Error!$B$44,
IF(AND(_xlpm.baseRow,OR($E740="Tier 3",$E740="Tier 4"),$C740&lt;&gt;"",$D740&lt;&gt;"",COUNTIF(Tables2!$B$73:$B$152,$C740)&gt;0,
$D740&gt;=IFERROR(INDEX(Tables2!$C$73:$C$152,MATCH($C740,Tables2!$B$73:$B$152,0)),-1)),
Error!$B$44,
IF(AND(_xlpm.baseRow,OR($E740="Tier 2",$E740="Tier 2 Grove"),$C740&lt;&gt;"",$D740&gt;=12,COUNTIF(Tables2!$B$153:$B$162,$C740)&gt;0),
Error!$B$45,
IF(AND(_xlpm.baseRow,$E740="Tier 2 Grove",$D740&lt;12),
Error!$B$41,
IF(AND(_xlpm.baseRow,$E740="Tier 2",$D740&lt;5.88),
Error!$B$40,
IF(AND(_xlpm.baseRow,OR($E740="Tier 2",$E740="Tier 2 Grove"),$C740&lt;&gt;"",$D740&lt;12,$D740&gt;=6,COUNTIF(Tables2!$B$153:$B$162,$C740)&gt;0),
Error!$B$54,
IF(AND(_xlpm.baseRow,$E740="Tier 2",COUNTIF(Tables2!$B$166:$B$674,$C740)&gt;0,$D740&lt;24),
Error!$B$54,
IF(AND(_xlpm.baseRow,$E740="Tier 3",ISNA(MATCH($C740,Tables2!$B$153:$B$162,0)),OR($D740&lt;12,$D740&gt;=24)),
Error!$B$9,
IF(AND(_xlpm.baseRow,$E740="Tier 3",COUNTIF(Tables2!$B$153:$B$162,$C740)&gt;0,$D740&lt;12),
Error!$B$46,
IF(AND(_xlpm.baseRow,$E740="Tier 4",OR($D740&lt;6,$D740&gt;=12)),
Error!$B$10,
IF(AND(_xlpm.baseRow,$E740="&lt;6in DSH for Tree Points",OR($D740&gt;=6,$D740="")),
Error!$B$8,
IF(AND(_xlpm.baseRow,$E740="Street Tree for Green Factor",$F740&lt;&gt;"",$F740&lt;&gt;"Retain"),
Error!$B$14,
IF(AND($E740="&lt;6in DSH for Tree Points",$F740="Retain",$H740&lt;&gt;"",ISNA(MATCH($H740,Tables!$B$174:$B$174,0))),
Error!$B$15,
IF(AND($E740="Street Tree for Green Factor",$F740="Retain",$H740&lt;&gt;"",$H740&lt;&gt;"Zoning: Green Factor"),
Error!$B$15,
IF(AND($E740="ECA / Shoreline Tree",$F740="Remove",$H740&lt;&gt;"",ISNA(MATCH($H740,Tables!$B$189:$B$190,0))),
Error!$B$15,
IF(AND($E740="ECA / Shoreline Tree",$F740="Retain",$H740&lt;&gt;"",ISNA(MATCH($H740,Tables!$B$184:$B$186,0))),
Error!$B$15,
IF(AND($E740="Tier 4",$F740="Remove",$H740&lt;&gt;"",ISNA(MATCH($H740,Tables!$B$171,0))),
Error!$B$15,
IF(AND($E740="Tier 4",$F740="Retain",$H740&lt;&gt;"",ISNA(MATCH($H740,Tables!$B$166:$B$168,0))),
Error!$B$15,
IF(AND($E740="Tier 3",$F740="Retain",$H740&lt;&gt;"",ISNA(MATCH($H740,Tables!$B$158:$B$160,0))),
Error!$B$15,
IF(AND($E740="Tier 3",$F740="Remove",$H740&lt;&gt;"",ISNA(MATCH($H740,Tables!$B$163,0))),
Error!$B$15,
IF(AND(OR($E740="Tier 2",$E740="Tier 2 Grove"),$F740="Remove",$H740&lt;&gt;"",ISNA(MATCH($H740,Tables!$B$153:$B$155,0))),
Error!$B$15,
IF(AND(OR($E740="Tier 2",$E740="Tier 2 Grove"),$F740="Retain",$H740&lt;&gt;"",ISNA(MATCH($H740,Tables!$B$147:$B$150,0))),
Error!$B$15,
IF(AND($E740="Tier 1",$F740="Remove",$H740&lt;&gt;"",ISNA(MATCH($H740,Tables!$B$143:$B$144,0))),
Error!$B$15,
IF(AND($E740="Tier 1",$F740="Retain",$H740&lt;&gt;"",ISNA(MATCH($H740,Tables!$B$137:$B$140,0))),
Error!$B$15,
IF(AND($E740&lt;&gt;"Tier 2",$E740&lt;&gt;"Tier 2 Grove",$E740&lt;&gt;"Tier 3",$E740&lt;&gt;"Tier 4",$H740="Zoning: Green Factor",OR($D740="",$D740&lt;6)),
Error!$B$11,
IF(AND(_xlpm.baseRow,$D740&lt;6,$E740="&lt;6in DSH for Tree Points",_xlpm.TreePoints_H=0),
Error!$B$21,
IF(AND(_xlpm.baseRow,$E740&lt;&gt;"",$D740&lt;&gt;"",$F740=""),
Error!$B$4,
IF(AND(_xlpm.baseRow,$F740="Remove",OR($E740="Tier 1",$E740="Tier 2",$E740="Tier 2 Grove"),COUNTBLANK(_xlpm.HRange)&lt;3,_xlpm.uniqueH&gt;=2),
Error!$B$48,
IF(AND(_xlpm.baseRow,$F740="Retain",OR($E740="Tier 1",$E740="Tier 2",$E740="Tier 2 Grove"),COUNTIF(_xlpm.HRange,"Tree Code: Required to Retain Tier 1-2 Tree")=0),
Error!$B$47,
IF(AND(_xlpm.baseRow,$E740&lt;&gt;"",$D740&lt;&gt;"",$F740&lt;&gt;"",COUNTBLANK(_xlpm.HRange)=4),
Error!$B$5,
IF(AND($F740="Remove",$H740&lt;&gt;"",$I740=""),
Error!$B$18,
IF(AND($E740="Tier 4",$F740="Remove",$H740="Tree Protection Code: Tier 3 or Tier 4 Allowance",$H740&lt;&gt;"",ISNA(MATCH($I740,Tables!$B$200,0))),
Error!$B$17,
IF(AND($E740="Tier 3",$F740="Remove",$H740&lt;&gt;"",$H740="Tree Protection Code: Tier 3 or Tier 4 Allowance",OR($I740="",ISNA(MATCH($I740,Tables!$B$193:$B$197,0)))),
Error!$B$17,
IF(AND(OR($E740="Tier 2",$E740="Tier 2 Grove"),$F740="Remove",$H740="Tree Protection Code: Other removal allowance or exemption",$I740&lt;&gt;"",ISNA(MATCH($I740,Tables!$B$215:$B$218,0))),
Error!$B$17,
IF(AND(OR($E740="Tier 2",$E740="Tier 2 Grove"),$F740="Remove",$H740="Tree Protection Code: Development Capacity",$I740&lt;&gt;"",ISNA(MATCH($I740,Tables!$B$193:$B$197,0))),
Error!$B$17,
IF(AND(OR($E740="Tier 2",$E740="Tier 2 Grove"),$F740="Remove",$H740="Tree Protection Code: Necessary for Construction",$I740&lt;&gt;"",ISNA(MATCH($I740,Tables!$B$193:$B$197,0))),
Error!$B$17,
IF(AND($E740="Tier 1",$F740="Remove",$H740="Tree Protection Code: Special Exception",$I740&lt;&gt;"",ISNA(MATCH($I740,Tables!$B$215:$B$218,0))),
Error!$B$17,
IF(AND($E740="Tier 1",$F740="Remove",$H740="Tree Protection Code: Other removal allowance or exemption",$I740&lt;&gt;"",ISNA(MATCH($I740,Tables!$B$215:$B$218,0))),
Error!$B$17,
IF(AND($E740="ECA / Shoreline Tree",$F740="Remove",$H740&lt;&gt;"",OR($H740="Shoreline",$H740="Environmental Critical Area (ECA)"),ISNA(MATCH($I740,Tables!$B$209:$B$212,0))),
Error!$B$17,
IF(AND(_xlpm.baseRow,$F740="Retain",$E740="ECA / Shoreline Tree",_xlpm.ECA_Short=0),
Error!$B$61,
IF(AND($F740="Remove",ISNUMBER(MATCH($E740,{"Tier 1","Tier 2","Tier 3","Tier 4","Tier 2 Grove"},0)),ISNUMBER(MATCH($I740,{"On-site replacement","Off-site replacement"},0)),$J740="",$H740&lt;&gt;""),
Error!$B$19,
IF(AND(_xlpm.baseRow,$E740&lt;&gt;"",$D740&lt;&gt;"",$F740&lt;&gt;"",COUNTBLANK($B740:$C740)&gt;0,COUNTBLANK(_xlpm.HRange)&lt;&gt;4),
Error!$B$22,
IF(AND($H740="Zoning: Tree Points",$K740&lt;&gt;"",ISNA(MATCH($K740,Tables!$B$242:$B$253,0))),
Error!$B$58,
IF(AND($H740="Zoning: Tree Points",$K740="Small",$L740&lt;&gt;"",ISNA(MATCH($L740,Tables!$C$243:$C$244,0))),
Error!$B$59,
IF(AND($H740="Zoning: Tree Points",$K740="Small/Medium",$L740&lt;&gt;"",ISNA(MATCH($L740,Tables!$C$246:$C$247,0))),
Error!$B$59,
IF(AND($H740="Zoning: Tree Points",$K740="Medium/Large",$L740&lt;&gt;"",ISNA(MATCH($L740,Tables!$C$249:$C$250,0))),
Error!$B$59,
IF(AND($H740="Zoning: Tree Points",$K740="Large",$L740&lt;&gt;"",ISNA(MATCH($L740,Tables!$C$252:$C$253,0))),
Error!$B$59,
IF(AND($F740="Retain",$H740="Zoning: Tree Points",$C740&lt;&gt;"",$D740&lt;&gt;"",OR($K740="",$L740="",$M740="")),
Error!$B$20,
""
)))))))))))))))))))))))))))))))))))))))))))))))))))))))),
Error!$B$23))</f>
        <v/>
      </c>
      <c r="O740" s="343" t="str" cm="1">
        <f t="array" aca="1" ref="O740" ca="1">IFERROR(_xlfn.LET(
    _xlpm.txt, $C740,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41" spans="1:15" x14ac:dyDescent="0.3">
      <c r="A741" s="320"/>
      <c r="B741" s="616" t="str">
        <f t="shared" si="877"/>
        <v/>
      </c>
      <c r="C741" s="617" t="str">
        <f t="shared" si="878"/>
        <v/>
      </c>
      <c r="D741" s="618" t="str">
        <f t="shared" si="879"/>
        <v/>
      </c>
      <c r="E741" s="616" t="str">
        <f t="shared" si="880"/>
        <v/>
      </c>
      <c r="F741" s="616" t="str">
        <f t="shared" si="881"/>
        <v/>
      </c>
      <c r="G741" s="619" t="str">
        <f>IF(Tree_Table1[[#This Row],[Tree Status  &amp;]]="Retain", Tables!$B$237, IF(Tree_Table1[[#This Row],[Tree Status  &amp;]]="Remove", Tables!$B$238, ""))</f>
        <v/>
      </c>
      <c r="H741" s="321"/>
      <c r="I741" s="322"/>
      <c r="J741" s="453"/>
      <c r="K741" s="323" t="str">
        <f>IFERROR(
    IF(
        AND($H741="Zoning: Tree Points", NOT(ISNUMBER(SEARCH("sp.", $C741)))),
        VLOOKUP($C741, 'Tree List'!$C$3:$F$601, 4, FALSE),
        ""
    ),
"")</f>
        <v/>
      </c>
      <c r="L741" s="324" t="str" cm="1">
        <f t="array" ref="L741">IFERROR(
IF(
    AND($H741="Zoning: Tree Points", NOT(ISNUMBER(SEARCH("sp.", $C741)))),
    _xlfn.IFS(
        (COUNTIFS('Tree List'!$C$3:$C$601,$C741,'Tree List'!$D$3:$D$601,"Coniferous")
        + COUNTIFS('Tree List'!$C$3:$C$601,$C741,'Tree List'!$D$3:$D$601,"Deciduous Conifer")) &gt; 0,
            _xlfn.IFS($K741="Small",0.5,$K741="Small/Medium",1,$K741="Medium/Large",1.4,$K741="Large",1.8),
        (COUNTIFS('Tree List'!$C$3:$C$601,$C741,'Tree List'!$D$3:$D$601,"Deciduous")
        + COUNTIFS('Tree List'!$C$3:$C$601,$C741,'Tree List'!$D$3:$D$601,"Broadleaf Evergreen")) &gt; 0,
            _xlfn.IFS($K741="Small",0.4,$K741="Small/Medium",0.8,$K741="Medium/Large",1.2,$K741="Large",1.6)
    ),
    ""
),
"")</f>
        <v/>
      </c>
      <c r="M741" s="475" t="str">
        <f t="shared" si="816"/>
        <v/>
      </c>
      <c r="N741" s="346" t="str" cm="1">
        <f t="array" aca="1" ref="N74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IF(AND(_xlpm.baseRow,ISNA(MATCH($C741,'Tree List'!$C$3:$C$601,0)),SUMPRODUCT(--ISNUMBER(SEARCH(Tables2!$C$677:$C$772,$O741)))&gt;0),
Error!$B$57,
IF(AND(_xlpm.hasDM,$F741="Remove",$H741&lt;&gt;"",OR($I741="On-site replacement",$I741="Off-site replacement",$I741="Payment In Lieu")),
Error!$B$56,
IF(AND(_xlpm.hasDM,$F741="Remove",$H741&lt;&gt;"",$I741="Relocation"),
Error!$B$66,
IF(AND(OR(_xlpm.hasCN,_xlpm.hasPH,_xlpm.hasGR),$H741&lt;&gt;"",COUNTIF(Tables!$B$132:$B$134,$H741)&gt;0,$I741="N/A (No replacement required)"),
Error!$B$62,
IF(AND(_xlpm.baseRow,$E741&lt;&gt;"",ISNA(MATCH($E741,Tables!$B$225:$B$232,0))),
Error!$B$2,
IF(AND(_xlpm.baseRow,$F741&lt;&gt;"",ISNA(MATCH($F741,Tables!$B$234:$B$235,0))),
Error!$B$24,
IF(AND(_xlpm.baseRow,_xlpm.ECA_H&gt;0,_xlpm.Shore_H&gt;0),
Error!$B$16,
IF(AND(_xlpm.baseRow,$E741&lt;&gt;"",$D741=""),
Error!$B$3,
IF(AND(_xlpm.baseRow,OR($E741="Tier 3",$E741="Tier 4"),$C741&lt;&gt;"",$D741&gt;=24,COUNTIF(Tables2!$B$166:$B$674,$C741)&gt;0),
Error!$B$44,
IF(AND(_xlpm.baseRow,OR($E741="Tier 3",$E741="Tier 4"),$C741&lt;&gt;"",$D741&lt;&gt;"",COUNTIF(Tables2!$B$73:$B$152,$C741)&gt;0,
$D741&gt;=IFERROR(INDEX(Tables2!$C$73:$C$152,MATCH($C741,Tables2!$B$73:$B$152,0)),-1)),
Error!$B$44,
IF(AND(_xlpm.baseRow,OR($E741="Tier 2",$E741="Tier 2 Grove"),$C741&lt;&gt;"",$D741&gt;=12,COUNTIF(Tables2!$B$153:$B$162,$C741)&gt;0),
Error!$B$45,
IF(AND(_xlpm.baseRow,$E741="Tier 2 Grove",$D741&lt;12),
Error!$B$41,
IF(AND(_xlpm.baseRow,$E741="Tier 2",$D741&lt;5.88),
Error!$B$40,
IF(AND(_xlpm.baseRow,OR($E741="Tier 2",$E741="Tier 2 Grove"),$C741&lt;&gt;"",$D741&lt;12,$D741&gt;=6,COUNTIF(Tables2!$B$153:$B$162,$C741)&gt;0),
Error!$B$54,
IF(AND(_xlpm.baseRow,$E741="Tier 2",COUNTIF(Tables2!$B$166:$B$674,$C741)&gt;0,$D741&lt;24),
Error!$B$54,
IF(AND(_xlpm.baseRow,$E741="Tier 3",ISNA(MATCH($C741,Tables2!$B$153:$B$162,0)),OR($D741&lt;12,$D741&gt;=24)),
Error!$B$9,
IF(AND(_xlpm.baseRow,$E741="Tier 3",COUNTIF(Tables2!$B$153:$B$162,$C741)&gt;0,$D741&lt;12),
Error!$B$46,
IF(AND(_xlpm.baseRow,$E741="Tier 4",OR($D741&lt;6,$D741&gt;=12)),
Error!$B$10,
IF(AND(_xlpm.baseRow,$E741="&lt;6in DSH for Tree Points",OR($D741&gt;=6,$D741="")),
Error!$B$8,
IF(AND(_xlpm.baseRow,$E741="Street Tree for Green Factor",$F741&lt;&gt;"",$F741&lt;&gt;"Retain"),
Error!$B$14,
IF(AND($E741="&lt;6in DSH for Tree Points",$F741="Retain",$H741&lt;&gt;"",ISNA(MATCH($H741,Tables!$B$174:$B$174,0))),
Error!$B$15,
IF(AND($E741="Street Tree for Green Factor",$F741="Retain",$H741&lt;&gt;"",$H741&lt;&gt;"Zoning: Green Factor"),
Error!$B$15,
IF(AND($E741="ECA / Shoreline Tree",$F741="Remove",$H741&lt;&gt;"",ISNA(MATCH($H741,Tables!$B$189:$B$190,0))),
Error!$B$15,
IF(AND($E741="ECA / Shoreline Tree",$F741="Retain",$H741&lt;&gt;"",ISNA(MATCH($H741,Tables!$B$184:$B$186,0))),
Error!$B$15,
IF(AND($E741="Tier 4",$F741="Remove",$H741&lt;&gt;"",ISNA(MATCH($H741,Tables!$B$171,0))),
Error!$B$15,
IF(AND($E741="Tier 4",$F741="Retain",$H741&lt;&gt;"",ISNA(MATCH($H741,Tables!$B$166:$B$168,0))),
Error!$B$15,
IF(AND($E741="Tier 3",$F741="Retain",$H741&lt;&gt;"",ISNA(MATCH($H741,Tables!$B$158:$B$160,0))),
Error!$B$15,
IF(AND($E741="Tier 3",$F741="Remove",$H741&lt;&gt;"",ISNA(MATCH($H741,Tables!$B$163,0))),
Error!$B$15,
IF(AND(OR($E741="Tier 2",$E741="Tier 2 Grove"),$F741="Remove",$H741&lt;&gt;"",ISNA(MATCH($H741,Tables!$B$153:$B$155,0))),
Error!$B$15,
IF(AND(OR($E741="Tier 2",$E741="Tier 2 Grove"),$F741="Retain",$H741&lt;&gt;"",ISNA(MATCH($H741,Tables!$B$147:$B$150,0))),
Error!$B$15,
IF(AND($E741="Tier 1",$F741="Remove",$H741&lt;&gt;"",ISNA(MATCH($H741,Tables!$B$143:$B$144,0))),
Error!$B$15,
IF(AND($E741="Tier 1",$F741="Retain",$H741&lt;&gt;"",ISNA(MATCH($H741,Tables!$B$137:$B$140,0))),
Error!$B$15,
IF(AND($E741&lt;&gt;"Tier 2",$E741&lt;&gt;"Tier 2 Grove",$E741&lt;&gt;"Tier 3",$E741&lt;&gt;"Tier 4",$H741="Zoning: Green Factor",OR($D741="",$D741&lt;6)),
Error!$B$11,
IF(AND(_xlpm.baseRow,$D741&lt;6,$E741="&lt;6in DSH for Tree Points",_xlpm.TreePoints_H=0),
Error!$B$21,
IF(AND(_xlpm.baseRow,$E741&lt;&gt;"",$D741&lt;&gt;"",$F741=""),
Error!$B$4,
IF(AND(_xlpm.baseRow,$F741="Remove",OR($E741="Tier 1",$E741="Tier 2",$E741="Tier 2 Grove"),COUNTBLANK(_xlpm.HRange)&lt;3,_xlpm.uniqueH&gt;=2),
Error!$B$48,
IF(AND(_xlpm.baseRow,$F741="Retain",OR($E741="Tier 1",$E741="Tier 2",$E741="Tier 2 Grove"),COUNTIF(_xlpm.HRange,"Tree Code: Required to Retain Tier 1-2 Tree")=0),
Error!$B$47,
IF(AND(_xlpm.baseRow,$E741&lt;&gt;"",$D741&lt;&gt;"",$F741&lt;&gt;"",COUNTBLANK(_xlpm.HRange)=4),
Error!$B$5,
IF(AND($F741="Remove",$H741&lt;&gt;"",$I741=""),
Error!$B$18,
IF(AND($E741="Tier 4",$F741="Remove",$H741="Tree Protection Code: Tier 3 or Tier 4 Allowance",$H741&lt;&gt;"",ISNA(MATCH($I741,Tables!$B$200,0))),
Error!$B$17,
IF(AND($E741="Tier 3",$F741="Remove",$H741&lt;&gt;"",$H741="Tree Protection Code: Tier 3 or Tier 4 Allowance",OR($I741="",ISNA(MATCH($I741,Tables!$B$193:$B$197,0)))),
Error!$B$17,
IF(AND(OR($E741="Tier 2",$E741="Tier 2 Grove"),$F741="Remove",$H741="Tree Protection Code: Other removal allowance or exemption",$I741&lt;&gt;"",ISNA(MATCH($I741,Tables!$B$215:$B$218,0))),
Error!$B$17,
IF(AND(OR($E741="Tier 2",$E741="Tier 2 Grove"),$F741="Remove",$H741="Tree Protection Code: Development Capacity",$I741&lt;&gt;"",ISNA(MATCH($I741,Tables!$B$193:$B$197,0))),
Error!$B$17,
IF(AND(OR($E741="Tier 2",$E741="Tier 2 Grove"),$F741="Remove",$H741="Tree Protection Code: Necessary for Construction",$I741&lt;&gt;"",ISNA(MATCH($I741,Tables!$B$193:$B$197,0))),
Error!$B$17,
IF(AND($E741="Tier 1",$F741="Remove",$H741="Tree Protection Code: Special Exception",$I741&lt;&gt;"",ISNA(MATCH($I741,Tables!$B$215:$B$218,0))),
Error!$B$17,
IF(AND($E741="Tier 1",$F741="Remove",$H741="Tree Protection Code: Other removal allowance or exemption",$I741&lt;&gt;"",ISNA(MATCH($I741,Tables!$B$215:$B$218,0))),
Error!$B$17,
IF(AND($E741="ECA / Shoreline Tree",$F741="Remove",$H741&lt;&gt;"",OR($H741="Shoreline",$H741="Environmental Critical Area (ECA)"),ISNA(MATCH($I741,Tables!$B$209:$B$212,0))),
Error!$B$17,
IF(AND(_xlpm.baseRow,$F741="Retain",$E741="ECA / Shoreline Tree",_xlpm.ECA_Short=0),
Error!$B$61,
IF(AND($F741="Remove",ISNUMBER(MATCH($E741,{"Tier 1","Tier 2","Tier 3","Tier 4","Tier 2 Grove"},0)),ISNUMBER(MATCH($I741,{"On-site replacement","Off-site replacement"},0)),$J741="",$H741&lt;&gt;""),
Error!$B$19,
IF(AND(_xlpm.baseRow,$E741&lt;&gt;"",$D741&lt;&gt;"",$F741&lt;&gt;"",COUNTBLANK($B741:$C741)&gt;0,COUNTBLANK(_xlpm.HRange)&lt;&gt;4),
Error!$B$22,
IF(AND($H741="Zoning: Tree Points",$K741&lt;&gt;"",ISNA(MATCH($K741,Tables!$B$242:$B$253,0))),
Error!$B$58,
IF(AND($H741="Zoning: Tree Points",$K741="Small",$L741&lt;&gt;"",ISNA(MATCH($L741,Tables!$C$243:$C$244,0))),
Error!$B$59,
IF(AND($H741="Zoning: Tree Points",$K741="Small/Medium",$L741&lt;&gt;"",ISNA(MATCH($L741,Tables!$C$246:$C$247,0))),
Error!$B$59,
IF(AND($H741="Zoning: Tree Points",$K741="Medium/Large",$L741&lt;&gt;"",ISNA(MATCH($L741,Tables!$C$249:$C$250,0))),
Error!$B$59,
IF(AND($H741="Zoning: Tree Points",$K741="Large",$L741&lt;&gt;"",ISNA(MATCH($L741,Tables!$C$252:$C$253,0))),
Error!$B$59,
IF(AND($F741="Retain",$H741="Zoning: Tree Points",$C741&lt;&gt;"",$D741&lt;&gt;"",OR($K741="",$L741="",$M741="")),
Error!$B$20,
""
)))))))))))))))))))))))))))))))))))))))))))))))))))))))),
Error!$B$23))</f>
        <v/>
      </c>
      <c r="O741" s="343" t="str" cm="1">
        <f t="array" aca="1" ref="O741" ca="1">IFERROR(_xlfn.LET(
    _xlpm.txt, $C741,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42" spans="1:15" ht="15" thickBot="1" x14ac:dyDescent="0.35">
      <c r="A742" s="331"/>
      <c r="B742" s="616" t="str">
        <f t="shared" si="877"/>
        <v/>
      </c>
      <c r="C742" s="617" t="str">
        <f t="shared" si="878"/>
        <v/>
      </c>
      <c r="D742" s="618" t="str">
        <f t="shared" si="879"/>
        <v/>
      </c>
      <c r="E742" s="616" t="str">
        <f t="shared" si="880"/>
        <v/>
      </c>
      <c r="F742" s="616" t="str">
        <f t="shared" si="881"/>
        <v/>
      </c>
      <c r="G742" s="619" t="str">
        <f>IF(Tree_Table1[[#This Row],[Tree Status  &amp;]]="Retain", Tables!$B$237, IF(Tree_Table1[[#This Row],[Tree Status  &amp;]]="Remove", Tables!$B$238, ""))</f>
        <v/>
      </c>
      <c r="H742" s="329"/>
      <c r="I742" s="330"/>
      <c r="J742" s="455"/>
      <c r="K742" s="327" t="str">
        <f>IFERROR(
    IF(
        AND($H742="Zoning: Tree Points", NOT(ISNUMBER(SEARCH("sp.", $C742)))),
        VLOOKUP($C742, 'Tree List'!$C$3:$F$601, 4, FALSE),
        ""
    ),
"")</f>
        <v/>
      </c>
      <c r="L742" s="328" t="str" cm="1">
        <f t="array" ref="L742">IFERROR(
IF(
    AND($H742="Zoning: Tree Points", NOT(ISNUMBER(SEARCH("sp.", $C742)))),
    _xlfn.IFS(
        (COUNTIFS('Tree List'!$C$3:$C$601,$C742,'Tree List'!$D$3:$D$601,"Coniferous")
        + COUNTIFS('Tree List'!$C$3:$C$601,$C742,'Tree List'!$D$3:$D$601,"Deciduous Conifer")) &gt; 0,
            _xlfn.IFS($K742="Small",0.5,$K742="Small/Medium",1,$K742="Medium/Large",1.4,$K742="Large",1.8),
        (COUNTIFS('Tree List'!$C$3:$C$601,$C742,'Tree List'!$D$3:$D$601,"Deciduous")
        + COUNTIFS('Tree List'!$C$3:$C$601,$C742,'Tree List'!$D$3:$D$601,"Broadleaf Evergreen")) &gt; 0,
            _xlfn.IFS($K742="Small",0.4,$K742="Small/Medium",0.8,$K742="Medium/Large",1.2,$K742="Large",1.6)
    ),
    ""
),
"")</f>
        <v/>
      </c>
      <c r="M742" s="476" t="str">
        <f t="shared" si="816"/>
        <v/>
      </c>
      <c r="N742" s="347" t="str" cm="1">
        <f t="array" aca="1" ref="N74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IF(AND(_xlpm.baseRow,ISNA(MATCH($C742,'Tree List'!$C$3:$C$601,0)),SUMPRODUCT(--ISNUMBER(SEARCH(Tables2!$C$677:$C$772,$O742)))&gt;0),
Error!$B$57,
IF(AND(_xlpm.hasDM,$F742="Remove",$H742&lt;&gt;"",OR($I742="On-site replacement",$I742="Off-site replacement",$I742="Payment In Lieu")),
Error!$B$56,
IF(AND(_xlpm.hasDM,$F742="Remove",$H742&lt;&gt;"",$I742="Relocation"),
Error!$B$66,
IF(AND(OR(_xlpm.hasCN,_xlpm.hasPH,_xlpm.hasGR),$H742&lt;&gt;"",COUNTIF(Tables!$B$132:$B$134,$H742)&gt;0,$I742="N/A (No replacement required)"),
Error!$B$62,
IF(AND(_xlpm.baseRow,$E742&lt;&gt;"",ISNA(MATCH($E742,Tables!$B$225:$B$232,0))),
Error!$B$2,
IF(AND(_xlpm.baseRow,$F742&lt;&gt;"",ISNA(MATCH($F742,Tables!$B$234:$B$235,0))),
Error!$B$24,
IF(AND(_xlpm.baseRow,_xlpm.ECA_H&gt;0,_xlpm.Shore_H&gt;0),
Error!$B$16,
IF(AND(_xlpm.baseRow,$E742&lt;&gt;"",$D742=""),
Error!$B$3,
IF(AND(_xlpm.baseRow,OR($E742="Tier 3",$E742="Tier 4"),$C742&lt;&gt;"",$D742&gt;=24,COUNTIF(Tables2!$B$166:$B$674,$C742)&gt;0),
Error!$B$44,
IF(AND(_xlpm.baseRow,OR($E742="Tier 3",$E742="Tier 4"),$C742&lt;&gt;"",$D742&lt;&gt;"",COUNTIF(Tables2!$B$73:$B$152,$C742)&gt;0,
$D742&gt;=IFERROR(INDEX(Tables2!$C$73:$C$152,MATCH($C742,Tables2!$B$73:$B$152,0)),-1)),
Error!$B$44,
IF(AND(_xlpm.baseRow,OR($E742="Tier 2",$E742="Tier 2 Grove"),$C742&lt;&gt;"",$D742&gt;=12,COUNTIF(Tables2!$B$153:$B$162,$C742)&gt;0),
Error!$B$45,
IF(AND(_xlpm.baseRow,$E742="Tier 2 Grove",$D742&lt;12),
Error!$B$41,
IF(AND(_xlpm.baseRow,$E742="Tier 2",$D742&lt;5.88),
Error!$B$40,
IF(AND(_xlpm.baseRow,OR($E742="Tier 2",$E742="Tier 2 Grove"),$C742&lt;&gt;"",$D742&lt;12,$D742&gt;=6,COUNTIF(Tables2!$B$153:$B$162,$C742)&gt;0),
Error!$B$54,
IF(AND(_xlpm.baseRow,$E742="Tier 2",COUNTIF(Tables2!$B$166:$B$674,$C742)&gt;0,$D742&lt;24),
Error!$B$54,
IF(AND(_xlpm.baseRow,$E742="Tier 3",ISNA(MATCH($C742,Tables2!$B$153:$B$162,0)),OR($D742&lt;12,$D742&gt;=24)),
Error!$B$9,
IF(AND(_xlpm.baseRow,$E742="Tier 3",COUNTIF(Tables2!$B$153:$B$162,$C742)&gt;0,$D742&lt;12),
Error!$B$46,
IF(AND(_xlpm.baseRow,$E742="Tier 4",OR($D742&lt;6,$D742&gt;=12)),
Error!$B$10,
IF(AND(_xlpm.baseRow,$E742="&lt;6in DSH for Tree Points",OR($D742&gt;=6,$D742="")),
Error!$B$8,
IF(AND(_xlpm.baseRow,$E742="Street Tree for Green Factor",$F742&lt;&gt;"",$F742&lt;&gt;"Retain"),
Error!$B$14,
IF(AND($E742="&lt;6in DSH for Tree Points",$F742="Retain",$H742&lt;&gt;"",ISNA(MATCH($H742,Tables!$B$174:$B$174,0))),
Error!$B$15,
IF(AND($E742="Street Tree for Green Factor",$F742="Retain",$H742&lt;&gt;"",$H742&lt;&gt;"Zoning: Green Factor"),
Error!$B$15,
IF(AND($E742="ECA / Shoreline Tree",$F742="Remove",$H742&lt;&gt;"",ISNA(MATCH($H742,Tables!$B$189:$B$190,0))),
Error!$B$15,
IF(AND($E742="ECA / Shoreline Tree",$F742="Retain",$H742&lt;&gt;"",ISNA(MATCH($H742,Tables!$B$184:$B$186,0))),
Error!$B$15,
IF(AND($E742="Tier 4",$F742="Remove",$H742&lt;&gt;"",ISNA(MATCH($H742,Tables!$B$171,0))),
Error!$B$15,
IF(AND($E742="Tier 4",$F742="Retain",$H742&lt;&gt;"",ISNA(MATCH($H742,Tables!$B$166:$B$168,0))),
Error!$B$15,
IF(AND($E742="Tier 3",$F742="Retain",$H742&lt;&gt;"",ISNA(MATCH($H742,Tables!$B$158:$B$160,0))),
Error!$B$15,
IF(AND($E742="Tier 3",$F742="Remove",$H742&lt;&gt;"",ISNA(MATCH($H742,Tables!$B$163,0))),
Error!$B$15,
IF(AND(OR($E742="Tier 2",$E742="Tier 2 Grove"),$F742="Remove",$H742&lt;&gt;"",ISNA(MATCH($H742,Tables!$B$153:$B$155,0))),
Error!$B$15,
IF(AND(OR($E742="Tier 2",$E742="Tier 2 Grove"),$F742="Retain",$H742&lt;&gt;"",ISNA(MATCH($H742,Tables!$B$147:$B$150,0))),
Error!$B$15,
IF(AND($E742="Tier 1",$F742="Remove",$H742&lt;&gt;"",ISNA(MATCH($H742,Tables!$B$143:$B$144,0))),
Error!$B$15,
IF(AND($E742="Tier 1",$F742="Retain",$H742&lt;&gt;"",ISNA(MATCH($H742,Tables!$B$137:$B$140,0))),
Error!$B$15,
IF(AND($E742&lt;&gt;"Tier 2",$E742&lt;&gt;"Tier 2 Grove",$E742&lt;&gt;"Tier 3",$E742&lt;&gt;"Tier 4",$H742="Zoning: Green Factor",OR($D742="",$D742&lt;6)),
Error!$B$11,
IF(AND(_xlpm.baseRow,$D742&lt;6,$E742="&lt;6in DSH for Tree Points",_xlpm.TreePoints_H=0),
Error!$B$21,
IF(AND(_xlpm.baseRow,$E742&lt;&gt;"",$D742&lt;&gt;"",$F742=""),
Error!$B$4,
IF(AND(_xlpm.baseRow,$F742="Remove",OR($E742="Tier 1",$E742="Tier 2",$E742="Tier 2 Grove"),COUNTBLANK(_xlpm.HRange)&lt;3,_xlpm.uniqueH&gt;=2),
Error!$B$48,
IF(AND(_xlpm.baseRow,$F742="Retain",OR($E742="Tier 1",$E742="Tier 2",$E742="Tier 2 Grove"),COUNTIF(_xlpm.HRange,"Tree Code: Required to Retain Tier 1-2 Tree")=0),
Error!$B$47,
IF(AND(_xlpm.baseRow,$E742&lt;&gt;"",$D742&lt;&gt;"",$F742&lt;&gt;"",COUNTBLANK(_xlpm.HRange)=4),
Error!$B$5,
IF(AND($F742="Remove",$H742&lt;&gt;"",$I742=""),
Error!$B$18,
IF(AND($E742="Tier 4",$F742="Remove",$H742="Tree Protection Code: Tier 3 or Tier 4 Allowance",$H742&lt;&gt;"",ISNA(MATCH($I742,Tables!$B$200,0))),
Error!$B$17,
IF(AND($E742="Tier 3",$F742="Remove",$H742&lt;&gt;"",$H742="Tree Protection Code: Tier 3 or Tier 4 Allowance",OR($I742="",ISNA(MATCH($I742,Tables!$B$193:$B$197,0)))),
Error!$B$17,
IF(AND(OR($E742="Tier 2",$E742="Tier 2 Grove"),$F742="Remove",$H742="Tree Protection Code: Other removal allowance or exemption",$I742&lt;&gt;"",ISNA(MATCH($I742,Tables!$B$215:$B$218,0))),
Error!$B$17,
IF(AND(OR($E742="Tier 2",$E742="Tier 2 Grove"),$F742="Remove",$H742="Tree Protection Code: Development Capacity",$I742&lt;&gt;"",ISNA(MATCH($I742,Tables!$B$193:$B$197,0))),
Error!$B$17,
IF(AND(OR($E742="Tier 2",$E742="Tier 2 Grove"),$F742="Remove",$H742="Tree Protection Code: Necessary for Construction",$I742&lt;&gt;"",ISNA(MATCH($I742,Tables!$B$193:$B$197,0))),
Error!$B$17,
IF(AND($E742="Tier 1",$F742="Remove",$H742="Tree Protection Code: Special Exception",$I742&lt;&gt;"",ISNA(MATCH($I742,Tables!$B$215:$B$218,0))),
Error!$B$17,
IF(AND($E742="Tier 1",$F742="Remove",$H742="Tree Protection Code: Other removal allowance or exemption",$I742&lt;&gt;"",ISNA(MATCH($I742,Tables!$B$215:$B$218,0))),
Error!$B$17,
IF(AND($E742="ECA / Shoreline Tree",$F742="Remove",$H742&lt;&gt;"",OR($H742="Shoreline",$H742="Environmental Critical Area (ECA)"),ISNA(MATCH($I742,Tables!$B$209:$B$212,0))),
Error!$B$17,
IF(AND(_xlpm.baseRow,$F742="Retain",$E742="ECA / Shoreline Tree",_xlpm.ECA_Short=0),
Error!$B$61,
IF(AND($F742="Remove",ISNUMBER(MATCH($E742,{"Tier 1","Tier 2","Tier 3","Tier 4","Tier 2 Grove"},0)),ISNUMBER(MATCH($I742,{"On-site replacement","Off-site replacement"},0)),$J742="",$H742&lt;&gt;""),
Error!$B$19,
IF(AND(_xlpm.baseRow,$E742&lt;&gt;"",$D742&lt;&gt;"",$F742&lt;&gt;"",COUNTBLANK($B742:$C742)&gt;0,COUNTBLANK(_xlpm.HRange)&lt;&gt;4),
Error!$B$22,
IF(AND($H742="Zoning: Tree Points",$K742&lt;&gt;"",ISNA(MATCH($K742,Tables!$B$242:$B$253,0))),
Error!$B$58,
IF(AND($H742="Zoning: Tree Points",$K742="Small",$L742&lt;&gt;"",ISNA(MATCH($L742,Tables!$C$243:$C$244,0))),
Error!$B$59,
IF(AND($H742="Zoning: Tree Points",$K742="Small/Medium",$L742&lt;&gt;"",ISNA(MATCH($L742,Tables!$C$246:$C$247,0))),
Error!$B$59,
IF(AND($H742="Zoning: Tree Points",$K742="Medium/Large",$L742&lt;&gt;"",ISNA(MATCH($L742,Tables!$C$249:$C$250,0))),
Error!$B$59,
IF(AND($H742="Zoning: Tree Points",$K742="Large",$L742&lt;&gt;"",ISNA(MATCH($L742,Tables!$C$252:$C$253,0))),
Error!$B$59,
IF(AND($F742="Retain",$H742="Zoning: Tree Points",$C742&lt;&gt;"",$D742&lt;&gt;"",OR($K742="",$L742="",$M742="")),
Error!$B$20,
""
)))))))))))))))))))))))))))))))))))))))))))))))))))))))),
Error!$B$23))</f>
        <v/>
      </c>
      <c r="O742" s="343" t="str" cm="1">
        <f t="array" aca="1" ref="O742" ca="1">IFERROR(_xlfn.LET(
    _xlpm.txt, $C742,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43" spans="1:15" ht="15" thickBot="1" x14ac:dyDescent="0.35">
      <c r="A743" s="311">
        <v>184</v>
      </c>
      <c r="B743" s="312"/>
      <c r="C743" s="313"/>
      <c r="D743" s="478"/>
      <c r="E743" s="314"/>
      <c r="F743" s="314"/>
      <c r="G743" s="315" t="str">
        <f>IF(Tree_Table1[[#This Row],[Tree Status  &amp;]]="Retain", Tables!$B$237, IF(Tree_Table1[[#This Row],[Tree Status  &amp;]]="Remove", Tables!$B$238, ""))</f>
        <v/>
      </c>
      <c r="H743" s="316"/>
      <c r="I743" s="317"/>
      <c r="J743" s="452"/>
      <c r="K743" s="318" t="str">
        <f>IFERROR(
    IF(
        AND($H743="Zoning: Tree Points", NOT(ISNUMBER(SEARCH("sp.", $C743)))),
        VLOOKUP($C743, 'Tree List'!$C$3:$F$601, 4, FALSE),
        ""
    ),
"")</f>
        <v/>
      </c>
      <c r="L743" s="319" t="str" cm="1">
        <f t="array" ref="L743">IFERROR(
IF(
    AND($H743="Zoning: Tree Points", NOT(ISNUMBER(SEARCH("sp.", $C743)))),
    _xlfn.IFS(
        (COUNTIFS('Tree List'!$C$3:$C$601,$C743,'Tree List'!$D$3:$D$601,"Coniferous")
        + COUNTIFS('Tree List'!$C$3:$C$601,$C743,'Tree List'!$D$3:$D$601,"Deciduous Conifer")) &gt; 0,
            _xlfn.IFS($K743="Small",0.5,$K743="Small/Medium",1,$K743="Medium/Large",1.4,$K743="Large",1.8),
        (COUNTIFS('Tree List'!$C$3:$C$601,$C743,'Tree List'!$D$3:$D$601,"Deciduous")
        + COUNTIFS('Tree List'!$C$3:$C$601,$C743,'Tree List'!$D$3:$D$601,"Broadleaf Evergreen")) &gt; 0,
            _xlfn.IFS($K743="Small",0.4,$K743="Small/Medium",0.8,$K743="Medium/Large",1.2,$K743="Large",1.6)
    ),
    ""
),
"")</f>
        <v/>
      </c>
      <c r="M743" s="474" t="str">
        <f t="shared" si="816"/>
        <v/>
      </c>
      <c r="N743" s="620" t="str" cm="1">
        <f t="array" aca="1" ref="N74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IF(AND(_xlpm.baseRow,ISNA(MATCH($C743,'Tree List'!$C$3:$C$601,0)),SUMPRODUCT(--ISNUMBER(SEARCH(Tables2!$C$677:$C$772,$O743)))&gt;0),
Error!$B$57,
IF(AND(_xlpm.hasDM,$F743="Remove",$H743&lt;&gt;"",OR($I743="On-site replacement",$I743="Off-site replacement",$I743="Payment In Lieu")),
Error!$B$56,
IF(AND(_xlpm.hasDM,$F743="Remove",$H743&lt;&gt;"",$I743="Relocation"),
Error!$B$66,
IF(AND(OR(_xlpm.hasCN,_xlpm.hasPH,_xlpm.hasGR),$H743&lt;&gt;"",COUNTIF(Tables!$B$132:$B$134,$H743)&gt;0,$I743="N/A (No replacement required)"),
Error!$B$62,
IF(AND(_xlpm.baseRow,$E743&lt;&gt;"",ISNA(MATCH($E743,Tables!$B$225:$B$232,0))),
Error!$B$2,
IF(AND(_xlpm.baseRow,$F743&lt;&gt;"",ISNA(MATCH($F743,Tables!$B$234:$B$235,0))),
Error!$B$24,
IF(AND(_xlpm.baseRow,_xlpm.ECA_H&gt;0,_xlpm.Shore_H&gt;0),
Error!$B$16,
IF(AND(_xlpm.baseRow,$E743&lt;&gt;"",$D743=""),
Error!$B$3,
IF(AND(_xlpm.baseRow,OR($E743="Tier 3",$E743="Tier 4"),$C743&lt;&gt;"",$D743&gt;=24,COUNTIF(Tables2!$B$166:$B$674,$C743)&gt;0),
Error!$B$44,
IF(AND(_xlpm.baseRow,OR($E743="Tier 3",$E743="Tier 4"),$C743&lt;&gt;"",$D743&lt;&gt;"",COUNTIF(Tables2!$B$73:$B$152,$C743)&gt;0,
$D743&gt;=IFERROR(INDEX(Tables2!$C$73:$C$152,MATCH($C743,Tables2!$B$73:$B$152,0)),-1)),
Error!$B$44,
IF(AND(_xlpm.baseRow,OR($E743="Tier 2",$E743="Tier 2 Grove"),$C743&lt;&gt;"",$D743&gt;=12,COUNTIF(Tables2!$B$153:$B$162,$C743)&gt;0),
Error!$B$45,
IF(AND(_xlpm.baseRow,$E743="Tier 2 Grove",$D743&lt;12),
Error!$B$41,
IF(AND(_xlpm.baseRow,$E743="Tier 2",$D743&lt;5.88),
Error!$B$40,
IF(AND(_xlpm.baseRow,OR($E743="Tier 2",$E743="Tier 2 Grove"),$C743&lt;&gt;"",$D743&lt;12,$D743&gt;=6,COUNTIF(Tables2!$B$153:$B$162,$C743)&gt;0),
Error!$B$54,
IF(AND(_xlpm.baseRow,$E743="Tier 2",COUNTIF(Tables2!$B$166:$B$674,$C743)&gt;0,$D743&lt;24),
Error!$B$54,
IF(AND(_xlpm.baseRow,$E743="Tier 3",ISNA(MATCH($C743,Tables2!$B$153:$B$162,0)),OR($D743&lt;12,$D743&gt;=24)),
Error!$B$9,
IF(AND(_xlpm.baseRow,$E743="Tier 3",COUNTIF(Tables2!$B$153:$B$162,$C743)&gt;0,$D743&lt;12),
Error!$B$46,
IF(AND(_xlpm.baseRow,$E743="Tier 4",OR($D743&lt;6,$D743&gt;=12)),
Error!$B$10,
IF(AND(_xlpm.baseRow,$E743="&lt;6in DSH for Tree Points",OR($D743&gt;=6,$D743="")),
Error!$B$8,
IF(AND(_xlpm.baseRow,$E743="Street Tree for Green Factor",$F743&lt;&gt;"",$F743&lt;&gt;"Retain"),
Error!$B$14,
IF(AND($E743="&lt;6in DSH for Tree Points",$F743="Retain",$H743&lt;&gt;"",ISNA(MATCH($H743,Tables!$B$174:$B$174,0))),
Error!$B$15,
IF(AND($E743="Street Tree for Green Factor",$F743="Retain",$H743&lt;&gt;"",$H743&lt;&gt;"Zoning: Green Factor"),
Error!$B$15,
IF(AND($E743="ECA / Shoreline Tree",$F743="Remove",$H743&lt;&gt;"",ISNA(MATCH($H743,Tables!$B$189:$B$190,0))),
Error!$B$15,
IF(AND($E743="ECA / Shoreline Tree",$F743="Retain",$H743&lt;&gt;"",ISNA(MATCH($H743,Tables!$B$184:$B$186,0))),
Error!$B$15,
IF(AND($E743="Tier 4",$F743="Remove",$H743&lt;&gt;"",ISNA(MATCH($H743,Tables!$B$171,0))),
Error!$B$15,
IF(AND($E743="Tier 4",$F743="Retain",$H743&lt;&gt;"",ISNA(MATCH($H743,Tables!$B$166:$B$168,0))),
Error!$B$15,
IF(AND($E743="Tier 3",$F743="Retain",$H743&lt;&gt;"",ISNA(MATCH($H743,Tables!$B$158:$B$160,0))),
Error!$B$15,
IF(AND($E743="Tier 3",$F743="Remove",$H743&lt;&gt;"",ISNA(MATCH($H743,Tables!$B$163,0))),
Error!$B$15,
IF(AND(OR($E743="Tier 2",$E743="Tier 2 Grove"),$F743="Remove",$H743&lt;&gt;"",ISNA(MATCH($H743,Tables!$B$153:$B$155,0))),
Error!$B$15,
IF(AND(OR($E743="Tier 2",$E743="Tier 2 Grove"),$F743="Retain",$H743&lt;&gt;"",ISNA(MATCH($H743,Tables!$B$147:$B$150,0))),
Error!$B$15,
IF(AND($E743="Tier 1",$F743="Remove",$H743&lt;&gt;"",ISNA(MATCH($H743,Tables!$B$143:$B$144,0))),
Error!$B$15,
IF(AND($E743="Tier 1",$F743="Retain",$H743&lt;&gt;"",ISNA(MATCH($H743,Tables!$B$137:$B$140,0))),
Error!$B$15,
IF(AND($E743&lt;&gt;"Tier 2",$E743&lt;&gt;"Tier 2 Grove",$E743&lt;&gt;"Tier 3",$E743&lt;&gt;"Tier 4",$H743="Zoning: Green Factor",OR($D743="",$D743&lt;6)),
Error!$B$11,
IF(AND(_xlpm.baseRow,$D743&lt;6,$E743="&lt;6in DSH for Tree Points",_xlpm.TreePoints_H=0),
Error!$B$21,
IF(AND(_xlpm.baseRow,$E743&lt;&gt;"",$D743&lt;&gt;"",$F743=""),
Error!$B$4,
IF(AND(_xlpm.baseRow,$F743="Remove",OR($E743="Tier 1",$E743="Tier 2",$E743="Tier 2 Grove"),COUNTBLANK(_xlpm.HRange)&lt;3,_xlpm.uniqueH&gt;=2),
Error!$B$48,
IF(AND(_xlpm.baseRow,$F743="Retain",OR($E743="Tier 1",$E743="Tier 2",$E743="Tier 2 Grove"),COUNTIF(_xlpm.HRange,"Tree Code: Required to Retain Tier 1-2 Tree")=0),
Error!$B$47,
IF(AND(_xlpm.baseRow,$E743&lt;&gt;"",$D743&lt;&gt;"",$F743&lt;&gt;"",COUNTBLANK(_xlpm.HRange)=4),
Error!$B$5,
IF(AND($F743="Remove",$H743&lt;&gt;"",$I743=""),
Error!$B$18,
IF(AND($E743="Tier 4",$F743="Remove",$H743="Tree Protection Code: Tier 3 or Tier 4 Allowance",$H743&lt;&gt;"",ISNA(MATCH($I743,Tables!$B$200,0))),
Error!$B$17,
IF(AND($E743="Tier 3",$F743="Remove",$H743&lt;&gt;"",$H743="Tree Protection Code: Tier 3 or Tier 4 Allowance",OR($I743="",ISNA(MATCH($I743,Tables!$B$193:$B$197,0)))),
Error!$B$17,
IF(AND(OR($E743="Tier 2",$E743="Tier 2 Grove"),$F743="Remove",$H743="Tree Protection Code: Other removal allowance or exemption",$I743&lt;&gt;"",ISNA(MATCH($I743,Tables!$B$215:$B$218,0))),
Error!$B$17,
IF(AND(OR($E743="Tier 2",$E743="Tier 2 Grove"),$F743="Remove",$H743="Tree Protection Code: Development Capacity",$I743&lt;&gt;"",ISNA(MATCH($I743,Tables!$B$193:$B$197,0))),
Error!$B$17,
IF(AND(OR($E743="Tier 2",$E743="Tier 2 Grove"),$F743="Remove",$H743="Tree Protection Code: Necessary for Construction",$I743&lt;&gt;"",ISNA(MATCH($I743,Tables!$B$193:$B$197,0))),
Error!$B$17,
IF(AND($E743="Tier 1",$F743="Remove",$H743="Tree Protection Code: Special Exception",$I743&lt;&gt;"",ISNA(MATCH($I743,Tables!$B$215:$B$218,0))),
Error!$B$17,
IF(AND($E743="Tier 1",$F743="Remove",$H743="Tree Protection Code: Other removal allowance or exemption",$I743&lt;&gt;"",ISNA(MATCH($I743,Tables!$B$215:$B$218,0))),
Error!$B$17,
IF(AND($E743="ECA / Shoreline Tree",$F743="Remove",$H743&lt;&gt;"",OR($H743="Shoreline",$H743="Environmental Critical Area (ECA)"),ISNA(MATCH($I743,Tables!$B$209:$B$212,0))),
Error!$B$17,
IF(AND(_xlpm.baseRow,$F743="Retain",$E743="ECA / Shoreline Tree",_xlpm.ECA_Short=0),
Error!$B$61,
IF(AND($F743="Remove",ISNUMBER(MATCH($E743,{"Tier 1","Tier 2","Tier 3","Tier 4","Tier 2 Grove"},0)),ISNUMBER(MATCH($I743,{"On-site replacement","Off-site replacement"},0)),$J743="",$H743&lt;&gt;""),
Error!$B$19,
IF(AND(_xlpm.baseRow,$E743&lt;&gt;"",$D743&lt;&gt;"",$F743&lt;&gt;"",COUNTBLANK($B743:$C743)&gt;0,COUNTBLANK(_xlpm.HRange)&lt;&gt;4),
Error!$B$22,
IF(AND($H743="Zoning: Tree Points",$K743&lt;&gt;"",ISNA(MATCH($K743,Tables!$B$242:$B$253,0))),
Error!$B$58,
IF(AND($H743="Zoning: Tree Points",$K743="Small",$L743&lt;&gt;"",ISNA(MATCH($L743,Tables!$C$243:$C$244,0))),
Error!$B$59,
IF(AND($H743="Zoning: Tree Points",$K743="Small/Medium",$L743&lt;&gt;"",ISNA(MATCH($L743,Tables!$C$246:$C$247,0))),
Error!$B$59,
IF(AND($H743="Zoning: Tree Points",$K743="Medium/Large",$L743&lt;&gt;"",ISNA(MATCH($L743,Tables!$C$249:$C$250,0))),
Error!$B$59,
IF(AND($H743="Zoning: Tree Points",$K743="Large",$L743&lt;&gt;"",ISNA(MATCH($L743,Tables!$C$252:$C$253,0))),
Error!$B$59,
IF(AND($F743="Retain",$H743="Zoning: Tree Points",$C743&lt;&gt;"",$D743&lt;&gt;"",OR($K743="",$L743="",$M743="")),
Error!$B$20,
""
)))))))))))))))))))))))))))))))))))))))))))))))))))))))),
Error!$B$23))</f>
        <v/>
      </c>
      <c r="O743" s="343" t="str" cm="1">
        <f t="array" aca="1" ref="O743" ca="1">IFERROR(_xlfn.LET(
    _xlpm.txt, $C743,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44" spans="1:15" x14ac:dyDescent="0.3">
      <c r="A744" s="320"/>
      <c r="B744" s="616" t="str">
        <f t="shared" ref="B744:B746" si="882">IF($B743="", "", $B743)</f>
        <v/>
      </c>
      <c r="C744" s="617" t="str">
        <f t="shared" ref="C744:C746" si="883">IF($C743="", "", $C743)</f>
        <v/>
      </c>
      <c r="D744" s="618" t="str">
        <f t="shared" ref="D744:D746" si="884">IF($D743="", "", $D743)</f>
        <v/>
      </c>
      <c r="E744" s="616" t="str">
        <f t="shared" ref="E744:E746" si="885">IF($E743="", "", $E743)</f>
        <v/>
      </c>
      <c r="F744" s="616" t="str">
        <f t="shared" ref="F744:F746" si="886">IF($F743="", "", $F743)</f>
        <v/>
      </c>
      <c r="G744" s="619" t="str">
        <f>IF(Tree_Table1[[#This Row],[Tree Status  &amp;]]="Retain", Tables!$B$237, IF(Tree_Table1[[#This Row],[Tree Status  &amp;]]="Remove", Tables!$B$238, ""))</f>
        <v/>
      </c>
      <c r="H744" s="321"/>
      <c r="I744" s="322"/>
      <c r="J744" s="453"/>
      <c r="K744" s="323" t="str">
        <f>IFERROR(
    IF(
        AND($H744="Zoning: Tree Points", NOT(ISNUMBER(SEARCH("sp.", $C744)))),
        VLOOKUP($C744, 'Tree List'!$C$3:$F$601, 4, FALSE),
        ""
    ),
"")</f>
        <v/>
      </c>
      <c r="L744" s="324" t="str" cm="1">
        <f t="array" ref="L744">IFERROR(
IF(
    AND($H744="Zoning: Tree Points", NOT(ISNUMBER(SEARCH("sp.", $C744)))),
    _xlfn.IFS(
        (COUNTIFS('Tree List'!$C$3:$C$601,$C744,'Tree List'!$D$3:$D$601,"Coniferous")
        + COUNTIFS('Tree List'!$C$3:$C$601,$C744,'Tree List'!$D$3:$D$601,"Deciduous Conifer")) &gt; 0,
            _xlfn.IFS($K744="Small",0.5,$K744="Small/Medium",1,$K744="Medium/Large",1.4,$K744="Large",1.8),
        (COUNTIFS('Tree List'!$C$3:$C$601,$C744,'Tree List'!$D$3:$D$601,"Deciduous")
        + COUNTIFS('Tree List'!$C$3:$C$601,$C744,'Tree List'!$D$3:$D$601,"Broadleaf Evergreen")) &gt; 0,
            _xlfn.IFS($K744="Small",0.4,$K744="Small/Medium",0.8,$K744="Medium/Large",1.2,$K744="Large",1.6)
    ),
    ""
),
"")</f>
        <v/>
      </c>
      <c r="M744" s="475" t="str">
        <f t="shared" si="816"/>
        <v/>
      </c>
      <c r="N744" s="346" t="str" cm="1">
        <f t="array" aca="1" ref="N74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IF(AND(_xlpm.baseRow,ISNA(MATCH($C744,'Tree List'!$C$3:$C$601,0)),SUMPRODUCT(--ISNUMBER(SEARCH(Tables2!$C$677:$C$772,$O744)))&gt;0),
Error!$B$57,
IF(AND(_xlpm.hasDM,$F744="Remove",$H744&lt;&gt;"",OR($I744="On-site replacement",$I744="Off-site replacement",$I744="Payment In Lieu")),
Error!$B$56,
IF(AND(_xlpm.hasDM,$F744="Remove",$H744&lt;&gt;"",$I744="Relocation"),
Error!$B$66,
IF(AND(OR(_xlpm.hasCN,_xlpm.hasPH,_xlpm.hasGR),$H744&lt;&gt;"",COUNTIF(Tables!$B$132:$B$134,$H744)&gt;0,$I744="N/A (No replacement required)"),
Error!$B$62,
IF(AND(_xlpm.baseRow,$E744&lt;&gt;"",ISNA(MATCH($E744,Tables!$B$225:$B$232,0))),
Error!$B$2,
IF(AND(_xlpm.baseRow,$F744&lt;&gt;"",ISNA(MATCH($F744,Tables!$B$234:$B$235,0))),
Error!$B$24,
IF(AND(_xlpm.baseRow,_xlpm.ECA_H&gt;0,_xlpm.Shore_H&gt;0),
Error!$B$16,
IF(AND(_xlpm.baseRow,$E744&lt;&gt;"",$D744=""),
Error!$B$3,
IF(AND(_xlpm.baseRow,OR($E744="Tier 3",$E744="Tier 4"),$C744&lt;&gt;"",$D744&gt;=24,COUNTIF(Tables2!$B$166:$B$674,$C744)&gt;0),
Error!$B$44,
IF(AND(_xlpm.baseRow,OR($E744="Tier 3",$E744="Tier 4"),$C744&lt;&gt;"",$D744&lt;&gt;"",COUNTIF(Tables2!$B$73:$B$152,$C744)&gt;0,
$D744&gt;=IFERROR(INDEX(Tables2!$C$73:$C$152,MATCH($C744,Tables2!$B$73:$B$152,0)),-1)),
Error!$B$44,
IF(AND(_xlpm.baseRow,OR($E744="Tier 2",$E744="Tier 2 Grove"),$C744&lt;&gt;"",$D744&gt;=12,COUNTIF(Tables2!$B$153:$B$162,$C744)&gt;0),
Error!$B$45,
IF(AND(_xlpm.baseRow,$E744="Tier 2 Grove",$D744&lt;12),
Error!$B$41,
IF(AND(_xlpm.baseRow,$E744="Tier 2",$D744&lt;5.88),
Error!$B$40,
IF(AND(_xlpm.baseRow,OR($E744="Tier 2",$E744="Tier 2 Grove"),$C744&lt;&gt;"",$D744&lt;12,$D744&gt;=6,COUNTIF(Tables2!$B$153:$B$162,$C744)&gt;0),
Error!$B$54,
IF(AND(_xlpm.baseRow,$E744="Tier 2",COUNTIF(Tables2!$B$166:$B$674,$C744)&gt;0,$D744&lt;24),
Error!$B$54,
IF(AND(_xlpm.baseRow,$E744="Tier 3",ISNA(MATCH($C744,Tables2!$B$153:$B$162,0)),OR($D744&lt;12,$D744&gt;=24)),
Error!$B$9,
IF(AND(_xlpm.baseRow,$E744="Tier 3",COUNTIF(Tables2!$B$153:$B$162,$C744)&gt;0,$D744&lt;12),
Error!$B$46,
IF(AND(_xlpm.baseRow,$E744="Tier 4",OR($D744&lt;6,$D744&gt;=12)),
Error!$B$10,
IF(AND(_xlpm.baseRow,$E744="&lt;6in DSH for Tree Points",OR($D744&gt;=6,$D744="")),
Error!$B$8,
IF(AND(_xlpm.baseRow,$E744="Street Tree for Green Factor",$F744&lt;&gt;"",$F744&lt;&gt;"Retain"),
Error!$B$14,
IF(AND($E744="&lt;6in DSH for Tree Points",$F744="Retain",$H744&lt;&gt;"",ISNA(MATCH($H744,Tables!$B$174:$B$174,0))),
Error!$B$15,
IF(AND($E744="Street Tree for Green Factor",$F744="Retain",$H744&lt;&gt;"",$H744&lt;&gt;"Zoning: Green Factor"),
Error!$B$15,
IF(AND($E744="ECA / Shoreline Tree",$F744="Remove",$H744&lt;&gt;"",ISNA(MATCH($H744,Tables!$B$189:$B$190,0))),
Error!$B$15,
IF(AND($E744="ECA / Shoreline Tree",$F744="Retain",$H744&lt;&gt;"",ISNA(MATCH($H744,Tables!$B$184:$B$186,0))),
Error!$B$15,
IF(AND($E744="Tier 4",$F744="Remove",$H744&lt;&gt;"",ISNA(MATCH($H744,Tables!$B$171,0))),
Error!$B$15,
IF(AND($E744="Tier 4",$F744="Retain",$H744&lt;&gt;"",ISNA(MATCH($H744,Tables!$B$166:$B$168,0))),
Error!$B$15,
IF(AND($E744="Tier 3",$F744="Retain",$H744&lt;&gt;"",ISNA(MATCH($H744,Tables!$B$158:$B$160,0))),
Error!$B$15,
IF(AND($E744="Tier 3",$F744="Remove",$H744&lt;&gt;"",ISNA(MATCH($H744,Tables!$B$163,0))),
Error!$B$15,
IF(AND(OR($E744="Tier 2",$E744="Tier 2 Grove"),$F744="Remove",$H744&lt;&gt;"",ISNA(MATCH($H744,Tables!$B$153:$B$155,0))),
Error!$B$15,
IF(AND(OR($E744="Tier 2",$E744="Tier 2 Grove"),$F744="Retain",$H744&lt;&gt;"",ISNA(MATCH($H744,Tables!$B$147:$B$150,0))),
Error!$B$15,
IF(AND($E744="Tier 1",$F744="Remove",$H744&lt;&gt;"",ISNA(MATCH($H744,Tables!$B$143:$B$144,0))),
Error!$B$15,
IF(AND($E744="Tier 1",$F744="Retain",$H744&lt;&gt;"",ISNA(MATCH($H744,Tables!$B$137:$B$140,0))),
Error!$B$15,
IF(AND($E744&lt;&gt;"Tier 2",$E744&lt;&gt;"Tier 2 Grove",$E744&lt;&gt;"Tier 3",$E744&lt;&gt;"Tier 4",$H744="Zoning: Green Factor",OR($D744="",$D744&lt;6)),
Error!$B$11,
IF(AND(_xlpm.baseRow,$D744&lt;6,$E744="&lt;6in DSH for Tree Points",_xlpm.TreePoints_H=0),
Error!$B$21,
IF(AND(_xlpm.baseRow,$E744&lt;&gt;"",$D744&lt;&gt;"",$F744=""),
Error!$B$4,
IF(AND(_xlpm.baseRow,$F744="Remove",OR($E744="Tier 1",$E744="Tier 2",$E744="Tier 2 Grove"),COUNTBLANK(_xlpm.HRange)&lt;3,_xlpm.uniqueH&gt;=2),
Error!$B$48,
IF(AND(_xlpm.baseRow,$F744="Retain",OR($E744="Tier 1",$E744="Tier 2",$E744="Tier 2 Grove"),COUNTIF(_xlpm.HRange,"Tree Code: Required to Retain Tier 1-2 Tree")=0),
Error!$B$47,
IF(AND(_xlpm.baseRow,$E744&lt;&gt;"",$D744&lt;&gt;"",$F744&lt;&gt;"",COUNTBLANK(_xlpm.HRange)=4),
Error!$B$5,
IF(AND($F744="Remove",$H744&lt;&gt;"",$I744=""),
Error!$B$18,
IF(AND($E744="Tier 4",$F744="Remove",$H744="Tree Protection Code: Tier 3 or Tier 4 Allowance",$H744&lt;&gt;"",ISNA(MATCH($I744,Tables!$B$200,0))),
Error!$B$17,
IF(AND($E744="Tier 3",$F744="Remove",$H744&lt;&gt;"",$H744="Tree Protection Code: Tier 3 or Tier 4 Allowance",OR($I744="",ISNA(MATCH($I744,Tables!$B$193:$B$197,0)))),
Error!$B$17,
IF(AND(OR($E744="Tier 2",$E744="Tier 2 Grove"),$F744="Remove",$H744="Tree Protection Code: Other removal allowance or exemption",$I744&lt;&gt;"",ISNA(MATCH($I744,Tables!$B$215:$B$218,0))),
Error!$B$17,
IF(AND(OR($E744="Tier 2",$E744="Tier 2 Grove"),$F744="Remove",$H744="Tree Protection Code: Development Capacity",$I744&lt;&gt;"",ISNA(MATCH($I744,Tables!$B$193:$B$197,0))),
Error!$B$17,
IF(AND(OR($E744="Tier 2",$E744="Tier 2 Grove"),$F744="Remove",$H744="Tree Protection Code: Necessary for Construction",$I744&lt;&gt;"",ISNA(MATCH($I744,Tables!$B$193:$B$197,0))),
Error!$B$17,
IF(AND($E744="Tier 1",$F744="Remove",$H744="Tree Protection Code: Special Exception",$I744&lt;&gt;"",ISNA(MATCH($I744,Tables!$B$215:$B$218,0))),
Error!$B$17,
IF(AND($E744="Tier 1",$F744="Remove",$H744="Tree Protection Code: Other removal allowance or exemption",$I744&lt;&gt;"",ISNA(MATCH($I744,Tables!$B$215:$B$218,0))),
Error!$B$17,
IF(AND($E744="ECA / Shoreline Tree",$F744="Remove",$H744&lt;&gt;"",OR($H744="Shoreline",$H744="Environmental Critical Area (ECA)"),ISNA(MATCH($I744,Tables!$B$209:$B$212,0))),
Error!$B$17,
IF(AND(_xlpm.baseRow,$F744="Retain",$E744="ECA / Shoreline Tree",_xlpm.ECA_Short=0),
Error!$B$61,
IF(AND($F744="Remove",ISNUMBER(MATCH($E744,{"Tier 1","Tier 2","Tier 3","Tier 4","Tier 2 Grove"},0)),ISNUMBER(MATCH($I744,{"On-site replacement","Off-site replacement"},0)),$J744="",$H744&lt;&gt;""),
Error!$B$19,
IF(AND(_xlpm.baseRow,$E744&lt;&gt;"",$D744&lt;&gt;"",$F744&lt;&gt;"",COUNTBLANK($B744:$C744)&gt;0,COUNTBLANK(_xlpm.HRange)&lt;&gt;4),
Error!$B$22,
IF(AND($H744="Zoning: Tree Points",$K744&lt;&gt;"",ISNA(MATCH($K744,Tables!$B$242:$B$253,0))),
Error!$B$58,
IF(AND($H744="Zoning: Tree Points",$K744="Small",$L744&lt;&gt;"",ISNA(MATCH($L744,Tables!$C$243:$C$244,0))),
Error!$B$59,
IF(AND($H744="Zoning: Tree Points",$K744="Small/Medium",$L744&lt;&gt;"",ISNA(MATCH($L744,Tables!$C$246:$C$247,0))),
Error!$B$59,
IF(AND($H744="Zoning: Tree Points",$K744="Medium/Large",$L744&lt;&gt;"",ISNA(MATCH($L744,Tables!$C$249:$C$250,0))),
Error!$B$59,
IF(AND($H744="Zoning: Tree Points",$K744="Large",$L744&lt;&gt;"",ISNA(MATCH($L744,Tables!$C$252:$C$253,0))),
Error!$B$59,
IF(AND($F744="Retain",$H744="Zoning: Tree Points",$C744&lt;&gt;"",$D744&lt;&gt;"",OR($K744="",$L744="",$M744="")),
Error!$B$20,
""
)))))))))))))))))))))))))))))))))))))))))))))))))))))))),
Error!$B$23))</f>
        <v/>
      </c>
      <c r="O744" s="343" t="str" cm="1">
        <f t="array" aca="1" ref="O744" ca="1">IFERROR(_xlfn.LET(
    _xlpm.txt, $C744,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45" spans="1:15" x14ac:dyDescent="0.3">
      <c r="A745" s="320"/>
      <c r="B745" s="616" t="str">
        <f t="shared" si="882"/>
        <v/>
      </c>
      <c r="C745" s="617" t="str">
        <f t="shared" si="883"/>
        <v/>
      </c>
      <c r="D745" s="618" t="str">
        <f t="shared" si="884"/>
        <v/>
      </c>
      <c r="E745" s="616" t="str">
        <f t="shared" si="885"/>
        <v/>
      </c>
      <c r="F745" s="616" t="str">
        <f t="shared" si="886"/>
        <v/>
      </c>
      <c r="G745" s="619" t="str">
        <f>IF(Tree_Table1[[#This Row],[Tree Status  &amp;]]="Retain", Tables!$B$237, IF(Tree_Table1[[#This Row],[Tree Status  &amp;]]="Remove", Tables!$B$238, ""))</f>
        <v/>
      </c>
      <c r="H745" s="321"/>
      <c r="I745" s="322"/>
      <c r="J745" s="453"/>
      <c r="K745" s="323" t="str">
        <f>IFERROR(
    IF(
        AND($H745="Zoning: Tree Points", NOT(ISNUMBER(SEARCH("sp.", $C745)))),
        VLOOKUP($C745, 'Tree List'!$C$3:$F$601, 4, FALSE),
        ""
    ),
"")</f>
        <v/>
      </c>
      <c r="L745" s="324" t="str" cm="1">
        <f t="array" ref="L745">IFERROR(
IF(
    AND($H745="Zoning: Tree Points", NOT(ISNUMBER(SEARCH("sp.", $C745)))),
    _xlfn.IFS(
        (COUNTIFS('Tree List'!$C$3:$C$601,$C745,'Tree List'!$D$3:$D$601,"Coniferous")
        + COUNTIFS('Tree List'!$C$3:$C$601,$C745,'Tree List'!$D$3:$D$601,"Deciduous Conifer")) &gt; 0,
            _xlfn.IFS($K745="Small",0.5,$K745="Small/Medium",1,$K745="Medium/Large",1.4,$K745="Large",1.8),
        (COUNTIFS('Tree List'!$C$3:$C$601,$C745,'Tree List'!$D$3:$D$601,"Deciduous")
        + COUNTIFS('Tree List'!$C$3:$C$601,$C745,'Tree List'!$D$3:$D$601,"Broadleaf Evergreen")) &gt; 0,
            _xlfn.IFS($K745="Small",0.4,$K745="Small/Medium",0.8,$K745="Medium/Large",1.2,$K745="Large",1.6)
    ),
    ""
),
"")</f>
        <v/>
      </c>
      <c r="M745" s="475" t="str">
        <f t="shared" si="816"/>
        <v/>
      </c>
      <c r="N745" s="346" t="str" cm="1">
        <f t="array" aca="1" ref="N74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IF(AND(_xlpm.baseRow,ISNA(MATCH($C745,'Tree List'!$C$3:$C$601,0)),SUMPRODUCT(--ISNUMBER(SEARCH(Tables2!$C$677:$C$772,$O745)))&gt;0),
Error!$B$57,
IF(AND(_xlpm.hasDM,$F745="Remove",$H745&lt;&gt;"",OR($I745="On-site replacement",$I745="Off-site replacement",$I745="Payment In Lieu")),
Error!$B$56,
IF(AND(_xlpm.hasDM,$F745="Remove",$H745&lt;&gt;"",$I745="Relocation"),
Error!$B$66,
IF(AND(OR(_xlpm.hasCN,_xlpm.hasPH,_xlpm.hasGR),$H745&lt;&gt;"",COUNTIF(Tables!$B$132:$B$134,$H745)&gt;0,$I745="N/A (No replacement required)"),
Error!$B$62,
IF(AND(_xlpm.baseRow,$E745&lt;&gt;"",ISNA(MATCH($E745,Tables!$B$225:$B$232,0))),
Error!$B$2,
IF(AND(_xlpm.baseRow,$F745&lt;&gt;"",ISNA(MATCH($F745,Tables!$B$234:$B$235,0))),
Error!$B$24,
IF(AND(_xlpm.baseRow,_xlpm.ECA_H&gt;0,_xlpm.Shore_H&gt;0),
Error!$B$16,
IF(AND(_xlpm.baseRow,$E745&lt;&gt;"",$D745=""),
Error!$B$3,
IF(AND(_xlpm.baseRow,OR($E745="Tier 3",$E745="Tier 4"),$C745&lt;&gt;"",$D745&gt;=24,COUNTIF(Tables2!$B$166:$B$674,$C745)&gt;0),
Error!$B$44,
IF(AND(_xlpm.baseRow,OR($E745="Tier 3",$E745="Tier 4"),$C745&lt;&gt;"",$D745&lt;&gt;"",COUNTIF(Tables2!$B$73:$B$152,$C745)&gt;0,
$D745&gt;=IFERROR(INDEX(Tables2!$C$73:$C$152,MATCH($C745,Tables2!$B$73:$B$152,0)),-1)),
Error!$B$44,
IF(AND(_xlpm.baseRow,OR($E745="Tier 2",$E745="Tier 2 Grove"),$C745&lt;&gt;"",$D745&gt;=12,COUNTIF(Tables2!$B$153:$B$162,$C745)&gt;0),
Error!$B$45,
IF(AND(_xlpm.baseRow,$E745="Tier 2 Grove",$D745&lt;12),
Error!$B$41,
IF(AND(_xlpm.baseRow,$E745="Tier 2",$D745&lt;5.88),
Error!$B$40,
IF(AND(_xlpm.baseRow,OR($E745="Tier 2",$E745="Tier 2 Grove"),$C745&lt;&gt;"",$D745&lt;12,$D745&gt;=6,COUNTIF(Tables2!$B$153:$B$162,$C745)&gt;0),
Error!$B$54,
IF(AND(_xlpm.baseRow,$E745="Tier 2",COUNTIF(Tables2!$B$166:$B$674,$C745)&gt;0,$D745&lt;24),
Error!$B$54,
IF(AND(_xlpm.baseRow,$E745="Tier 3",ISNA(MATCH($C745,Tables2!$B$153:$B$162,0)),OR($D745&lt;12,$D745&gt;=24)),
Error!$B$9,
IF(AND(_xlpm.baseRow,$E745="Tier 3",COUNTIF(Tables2!$B$153:$B$162,$C745)&gt;0,$D745&lt;12),
Error!$B$46,
IF(AND(_xlpm.baseRow,$E745="Tier 4",OR($D745&lt;6,$D745&gt;=12)),
Error!$B$10,
IF(AND(_xlpm.baseRow,$E745="&lt;6in DSH for Tree Points",OR($D745&gt;=6,$D745="")),
Error!$B$8,
IF(AND(_xlpm.baseRow,$E745="Street Tree for Green Factor",$F745&lt;&gt;"",$F745&lt;&gt;"Retain"),
Error!$B$14,
IF(AND($E745="&lt;6in DSH for Tree Points",$F745="Retain",$H745&lt;&gt;"",ISNA(MATCH($H745,Tables!$B$174:$B$174,0))),
Error!$B$15,
IF(AND($E745="Street Tree for Green Factor",$F745="Retain",$H745&lt;&gt;"",$H745&lt;&gt;"Zoning: Green Factor"),
Error!$B$15,
IF(AND($E745="ECA / Shoreline Tree",$F745="Remove",$H745&lt;&gt;"",ISNA(MATCH($H745,Tables!$B$189:$B$190,0))),
Error!$B$15,
IF(AND($E745="ECA / Shoreline Tree",$F745="Retain",$H745&lt;&gt;"",ISNA(MATCH($H745,Tables!$B$184:$B$186,0))),
Error!$B$15,
IF(AND($E745="Tier 4",$F745="Remove",$H745&lt;&gt;"",ISNA(MATCH($H745,Tables!$B$171,0))),
Error!$B$15,
IF(AND($E745="Tier 4",$F745="Retain",$H745&lt;&gt;"",ISNA(MATCH($H745,Tables!$B$166:$B$168,0))),
Error!$B$15,
IF(AND($E745="Tier 3",$F745="Retain",$H745&lt;&gt;"",ISNA(MATCH($H745,Tables!$B$158:$B$160,0))),
Error!$B$15,
IF(AND($E745="Tier 3",$F745="Remove",$H745&lt;&gt;"",ISNA(MATCH($H745,Tables!$B$163,0))),
Error!$B$15,
IF(AND(OR($E745="Tier 2",$E745="Tier 2 Grove"),$F745="Remove",$H745&lt;&gt;"",ISNA(MATCH($H745,Tables!$B$153:$B$155,0))),
Error!$B$15,
IF(AND(OR($E745="Tier 2",$E745="Tier 2 Grove"),$F745="Retain",$H745&lt;&gt;"",ISNA(MATCH($H745,Tables!$B$147:$B$150,0))),
Error!$B$15,
IF(AND($E745="Tier 1",$F745="Remove",$H745&lt;&gt;"",ISNA(MATCH($H745,Tables!$B$143:$B$144,0))),
Error!$B$15,
IF(AND($E745="Tier 1",$F745="Retain",$H745&lt;&gt;"",ISNA(MATCH($H745,Tables!$B$137:$B$140,0))),
Error!$B$15,
IF(AND($E745&lt;&gt;"Tier 2",$E745&lt;&gt;"Tier 2 Grove",$E745&lt;&gt;"Tier 3",$E745&lt;&gt;"Tier 4",$H745="Zoning: Green Factor",OR($D745="",$D745&lt;6)),
Error!$B$11,
IF(AND(_xlpm.baseRow,$D745&lt;6,$E745="&lt;6in DSH for Tree Points",_xlpm.TreePoints_H=0),
Error!$B$21,
IF(AND(_xlpm.baseRow,$E745&lt;&gt;"",$D745&lt;&gt;"",$F745=""),
Error!$B$4,
IF(AND(_xlpm.baseRow,$F745="Remove",OR($E745="Tier 1",$E745="Tier 2",$E745="Tier 2 Grove"),COUNTBLANK(_xlpm.HRange)&lt;3,_xlpm.uniqueH&gt;=2),
Error!$B$48,
IF(AND(_xlpm.baseRow,$F745="Retain",OR($E745="Tier 1",$E745="Tier 2",$E745="Tier 2 Grove"),COUNTIF(_xlpm.HRange,"Tree Code: Required to Retain Tier 1-2 Tree")=0),
Error!$B$47,
IF(AND(_xlpm.baseRow,$E745&lt;&gt;"",$D745&lt;&gt;"",$F745&lt;&gt;"",COUNTBLANK(_xlpm.HRange)=4),
Error!$B$5,
IF(AND($F745="Remove",$H745&lt;&gt;"",$I745=""),
Error!$B$18,
IF(AND($E745="Tier 4",$F745="Remove",$H745="Tree Protection Code: Tier 3 or Tier 4 Allowance",$H745&lt;&gt;"",ISNA(MATCH($I745,Tables!$B$200,0))),
Error!$B$17,
IF(AND($E745="Tier 3",$F745="Remove",$H745&lt;&gt;"",$H745="Tree Protection Code: Tier 3 or Tier 4 Allowance",OR($I745="",ISNA(MATCH($I745,Tables!$B$193:$B$197,0)))),
Error!$B$17,
IF(AND(OR($E745="Tier 2",$E745="Tier 2 Grove"),$F745="Remove",$H745="Tree Protection Code: Other removal allowance or exemption",$I745&lt;&gt;"",ISNA(MATCH($I745,Tables!$B$215:$B$218,0))),
Error!$B$17,
IF(AND(OR($E745="Tier 2",$E745="Tier 2 Grove"),$F745="Remove",$H745="Tree Protection Code: Development Capacity",$I745&lt;&gt;"",ISNA(MATCH($I745,Tables!$B$193:$B$197,0))),
Error!$B$17,
IF(AND(OR($E745="Tier 2",$E745="Tier 2 Grove"),$F745="Remove",$H745="Tree Protection Code: Necessary for Construction",$I745&lt;&gt;"",ISNA(MATCH($I745,Tables!$B$193:$B$197,0))),
Error!$B$17,
IF(AND($E745="Tier 1",$F745="Remove",$H745="Tree Protection Code: Special Exception",$I745&lt;&gt;"",ISNA(MATCH($I745,Tables!$B$215:$B$218,0))),
Error!$B$17,
IF(AND($E745="Tier 1",$F745="Remove",$H745="Tree Protection Code: Other removal allowance or exemption",$I745&lt;&gt;"",ISNA(MATCH($I745,Tables!$B$215:$B$218,0))),
Error!$B$17,
IF(AND($E745="ECA / Shoreline Tree",$F745="Remove",$H745&lt;&gt;"",OR($H745="Shoreline",$H745="Environmental Critical Area (ECA)"),ISNA(MATCH($I745,Tables!$B$209:$B$212,0))),
Error!$B$17,
IF(AND(_xlpm.baseRow,$F745="Retain",$E745="ECA / Shoreline Tree",_xlpm.ECA_Short=0),
Error!$B$61,
IF(AND($F745="Remove",ISNUMBER(MATCH($E745,{"Tier 1","Tier 2","Tier 3","Tier 4","Tier 2 Grove"},0)),ISNUMBER(MATCH($I745,{"On-site replacement","Off-site replacement"},0)),$J745="",$H745&lt;&gt;""),
Error!$B$19,
IF(AND(_xlpm.baseRow,$E745&lt;&gt;"",$D745&lt;&gt;"",$F745&lt;&gt;"",COUNTBLANK($B745:$C745)&gt;0,COUNTBLANK(_xlpm.HRange)&lt;&gt;4),
Error!$B$22,
IF(AND($H745="Zoning: Tree Points",$K745&lt;&gt;"",ISNA(MATCH($K745,Tables!$B$242:$B$253,0))),
Error!$B$58,
IF(AND($H745="Zoning: Tree Points",$K745="Small",$L745&lt;&gt;"",ISNA(MATCH($L745,Tables!$C$243:$C$244,0))),
Error!$B$59,
IF(AND($H745="Zoning: Tree Points",$K745="Small/Medium",$L745&lt;&gt;"",ISNA(MATCH($L745,Tables!$C$246:$C$247,0))),
Error!$B$59,
IF(AND($H745="Zoning: Tree Points",$K745="Medium/Large",$L745&lt;&gt;"",ISNA(MATCH($L745,Tables!$C$249:$C$250,0))),
Error!$B$59,
IF(AND($H745="Zoning: Tree Points",$K745="Large",$L745&lt;&gt;"",ISNA(MATCH($L745,Tables!$C$252:$C$253,0))),
Error!$B$59,
IF(AND($F745="Retain",$H745="Zoning: Tree Points",$C745&lt;&gt;"",$D745&lt;&gt;"",OR($K745="",$L745="",$M745="")),
Error!$B$20,
""
)))))))))))))))))))))))))))))))))))))))))))))))))))))))),
Error!$B$23))</f>
        <v/>
      </c>
      <c r="O745" s="343" t="str" cm="1">
        <f t="array" aca="1" ref="O745" ca="1">IFERROR(_xlfn.LET(
    _xlpm.txt, $C745,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46" spans="1:15" ht="15" thickBot="1" x14ac:dyDescent="0.35">
      <c r="A746" s="331"/>
      <c r="B746" s="616" t="str">
        <f t="shared" si="882"/>
        <v/>
      </c>
      <c r="C746" s="617" t="str">
        <f t="shared" si="883"/>
        <v/>
      </c>
      <c r="D746" s="618" t="str">
        <f t="shared" si="884"/>
        <v/>
      </c>
      <c r="E746" s="616" t="str">
        <f t="shared" si="885"/>
        <v/>
      </c>
      <c r="F746" s="616" t="str">
        <f t="shared" si="886"/>
        <v/>
      </c>
      <c r="G746" s="619" t="str">
        <f>IF(Tree_Table1[[#This Row],[Tree Status  &amp;]]="Retain", Tables!$B$237, IF(Tree_Table1[[#This Row],[Tree Status  &amp;]]="Remove", Tables!$B$238, ""))</f>
        <v/>
      </c>
      <c r="H746" s="329"/>
      <c r="I746" s="330"/>
      <c r="J746" s="455"/>
      <c r="K746" s="327" t="str">
        <f>IFERROR(
    IF(
        AND($H746="Zoning: Tree Points", NOT(ISNUMBER(SEARCH("sp.", $C746)))),
        VLOOKUP($C746, 'Tree List'!$C$3:$F$601, 4, FALSE),
        ""
    ),
"")</f>
        <v/>
      </c>
      <c r="L746" s="328" t="str" cm="1">
        <f t="array" ref="L746">IFERROR(
IF(
    AND($H746="Zoning: Tree Points", NOT(ISNUMBER(SEARCH("sp.", $C746)))),
    _xlfn.IFS(
        (COUNTIFS('Tree List'!$C$3:$C$601,$C746,'Tree List'!$D$3:$D$601,"Coniferous")
        + COUNTIFS('Tree List'!$C$3:$C$601,$C746,'Tree List'!$D$3:$D$601,"Deciduous Conifer")) &gt; 0,
            _xlfn.IFS($K746="Small",0.5,$K746="Small/Medium",1,$K746="Medium/Large",1.4,$K746="Large",1.8),
        (COUNTIFS('Tree List'!$C$3:$C$601,$C746,'Tree List'!$D$3:$D$601,"Deciduous")
        + COUNTIFS('Tree List'!$C$3:$C$601,$C746,'Tree List'!$D$3:$D$601,"Broadleaf Evergreen")) &gt; 0,
            _xlfn.IFS($K746="Small",0.4,$K746="Small/Medium",0.8,$K746="Medium/Large",1.2,$K746="Large",1.6)
    ),
    ""
),
"")</f>
        <v/>
      </c>
      <c r="M746" s="476" t="str">
        <f t="shared" si="816"/>
        <v/>
      </c>
      <c r="N746" s="347" t="str" cm="1">
        <f t="array" aca="1" ref="N74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IF(AND(_xlpm.baseRow,ISNA(MATCH($C746,'Tree List'!$C$3:$C$601,0)),SUMPRODUCT(--ISNUMBER(SEARCH(Tables2!$C$677:$C$772,$O746)))&gt;0),
Error!$B$57,
IF(AND(_xlpm.hasDM,$F746="Remove",$H746&lt;&gt;"",OR($I746="On-site replacement",$I746="Off-site replacement",$I746="Payment In Lieu")),
Error!$B$56,
IF(AND(_xlpm.hasDM,$F746="Remove",$H746&lt;&gt;"",$I746="Relocation"),
Error!$B$66,
IF(AND(OR(_xlpm.hasCN,_xlpm.hasPH,_xlpm.hasGR),$H746&lt;&gt;"",COUNTIF(Tables!$B$132:$B$134,$H746)&gt;0,$I746="N/A (No replacement required)"),
Error!$B$62,
IF(AND(_xlpm.baseRow,$E746&lt;&gt;"",ISNA(MATCH($E746,Tables!$B$225:$B$232,0))),
Error!$B$2,
IF(AND(_xlpm.baseRow,$F746&lt;&gt;"",ISNA(MATCH($F746,Tables!$B$234:$B$235,0))),
Error!$B$24,
IF(AND(_xlpm.baseRow,_xlpm.ECA_H&gt;0,_xlpm.Shore_H&gt;0),
Error!$B$16,
IF(AND(_xlpm.baseRow,$E746&lt;&gt;"",$D746=""),
Error!$B$3,
IF(AND(_xlpm.baseRow,OR($E746="Tier 3",$E746="Tier 4"),$C746&lt;&gt;"",$D746&gt;=24,COUNTIF(Tables2!$B$166:$B$674,$C746)&gt;0),
Error!$B$44,
IF(AND(_xlpm.baseRow,OR($E746="Tier 3",$E746="Tier 4"),$C746&lt;&gt;"",$D746&lt;&gt;"",COUNTIF(Tables2!$B$73:$B$152,$C746)&gt;0,
$D746&gt;=IFERROR(INDEX(Tables2!$C$73:$C$152,MATCH($C746,Tables2!$B$73:$B$152,0)),-1)),
Error!$B$44,
IF(AND(_xlpm.baseRow,OR($E746="Tier 2",$E746="Tier 2 Grove"),$C746&lt;&gt;"",$D746&gt;=12,COUNTIF(Tables2!$B$153:$B$162,$C746)&gt;0),
Error!$B$45,
IF(AND(_xlpm.baseRow,$E746="Tier 2 Grove",$D746&lt;12),
Error!$B$41,
IF(AND(_xlpm.baseRow,$E746="Tier 2",$D746&lt;5.88),
Error!$B$40,
IF(AND(_xlpm.baseRow,OR($E746="Tier 2",$E746="Tier 2 Grove"),$C746&lt;&gt;"",$D746&lt;12,$D746&gt;=6,COUNTIF(Tables2!$B$153:$B$162,$C746)&gt;0),
Error!$B$54,
IF(AND(_xlpm.baseRow,$E746="Tier 2",COUNTIF(Tables2!$B$166:$B$674,$C746)&gt;0,$D746&lt;24),
Error!$B$54,
IF(AND(_xlpm.baseRow,$E746="Tier 3",ISNA(MATCH($C746,Tables2!$B$153:$B$162,0)),OR($D746&lt;12,$D746&gt;=24)),
Error!$B$9,
IF(AND(_xlpm.baseRow,$E746="Tier 3",COUNTIF(Tables2!$B$153:$B$162,$C746)&gt;0,$D746&lt;12),
Error!$B$46,
IF(AND(_xlpm.baseRow,$E746="Tier 4",OR($D746&lt;6,$D746&gt;=12)),
Error!$B$10,
IF(AND(_xlpm.baseRow,$E746="&lt;6in DSH for Tree Points",OR($D746&gt;=6,$D746="")),
Error!$B$8,
IF(AND(_xlpm.baseRow,$E746="Street Tree for Green Factor",$F746&lt;&gt;"",$F746&lt;&gt;"Retain"),
Error!$B$14,
IF(AND($E746="&lt;6in DSH for Tree Points",$F746="Retain",$H746&lt;&gt;"",ISNA(MATCH($H746,Tables!$B$174:$B$174,0))),
Error!$B$15,
IF(AND($E746="Street Tree for Green Factor",$F746="Retain",$H746&lt;&gt;"",$H746&lt;&gt;"Zoning: Green Factor"),
Error!$B$15,
IF(AND($E746="ECA / Shoreline Tree",$F746="Remove",$H746&lt;&gt;"",ISNA(MATCH($H746,Tables!$B$189:$B$190,0))),
Error!$B$15,
IF(AND($E746="ECA / Shoreline Tree",$F746="Retain",$H746&lt;&gt;"",ISNA(MATCH($H746,Tables!$B$184:$B$186,0))),
Error!$B$15,
IF(AND($E746="Tier 4",$F746="Remove",$H746&lt;&gt;"",ISNA(MATCH($H746,Tables!$B$171,0))),
Error!$B$15,
IF(AND($E746="Tier 4",$F746="Retain",$H746&lt;&gt;"",ISNA(MATCH($H746,Tables!$B$166:$B$168,0))),
Error!$B$15,
IF(AND($E746="Tier 3",$F746="Retain",$H746&lt;&gt;"",ISNA(MATCH($H746,Tables!$B$158:$B$160,0))),
Error!$B$15,
IF(AND($E746="Tier 3",$F746="Remove",$H746&lt;&gt;"",ISNA(MATCH($H746,Tables!$B$163,0))),
Error!$B$15,
IF(AND(OR($E746="Tier 2",$E746="Tier 2 Grove"),$F746="Remove",$H746&lt;&gt;"",ISNA(MATCH($H746,Tables!$B$153:$B$155,0))),
Error!$B$15,
IF(AND(OR($E746="Tier 2",$E746="Tier 2 Grove"),$F746="Retain",$H746&lt;&gt;"",ISNA(MATCH($H746,Tables!$B$147:$B$150,0))),
Error!$B$15,
IF(AND($E746="Tier 1",$F746="Remove",$H746&lt;&gt;"",ISNA(MATCH($H746,Tables!$B$143:$B$144,0))),
Error!$B$15,
IF(AND($E746="Tier 1",$F746="Retain",$H746&lt;&gt;"",ISNA(MATCH($H746,Tables!$B$137:$B$140,0))),
Error!$B$15,
IF(AND($E746&lt;&gt;"Tier 2",$E746&lt;&gt;"Tier 2 Grove",$E746&lt;&gt;"Tier 3",$E746&lt;&gt;"Tier 4",$H746="Zoning: Green Factor",OR($D746="",$D746&lt;6)),
Error!$B$11,
IF(AND(_xlpm.baseRow,$D746&lt;6,$E746="&lt;6in DSH for Tree Points",_xlpm.TreePoints_H=0),
Error!$B$21,
IF(AND(_xlpm.baseRow,$E746&lt;&gt;"",$D746&lt;&gt;"",$F746=""),
Error!$B$4,
IF(AND(_xlpm.baseRow,$F746="Remove",OR($E746="Tier 1",$E746="Tier 2",$E746="Tier 2 Grove"),COUNTBLANK(_xlpm.HRange)&lt;3,_xlpm.uniqueH&gt;=2),
Error!$B$48,
IF(AND(_xlpm.baseRow,$F746="Retain",OR($E746="Tier 1",$E746="Tier 2",$E746="Tier 2 Grove"),COUNTIF(_xlpm.HRange,"Tree Code: Required to Retain Tier 1-2 Tree")=0),
Error!$B$47,
IF(AND(_xlpm.baseRow,$E746&lt;&gt;"",$D746&lt;&gt;"",$F746&lt;&gt;"",COUNTBLANK(_xlpm.HRange)=4),
Error!$B$5,
IF(AND($F746="Remove",$H746&lt;&gt;"",$I746=""),
Error!$B$18,
IF(AND($E746="Tier 4",$F746="Remove",$H746="Tree Protection Code: Tier 3 or Tier 4 Allowance",$H746&lt;&gt;"",ISNA(MATCH($I746,Tables!$B$200,0))),
Error!$B$17,
IF(AND($E746="Tier 3",$F746="Remove",$H746&lt;&gt;"",$H746="Tree Protection Code: Tier 3 or Tier 4 Allowance",OR($I746="",ISNA(MATCH($I746,Tables!$B$193:$B$197,0)))),
Error!$B$17,
IF(AND(OR($E746="Tier 2",$E746="Tier 2 Grove"),$F746="Remove",$H746="Tree Protection Code: Other removal allowance or exemption",$I746&lt;&gt;"",ISNA(MATCH($I746,Tables!$B$215:$B$218,0))),
Error!$B$17,
IF(AND(OR($E746="Tier 2",$E746="Tier 2 Grove"),$F746="Remove",$H746="Tree Protection Code: Development Capacity",$I746&lt;&gt;"",ISNA(MATCH($I746,Tables!$B$193:$B$197,0))),
Error!$B$17,
IF(AND(OR($E746="Tier 2",$E746="Tier 2 Grove"),$F746="Remove",$H746="Tree Protection Code: Necessary for Construction",$I746&lt;&gt;"",ISNA(MATCH($I746,Tables!$B$193:$B$197,0))),
Error!$B$17,
IF(AND($E746="Tier 1",$F746="Remove",$H746="Tree Protection Code: Special Exception",$I746&lt;&gt;"",ISNA(MATCH($I746,Tables!$B$215:$B$218,0))),
Error!$B$17,
IF(AND($E746="Tier 1",$F746="Remove",$H746="Tree Protection Code: Other removal allowance or exemption",$I746&lt;&gt;"",ISNA(MATCH($I746,Tables!$B$215:$B$218,0))),
Error!$B$17,
IF(AND($E746="ECA / Shoreline Tree",$F746="Remove",$H746&lt;&gt;"",OR($H746="Shoreline",$H746="Environmental Critical Area (ECA)"),ISNA(MATCH($I746,Tables!$B$209:$B$212,0))),
Error!$B$17,
IF(AND(_xlpm.baseRow,$F746="Retain",$E746="ECA / Shoreline Tree",_xlpm.ECA_Short=0),
Error!$B$61,
IF(AND($F746="Remove",ISNUMBER(MATCH($E746,{"Tier 1","Tier 2","Tier 3","Tier 4","Tier 2 Grove"},0)),ISNUMBER(MATCH($I746,{"On-site replacement","Off-site replacement"},0)),$J746="",$H746&lt;&gt;""),
Error!$B$19,
IF(AND(_xlpm.baseRow,$E746&lt;&gt;"",$D746&lt;&gt;"",$F746&lt;&gt;"",COUNTBLANK($B746:$C746)&gt;0,COUNTBLANK(_xlpm.HRange)&lt;&gt;4),
Error!$B$22,
IF(AND($H746="Zoning: Tree Points",$K746&lt;&gt;"",ISNA(MATCH($K746,Tables!$B$242:$B$253,0))),
Error!$B$58,
IF(AND($H746="Zoning: Tree Points",$K746="Small",$L746&lt;&gt;"",ISNA(MATCH($L746,Tables!$C$243:$C$244,0))),
Error!$B$59,
IF(AND($H746="Zoning: Tree Points",$K746="Small/Medium",$L746&lt;&gt;"",ISNA(MATCH($L746,Tables!$C$246:$C$247,0))),
Error!$B$59,
IF(AND($H746="Zoning: Tree Points",$K746="Medium/Large",$L746&lt;&gt;"",ISNA(MATCH($L746,Tables!$C$249:$C$250,0))),
Error!$B$59,
IF(AND($H746="Zoning: Tree Points",$K746="Large",$L746&lt;&gt;"",ISNA(MATCH($L746,Tables!$C$252:$C$253,0))),
Error!$B$59,
IF(AND($F746="Retain",$H746="Zoning: Tree Points",$C746&lt;&gt;"",$D746&lt;&gt;"",OR($K746="",$L746="",$M746="")),
Error!$B$20,
""
)))))))))))))))))))))))))))))))))))))))))))))))))))))))),
Error!$B$23))</f>
        <v/>
      </c>
      <c r="O746" s="343" t="str" cm="1">
        <f t="array" aca="1" ref="O746" ca="1">IFERROR(_xlfn.LET(
    _xlpm.txt, $C746,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47" spans="1:15" ht="15" thickBot="1" x14ac:dyDescent="0.35">
      <c r="A747" s="311">
        <v>185</v>
      </c>
      <c r="B747" s="312"/>
      <c r="C747" s="313"/>
      <c r="D747" s="478"/>
      <c r="E747" s="314"/>
      <c r="F747" s="314"/>
      <c r="G747" s="315" t="str">
        <f>IF(Tree_Table1[[#This Row],[Tree Status  &amp;]]="Retain", Tables!$B$237, IF(Tree_Table1[[#This Row],[Tree Status  &amp;]]="Remove", Tables!$B$238, ""))</f>
        <v/>
      </c>
      <c r="H747" s="316"/>
      <c r="I747" s="317"/>
      <c r="J747" s="452"/>
      <c r="K747" s="318" t="str">
        <f>IFERROR(
    IF(
        AND($H747="Zoning: Tree Points", NOT(ISNUMBER(SEARCH("sp.", $C747)))),
        VLOOKUP($C747, 'Tree List'!$C$3:$F$601, 4, FALSE),
        ""
    ),
"")</f>
        <v/>
      </c>
      <c r="L747" s="319" t="str" cm="1">
        <f t="array" ref="L747">IFERROR(
IF(
    AND($H747="Zoning: Tree Points", NOT(ISNUMBER(SEARCH("sp.", $C747)))),
    _xlfn.IFS(
        (COUNTIFS('Tree List'!$C$3:$C$601,$C747,'Tree List'!$D$3:$D$601,"Coniferous")
        + COUNTIFS('Tree List'!$C$3:$C$601,$C747,'Tree List'!$D$3:$D$601,"Deciduous Conifer")) &gt; 0,
            _xlfn.IFS($K747="Small",0.5,$K747="Small/Medium",1,$K747="Medium/Large",1.4,$K747="Large",1.8),
        (COUNTIFS('Tree List'!$C$3:$C$601,$C747,'Tree List'!$D$3:$D$601,"Deciduous")
        + COUNTIFS('Tree List'!$C$3:$C$601,$C747,'Tree List'!$D$3:$D$601,"Broadleaf Evergreen")) &gt; 0,
            _xlfn.IFS($K747="Small",0.4,$K747="Small/Medium",0.8,$K747="Medium/Large",1.2,$K747="Large",1.6)
    ),
    ""
),
"")</f>
        <v/>
      </c>
      <c r="M747" s="474" t="str">
        <f t="shared" si="816"/>
        <v/>
      </c>
      <c r="N747" s="620" t="str" cm="1">
        <f t="array" aca="1" ref="N74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IF(AND(_xlpm.baseRow,ISNA(MATCH($C747,'Tree List'!$C$3:$C$601,0)),SUMPRODUCT(--ISNUMBER(SEARCH(Tables2!$C$677:$C$772,$O747)))&gt;0),
Error!$B$57,
IF(AND(_xlpm.hasDM,$F747="Remove",$H747&lt;&gt;"",OR($I747="On-site replacement",$I747="Off-site replacement",$I747="Payment In Lieu")),
Error!$B$56,
IF(AND(_xlpm.hasDM,$F747="Remove",$H747&lt;&gt;"",$I747="Relocation"),
Error!$B$66,
IF(AND(OR(_xlpm.hasCN,_xlpm.hasPH,_xlpm.hasGR),$H747&lt;&gt;"",COUNTIF(Tables!$B$132:$B$134,$H747)&gt;0,$I747="N/A (No replacement required)"),
Error!$B$62,
IF(AND(_xlpm.baseRow,$E747&lt;&gt;"",ISNA(MATCH($E747,Tables!$B$225:$B$232,0))),
Error!$B$2,
IF(AND(_xlpm.baseRow,$F747&lt;&gt;"",ISNA(MATCH($F747,Tables!$B$234:$B$235,0))),
Error!$B$24,
IF(AND(_xlpm.baseRow,_xlpm.ECA_H&gt;0,_xlpm.Shore_H&gt;0),
Error!$B$16,
IF(AND(_xlpm.baseRow,$E747&lt;&gt;"",$D747=""),
Error!$B$3,
IF(AND(_xlpm.baseRow,OR($E747="Tier 3",$E747="Tier 4"),$C747&lt;&gt;"",$D747&gt;=24,COUNTIF(Tables2!$B$166:$B$674,$C747)&gt;0),
Error!$B$44,
IF(AND(_xlpm.baseRow,OR($E747="Tier 3",$E747="Tier 4"),$C747&lt;&gt;"",$D747&lt;&gt;"",COUNTIF(Tables2!$B$73:$B$152,$C747)&gt;0,
$D747&gt;=IFERROR(INDEX(Tables2!$C$73:$C$152,MATCH($C747,Tables2!$B$73:$B$152,0)),-1)),
Error!$B$44,
IF(AND(_xlpm.baseRow,OR($E747="Tier 2",$E747="Tier 2 Grove"),$C747&lt;&gt;"",$D747&gt;=12,COUNTIF(Tables2!$B$153:$B$162,$C747)&gt;0),
Error!$B$45,
IF(AND(_xlpm.baseRow,$E747="Tier 2 Grove",$D747&lt;12),
Error!$B$41,
IF(AND(_xlpm.baseRow,$E747="Tier 2",$D747&lt;5.88),
Error!$B$40,
IF(AND(_xlpm.baseRow,OR($E747="Tier 2",$E747="Tier 2 Grove"),$C747&lt;&gt;"",$D747&lt;12,$D747&gt;=6,COUNTIF(Tables2!$B$153:$B$162,$C747)&gt;0),
Error!$B$54,
IF(AND(_xlpm.baseRow,$E747="Tier 2",COUNTIF(Tables2!$B$166:$B$674,$C747)&gt;0,$D747&lt;24),
Error!$B$54,
IF(AND(_xlpm.baseRow,$E747="Tier 3",ISNA(MATCH($C747,Tables2!$B$153:$B$162,0)),OR($D747&lt;12,$D747&gt;=24)),
Error!$B$9,
IF(AND(_xlpm.baseRow,$E747="Tier 3",COUNTIF(Tables2!$B$153:$B$162,$C747)&gt;0,$D747&lt;12),
Error!$B$46,
IF(AND(_xlpm.baseRow,$E747="Tier 4",OR($D747&lt;6,$D747&gt;=12)),
Error!$B$10,
IF(AND(_xlpm.baseRow,$E747="&lt;6in DSH for Tree Points",OR($D747&gt;=6,$D747="")),
Error!$B$8,
IF(AND(_xlpm.baseRow,$E747="Street Tree for Green Factor",$F747&lt;&gt;"",$F747&lt;&gt;"Retain"),
Error!$B$14,
IF(AND($E747="&lt;6in DSH for Tree Points",$F747="Retain",$H747&lt;&gt;"",ISNA(MATCH($H747,Tables!$B$174:$B$174,0))),
Error!$B$15,
IF(AND($E747="Street Tree for Green Factor",$F747="Retain",$H747&lt;&gt;"",$H747&lt;&gt;"Zoning: Green Factor"),
Error!$B$15,
IF(AND($E747="ECA / Shoreline Tree",$F747="Remove",$H747&lt;&gt;"",ISNA(MATCH($H747,Tables!$B$189:$B$190,0))),
Error!$B$15,
IF(AND($E747="ECA / Shoreline Tree",$F747="Retain",$H747&lt;&gt;"",ISNA(MATCH($H747,Tables!$B$184:$B$186,0))),
Error!$B$15,
IF(AND($E747="Tier 4",$F747="Remove",$H747&lt;&gt;"",ISNA(MATCH($H747,Tables!$B$171,0))),
Error!$B$15,
IF(AND($E747="Tier 4",$F747="Retain",$H747&lt;&gt;"",ISNA(MATCH($H747,Tables!$B$166:$B$168,0))),
Error!$B$15,
IF(AND($E747="Tier 3",$F747="Retain",$H747&lt;&gt;"",ISNA(MATCH($H747,Tables!$B$158:$B$160,0))),
Error!$B$15,
IF(AND($E747="Tier 3",$F747="Remove",$H747&lt;&gt;"",ISNA(MATCH($H747,Tables!$B$163,0))),
Error!$B$15,
IF(AND(OR($E747="Tier 2",$E747="Tier 2 Grove"),$F747="Remove",$H747&lt;&gt;"",ISNA(MATCH($H747,Tables!$B$153:$B$155,0))),
Error!$B$15,
IF(AND(OR($E747="Tier 2",$E747="Tier 2 Grove"),$F747="Retain",$H747&lt;&gt;"",ISNA(MATCH($H747,Tables!$B$147:$B$150,0))),
Error!$B$15,
IF(AND($E747="Tier 1",$F747="Remove",$H747&lt;&gt;"",ISNA(MATCH($H747,Tables!$B$143:$B$144,0))),
Error!$B$15,
IF(AND($E747="Tier 1",$F747="Retain",$H747&lt;&gt;"",ISNA(MATCH($H747,Tables!$B$137:$B$140,0))),
Error!$B$15,
IF(AND($E747&lt;&gt;"Tier 2",$E747&lt;&gt;"Tier 2 Grove",$E747&lt;&gt;"Tier 3",$E747&lt;&gt;"Tier 4",$H747="Zoning: Green Factor",OR($D747="",$D747&lt;6)),
Error!$B$11,
IF(AND(_xlpm.baseRow,$D747&lt;6,$E747="&lt;6in DSH for Tree Points",_xlpm.TreePoints_H=0),
Error!$B$21,
IF(AND(_xlpm.baseRow,$E747&lt;&gt;"",$D747&lt;&gt;"",$F747=""),
Error!$B$4,
IF(AND(_xlpm.baseRow,$F747="Remove",OR($E747="Tier 1",$E747="Tier 2",$E747="Tier 2 Grove"),COUNTBLANK(_xlpm.HRange)&lt;3,_xlpm.uniqueH&gt;=2),
Error!$B$48,
IF(AND(_xlpm.baseRow,$F747="Retain",OR($E747="Tier 1",$E747="Tier 2",$E747="Tier 2 Grove"),COUNTIF(_xlpm.HRange,"Tree Code: Required to Retain Tier 1-2 Tree")=0),
Error!$B$47,
IF(AND(_xlpm.baseRow,$E747&lt;&gt;"",$D747&lt;&gt;"",$F747&lt;&gt;"",COUNTBLANK(_xlpm.HRange)=4),
Error!$B$5,
IF(AND($F747="Remove",$H747&lt;&gt;"",$I747=""),
Error!$B$18,
IF(AND($E747="Tier 4",$F747="Remove",$H747="Tree Protection Code: Tier 3 or Tier 4 Allowance",$H747&lt;&gt;"",ISNA(MATCH($I747,Tables!$B$200,0))),
Error!$B$17,
IF(AND($E747="Tier 3",$F747="Remove",$H747&lt;&gt;"",$H747="Tree Protection Code: Tier 3 or Tier 4 Allowance",OR($I747="",ISNA(MATCH($I747,Tables!$B$193:$B$197,0)))),
Error!$B$17,
IF(AND(OR($E747="Tier 2",$E747="Tier 2 Grove"),$F747="Remove",$H747="Tree Protection Code: Other removal allowance or exemption",$I747&lt;&gt;"",ISNA(MATCH($I747,Tables!$B$215:$B$218,0))),
Error!$B$17,
IF(AND(OR($E747="Tier 2",$E747="Tier 2 Grove"),$F747="Remove",$H747="Tree Protection Code: Development Capacity",$I747&lt;&gt;"",ISNA(MATCH($I747,Tables!$B$193:$B$197,0))),
Error!$B$17,
IF(AND(OR($E747="Tier 2",$E747="Tier 2 Grove"),$F747="Remove",$H747="Tree Protection Code: Necessary for Construction",$I747&lt;&gt;"",ISNA(MATCH($I747,Tables!$B$193:$B$197,0))),
Error!$B$17,
IF(AND($E747="Tier 1",$F747="Remove",$H747="Tree Protection Code: Special Exception",$I747&lt;&gt;"",ISNA(MATCH($I747,Tables!$B$215:$B$218,0))),
Error!$B$17,
IF(AND($E747="Tier 1",$F747="Remove",$H747="Tree Protection Code: Other removal allowance or exemption",$I747&lt;&gt;"",ISNA(MATCH($I747,Tables!$B$215:$B$218,0))),
Error!$B$17,
IF(AND($E747="ECA / Shoreline Tree",$F747="Remove",$H747&lt;&gt;"",OR($H747="Shoreline",$H747="Environmental Critical Area (ECA)"),ISNA(MATCH($I747,Tables!$B$209:$B$212,0))),
Error!$B$17,
IF(AND(_xlpm.baseRow,$F747="Retain",$E747="ECA / Shoreline Tree",_xlpm.ECA_Short=0),
Error!$B$61,
IF(AND($F747="Remove",ISNUMBER(MATCH($E747,{"Tier 1","Tier 2","Tier 3","Tier 4","Tier 2 Grove"},0)),ISNUMBER(MATCH($I747,{"On-site replacement","Off-site replacement"},0)),$J747="",$H747&lt;&gt;""),
Error!$B$19,
IF(AND(_xlpm.baseRow,$E747&lt;&gt;"",$D747&lt;&gt;"",$F747&lt;&gt;"",COUNTBLANK($B747:$C747)&gt;0,COUNTBLANK(_xlpm.HRange)&lt;&gt;4),
Error!$B$22,
IF(AND($H747="Zoning: Tree Points",$K747&lt;&gt;"",ISNA(MATCH($K747,Tables!$B$242:$B$253,0))),
Error!$B$58,
IF(AND($H747="Zoning: Tree Points",$K747="Small",$L747&lt;&gt;"",ISNA(MATCH($L747,Tables!$C$243:$C$244,0))),
Error!$B$59,
IF(AND($H747="Zoning: Tree Points",$K747="Small/Medium",$L747&lt;&gt;"",ISNA(MATCH($L747,Tables!$C$246:$C$247,0))),
Error!$B$59,
IF(AND($H747="Zoning: Tree Points",$K747="Medium/Large",$L747&lt;&gt;"",ISNA(MATCH($L747,Tables!$C$249:$C$250,0))),
Error!$B$59,
IF(AND($H747="Zoning: Tree Points",$K747="Large",$L747&lt;&gt;"",ISNA(MATCH($L747,Tables!$C$252:$C$253,0))),
Error!$B$59,
IF(AND($F747="Retain",$H747="Zoning: Tree Points",$C747&lt;&gt;"",$D747&lt;&gt;"",OR($K747="",$L747="",$M747="")),
Error!$B$20,
""
)))))))))))))))))))))))))))))))))))))))))))))))))))))))),
Error!$B$23))</f>
        <v/>
      </c>
      <c r="O747" s="343" t="str" cm="1">
        <f t="array" aca="1" ref="O747" ca="1">IFERROR(_xlfn.LET(
    _xlpm.txt, $C747,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48" spans="1:15" x14ac:dyDescent="0.3">
      <c r="A748" s="320"/>
      <c r="B748" s="616" t="str">
        <f t="shared" ref="B748:B750" si="887">IF($B747="", "", $B747)</f>
        <v/>
      </c>
      <c r="C748" s="617" t="str">
        <f t="shared" ref="C748:C750" si="888">IF($C747="", "", $C747)</f>
        <v/>
      </c>
      <c r="D748" s="618" t="str">
        <f t="shared" ref="D748:D750" si="889">IF($D747="", "", $D747)</f>
        <v/>
      </c>
      <c r="E748" s="616" t="str">
        <f t="shared" ref="E748:E750" si="890">IF($E747="", "", $E747)</f>
        <v/>
      </c>
      <c r="F748" s="616" t="str">
        <f t="shared" ref="F748:F750" si="891">IF($F747="", "", $F747)</f>
        <v/>
      </c>
      <c r="G748" s="619" t="str">
        <f>IF(Tree_Table1[[#This Row],[Tree Status  &amp;]]="Retain", Tables!$B$237, IF(Tree_Table1[[#This Row],[Tree Status  &amp;]]="Remove", Tables!$B$238, ""))</f>
        <v/>
      </c>
      <c r="H748" s="321"/>
      <c r="I748" s="322"/>
      <c r="J748" s="453"/>
      <c r="K748" s="323" t="str">
        <f>IFERROR(
    IF(
        AND($H748="Zoning: Tree Points", NOT(ISNUMBER(SEARCH("sp.", $C748)))),
        VLOOKUP($C748, 'Tree List'!$C$3:$F$601, 4, FALSE),
        ""
    ),
"")</f>
        <v/>
      </c>
      <c r="L748" s="324" t="str" cm="1">
        <f t="array" ref="L748">IFERROR(
IF(
    AND($H748="Zoning: Tree Points", NOT(ISNUMBER(SEARCH("sp.", $C748)))),
    _xlfn.IFS(
        (COUNTIFS('Tree List'!$C$3:$C$601,$C748,'Tree List'!$D$3:$D$601,"Coniferous")
        + COUNTIFS('Tree List'!$C$3:$C$601,$C748,'Tree List'!$D$3:$D$601,"Deciduous Conifer")) &gt; 0,
            _xlfn.IFS($K748="Small",0.5,$K748="Small/Medium",1,$K748="Medium/Large",1.4,$K748="Large",1.8),
        (COUNTIFS('Tree List'!$C$3:$C$601,$C748,'Tree List'!$D$3:$D$601,"Deciduous")
        + COUNTIFS('Tree List'!$C$3:$C$601,$C748,'Tree List'!$D$3:$D$601,"Broadleaf Evergreen")) &gt; 0,
            _xlfn.IFS($K748="Small",0.4,$K748="Small/Medium",0.8,$K748="Medium/Large",1.2,$K748="Large",1.6)
    ),
    ""
),
"")</f>
        <v/>
      </c>
      <c r="M748" s="475" t="str">
        <f t="shared" si="816"/>
        <v/>
      </c>
      <c r="N748" s="346" t="str" cm="1">
        <f t="array" aca="1" ref="N74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IF(AND(_xlpm.baseRow,ISNA(MATCH($C748,'Tree List'!$C$3:$C$601,0)),SUMPRODUCT(--ISNUMBER(SEARCH(Tables2!$C$677:$C$772,$O748)))&gt;0),
Error!$B$57,
IF(AND(_xlpm.hasDM,$F748="Remove",$H748&lt;&gt;"",OR($I748="On-site replacement",$I748="Off-site replacement",$I748="Payment In Lieu")),
Error!$B$56,
IF(AND(_xlpm.hasDM,$F748="Remove",$H748&lt;&gt;"",$I748="Relocation"),
Error!$B$66,
IF(AND(OR(_xlpm.hasCN,_xlpm.hasPH,_xlpm.hasGR),$H748&lt;&gt;"",COUNTIF(Tables!$B$132:$B$134,$H748)&gt;0,$I748="N/A (No replacement required)"),
Error!$B$62,
IF(AND(_xlpm.baseRow,$E748&lt;&gt;"",ISNA(MATCH($E748,Tables!$B$225:$B$232,0))),
Error!$B$2,
IF(AND(_xlpm.baseRow,$F748&lt;&gt;"",ISNA(MATCH($F748,Tables!$B$234:$B$235,0))),
Error!$B$24,
IF(AND(_xlpm.baseRow,_xlpm.ECA_H&gt;0,_xlpm.Shore_H&gt;0),
Error!$B$16,
IF(AND(_xlpm.baseRow,$E748&lt;&gt;"",$D748=""),
Error!$B$3,
IF(AND(_xlpm.baseRow,OR($E748="Tier 3",$E748="Tier 4"),$C748&lt;&gt;"",$D748&gt;=24,COUNTIF(Tables2!$B$166:$B$674,$C748)&gt;0),
Error!$B$44,
IF(AND(_xlpm.baseRow,OR($E748="Tier 3",$E748="Tier 4"),$C748&lt;&gt;"",$D748&lt;&gt;"",COUNTIF(Tables2!$B$73:$B$152,$C748)&gt;0,
$D748&gt;=IFERROR(INDEX(Tables2!$C$73:$C$152,MATCH($C748,Tables2!$B$73:$B$152,0)),-1)),
Error!$B$44,
IF(AND(_xlpm.baseRow,OR($E748="Tier 2",$E748="Tier 2 Grove"),$C748&lt;&gt;"",$D748&gt;=12,COUNTIF(Tables2!$B$153:$B$162,$C748)&gt;0),
Error!$B$45,
IF(AND(_xlpm.baseRow,$E748="Tier 2 Grove",$D748&lt;12),
Error!$B$41,
IF(AND(_xlpm.baseRow,$E748="Tier 2",$D748&lt;5.88),
Error!$B$40,
IF(AND(_xlpm.baseRow,OR($E748="Tier 2",$E748="Tier 2 Grove"),$C748&lt;&gt;"",$D748&lt;12,$D748&gt;=6,COUNTIF(Tables2!$B$153:$B$162,$C748)&gt;0),
Error!$B$54,
IF(AND(_xlpm.baseRow,$E748="Tier 2",COUNTIF(Tables2!$B$166:$B$674,$C748)&gt;0,$D748&lt;24),
Error!$B$54,
IF(AND(_xlpm.baseRow,$E748="Tier 3",ISNA(MATCH($C748,Tables2!$B$153:$B$162,0)),OR($D748&lt;12,$D748&gt;=24)),
Error!$B$9,
IF(AND(_xlpm.baseRow,$E748="Tier 3",COUNTIF(Tables2!$B$153:$B$162,$C748)&gt;0,$D748&lt;12),
Error!$B$46,
IF(AND(_xlpm.baseRow,$E748="Tier 4",OR($D748&lt;6,$D748&gt;=12)),
Error!$B$10,
IF(AND(_xlpm.baseRow,$E748="&lt;6in DSH for Tree Points",OR($D748&gt;=6,$D748="")),
Error!$B$8,
IF(AND(_xlpm.baseRow,$E748="Street Tree for Green Factor",$F748&lt;&gt;"",$F748&lt;&gt;"Retain"),
Error!$B$14,
IF(AND($E748="&lt;6in DSH for Tree Points",$F748="Retain",$H748&lt;&gt;"",ISNA(MATCH($H748,Tables!$B$174:$B$174,0))),
Error!$B$15,
IF(AND($E748="Street Tree for Green Factor",$F748="Retain",$H748&lt;&gt;"",$H748&lt;&gt;"Zoning: Green Factor"),
Error!$B$15,
IF(AND($E748="ECA / Shoreline Tree",$F748="Remove",$H748&lt;&gt;"",ISNA(MATCH($H748,Tables!$B$189:$B$190,0))),
Error!$B$15,
IF(AND($E748="ECA / Shoreline Tree",$F748="Retain",$H748&lt;&gt;"",ISNA(MATCH($H748,Tables!$B$184:$B$186,0))),
Error!$B$15,
IF(AND($E748="Tier 4",$F748="Remove",$H748&lt;&gt;"",ISNA(MATCH($H748,Tables!$B$171,0))),
Error!$B$15,
IF(AND($E748="Tier 4",$F748="Retain",$H748&lt;&gt;"",ISNA(MATCH($H748,Tables!$B$166:$B$168,0))),
Error!$B$15,
IF(AND($E748="Tier 3",$F748="Retain",$H748&lt;&gt;"",ISNA(MATCH($H748,Tables!$B$158:$B$160,0))),
Error!$B$15,
IF(AND($E748="Tier 3",$F748="Remove",$H748&lt;&gt;"",ISNA(MATCH($H748,Tables!$B$163,0))),
Error!$B$15,
IF(AND(OR($E748="Tier 2",$E748="Tier 2 Grove"),$F748="Remove",$H748&lt;&gt;"",ISNA(MATCH($H748,Tables!$B$153:$B$155,0))),
Error!$B$15,
IF(AND(OR($E748="Tier 2",$E748="Tier 2 Grove"),$F748="Retain",$H748&lt;&gt;"",ISNA(MATCH($H748,Tables!$B$147:$B$150,0))),
Error!$B$15,
IF(AND($E748="Tier 1",$F748="Remove",$H748&lt;&gt;"",ISNA(MATCH($H748,Tables!$B$143:$B$144,0))),
Error!$B$15,
IF(AND($E748="Tier 1",$F748="Retain",$H748&lt;&gt;"",ISNA(MATCH($H748,Tables!$B$137:$B$140,0))),
Error!$B$15,
IF(AND($E748&lt;&gt;"Tier 2",$E748&lt;&gt;"Tier 2 Grove",$E748&lt;&gt;"Tier 3",$E748&lt;&gt;"Tier 4",$H748="Zoning: Green Factor",OR($D748="",$D748&lt;6)),
Error!$B$11,
IF(AND(_xlpm.baseRow,$D748&lt;6,$E748="&lt;6in DSH for Tree Points",_xlpm.TreePoints_H=0),
Error!$B$21,
IF(AND(_xlpm.baseRow,$E748&lt;&gt;"",$D748&lt;&gt;"",$F748=""),
Error!$B$4,
IF(AND(_xlpm.baseRow,$F748="Remove",OR($E748="Tier 1",$E748="Tier 2",$E748="Tier 2 Grove"),COUNTBLANK(_xlpm.HRange)&lt;3,_xlpm.uniqueH&gt;=2),
Error!$B$48,
IF(AND(_xlpm.baseRow,$F748="Retain",OR($E748="Tier 1",$E748="Tier 2",$E748="Tier 2 Grove"),COUNTIF(_xlpm.HRange,"Tree Code: Required to Retain Tier 1-2 Tree")=0),
Error!$B$47,
IF(AND(_xlpm.baseRow,$E748&lt;&gt;"",$D748&lt;&gt;"",$F748&lt;&gt;"",COUNTBLANK(_xlpm.HRange)=4),
Error!$B$5,
IF(AND($F748="Remove",$H748&lt;&gt;"",$I748=""),
Error!$B$18,
IF(AND($E748="Tier 4",$F748="Remove",$H748="Tree Protection Code: Tier 3 or Tier 4 Allowance",$H748&lt;&gt;"",ISNA(MATCH($I748,Tables!$B$200,0))),
Error!$B$17,
IF(AND($E748="Tier 3",$F748="Remove",$H748&lt;&gt;"",$H748="Tree Protection Code: Tier 3 or Tier 4 Allowance",OR($I748="",ISNA(MATCH($I748,Tables!$B$193:$B$197,0)))),
Error!$B$17,
IF(AND(OR($E748="Tier 2",$E748="Tier 2 Grove"),$F748="Remove",$H748="Tree Protection Code: Other removal allowance or exemption",$I748&lt;&gt;"",ISNA(MATCH($I748,Tables!$B$215:$B$218,0))),
Error!$B$17,
IF(AND(OR($E748="Tier 2",$E748="Tier 2 Grove"),$F748="Remove",$H748="Tree Protection Code: Development Capacity",$I748&lt;&gt;"",ISNA(MATCH($I748,Tables!$B$193:$B$197,0))),
Error!$B$17,
IF(AND(OR($E748="Tier 2",$E748="Tier 2 Grove"),$F748="Remove",$H748="Tree Protection Code: Necessary for Construction",$I748&lt;&gt;"",ISNA(MATCH($I748,Tables!$B$193:$B$197,0))),
Error!$B$17,
IF(AND($E748="Tier 1",$F748="Remove",$H748="Tree Protection Code: Special Exception",$I748&lt;&gt;"",ISNA(MATCH($I748,Tables!$B$215:$B$218,0))),
Error!$B$17,
IF(AND($E748="Tier 1",$F748="Remove",$H748="Tree Protection Code: Other removal allowance or exemption",$I748&lt;&gt;"",ISNA(MATCH($I748,Tables!$B$215:$B$218,0))),
Error!$B$17,
IF(AND($E748="ECA / Shoreline Tree",$F748="Remove",$H748&lt;&gt;"",OR($H748="Shoreline",$H748="Environmental Critical Area (ECA)"),ISNA(MATCH($I748,Tables!$B$209:$B$212,0))),
Error!$B$17,
IF(AND(_xlpm.baseRow,$F748="Retain",$E748="ECA / Shoreline Tree",_xlpm.ECA_Short=0),
Error!$B$61,
IF(AND($F748="Remove",ISNUMBER(MATCH($E748,{"Tier 1","Tier 2","Tier 3","Tier 4","Tier 2 Grove"},0)),ISNUMBER(MATCH($I748,{"On-site replacement","Off-site replacement"},0)),$J748="",$H748&lt;&gt;""),
Error!$B$19,
IF(AND(_xlpm.baseRow,$E748&lt;&gt;"",$D748&lt;&gt;"",$F748&lt;&gt;"",COUNTBLANK($B748:$C748)&gt;0,COUNTBLANK(_xlpm.HRange)&lt;&gt;4),
Error!$B$22,
IF(AND($H748="Zoning: Tree Points",$K748&lt;&gt;"",ISNA(MATCH($K748,Tables!$B$242:$B$253,0))),
Error!$B$58,
IF(AND($H748="Zoning: Tree Points",$K748="Small",$L748&lt;&gt;"",ISNA(MATCH($L748,Tables!$C$243:$C$244,0))),
Error!$B$59,
IF(AND($H748="Zoning: Tree Points",$K748="Small/Medium",$L748&lt;&gt;"",ISNA(MATCH($L748,Tables!$C$246:$C$247,0))),
Error!$B$59,
IF(AND($H748="Zoning: Tree Points",$K748="Medium/Large",$L748&lt;&gt;"",ISNA(MATCH($L748,Tables!$C$249:$C$250,0))),
Error!$B$59,
IF(AND($H748="Zoning: Tree Points",$K748="Large",$L748&lt;&gt;"",ISNA(MATCH($L748,Tables!$C$252:$C$253,0))),
Error!$B$59,
IF(AND($F748="Retain",$H748="Zoning: Tree Points",$C748&lt;&gt;"",$D748&lt;&gt;"",OR($K748="",$L748="",$M748="")),
Error!$B$20,
""
)))))))))))))))))))))))))))))))))))))))))))))))))))))))),
Error!$B$23))</f>
        <v/>
      </c>
      <c r="O748" s="343" t="str" cm="1">
        <f t="array" aca="1" ref="O748" ca="1">IFERROR(_xlfn.LET(
    _xlpm.txt, $C748,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49" spans="1:15" x14ac:dyDescent="0.3">
      <c r="A749" s="320"/>
      <c r="B749" s="616" t="str">
        <f t="shared" si="887"/>
        <v/>
      </c>
      <c r="C749" s="617" t="str">
        <f t="shared" si="888"/>
        <v/>
      </c>
      <c r="D749" s="618" t="str">
        <f t="shared" si="889"/>
        <v/>
      </c>
      <c r="E749" s="616" t="str">
        <f t="shared" si="890"/>
        <v/>
      </c>
      <c r="F749" s="616" t="str">
        <f t="shared" si="891"/>
        <v/>
      </c>
      <c r="G749" s="619" t="str">
        <f>IF(Tree_Table1[[#This Row],[Tree Status  &amp;]]="Retain", Tables!$B$237, IF(Tree_Table1[[#This Row],[Tree Status  &amp;]]="Remove", Tables!$B$238, ""))</f>
        <v/>
      </c>
      <c r="H749" s="321"/>
      <c r="I749" s="322"/>
      <c r="J749" s="453"/>
      <c r="K749" s="323" t="str">
        <f>IFERROR(
    IF(
        AND($H749="Zoning: Tree Points", NOT(ISNUMBER(SEARCH("sp.", $C749)))),
        VLOOKUP($C749, 'Tree List'!$C$3:$F$601, 4, FALSE),
        ""
    ),
"")</f>
        <v/>
      </c>
      <c r="L749" s="324" t="str" cm="1">
        <f t="array" ref="L749">IFERROR(
IF(
    AND($H749="Zoning: Tree Points", NOT(ISNUMBER(SEARCH("sp.", $C749)))),
    _xlfn.IFS(
        (COUNTIFS('Tree List'!$C$3:$C$601,$C749,'Tree List'!$D$3:$D$601,"Coniferous")
        + COUNTIFS('Tree List'!$C$3:$C$601,$C749,'Tree List'!$D$3:$D$601,"Deciduous Conifer")) &gt; 0,
            _xlfn.IFS($K749="Small",0.5,$K749="Small/Medium",1,$K749="Medium/Large",1.4,$K749="Large",1.8),
        (COUNTIFS('Tree List'!$C$3:$C$601,$C749,'Tree List'!$D$3:$D$601,"Deciduous")
        + COUNTIFS('Tree List'!$C$3:$C$601,$C749,'Tree List'!$D$3:$D$601,"Broadleaf Evergreen")) &gt; 0,
            _xlfn.IFS($K749="Small",0.4,$K749="Small/Medium",0.8,$K749="Medium/Large",1.2,$K749="Large",1.6)
    ),
    ""
),
"")</f>
        <v/>
      </c>
      <c r="M749" s="475" t="str">
        <f t="shared" si="816"/>
        <v/>
      </c>
      <c r="N749" s="346" t="str" cm="1">
        <f t="array" aca="1" ref="N74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IF(AND(_xlpm.baseRow,ISNA(MATCH($C749,'Tree List'!$C$3:$C$601,0)),SUMPRODUCT(--ISNUMBER(SEARCH(Tables2!$C$677:$C$772,$O749)))&gt;0),
Error!$B$57,
IF(AND(_xlpm.hasDM,$F749="Remove",$H749&lt;&gt;"",OR($I749="On-site replacement",$I749="Off-site replacement",$I749="Payment In Lieu")),
Error!$B$56,
IF(AND(_xlpm.hasDM,$F749="Remove",$H749&lt;&gt;"",$I749="Relocation"),
Error!$B$66,
IF(AND(OR(_xlpm.hasCN,_xlpm.hasPH,_xlpm.hasGR),$H749&lt;&gt;"",COUNTIF(Tables!$B$132:$B$134,$H749)&gt;0,$I749="N/A (No replacement required)"),
Error!$B$62,
IF(AND(_xlpm.baseRow,$E749&lt;&gt;"",ISNA(MATCH($E749,Tables!$B$225:$B$232,0))),
Error!$B$2,
IF(AND(_xlpm.baseRow,$F749&lt;&gt;"",ISNA(MATCH($F749,Tables!$B$234:$B$235,0))),
Error!$B$24,
IF(AND(_xlpm.baseRow,_xlpm.ECA_H&gt;0,_xlpm.Shore_H&gt;0),
Error!$B$16,
IF(AND(_xlpm.baseRow,$E749&lt;&gt;"",$D749=""),
Error!$B$3,
IF(AND(_xlpm.baseRow,OR($E749="Tier 3",$E749="Tier 4"),$C749&lt;&gt;"",$D749&gt;=24,COUNTIF(Tables2!$B$166:$B$674,$C749)&gt;0),
Error!$B$44,
IF(AND(_xlpm.baseRow,OR($E749="Tier 3",$E749="Tier 4"),$C749&lt;&gt;"",$D749&lt;&gt;"",COUNTIF(Tables2!$B$73:$B$152,$C749)&gt;0,
$D749&gt;=IFERROR(INDEX(Tables2!$C$73:$C$152,MATCH($C749,Tables2!$B$73:$B$152,0)),-1)),
Error!$B$44,
IF(AND(_xlpm.baseRow,OR($E749="Tier 2",$E749="Tier 2 Grove"),$C749&lt;&gt;"",$D749&gt;=12,COUNTIF(Tables2!$B$153:$B$162,$C749)&gt;0),
Error!$B$45,
IF(AND(_xlpm.baseRow,$E749="Tier 2 Grove",$D749&lt;12),
Error!$B$41,
IF(AND(_xlpm.baseRow,$E749="Tier 2",$D749&lt;5.88),
Error!$B$40,
IF(AND(_xlpm.baseRow,OR($E749="Tier 2",$E749="Tier 2 Grove"),$C749&lt;&gt;"",$D749&lt;12,$D749&gt;=6,COUNTIF(Tables2!$B$153:$B$162,$C749)&gt;0),
Error!$B$54,
IF(AND(_xlpm.baseRow,$E749="Tier 2",COUNTIF(Tables2!$B$166:$B$674,$C749)&gt;0,$D749&lt;24),
Error!$B$54,
IF(AND(_xlpm.baseRow,$E749="Tier 3",ISNA(MATCH($C749,Tables2!$B$153:$B$162,0)),OR($D749&lt;12,$D749&gt;=24)),
Error!$B$9,
IF(AND(_xlpm.baseRow,$E749="Tier 3",COUNTIF(Tables2!$B$153:$B$162,$C749)&gt;0,$D749&lt;12),
Error!$B$46,
IF(AND(_xlpm.baseRow,$E749="Tier 4",OR($D749&lt;6,$D749&gt;=12)),
Error!$B$10,
IF(AND(_xlpm.baseRow,$E749="&lt;6in DSH for Tree Points",OR($D749&gt;=6,$D749="")),
Error!$B$8,
IF(AND(_xlpm.baseRow,$E749="Street Tree for Green Factor",$F749&lt;&gt;"",$F749&lt;&gt;"Retain"),
Error!$B$14,
IF(AND($E749="&lt;6in DSH for Tree Points",$F749="Retain",$H749&lt;&gt;"",ISNA(MATCH($H749,Tables!$B$174:$B$174,0))),
Error!$B$15,
IF(AND($E749="Street Tree for Green Factor",$F749="Retain",$H749&lt;&gt;"",$H749&lt;&gt;"Zoning: Green Factor"),
Error!$B$15,
IF(AND($E749="ECA / Shoreline Tree",$F749="Remove",$H749&lt;&gt;"",ISNA(MATCH($H749,Tables!$B$189:$B$190,0))),
Error!$B$15,
IF(AND($E749="ECA / Shoreline Tree",$F749="Retain",$H749&lt;&gt;"",ISNA(MATCH($H749,Tables!$B$184:$B$186,0))),
Error!$B$15,
IF(AND($E749="Tier 4",$F749="Remove",$H749&lt;&gt;"",ISNA(MATCH($H749,Tables!$B$171,0))),
Error!$B$15,
IF(AND($E749="Tier 4",$F749="Retain",$H749&lt;&gt;"",ISNA(MATCH($H749,Tables!$B$166:$B$168,0))),
Error!$B$15,
IF(AND($E749="Tier 3",$F749="Retain",$H749&lt;&gt;"",ISNA(MATCH($H749,Tables!$B$158:$B$160,0))),
Error!$B$15,
IF(AND($E749="Tier 3",$F749="Remove",$H749&lt;&gt;"",ISNA(MATCH($H749,Tables!$B$163,0))),
Error!$B$15,
IF(AND(OR($E749="Tier 2",$E749="Tier 2 Grove"),$F749="Remove",$H749&lt;&gt;"",ISNA(MATCH($H749,Tables!$B$153:$B$155,0))),
Error!$B$15,
IF(AND(OR($E749="Tier 2",$E749="Tier 2 Grove"),$F749="Retain",$H749&lt;&gt;"",ISNA(MATCH($H749,Tables!$B$147:$B$150,0))),
Error!$B$15,
IF(AND($E749="Tier 1",$F749="Remove",$H749&lt;&gt;"",ISNA(MATCH($H749,Tables!$B$143:$B$144,0))),
Error!$B$15,
IF(AND($E749="Tier 1",$F749="Retain",$H749&lt;&gt;"",ISNA(MATCH($H749,Tables!$B$137:$B$140,0))),
Error!$B$15,
IF(AND($E749&lt;&gt;"Tier 2",$E749&lt;&gt;"Tier 2 Grove",$E749&lt;&gt;"Tier 3",$E749&lt;&gt;"Tier 4",$H749="Zoning: Green Factor",OR($D749="",$D749&lt;6)),
Error!$B$11,
IF(AND(_xlpm.baseRow,$D749&lt;6,$E749="&lt;6in DSH for Tree Points",_xlpm.TreePoints_H=0),
Error!$B$21,
IF(AND(_xlpm.baseRow,$E749&lt;&gt;"",$D749&lt;&gt;"",$F749=""),
Error!$B$4,
IF(AND(_xlpm.baseRow,$F749="Remove",OR($E749="Tier 1",$E749="Tier 2",$E749="Tier 2 Grove"),COUNTBLANK(_xlpm.HRange)&lt;3,_xlpm.uniqueH&gt;=2),
Error!$B$48,
IF(AND(_xlpm.baseRow,$F749="Retain",OR($E749="Tier 1",$E749="Tier 2",$E749="Tier 2 Grove"),COUNTIF(_xlpm.HRange,"Tree Code: Required to Retain Tier 1-2 Tree")=0),
Error!$B$47,
IF(AND(_xlpm.baseRow,$E749&lt;&gt;"",$D749&lt;&gt;"",$F749&lt;&gt;"",COUNTBLANK(_xlpm.HRange)=4),
Error!$B$5,
IF(AND($F749="Remove",$H749&lt;&gt;"",$I749=""),
Error!$B$18,
IF(AND($E749="Tier 4",$F749="Remove",$H749="Tree Protection Code: Tier 3 or Tier 4 Allowance",$H749&lt;&gt;"",ISNA(MATCH($I749,Tables!$B$200,0))),
Error!$B$17,
IF(AND($E749="Tier 3",$F749="Remove",$H749&lt;&gt;"",$H749="Tree Protection Code: Tier 3 or Tier 4 Allowance",OR($I749="",ISNA(MATCH($I749,Tables!$B$193:$B$197,0)))),
Error!$B$17,
IF(AND(OR($E749="Tier 2",$E749="Tier 2 Grove"),$F749="Remove",$H749="Tree Protection Code: Other removal allowance or exemption",$I749&lt;&gt;"",ISNA(MATCH($I749,Tables!$B$215:$B$218,0))),
Error!$B$17,
IF(AND(OR($E749="Tier 2",$E749="Tier 2 Grove"),$F749="Remove",$H749="Tree Protection Code: Development Capacity",$I749&lt;&gt;"",ISNA(MATCH($I749,Tables!$B$193:$B$197,0))),
Error!$B$17,
IF(AND(OR($E749="Tier 2",$E749="Tier 2 Grove"),$F749="Remove",$H749="Tree Protection Code: Necessary for Construction",$I749&lt;&gt;"",ISNA(MATCH($I749,Tables!$B$193:$B$197,0))),
Error!$B$17,
IF(AND($E749="Tier 1",$F749="Remove",$H749="Tree Protection Code: Special Exception",$I749&lt;&gt;"",ISNA(MATCH($I749,Tables!$B$215:$B$218,0))),
Error!$B$17,
IF(AND($E749="Tier 1",$F749="Remove",$H749="Tree Protection Code: Other removal allowance or exemption",$I749&lt;&gt;"",ISNA(MATCH($I749,Tables!$B$215:$B$218,0))),
Error!$B$17,
IF(AND($E749="ECA / Shoreline Tree",$F749="Remove",$H749&lt;&gt;"",OR($H749="Shoreline",$H749="Environmental Critical Area (ECA)"),ISNA(MATCH($I749,Tables!$B$209:$B$212,0))),
Error!$B$17,
IF(AND(_xlpm.baseRow,$F749="Retain",$E749="ECA / Shoreline Tree",_xlpm.ECA_Short=0),
Error!$B$61,
IF(AND($F749="Remove",ISNUMBER(MATCH($E749,{"Tier 1","Tier 2","Tier 3","Tier 4","Tier 2 Grove"},0)),ISNUMBER(MATCH($I749,{"On-site replacement","Off-site replacement"},0)),$J749="",$H749&lt;&gt;""),
Error!$B$19,
IF(AND(_xlpm.baseRow,$E749&lt;&gt;"",$D749&lt;&gt;"",$F749&lt;&gt;"",COUNTBLANK($B749:$C749)&gt;0,COUNTBLANK(_xlpm.HRange)&lt;&gt;4),
Error!$B$22,
IF(AND($H749="Zoning: Tree Points",$K749&lt;&gt;"",ISNA(MATCH($K749,Tables!$B$242:$B$253,0))),
Error!$B$58,
IF(AND($H749="Zoning: Tree Points",$K749="Small",$L749&lt;&gt;"",ISNA(MATCH($L749,Tables!$C$243:$C$244,0))),
Error!$B$59,
IF(AND($H749="Zoning: Tree Points",$K749="Small/Medium",$L749&lt;&gt;"",ISNA(MATCH($L749,Tables!$C$246:$C$247,0))),
Error!$B$59,
IF(AND($H749="Zoning: Tree Points",$K749="Medium/Large",$L749&lt;&gt;"",ISNA(MATCH($L749,Tables!$C$249:$C$250,0))),
Error!$B$59,
IF(AND($H749="Zoning: Tree Points",$K749="Large",$L749&lt;&gt;"",ISNA(MATCH($L749,Tables!$C$252:$C$253,0))),
Error!$B$59,
IF(AND($F749="Retain",$H749="Zoning: Tree Points",$C749&lt;&gt;"",$D749&lt;&gt;"",OR($K749="",$L749="",$M749="")),
Error!$B$20,
""
)))))))))))))))))))))))))))))))))))))))))))))))))))))))),
Error!$B$23))</f>
        <v/>
      </c>
      <c r="O749" s="343" t="str" cm="1">
        <f t="array" aca="1" ref="O749" ca="1">IFERROR(_xlfn.LET(
    _xlpm.txt, $C749,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50" spans="1:15" ht="15" thickBot="1" x14ac:dyDescent="0.35">
      <c r="A750" s="331"/>
      <c r="B750" s="616" t="str">
        <f t="shared" si="887"/>
        <v/>
      </c>
      <c r="C750" s="617" t="str">
        <f t="shared" si="888"/>
        <v/>
      </c>
      <c r="D750" s="618" t="str">
        <f t="shared" si="889"/>
        <v/>
      </c>
      <c r="E750" s="616" t="str">
        <f t="shared" si="890"/>
        <v/>
      </c>
      <c r="F750" s="616" t="str">
        <f t="shared" si="891"/>
        <v/>
      </c>
      <c r="G750" s="619" t="str">
        <f>IF(Tree_Table1[[#This Row],[Tree Status  &amp;]]="Retain", Tables!$B$237, IF(Tree_Table1[[#This Row],[Tree Status  &amp;]]="Remove", Tables!$B$238, ""))</f>
        <v/>
      </c>
      <c r="H750" s="329"/>
      <c r="I750" s="330"/>
      <c r="J750" s="455"/>
      <c r="K750" s="327" t="str">
        <f>IFERROR(
    IF(
        AND($H750="Zoning: Tree Points", NOT(ISNUMBER(SEARCH("sp.", $C750)))),
        VLOOKUP($C750, 'Tree List'!$C$3:$F$601, 4, FALSE),
        ""
    ),
"")</f>
        <v/>
      </c>
      <c r="L750" s="328" t="str" cm="1">
        <f t="array" ref="L750">IFERROR(
IF(
    AND($H750="Zoning: Tree Points", NOT(ISNUMBER(SEARCH("sp.", $C750)))),
    _xlfn.IFS(
        (COUNTIFS('Tree List'!$C$3:$C$601,$C750,'Tree List'!$D$3:$D$601,"Coniferous")
        + COUNTIFS('Tree List'!$C$3:$C$601,$C750,'Tree List'!$D$3:$D$601,"Deciduous Conifer")) &gt; 0,
            _xlfn.IFS($K750="Small",0.5,$K750="Small/Medium",1,$K750="Medium/Large",1.4,$K750="Large",1.8),
        (COUNTIFS('Tree List'!$C$3:$C$601,$C750,'Tree List'!$D$3:$D$601,"Deciduous")
        + COUNTIFS('Tree List'!$C$3:$C$601,$C750,'Tree List'!$D$3:$D$601,"Broadleaf Evergreen")) &gt; 0,
            _xlfn.IFS($K750="Small",0.4,$K750="Small/Medium",0.8,$K750="Medium/Large",1.2,$K750="Large",1.6)
    ),
    ""
),
"")</f>
        <v/>
      </c>
      <c r="M750" s="476" t="str">
        <f t="shared" si="816"/>
        <v/>
      </c>
      <c r="N750" s="347" t="str" cm="1">
        <f t="array" aca="1" ref="N75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IF(AND(_xlpm.baseRow,ISNA(MATCH($C750,'Tree List'!$C$3:$C$601,0)),SUMPRODUCT(--ISNUMBER(SEARCH(Tables2!$C$677:$C$772,$O750)))&gt;0),
Error!$B$57,
IF(AND(_xlpm.hasDM,$F750="Remove",$H750&lt;&gt;"",OR($I750="On-site replacement",$I750="Off-site replacement",$I750="Payment In Lieu")),
Error!$B$56,
IF(AND(_xlpm.hasDM,$F750="Remove",$H750&lt;&gt;"",$I750="Relocation"),
Error!$B$66,
IF(AND(OR(_xlpm.hasCN,_xlpm.hasPH,_xlpm.hasGR),$H750&lt;&gt;"",COUNTIF(Tables!$B$132:$B$134,$H750)&gt;0,$I750="N/A (No replacement required)"),
Error!$B$62,
IF(AND(_xlpm.baseRow,$E750&lt;&gt;"",ISNA(MATCH($E750,Tables!$B$225:$B$232,0))),
Error!$B$2,
IF(AND(_xlpm.baseRow,$F750&lt;&gt;"",ISNA(MATCH($F750,Tables!$B$234:$B$235,0))),
Error!$B$24,
IF(AND(_xlpm.baseRow,_xlpm.ECA_H&gt;0,_xlpm.Shore_H&gt;0),
Error!$B$16,
IF(AND(_xlpm.baseRow,$E750&lt;&gt;"",$D750=""),
Error!$B$3,
IF(AND(_xlpm.baseRow,OR($E750="Tier 3",$E750="Tier 4"),$C750&lt;&gt;"",$D750&gt;=24,COUNTIF(Tables2!$B$166:$B$674,$C750)&gt;0),
Error!$B$44,
IF(AND(_xlpm.baseRow,OR($E750="Tier 3",$E750="Tier 4"),$C750&lt;&gt;"",$D750&lt;&gt;"",COUNTIF(Tables2!$B$73:$B$152,$C750)&gt;0,
$D750&gt;=IFERROR(INDEX(Tables2!$C$73:$C$152,MATCH($C750,Tables2!$B$73:$B$152,0)),-1)),
Error!$B$44,
IF(AND(_xlpm.baseRow,OR($E750="Tier 2",$E750="Tier 2 Grove"),$C750&lt;&gt;"",$D750&gt;=12,COUNTIF(Tables2!$B$153:$B$162,$C750)&gt;0),
Error!$B$45,
IF(AND(_xlpm.baseRow,$E750="Tier 2 Grove",$D750&lt;12),
Error!$B$41,
IF(AND(_xlpm.baseRow,$E750="Tier 2",$D750&lt;5.88),
Error!$B$40,
IF(AND(_xlpm.baseRow,OR($E750="Tier 2",$E750="Tier 2 Grove"),$C750&lt;&gt;"",$D750&lt;12,$D750&gt;=6,COUNTIF(Tables2!$B$153:$B$162,$C750)&gt;0),
Error!$B$54,
IF(AND(_xlpm.baseRow,$E750="Tier 2",COUNTIF(Tables2!$B$166:$B$674,$C750)&gt;0,$D750&lt;24),
Error!$B$54,
IF(AND(_xlpm.baseRow,$E750="Tier 3",ISNA(MATCH($C750,Tables2!$B$153:$B$162,0)),OR($D750&lt;12,$D750&gt;=24)),
Error!$B$9,
IF(AND(_xlpm.baseRow,$E750="Tier 3",COUNTIF(Tables2!$B$153:$B$162,$C750)&gt;0,$D750&lt;12),
Error!$B$46,
IF(AND(_xlpm.baseRow,$E750="Tier 4",OR($D750&lt;6,$D750&gt;=12)),
Error!$B$10,
IF(AND(_xlpm.baseRow,$E750="&lt;6in DSH for Tree Points",OR($D750&gt;=6,$D750="")),
Error!$B$8,
IF(AND(_xlpm.baseRow,$E750="Street Tree for Green Factor",$F750&lt;&gt;"",$F750&lt;&gt;"Retain"),
Error!$B$14,
IF(AND($E750="&lt;6in DSH for Tree Points",$F750="Retain",$H750&lt;&gt;"",ISNA(MATCH($H750,Tables!$B$174:$B$174,0))),
Error!$B$15,
IF(AND($E750="Street Tree for Green Factor",$F750="Retain",$H750&lt;&gt;"",$H750&lt;&gt;"Zoning: Green Factor"),
Error!$B$15,
IF(AND($E750="ECA / Shoreline Tree",$F750="Remove",$H750&lt;&gt;"",ISNA(MATCH($H750,Tables!$B$189:$B$190,0))),
Error!$B$15,
IF(AND($E750="ECA / Shoreline Tree",$F750="Retain",$H750&lt;&gt;"",ISNA(MATCH($H750,Tables!$B$184:$B$186,0))),
Error!$B$15,
IF(AND($E750="Tier 4",$F750="Remove",$H750&lt;&gt;"",ISNA(MATCH($H750,Tables!$B$171,0))),
Error!$B$15,
IF(AND($E750="Tier 4",$F750="Retain",$H750&lt;&gt;"",ISNA(MATCH($H750,Tables!$B$166:$B$168,0))),
Error!$B$15,
IF(AND($E750="Tier 3",$F750="Retain",$H750&lt;&gt;"",ISNA(MATCH($H750,Tables!$B$158:$B$160,0))),
Error!$B$15,
IF(AND($E750="Tier 3",$F750="Remove",$H750&lt;&gt;"",ISNA(MATCH($H750,Tables!$B$163,0))),
Error!$B$15,
IF(AND(OR($E750="Tier 2",$E750="Tier 2 Grove"),$F750="Remove",$H750&lt;&gt;"",ISNA(MATCH($H750,Tables!$B$153:$B$155,0))),
Error!$B$15,
IF(AND(OR($E750="Tier 2",$E750="Tier 2 Grove"),$F750="Retain",$H750&lt;&gt;"",ISNA(MATCH($H750,Tables!$B$147:$B$150,0))),
Error!$B$15,
IF(AND($E750="Tier 1",$F750="Remove",$H750&lt;&gt;"",ISNA(MATCH($H750,Tables!$B$143:$B$144,0))),
Error!$B$15,
IF(AND($E750="Tier 1",$F750="Retain",$H750&lt;&gt;"",ISNA(MATCH($H750,Tables!$B$137:$B$140,0))),
Error!$B$15,
IF(AND($E750&lt;&gt;"Tier 2",$E750&lt;&gt;"Tier 2 Grove",$E750&lt;&gt;"Tier 3",$E750&lt;&gt;"Tier 4",$H750="Zoning: Green Factor",OR($D750="",$D750&lt;6)),
Error!$B$11,
IF(AND(_xlpm.baseRow,$D750&lt;6,$E750="&lt;6in DSH for Tree Points",_xlpm.TreePoints_H=0),
Error!$B$21,
IF(AND(_xlpm.baseRow,$E750&lt;&gt;"",$D750&lt;&gt;"",$F750=""),
Error!$B$4,
IF(AND(_xlpm.baseRow,$F750="Remove",OR($E750="Tier 1",$E750="Tier 2",$E750="Tier 2 Grove"),COUNTBLANK(_xlpm.HRange)&lt;3,_xlpm.uniqueH&gt;=2),
Error!$B$48,
IF(AND(_xlpm.baseRow,$F750="Retain",OR($E750="Tier 1",$E750="Tier 2",$E750="Tier 2 Grove"),COUNTIF(_xlpm.HRange,"Tree Code: Required to Retain Tier 1-2 Tree")=0),
Error!$B$47,
IF(AND(_xlpm.baseRow,$E750&lt;&gt;"",$D750&lt;&gt;"",$F750&lt;&gt;"",COUNTBLANK(_xlpm.HRange)=4),
Error!$B$5,
IF(AND($F750="Remove",$H750&lt;&gt;"",$I750=""),
Error!$B$18,
IF(AND($E750="Tier 4",$F750="Remove",$H750="Tree Protection Code: Tier 3 or Tier 4 Allowance",$H750&lt;&gt;"",ISNA(MATCH($I750,Tables!$B$200,0))),
Error!$B$17,
IF(AND($E750="Tier 3",$F750="Remove",$H750&lt;&gt;"",$H750="Tree Protection Code: Tier 3 or Tier 4 Allowance",OR($I750="",ISNA(MATCH($I750,Tables!$B$193:$B$197,0)))),
Error!$B$17,
IF(AND(OR($E750="Tier 2",$E750="Tier 2 Grove"),$F750="Remove",$H750="Tree Protection Code: Other removal allowance or exemption",$I750&lt;&gt;"",ISNA(MATCH($I750,Tables!$B$215:$B$218,0))),
Error!$B$17,
IF(AND(OR($E750="Tier 2",$E750="Tier 2 Grove"),$F750="Remove",$H750="Tree Protection Code: Development Capacity",$I750&lt;&gt;"",ISNA(MATCH($I750,Tables!$B$193:$B$197,0))),
Error!$B$17,
IF(AND(OR($E750="Tier 2",$E750="Tier 2 Grove"),$F750="Remove",$H750="Tree Protection Code: Necessary for Construction",$I750&lt;&gt;"",ISNA(MATCH($I750,Tables!$B$193:$B$197,0))),
Error!$B$17,
IF(AND($E750="Tier 1",$F750="Remove",$H750="Tree Protection Code: Special Exception",$I750&lt;&gt;"",ISNA(MATCH($I750,Tables!$B$215:$B$218,0))),
Error!$B$17,
IF(AND($E750="Tier 1",$F750="Remove",$H750="Tree Protection Code: Other removal allowance or exemption",$I750&lt;&gt;"",ISNA(MATCH($I750,Tables!$B$215:$B$218,0))),
Error!$B$17,
IF(AND($E750="ECA / Shoreline Tree",$F750="Remove",$H750&lt;&gt;"",OR($H750="Shoreline",$H750="Environmental Critical Area (ECA)"),ISNA(MATCH($I750,Tables!$B$209:$B$212,0))),
Error!$B$17,
IF(AND(_xlpm.baseRow,$F750="Retain",$E750="ECA / Shoreline Tree",_xlpm.ECA_Short=0),
Error!$B$61,
IF(AND($F750="Remove",ISNUMBER(MATCH($E750,{"Tier 1","Tier 2","Tier 3","Tier 4","Tier 2 Grove"},0)),ISNUMBER(MATCH($I750,{"On-site replacement","Off-site replacement"},0)),$J750="",$H750&lt;&gt;""),
Error!$B$19,
IF(AND(_xlpm.baseRow,$E750&lt;&gt;"",$D750&lt;&gt;"",$F750&lt;&gt;"",COUNTBLANK($B750:$C750)&gt;0,COUNTBLANK(_xlpm.HRange)&lt;&gt;4),
Error!$B$22,
IF(AND($H750="Zoning: Tree Points",$K750&lt;&gt;"",ISNA(MATCH($K750,Tables!$B$242:$B$253,0))),
Error!$B$58,
IF(AND($H750="Zoning: Tree Points",$K750="Small",$L750&lt;&gt;"",ISNA(MATCH($L750,Tables!$C$243:$C$244,0))),
Error!$B$59,
IF(AND($H750="Zoning: Tree Points",$K750="Small/Medium",$L750&lt;&gt;"",ISNA(MATCH($L750,Tables!$C$246:$C$247,0))),
Error!$B$59,
IF(AND($H750="Zoning: Tree Points",$K750="Medium/Large",$L750&lt;&gt;"",ISNA(MATCH($L750,Tables!$C$249:$C$250,0))),
Error!$B$59,
IF(AND($H750="Zoning: Tree Points",$K750="Large",$L750&lt;&gt;"",ISNA(MATCH($L750,Tables!$C$252:$C$253,0))),
Error!$B$59,
IF(AND($F750="Retain",$H750="Zoning: Tree Points",$C750&lt;&gt;"",$D750&lt;&gt;"",OR($K750="",$L750="",$M750="")),
Error!$B$20,
""
)))))))))))))))))))))))))))))))))))))))))))))))))))))))),
Error!$B$23))</f>
        <v/>
      </c>
      <c r="O750" s="343" t="str" cm="1">
        <f t="array" aca="1" ref="O750" ca="1">IFERROR(_xlfn.LET(
    _xlpm.txt, $C750,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51" spans="1:15" ht="15" thickBot="1" x14ac:dyDescent="0.35">
      <c r="A751" s="311">
        <v>186</v>
      </c>
      <c r="B751" s="312"/>
      <c r="C751" s="313"/>
      <c r="D751" s="478"/>
      <c r="E751" s="314"/>
      <c r="F751" s="314"/>
      <c r="G751" s="315" t="str">
        <f>IF(Tree_Table1[[#This Row],[Tree Status  &amp;]]="Retain", Tables!$B$237, IF(Tree_Table1[[#This Row],[Tree Status  &amp;]]="Remove", Tables!$B$238, ""))</f>
        <v/>
      </c>
      <c r="H751" s="316"/>
      <c r="I751" s="317"/>
      <c r="J751" s="452"/>
      <c r="K751" s="318" t="str">
        <f>IFERROR(
    IF(
        AND($H751="Zoning: Tree Points", NOT(ISNUMBER(SEARCH("sp.", $C751)))),
        VLOOKUP($C751, 'Tree List'!$C$3:$F$601, 4, FALSE),
        ""
    ),
"")</f>
        <v/>
      </c>
      <c r="L751" s="319" t="str" cm="1">
        <f t="array" ref="L751">IFERROR(
IF(
    AND($H751="Zoning: Tree Points", NOT(ISNUMBER(SEARCH("sp.", $C751)))),
    _xlfn.IFS(
        (COUNTIFS('Tree List'!$C$3:$C$601,$C751,'Tree List'!$D$3:$D$601,"Coniferous")
        + COUNTIFS('Tree List'!$C$3:$C$601,$C751,'Tree List'!$D$3:$D$601,"Deciduous Conifer")) &gt; 0,
            _xlfn.IFS($K751="Small",0.5,$K751="Small/Medium",1,$K751="Medium/Large",1.4,$K751="Large",1.8),
        (COUNTIFS('Tree List'!$C$3:$C$601,$C751,'Tree List'!$D$3:$D$601,"Deciduous")
        + COUNTIFS('Tree List'!$C$3:$C$601,$C751,'Tree List'!$D$3:$D$601,"Broadleaf Evergreen")) &gt; 0,
            _xlfn.IFS($K751="Small",0.4,$K751="Small/Medium",0.8,$K751="Medium/Large",1.2,$K751="Large",1.6)
    ),
    ""
),
"")</f>
        <v/>
      </c>
      <c r="M751" s="474" t="str">
        <f t="shared" si="816"/>
        <v/>
      </c>
      <c r="N751" s="620" t="str" cm="1">
        <f t="array" aca="1" ref="N75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IF(AND(_xlpm.baseRow,ISNA(MATCH($C751,'Tree List'!$C$3:$C$601,0)),SUMPRODUCT(--ISNUMBER(SEARCH(Tables2!$C$677:$C$772,$O751)))&gt;0),
Error!$B$57,
IF(AND(_xlpm.hasDM,$F751="Remove",$H751&lt;&gt;"",OR($I751="On-site replacement",$I751="Off-site replacement",$I751="Payment In Lieu")),
Error!$B$56,
IF(AND(_xlpm.hasDM,$F751="Remove",$H751&lt;&gt;"",$I751="Relocation"),
Error!$B$66,
IF(AND(OR(_xlpm.hasCN,_xlpm.hasPH,_xlpm.hasGR),$H751&lt;&gt;"",COUNTIF(Tables!$B$132:$B$134,$H751)&gt;0,$I751="N/A (No replacement required)"),
Error!$B$62,
IF(AND(_xlpm.baseRow,$E751&lt;&gt;"",ISNA(MATCH($E751,Tables!$B$225:$B$232,0))),
Error!$B$2,
IF(AND(_xlpm.baseRow,$F751&lt;&gt;"",ISNA(MATCH($F751,Tables!$B$234:$B$235,0))),
Error!$B$24,
IF(AND(_xlpm.baseRow,_xlpm.ECA_H&gt;0,_xlpm.Shore_H&gt;0),
Error!$B$16,
IF(AND(_xlpm.baseRow,$E751&lt;&gt;"",$D751=""),
Error!$B$3,
IF(AND(_xlpm.baseRow,OR($E751="Tier 3",$E751="Tier 4"),$C751&lt;&gt;"",$D751&gt;=24,COUNTIF(Tables2!$B$166:$B$674,$C751)&gt;0),
Error!$B$44,
IF(AND(_xlpm.baseRow,OR($E751="Tier 3",$E751="Tier 4"),$C751&lt;&gt;"",$D751&lt;&gt;"",COUNTIF(Tables2!$B$73:$B$152,$C751)&gt;0,
$D751&gt;=IFERROR(INDEX(Tables2!$C$73:$C$152,MATCH($C751,Tables2!$B$73:$B$152,0)),-1)),
Error!$B$44,
IF(AND(_xlpm.baseRow,OR($E751="Tier 2",$E751="Tier 2 Grove"),$C751&lt;&gt;"",$D751&gt;=12,COUNTIF(Tables2!$B$153:$B$162,$C751)&gt;0),
Error!$B$45,
IF(AND(_xlpm.baseRow,$E751="Tier 2 Grove",$D751&lt;12),
Error!$B$41,
IF(AND(_xlpm.baseRow,$E751="Tier 2",$D751&lt;5.88),
Error!$B$40,
IF(AND(_xlpm.baseRow,OR($E751="Tier 2",$E751="Tier 2 Grove"),$C751&lt;&gt;"",$D751&lt;12,$D751&gt;=6,COUNTIF(Tables2!$B$153:$B$162,$C751)&gt;0),
Error!$B$54,
IF(AND(_xlpm.baseRow,$E751="Tier 2",COUNTIF(Tables2!$B$166:$B$674,$C751)&gt;0,$D751&lt;24),
Error!$B$54,
IF(AND(_xlpm.baseRow,$E751="Tier 3",ISNA(MATCH($C751,Tables2!$B$153:$B$162,0)),OR($D751&lt;12,$D751&gt;=24)),
Error!$B$9,
IF(AND(_xlpm.baseRow,$E751="Tier 3",COUNTIF(Tables2!$B$153:$B$162,$C751)&gt;0,$D751&lt;12),
Error!$B$46,
IF(AND(_xlpm.baseRow,$E751="Tier 4",OR($D751&lt;6,$D751&gt;=12)),
Error!$B$10,
IF(AND(_xlpm.baseRow,$E751="&lt;6in DSH for Tree Points",OR($D751&gt;=6,$D751="")),
Error!$B$8,
IF(AND(_xlpm.baseRow,$E751="Street Tree for Green Factor",$F751&lt;&gt;"",$F751&lt;&gt;"Retain"),
Error!$B$14,
IF(AND($E751="&lt;6in DSH for Tree Points",$F751="Retain",$H751&lt;&gt;"",ISNA(MATCH($H751,Tables!$B$174:$B$174,0))),
Error!$B$15,
IF(AND($E751="Street Tree for Green Factor",$F751="Retain",$H751&lt;&gt;"",$H751&lt;&gt;"Zoning: Green Factor"),
Error!$B$15,
IF(AND($E751="ECA / Shoreline Tree",$F751="Remove",$H751&lt;&gt;"",ISNA(MATCH($H751,Tables!$B$189:$B$190,0))),
Error!$B$15,
IF(AND($E751="ECA / Shoreline Tree",$F751="Retain",$H751&lt;&gt;"",ISNA(MATCH($H751,Tables!$B$184:$B$186,0))),
Error!$B$15,
IF(AND($E751="Tier 4",$F751="Remove",$H751&lt;&gt;"",ISNA(MATCH($H751,Tables!$B$171,0))),
Error!$B$15,
IF(AND($E751="Tier 4",$F751="Retain",$H751&lt;&gt;"",ISNA(MATCH($H751,Tables!$B$166:$B$168,0))),
Error!$B$15,
IF(AND($E751="Tier 3",$F751="Retain",$H751&lt;&gt;"",ISNA(MATCH($H751,Tables!$B$158:$B$160,0))),
Error!$B$15,
IF(AND($E751="Tier 3",$F751="Remove",$H751&lt;&gt;"",ISNA(MATCH($H751,Tables!$B$163,0))),
Error!$B$15,
IF(AND(OR($E751="Tier 2",$E751="Tier 2 Grove"),$F751="Remove",$H751&lt;&gt;"",ISNA(MATCH($H751,Tables!$B$153:$B$155,0))),
Error!$B$15,
IF(AND(OR($E751="Tier 2",$E751="Tier 2 Grove"),$F751="Retain",$H751&lt;&gt;"",ISNA(MATCH($H751,Tables!$B$147:$B$150,0))),
Error!$B$15,
IF(AND($E751="Tier 1",$F751="Remove",$H751&lt;&gt;"",ISNA(MATCH($H751,Tables!$B$143:$B$144,0))),
Error!$B$15,
IF(AND($E751="Tier 1",$F751="Retain",$H751&lt;&gt;"",ISNA(MATCH($H751,Tables!$B$137:$B$140,0))),
Error!$B$15,
IF(AND($E751&lt;&gt;"Tier 2",$E751&lt;&gt;"Tier 2 Grove",$E751&lt;&gt;"Tier 3",$E751&lt;&gt;"Tier 4",$H751="Zoning: Green Factor",OR($D751="",$D751&lt;6)),
Error!$B$11,
IF(AND(_xlpm.baseRow,$D751&lt;6,$E751="&lt;6in DSH for Tree Points",_xlpm.TreePoints_H=0),
Error!$B$21,
IF(AND(_xlpm.baseRow,$E751&lt;&gt;"",$D751&lt;&gt;"",$F751=""),
Error!$B$4,
IF(AND(_xlpm.baseRow,$F751="Remove",OR($E751="Tier 1",$E751="Tier 2",$E751="Tier 2 Grove"),COUNTBLANK(_xlpm.HRange)&lt;3,_xlpm.uniqueH&gt;=2),
Error!$B$48,
IF(AND(_xlpm.baseRow,$F751="Retain",OR($E751="Tier 1",$E751="Tier 2",$E751="Tier 2 Grove"),COUNTIF(_xlpm.HRange,"Tree Code: Required to Retain Tier 1-2 Tree")=0),
Error!$B$47,
IF(AND(_xlpm.baseRow,$E751&lt;&gt;"",$D751&lt;&gt;"",$F751&lt;&gt;"",COUNTBLANK(_xlpm.HRange)=4),
Error!$B$5,
IF(AND($F751="Remove",$H751&lt;&gt;"",$I751=""),
Error!$B$18,
IF(AND($E751="Tier 4",$F751="Remove",$H751="Tree Protection Code: Tier 3 or Tier 4 Allowance",$H751&lt;&gt;"",ISNA(MATCH($I751,Tables!$B$200,0))),
Error!$B$17,
IF(AND($E751="Tier 3",$F751="Remove",$H751&lt;&gt;"",$H751="Tree Protection Code: Tier 3 or Tier 4 Allowance",OR($I751="",ISNA(MATCH($I751,Tables!$B$193:$B$197,0)))),
Error!$B$17,
IF(AND(OR($E751="Tier 2",$E751="Tier 2 Grove"),$F751="Remove",$H751="Tree Protection Code: Other removal allowance or exemption",$I751&lt;&gt;"",ISNA(MATCH($I751,Tables!$B$215:$B$218,0))),
Error!$B$17,
IF(AND(OR($E751="Tier 2",$E751="Tier 2 Grove"),$F751="Remove",$H751="Tree Protection Code: Development Capacity",$I751&lt;&gt;"",ISNA(MATCH($I751,Tables!$B$193:$B$197,0))),
Error!$B$17,
IF(AND(OR($E751="Tier 2",$E751="Tier 2 Grove"),$F751="Remove",$H751="Tree Protection Code: Necessary for Construction",$I751&lt;&gt;"",ISNA(MATCH($I751,Tables!$B$193:$B$197,0))),
Error!$B$17,
IF(AND($E751="Tier 1",$F751="Remove",$H751="Tree Protection Code: Special Exception",$I751&lt;&gt;"",ISNA(MATCH($I751,Tables!$B$215:$B$218,0))),
Error!$B$17,
IF(AND($E751="Tier 1",$F751="Remove",$H751="Tree Protection Code: Other removal allowance or exemption",$I751&lt;&gt;"",ISNA(MATCH($I751,Tables!$B$215:$B$218,0))),
Error!$B$17,
IF(AND($E751="ECA / Shoreline Tree",$F751="Remove",$H751&lt;&gt;"",OR($H751="Shoreline",$H751="Environmental Critical Area (ECA)"),ISNA(MATCH($I751,Tables!$B$209:$B$212,0))),
Error!$B$17,
IF(AND(_xlpm.baseRow,$F751="Retain",$E751="ECA / Shoreline Tree",_xlpm.ECA_Short=0),
Error!$B$61,
IF(AND($F751="Remove",ISNUMBER(MATCH($E751,{"Tier 1","Tier 2","Tier 3","Tier 4","Tier 2 Grove"},0)),ISNUMBER(MATCH($I751,{"On-site replacement","Off-site replacement"},0)),$J751="",$H751&lt;&gt;""),
Error!$B$19,
IF(AND(_xlpm.baseRow,$E751&lt;&gt;"",$D751&lt;&gt;"",$F751&lt;&gt;"",COUNTBLANK($B751:$C751)&gt;0,COUNTBLANK(_xlpm.HRange)&lt;&gt;4),
Error!$B$22,
IF(AND($H751="Zoning: Tree Points",$K751&lt;&gt;"",ISNA(MATCH($K751,Tables!$B$242:$B$253,0))),
Error!$B$58,
IF(AND($H751="Zoning: Tree Points",$K751="Small",$L751&lt;&gt;"",ISNA(MATCH($L751,Tables!$C$243:$C$244,0))),
Error!$B$59,
IF(AND($H751="Zoning: Tree Points",$K751="Small/Medium",$L751&lt;&gt;"",ISNA(MATCH($L751,Tables!$C$246:$C$247,0))),
Error!$B$59,
IF(AND($H751="Zoning: Tree Points",$K751="Medium/Large",$L751&lt;&gt;"",ISNA(MATCH($L751,Tables!$C$249:$C$250,0))),
Error!$B$59,
IF(AND($H751="Zoning: Tree Points",$K751="Large",$L751&lt;&gt;"",ISNA(MATCH($L751,Tables!$C$252:$C$253,0))),
Error!$B$59,
IF(AND($F751="Retain",$H751="Zoning: Tree Points",$C751&lt;&gt;"",$D751&lt;&gt;"",OR($K751="",$L751="",$M751="")),
Error!$B$20,
""
)))))))))))))))))))))))))))))))))))))))))))))))))))))))),
Error!$B$23))</f>
        <v/>
      </c>
      <c r="O751" s="343" t="str" cm="1">
        <f t="array" aca="1" ref="O751" ca="1">IFERROR(_xlfn.LET(
    _xlpm.txt, $C751,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52" spans="1:15" x14ac:dyDescent="0.3">
      <c r="A752" s="320"/>
      <c r="B752" s="616" t="str">
        <f t="shared" ref="B752:B754" si="892">IF($B751="", "", $B751)</f>
        <v/>
      </c>
      <c r="C752" s="617" t="str">
        <f t="shared" ref="C752:C754" si="893">IF($C751="", "", $C751)</f>
        <v/>
      </c>
      <c r="D752" s="618" t="str">
        <f t="shared" ref="D752:D754" si="894">IF($D751="", "", $D751)</f>
        <v/>
      </c>
      <c r="E752" s="616" t="str">
        <f t="shared" ref="E752:E754" si="895">IF($E751="", "", $E751)</f>
        <v/>
      </c>
      <c r="F752" s="616" t="str">
        <f t="shared" ref="F752:F754" si="896">IF($F751="", "", $F751)</f>
        <v/>
      </c>
      <c r="G752" s="619" t="str">
        <f>IF(Tree_Table1[[#This Row],[Tree Status  &amp;]]="Retain", Tables!$B$237, IF(Tree_Table1[[#This Row],[Tree Status  &amp;]]="Remove", Tables!$B$238, ""))</f>
        <v/>
      </c>
      <c r="H752" s="321"/>
      <c r="I752" s="322"/>
      <c r="J752" s="453"/>
      <c r="K752" s="323" t="str">
        <f>IFERROR(
    IF(
        AND($H752="Zoning: Tree Points", NOT(ISNUMBER(SEARCH("sp.", $C752)))),
        VLOOKUP($C752, 'Tree List'!$C$3:$F$601, 4, FALSE),
        ""
    ),
"")</f>
        <v/>
      </c>
      <c r="L752" s="324" t="str" cm="1">
        <f t="array" ref="L752">IFERROR(
IF(
    AND($H752="Zoning: Tree Points", NOT(ISNUMBER(SEARCH("sp.", $C752)))),
    _xlfn.IFS(
        (COUNTIFS('Tree List'!$C$3:$C$601,$C752,'Tree List'!$D$3:$D$601,"Coniferous")
        + COUNTIFS('Tree List'!$C$3:$C$601,$C752,'Tree List'!$D$3:$D$601,"Deciduous Conifer")) &gt; 0,
            _xlfn.IFS($K752="Small",0.5,$K752="Small/Medium",1,$K752="Medium/Large",1.4,$K752="Large",1.8),
        (COUNTIFS('Tree List'!$C$3:$C$601,$C752,'Tree List'!$D$3:$D$601,"Deciduous")
        + COUNTIFS('Tree List'!$C$3:$C$601,$C752,'Tree List'!$D$3:$D$601,"Broadleaf Evergreen")) &gt; 0,
            _xlfn.IFS($K752="Small",0.4,$K752="Small/Medium",0.8,$K752="Medium/Large",1.2,$K752="Large",1.6)
    ),
    ""
),
"")</f>
        <v/>
      </c>
      <c r="M752" s="475" t="str">
        <f t="shared" si="816"/>
        <v/>
      </c>
      <c r="N752" s="346" t="str" cm="1">
        <f t="array" aca="1" ref="N75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IF(AND(_xlpm.baseRow,ISNA(MATCH($C752,'Tree List'!$C$3:$C$601,0)),SUMPRODUCT(--ISNUMBER(SEARCH(Tables2!$C$677:$C$772,$O752)))&gt;0),
Error!$B$57,
IF(AND(_xlpm.hasDM,$F752="Remove",$H752&lt;&gt;"",OR($I752="On-site replacement",$I752="Off-site replacement",$I752="Payment In Lieu")),
Error!$B$56,
IF(AND(_xlpm.hasDM,$F752="Remove",$H752&lt;&gt;"",$I752="Relocation"),
Error!$B$66,
IF(AND(OR(_xlpm.hasCN,_xlpm.hasPH,_xlpm.hasGR),$H752&lt;&gt;"",COUNTIF(Tables!$B$132:$B$134,$H752)&gt;0,$I752="N/A (No replacement required)"),
Error!$B$62,
IF(AND(_xlpm.baseRow,$E752&lt;&gt;"",ISNA(MATCH($E752,Tables!$B$225:$B$232,0))),
Error!$B$2,
IF(AND(_xlpm.baseRow,$F752&lt;&gt;"",ISNA(MATCH($F752,Tables!$B$234:$B$235,0))),
Error!$B$24,
IF(AND(_xlpm.baseRow,_xlpm.ECA_H&gt;0,_xlpm.Shore_H&gt;0),
Error!$B$16,
IF(AND(_xlpm.baseRow,$E752&lt;&gt;"",$D752=""),
Error!$B$3,
IF(AND(_xlpm.baseRow,OR($E752="Tier 3",$E752="Tier 4"),$C752&lt;&gt;"",$D752&gt;=24,COUNTIF(Tables2!$B$166:$B$674,$C752)&gt;0),
Error!$B$44,
IF(AND(_xlpm.baseRow,OR($E752="Tier 3",$E752="Tier 4"),$C752&lt;&gt;"",$D752&lt;&gt;"",COUNTIF(Tables2!$B$73:$B$152,$C752)&gt;0,
$D752&gt;=IFERROR(INDEX(Tables2!$C$73:$C$152,MATCH($C752,Tables2!$B$73:$B$152,0)),-1)),
Error!$B$44,
IF(AND(_xlpm.baseRow,OR($E752="Tier 2",$E752="Tier 2 Grove"),$C752&lt;&gt;"",$D752&gt;=12,COUNTIF(Tables2!$B$153:$B$162,$C752)&gt;0),
Error!$B$45,
IF(AND(_xlpm.baseRow,$E752="Tier 2 Grove",$D752&lt;12),
Error!$B$41,
IF(AND(_xlpm.baseRow,$E752="Tier 2",$D752&lt;5.88),
Error!$B$40,
IF(AND(_xlpm.baseRow,OR($E752="Tier 2",$E752="Tier 2 Grove"),$C752&lt;&gt;"",$D752&lt;12,$D752&gt;=6,COUNTIF(Tables2!$B$153:$B$162,$C752)&gt;0),
Error!$B$54,
IF(AND(_xlpm.baseRow,$E752="Tier 2",COUNTIF(Tables2!$B$166:$B$674,$C752)&gt;0,$D752&lt;24),
Error!$B$54,
IF(AND(_xlpm.baseRow,$E752="Tier 3",ISNA(MATCH($C752,Tables2!$B$153:$B$162,0)),OR($D752&lt;12,$D752&gt;=24)),
Error!$B$9,
IF(AND(_xlpm.baseRow,$E752="Tier 3",COUNTIF(Tables2!$B$153:$B$162,$C752)&gt;0,$D752&lt;12),
Error!$B$46,
IF(AND(_xlpm.baseRow,$E752="Tier 4",OR($D752&lt;6,$D752&gt;=12)),
Error!$B$10,
IF(AND(_xlpm.baseRow,$E752="&lt;6in DSH for Tree Points",OR($D752&gt;=6,$D752="")),
Error!$B$8,
IF(AND(_xlpm.baseRow,$E752="Street Tree for Green Factor",$F752&lt;&gt;"",$F752&lt;&gt;"Retain"),
Error!$B$14,
IF(AND($E752="&lt;6in DSH for Tree Points",$F752="Retain",$H752&lt;&gt;"",ISNA(MATCH($H752,Tables!$B$174:$B$174,0))),
Error!$B$15,
IF(AND($E752="Street Tree for Green Factor",$F752="Retain",$H752&lt;&gt;"",$H752&lt;&gt;"Zoning: Green Factor"),
Error!$B$15,
IF(AND($E752="ECA / Shoreline Tree",$F752="Remove",$H752&lt;&gt;"",ISNA(MATCH($H752,Tables!$B$189:$B$190,0))),
Error!$B$15,
IF(AND($E752="ECA / Shoreline Tree",$F752="Retain",$H752&lt;&gt;"",ISNA(MATCH($H752,Tables!$B$184:$B$186,0))),
Error!$B$15,
IF(AND($E752="Tier 4",$F752="Remove",$H752&lt;&gt;"",ISNA(MATCH($H752,Tables!$B$171,0))),
Error!$B$15,
IF(AND($E752="Tier 4",$F752="Retain",$H752&lt;&gt;"",ISNA(MATCH($H752,Tables!$B$166:$B$168,0))),
Error!$B$15,
IF(AND($E752="Tier 3",$F752="Retain",$H752&lt;&gt;"",ISNA(MATCH($H752,Tables!$B$158:$B$160,0))),
Error!$B$15,
IF(AND($E752="Tier 3",$F752="Remove",$H752&lt;&gt;"",ISNA(MATCH($H752,Tables!$B$163,0))),
Error!$B$15,
IF(AND(OR($E752="Tier 2",$E752="Tier 2 Grove"),$F752="Remove",$H752&lt;&gt;"",ISNA(MATCH($H752,Tables!$B$153:$B$155,0))),
Error!$B$15,
IF(AND(OR($E752="Tier 2",$E752="Tier 2 Grove"),$F752="Retain",$H752&lt;&gt;"",ISNA(MATCH($H752,Tables!$B$147:$B$150,0))),
Error!$B$15,
IF(AND($E752="Tier 1",$F752="Remove",$H752&lt;&gt;"",ISNA(MATCH($H752,Tables!$B$143:$B$144,0))),
Error!$B$15,
IF(AND($E752="Tier 1",$F752="Retain",$H752&lt;&gt;"",ISNA(MATCH($H752,Tables!$B$137:$B$140,0))),
Error!$B$15,
IF(AND($E752&lt;&gt;"Tier 2",$E752&lt;&gt;"Tier 2 Grove",$E752&lt;&gt;"Tier 3",$E752&lt;&gt;"Tier 4",$H752="Zoning: Green Factor",OR($D752="",$D752&lt;6)),
Error!$B$11,
IF(AND(_xlpm.baseRow,$D752&lt;6,$E752="&lt;6in DSH for Tree Points",_xlpm.TreePoints_H=0),
Error!$B$21,
IF(AND(_xlpm.baseRow,$E752&lt;&gt;"",$D752&lt;&gt;"",$F752=""),
Error!$B$4,
IF(AND(_xlpm.baseRow,$F752="Remove",OR($E752="Tier 1",$E752="Tier 2",$E752="Tier 2 Grove"),COUNTBLANK(_xlpm.HRange)&lt;3,_xlpm.uniqueH&gt;=2),
Error!$B$48,
IF(AND(_xlpm.baseRow,$F752="Retain",OR($E752="Tier 1",$E752="Tier 2",$E752="Tier 2 Grove"),COUNTIF(_xlpm.HRange,"Tree Code: Required to Retain Tier 1-2 Tree")=0),
Error!$B$47,
IF(AND(_xlpm.baseRow,$E752&lt;&gt;"",$D752&lt;&gt;"",$F752&lt;&gt;"",COUNTBLANK(_xlpm.HRange)=4),
Error!$B$5,
IF(AND($F752="Remove",$H752&lt;&gt;"",$I752=""),
Error!$B$18,
IF(AND($E752="Tier 4",$F752="Remove",$H752="Tree Protection Code: Tier 3 or Tier 4 Allowance",$H752&lt;&gt;"",ISNA(MATCH($I752,Tables!$B$200,0))),
Error!$B$17,
IF(AND($E752="Tier 3",$F752="Remove",$H752&lt;&gt;"",$H752="Tree Protection Code: Tier 3 or Tier 4 Allowance",OR($I752="",ISNA(MATCH($I752,Tables!$B$193:$B$197,0)))),
Error!$B$17,
IF(AND(OR($E752="Tier 2",$E752="Tier 2 Grove"),$F752="Remove",$H752="Tree Protection Code: Other removal allowance or exemption",$I752&lt;&gt;"",ISNA(MATCH($I752,Tables!$B$215:$B$218,0))),
Error!$B$17,
IF(AND(OR($E752="Tier 2",$E752="Tier 2 Grove"),$F752="Remove",$H752="Tree Protection Code: Development Capacity",$I752&lt;&gt;"",ISNA(MATCH($I752,Tables!$B$193:$B$197,0))),
Error!$B$17,
IF(AND(OR($E752="Tier 2",$E752="Tier 2 Grove"),$F752="Remove",$H752="Tree Protection Code: Necessary for Construction",$I752&lt;&gt;"",ISNA(MATCH($I752,Tables!$B$193:$B$197,0))),
Error!$B$17,
IF(AND($E752="Tier 1",$F752="Remove",$H752="Tree Protection Code: Special Exception",$I752&lt;&gt;"",ISNA(MATCH($I752,Tables!$B$215:$B$218,0))),
Error!$B$17,
IF(AND($E752="Tier 1",$F752="Remove",$H752="Tree Protection Code: Other removal allowance or exemption",$I752&lt;&gt;"",ISNA(MATCH($I752,Tables!$B$215:$B$218,0))),
Error!$B$17,
IF(AND($E752="ECA / Shoreline Tree",$F752="Remove",$H752&lt;&gt;"",OR($H752="Shoreline",$H752="Environmental Critical Area (ECA)"),ISNA(MATCH($I752,Tables!$B$209:$B$212,0))),
Error!$B$17,
IF(AND(_xlpm.baseRow,$F752="Retain",$E752="ECA / Shoreline Tree",_xlpm.ECA_Short=0),
Error!$B$61,
IF(AND($F752="Remove",ISNUMBER(MATCH($E752,{"Tier 1","Tier 2","Tier 3","Tier 4","Tier 2 Grove"},0)),ISNUMBER(MATCH($I752,{"On-site replacement","Off-site replacement"},0)),$J752="",$H752&lt;&gt;""),
Error!$B$19,
IF(AND(_xlpm.baseRow,$E752&lt;&gt;"",$D752&lt;&gt;"",$F752&lt;&gt;"",COUNTBLANK($B752:$C752)&gt;0,COUNTBLANK(_xlpm.HRange)&lt;&gt;4),
Error!$B$22,
IF(AND($H752="Zoning: Tree Points",$K752&lt;&gt;"",ISNA(MATCH($K752,Tables!$B$242:$B$253,0))),
Error!$B$58,
IF(AND($H752="Zoning: Tree Points",$K752="Small",$L752&lt;&gt;"",ISNA(MATCH($L752,Tables!$C$243:$C$244,0))),
Error!$B$59,
IF(AND($H752="Zoning: Tree Points",$K752="Small/Medium",$L752&lt;&gt;"",ISNA(MATCH($L752,Tables!$C$246:$C$247,0))),
Error!$B$59,
IF(AND($H752="Zoning: Tree Points",$K752="Medium/Large",$L752&lt;&gt;"",ISNA(MATCH($L752,Tables!$C$249:$C$250,0))),
Error!$B$59,
IF(AND($H752="Zoning: Tree Points",$K752="Large",$L752&lt;&gt;"",ISNA(MATCH($L752,Tables!$C$252:$C$253,0))),
Error!$B$59,
IF(AND($F752="Retain",$H752="Zoning: Tree Points",$C752&lt;&gt;"",$D752&lt;&gt;"",OR($K752="",$L752="",$M752="")),
Error!$B$20,
""
)))))))))))))))))))))))))))))))))))))))))))))))))))))))),
Error!$B$23))</f>
        <v/>
      </c>
      <c r="O752" s="343" t="str" cm="1">
        <f t="array" aca="1" ref="O752" ca="1">IFERROR(_xlfn.LET(
    _xlpm.txt, $C752,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53" spans="1:15" x14ac:dyDescent="0.3">
      <c r="A753" s="320"/>
      <c r="B753" s="616" t="str">
        <f t="shared" si="892"/>
        <v/>
      </c>
      <c r="C753" s="617" t="str">
        <f t="shared" si="893"/>
        <v/>
      </c>
      <c r="D753" s="618" t="str">
        <f t="shared" si="894"/>
        <v/>
      </c>
      <c r="E753" s="616" t="str">
        <f t="shared" si="895"/>
        <v/>
      </c>
      <c r="F753" s="616" t="str">
        <f t="shared" si="896"/>
        <v/>
      </c>
      <c r="G753" s="619" t="str">
        <f>IF(Tree_Table1[[#This Row],[Tree Status  &amp;]]="Retain", Tables!$B$237, IF(Tree_Table1[[#This Row],[Tree Status  &amp;]]="Remove", Tables!$B$238, ""))</f>
        <v/>
      </c>
      <c r="H753" s="321"/>
      <c r="I753" s="322"/>
      <c r="J753" s="453"/>
      <c r="K753" s="323" t="str">
        <f>IFERROR(
    IF(
        AND($H753="Zoning: Tree Points", NOT(ISNUMBER(SEARCH("sp.", $C753)))),
        VLOOKUP($C753, 'Tree List'!$C$3:$F$601, 4, FALSE),
        ""
    ),
"")</f>
        <v/>
      </c>
      <c r="L753" s="324" t="str" cm="1">
        <f t="array" ref="L753">IFERROR(
IF(
    AND($H753="Zoning: Tree Points", NOT(ISNUMBER(SEARCH("sp.", $C753)))),
    _xlfn.IFS(
        (COUNTIFS('Tree List'!$C$3:$C$601,$C753,'Tree List'!$D$3:$D$601,"Coniferous")
        + COUNTIFS('Tree List'!$C$3:$C$601,$C753,'Tree List'!$D$3:$D$601,"Deciduous Conifer")) &gt; 0,
            _xlfn.IFS($K753="Small",0.5,$K753="Small/Medium",1,$K753="Medium/Large",1.4,$K753="Large",1.8),
        (COUNTIFS('Tree List'!$C$3:$C$601,$C753,'Tree List'!$D$3:$D$601,"Deciduous")
        + COUNTIFS('Tree List'!$C$3:$C$601,$C753,'Tree List'!$D$3:$D$601,"Broadleaf Evergreen")) &gt; 0,
            _xlfn.IFS($K753="Small",0.4,$K753="Small/Medium",0.8,$K753="Medium/Large",1.2,$K753="Large",1.6)
    ),
    ""
),
"")</f>
        <v/>
      </c>
      <c r="M753" s="475" t="str">
        <f t="shared" si="816"/>
        <v/>
      </c>
      <c r="N753" s="346" t="str" cm="1">
        <f t="array" aca="1" ref="N75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IF(AND(_xlpm.baseRow,ISNA(MATCH($C753,'Tree List'!$C$3:$C$601,0)),SUMPRODUCT(--ISNUMBER(SEARCH(Tables2!$C$677:$C$772,$O753)))&gt;0),
Error!$B$57,
IF(AND(_xlpm.hasDM,$F753="Remove",$H753&lt;&gt;"",OR($I753="On-site replacement",$I753="Off-site replacement",$I753="Payment In Lieu")),
Error!$B$56,
IF(AND(_xlpm.hasDM,$F753="Remove",$H753&lt;&gt;"",$I753="Relocation"),
Error!$B$66,
IF(AND(OR(_xlpm.hasCN,_xlpm.hasPH,_xlpm.hasGR),$H753&lt;&gt;"",COUNTIF(Tables!$B$132:$B$134,$H753)&gt;0,$I753="N/A (No replacement required)"),
Error!$B$62,
IF(AND(_xlpm.baseRow,$E753&lt;&gt;"",ISNA(MATCH($E753,Tables!$B$225:$B$232,0))),
Error!$B$2,
IF(AND(_xlpm.baseRow,$F753&lt;&gt;"",ISNA(MATCH($F753,Tables!$B$234:$B$235,0))),
Error!$B$24,
IF(AND(_xlpm.baseRow,_xlpm.ECA_H&gt;0,_xlpm.Shore_H&gt;0),
Error!$B$16,
IF(AND(_xlpm.baseRow,$E753&lt;&gt;"",$D753=""),
Error!$B$3,
IF(AND(_xlpm.baseRow,OR($E753="Tier 3",$E753="Tier 4"),$C753&lt;&gt;"",$D753&gt;=24,COUNTIF(Tables2!$B$166:$B$674,$C753)&gt;0),
Error!$B$44,
IF(AND(_xlpm.baseRow,OR($E753="Tier 3",$E753="Tier 4"),$C753&lt;&gt;"",$D753&lt;&gt;"",COUNTIF(Tables2!$B$73:$B$152,$C753)&gt;0,
$D753&gt;=IFERROR(INDEX(Tables2!$C$73:$C$152,MATCH($C753,Tables2!$B$73:$B$152,0)),-1)),
Error!$B$44,
IF(AND(_xlpm.baseRow,OR($E753="Tier 2",$E753="Tier 2 Grove"),$C753&lt;&gt;"",$D753&gt;=12,COUNTIF(Tables2!$B$153:$B$162,$C753)&gt;0),
Error!$B$45,
IF(AND(_xlpm.baseRow,$E753="Tier 2 Grove",$D753&lt;12),
Error!$B$41,
IF(AND(_xlpm.baseRow,$E753="Tier 2",$D753&lt;5.88),
Error!$B$40,
IF(AND(_xlpm.baseRow,OR($E753="Tier 2",$E753="Tier 2 Grove"),$C753&lt;&gt;"",$D753&lt;12,$D753&gt;=6,COUNTIF(Tables2!$B$153:$B$162,$C753)&gt;0),
Error!$B$54,
IF(AND(_xlpm.baseRow,$E753="Tier 2",COUNTIF(Tables2!$B$166:$B$674,$C753)&gt;0,$D753&lt;24),
Error!$B$54,
IF(AND(_xlpm.baseRow,$E753="Tier 3",ISNA(MATCH($C753,Tables2!$B$153:$B$162,0)),OR($D753&lt;12,$D753&gt;=24)),
Error!$B$9,
IF(AND(_xlpm.baseRow,$E753="Tier 3",COUNTIF(Tables2!$B$153:$B$162,$C753)&gt;0,$D753&lt;12),
Error!$B$46,
IF(AND(_xlpm.baseRow,$E753="Tier 4",OR($D753&lt;6,$D753&gt;=12)),
Error!$B$10,
IF(AND(_xlpm.baseRow,$E753="&lt;6in DSH for Tree Points",OR($D753&gt;=6,$D753="")),
Error!$B$8,
IF(AND(_xlpm.baseRow,$E753="Street Tree for Green Factor",$F753&lt;&gt;"",$F753&lt;&gt;"Retain"),
Error!$B$14,
IF(AND($E753="&lt;6in DSH for Tree Points",$F753="Retain",$H753&lt;&gt;"",ISNA(MATCH($H753,Tables!$B$174:$B$174,0))),
Error!$B$15,
IF(AND($E753="Street Tree for Green Factor",$F753="Retain",$H753&lt;&gt;"",$H753&lt;&gt;"Zoning: Green Factor"),
Error!$B$15,
IF(AND($E753="ECA / Shoreline Tree",$F753="Remove",$H753&lt;&gt;"",ISNA(MATCH($H753,Tables!$B$189:$B$190,0))),
Error!$B$15,
IF(AND($E753="ECA / Shoreline Tree",$F753="Retain",$H753&lt;&gt;"",ISNA(MATCH($H753,Tables!$B$184:$B$186,0))),
Error!$B$15,
IF(AND($E753="Tier 4",$F753="Remove",$H753&lt;&gt;"",ISNA(MATCH($H753,Tables!$B$171,0))),
Error!$B$15,
IF(AND($E753="Tier 4",$F753="Retain",$H753&lt;&gt;"",ISNA(MATCH($H753,Tables!$B$166:$B$168,0))),
Error!$B$15,
IF(AND($E753="Tier 3",$F753="Retain",$H753&lt;&gt;"",ISNA(MATCH($H753,Tables!$B$158:$B$160,0))),
Error!$B$15,
IF(AND($E753="Tier 3",$F753="Remove",$H753&lt;&gt;"",ISNA(MATCH($H753,Tables!$B$163,0))),
Error!$B$15,
IF(AND(OR($E753="Tier 2",$E753="Tier 2 Grove"),$F753="Remove",$H753&lt;&gt;"",ISNA(MATCH($H753,Tables!$B$153:$B$155,0))),
Error!$B$15,
IF(AND(OR($E753="Tier 2",$E753="Tier 2 Grove"),$F753="Retain",$H753&lt;&gt;"",ISNA(MATCH($H753,Tables!$B$147:$B$150,0))),
Error!$B$15,
IF(AND($E753="Tier 1",$F753="Remove",$H753&lt;&gt;"",ISNA(MATCH($H753,Tables!$B$143:$B$144,0))),
Error!$B$15,
IF(AND($E753="Tier 1",$F753="Retain",$H753&lt;&gt;"",ISNA(MATCH($H753,Tables!$B$137:$B$140,0))),
Error!$B$15,
IF(AND($E753&lt;&gt;"Tier 2",$E753&lt;&gt;"Tier 2 Grove",$E753&lt;&gt;"Tier 3",$E753&lt;&gt;"Tier 4",$H753="Zoning: Green Factor",OR($D753="",$D753&lt;6)),
Error!$B$11,
IF(AND(_xlpm.baseRow,$D753&lt;6,$E753="&lt;6in DSH for Tree Points",_xlpm.TreePoints_H=0),
Error!$B$21,
IF(AND(_xlpm.baseRow,$E753&lt;&gt;"",$D753&lt;&gt;"",$F753=""),
Error!$B$4,
IF(AND(_xlpm.baseRow,$F753="Remove",OR($E753="Tier 1",$E753="Tier 2",$E753="Tier 2 Grove"),COUNTBLANK(_xlpm.HRange)&lt;3,_xlpm.uniqueH&gt;=2),
Error!$B$48,
IF(AND(_xlpm.baseRow,$F753="Retain",OR($E753="Tier 1",$E753="Tier 2",$E753="Tier 2 Grove"),COUNTIF(_xlpm.HRange,"Tree Code: Required to Retain Tier 1-2 Tree")=0),
Error!$B$47,
IF(AND(_xlpm.baseRow,$E753&lt;&gt;"",$D753&lt;&gt;"",$F753&lt;&gt;"",COUNTBLANK(_xlpm.HRange)=4),
Error!$B$5,
IF(AND($F753="Remove",$H753&lt;&gt;"",$I753=""),
Error!$B$18,
IF(AND($E753="Tier 4",$F753="Remove",$H753="Tree Protection Code: Tier 3 or Tier 4 Allowance",$H753&lt;&gt;"",ISNA(MATCH($I753,Tables!$B$200,0))),
Error!$B$17,
IF(AND($E753="Tier 3",$F753="Remove",$H753&lt;&gt;"",$H753="Tree Protection Code: Tier 3 or Tier 4 Allowance",OR($I753="",ISNA(MATCH($I753,Tables!$B$193:$B$197,0)))),
Error!$B$17,
IF(AND(OR($E753="Tier 2",$E753="Tier 2 Grove"),$F753="Remove",$H753="Tree Protection Code: Other removal allowance or exemption",$I753&lt;&gt;"",ISNA(MATCH($I753,Tables!$B$215:$B$218,0))),
Error!$B$17,
IF(AND(OR($E753="Tier 2",$E753="Tier 2 Grove"),$F753="Remove",$H753="Tree Protection Code: Development Capacity",$I753&lt;&gt;"",ISNA(MATCH($I753,Tables!$B$193:$B$197,0))),
Error!$B$17,
IF(AND(OR($E753="Tier 2",$E753="Tier 2 Grove"),$F753="Remove",$H753="Tree Protection Code: Necessary for Construction",$I753&lt;&gt;"",ISNA(MATCH($I753,Tables!$B$193:$B$197,0))),
Error!$B$17,
IF(AND($E753="Tier 1",$F753="Remove",$H753="Tree Protection Code: Special Exception",$I753&lt;&gt;"",ISNA(MATCH($I753,Tables!$B$215:$B$218,0))),
Error!$B$17,
IF(AND($E753="Tier 1",$F753="Remove",$H753="Tree Protection Code: Other removal allowance or exemption",$I753&lt;&gt;"",ISNA(MATCH($I753,Tables!$B$215:$B$218,0))),
Error!$B$17,
IF(AND($E753="ECA / Shoreline Tree",$F753="Remove",$H753&lt;&gt;"",OR($H753="Shoreline",$H753="Environmental Critical Area (ECA)"),ISNA(MATCH($I753,Tables!$B$209:$B$212,0))),
Error!$B$17,
IF(AND(_xlpm.baseRow,$F753="Retain",$E753="ECA / Shoreline Tree",_xlpm.ECA_Short=0),
Error!$B$61,
IF(AND($F753="Remove",ISNUMBER(MATCH($E753,{"Tier 1","Tier 2","Tier 3","Tier 4","Tier 2 Grove"},0)),ISNUMBER(MATCH($I753,{"On-site replacement","Off-site replacement"},0)),$J753="",$H753&lt;&gt;""),
Error!$B$19,
IF(AND(_xlpm.baseRow,$E753&lt;&gt;"",$D753&lt;&gt;"",$F753&lt;&gt;"",COUNTBLANK($B753:$C753)&gt;0,COUNTBLANK(_xlpm.HRange)&lt;&gt;4),
Error!$B$22,
IF(AND($H753="Zoning: Tree Points",$K753&lt;&gt;"",ISNA(MATCH($K753,Tables!$B$242:$B$253,0))),
Error!$B$58,
IF(AND($H753="Zoning: Tree Points",$K753="Small",$L753&lt;&gt;"",ISNA(MATCH($L753,Tables!$C$243:$C$244,0))),
Error!$B$59,
IF(AND($H753="Zoning: Tree Points",$K753="Small/Medium",$L753&lt;&gt;"",ISNA(MATCH($L753,Tables!$C$246:$C$247,0))),
Error!$B$59,
IF(AND($H753="Zoning: Tree Points",$K753="Medium/Large",$L753&lt;&gt;"",ISNA(MATCH($L753,Tables!$C$249:$C$250,0))),
Error!$B$59,
IF(AND($H753="Zoning: Tree Points",$K753="Large",$L753&lt;&gt;"",ISNA(MATCH($L753,Tables!$C$252:$C$253,0))),
Error!$B$59,
IF(AND($F753="Retain",$H753="Zoning: Tree Points",$C753&lt;&gt;"",$D753&lt;&gt;"",OR($K753="",$L753="",$M753="")),
Error!$B$20,
""
)))))))))))))))))))))))))))))))))))))))))))))))))))))))),
Error!$B$23))</f>
        <v/>
      </c>
      <c r="O753" s="343" t="str" cm="1">
        <f t="array" aca="1" ref="O753" ca="1">IFERROR(_xlfn.LET(
    _xlpm.txt, $C753,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54" spans="1:15" ht="15" thickBot="1" x14ac:dyDescent="0.35">
      <c r="A754" s="331"/>
      <c r="B754" s="616" t="str">
        <f t="shared" si="892"/>
        <v/>
      </c>
      <c r="C754" s="617" t="str">
        <f t="shared" si="893"/>
        <v/>
      </c>
      <c r="D754" s="618" t="str">
        <f t="shared" si="894"/>
        <v/>
      </c>
      <c r="E754" s="616" t="str">
        <f t="shared" si="895"/>
        <v/>
      </c>
      <c r="F754" s="616" t="str">
        <f t="shared" si="896"/>
        <v/>
      </c>
      <c r="G754" s="619" t="str">
        <f>IF(Tree_Table1[[#This Row],[Tree Status  &amp;]]="Retain", Tables!$B$237, IF(Tree_Table1[[#This Row],[Tree Status  &amp;]]="Remove", Tables!$B$238, ""))</f>
        <v/>
      </c>
      <c r="H754" s="329"/>
      <c r="I754" s="330"/>
      <c r="J754" s="455"/>
      <c r="K754" s="327" t="str">
        <f>IFERROR(
    IF(
        AND($H754="Zoning: Tree Points", NOT(ISNUMBER(SEARCH("sp.", $C754)))),
        VLOOKUP($C754, 'Tree List'!$C$3:$F$601, 4, FALSE),
        ""
    ),
"")</f>
        <v/>
      </c>
      <c r="L754" s="328" t="str" cm="1">
        <f t="array" ref="L754">IFERROR(
IF(
    AND($H754="Zoning: Tree Points", NOT(ISNUMBER(SEARCH("sp.", $C754)))),
    _xlfn.IFS(
        (COUNTIFS('Tree List'!$C$3:$C$601,$C754,'Tree List'!$D$3:$D$601,"Coniferous")
        + COUNTIFS('Tree List'!$C$3:$C$601,$C754,'Tree List'!$D$3:$D$601,"Deciduous Conifer")) &gt; 0,
            _xlfn.IFS($K754="Small",0.5,$K754="Small/Medium",1,$K754="Medium/Large",1.4,$K754="Large",1.8),
        (COUNTIFS('Tree List'!$C$3:$C$601,$C754,'Tree List'!$D$3:$D$601,"Deciduous")
        + COUNTIFS('Tree List'!$C$3:$C$601,$C754,'Tree List'!$D$3:$D$601,"Broadleaf Evergreen")) &gt; 0,
            _xlfn.IFS($K754="Small",0.4,$K754="Small/Medium",0.8,$K754="Medium/Large",1.2,$K754="Large",1.6)
    ),
    ""
),
"")</f>
        <v/>
      </c>
      <c r="M754" s="476" t="str">
        <f t="shared" si="816"/>
        <v/>
      </c>
      <c r="N754" s="347" t="str" cm="1">
        <f t="array" aca="1" ref="N75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IF(AND(_xlpm.baseRow,ISNA(MATCH($C754,'Tree List'!$C$3:$C$601,0)),SUMPRODUCT(--ISNUMBER(SEARCH(Tables2!$C$677:$C$772,$O754)))&gt;0),
Error!$B$57,
IF(AND(_xlpm.hasDM,$F754="Remove",$H754&lt;&gt;"",OR($I754="On-site replacement",$I754="Off-site replacement",$I754="Payment In Lieu")),
Error!$B$56,
IF(AND(_xlpm.hasDM,$F754="Remove",$H754&lt;&gt;"",$I754="Relocation"),
Error!$B$66,
IF(AND(OR(_xlpm.hasCN,_xlpm.hasPH,_xlpm.hasGR),$H754&lt;&gt;"",COUNTIF(Tables!$B$132:$B$134,$H754)&gt;0,$I754="N/A (No replacement required)"),
Error!$B$62,
IF(AND(_xlpm.baseRow,$E754&lt;&gt;"",ISNA(MATCH($E754,Tables!$B$225:$B$232,0))),
Error!$B$2,
IF(AND(_xlpm.baseRow,$F754&lt;&gt;"",ISNA(MATCH($F754,Tables!$B$234:$B$235,0))),
Error!$B$24,
IF(AND(_xlpm.baseRow,_xlpm.ECA_H&gt;0,_xlpm.Shore_H&gt;0),
Error!$B$16,
IF(AND(_xlpm.baseRow,$E754&lt;&gt;"",$D754=""),
Error!$B$3,
IF(AND(_xlpm.baseRow,OR($E754="Tier 3",$E754="Tier 4"),$C754&lt;&gt;"",$D754&gt;=24,COUNTIF(Tables2!$B$166:$B$674,$C754)&gt;0),
Error!$B$44,
IF(AND(_xlpm.baseRow,OR($E754="Tier 3",$E754="Tier 4"),$C754&lt;&gt;"",$D754&lt;&gt;"",COUNTIF(Tables2!$B$73:$B$152,$C754)&gt;0,
$D754&gt;=IFERROR(INDEX(Tables2!$C$73:$C$152,MATCH($C754,Tables2!$B$73:$B$152,0)),-1)),
Error!$B$44,
IF(AND(_xlpm.baseRow,OR($E754="Tier 2",$E754="Tier 2 Grove"),$C754&lt;&gt;"",$D754&gt;=12,COUNTIF(Tables2!$B$153:$B$162,$C754)&gt;0),
Error!$B$45,
IF(AND(_xlpm.baseRow,$E754="Tier 2 Grove",$D754&lt;12),
Error!$B$41,
IF(AND(_xlpm.baseRow,$E754="Tier 2",$D754&lt;5.88),
Error!$B$40,
IF(AND(_xlpm.baseRow,OR($E754="Tier 2",$E754="Tier 2 Grove"),$C754&lt;&gt;"",$D754&lt;12,$D754&gt;=6,COUNTIF(Tables2!$B$153:$B$162,$C754)&gt;0),
Error!$B$54,
IF(AND(_xlpm.baseRow,$E754="Tier 2",COUNTIF(Tables2!$B$166:$B$674,$C754)&gt;0,$D754&lt;24),
Error!$B$54,
IF(AND(_xlpm.baseRow,$E754="Tier 3",ISNA(MATCH($C754,Tables2!$B$153:$B$162,0)),OR($D754&lt;12,$D754&gt;=24)),
Error!$B$9,
IF(AND(_xlpm.baseRow,$E754="Tier 3",COUNTIF(Tables2!$B$153:$B$162,$C754)&gt;0,$D754&lt;12),
Error!$B$46,
IF(AND(_xlpm.baseRow,$E754="Tier 4",OR($D754&lt;6,$D754&gt;=12)),
Error!$B$10,
IF(AND(_xlpm.baseRow,$E754="&lt;6in DSH for Tree Points",OR($D754&gt;=6,$D754="")),
Error!$B$8,
IF(AND(_xlpm.baseRow,$E754="Street Tree for Green Factor",$F754&lt;&gt;"",$F754&lt;&gt;"Retain"),
Error!$B$14,
IF(AND($E754="&lt;6in DSH for Tree Points",$F754="Retain",$H754&lt;&gt;"",ISNA(MATCH($H754,Tables!$B$174:$B$174,0))),
Error!$B$15,
IF(AND($E754="Street Tree for Green Factor",$F754="Retain",$H754&lt;&gt;"",$H754&lt;&gt;"Zoning: Green Factor"),
Error!$B$15,
IF(AND($E754="ECA / Shoreline Tree",$F754="Remove",$H754&lt;&gt;"",ISNA(MATCH($H754,Tables!$B$189:$B$190,0))),
Error!$B$15,
IF(AND($E754="ECA / Shoreline Tree",$F754="Retain",$H754&lt;&gt;"",ISNA(MATCH($H754,Tables!$B$184:$B$186,0))),
Error!$B$15,
IF(AND($E754="Tier 4",$F754="Remove",$H754&lt;&gt;"",ISNA(MATCH($H754,Tables!$B$171,0))),
Error!$B$15,
IF(AND($E754="Tier 4",$F754="Retain",$H754&lt;&gt;"",ISNA(MATCH($H754,Tables!$B$166:$B$168,0))),
Error!$B$15,
IF(AND($E754="Tier 3",$F754="Retain",$H754&lt;&gt;"",ISNA(MATCH($H754,Tables!$B$158:$B$160,0))),
Error!$B$15,
IF(AND($E754="Tier 3",$F754="Remove",$H754&lt;&gt;"",ISNA(MATCH($H754,Tables!$B$163,0))),
Error!$B$15,
IF(AND(OR($E754="Tier 2",$E754="Tier 2 Grove"),$F754="Remove",$H754&lt;&gt;"",ISNA(MATCH($H754,Tables!$B$153:$B$155,0))),
Error!$B$15,
IF(AND(OR($E754="Tier 2",$E754="Tier 2 Grove"),$F754="Retain",$H754&lt;&gt;"",ISNA(MATCH($H754,Tables!$B$147:$B$150,0))),
Error!$B$15,
IF(AND($E754="Tier 1",$F754="Remove",$H754&lt;&gt;"",ISNA(MATCH($H754,Tables!$B$143:$B$144,0))),
Error!$B$15,
IF(AND($E754="Tier 1",$F754="Retain",$H754&lt;&gt;"",ISNA(MATCH($H754,Tables!$B$137:$B$140,0))),
Error!$B$15,
IF(AND($E754&lt;&gt;"Tier 2",$E754&lt;&gt;"Tier 2 Grove",$E754&lt;&gt;"Tier 3",$E754&lt;&gt;"Tier 4",$H754="Zoning: Green Factor",OR($D754="",$D754&lt;6)),
Error!$B$11,
IF(AND(_xlpm.baseRow,$D754&lt;6,$E754="&lt;6in DSH for Tree Points",_xlpm.TreePoints_H=0),
Error!$B$21,
IF(AND(_xlpm.baseRow,$E754&lt;&gt;"",$D754&lt;&gt;"",$F754=""),
Error!$B$4,
IF(AND(_xlpm.baseRow,$F754="Remove",OR($E754="Tier 1",$E754="Tier 2",$E754="Tier 2 Grove"),COUNTBLANK(_xlpm.HRange)&lt;3,_xlpm.uniqueH&gt;=2),
Error!$B$48,
IF(AND(_xlpm.baseRow,$F754="Retain",OR($E754="Tier 1",$E754="Tier 2",$E754="Tier 2 Grove"),COUNTIF(_xlpm.HRange,"Tree Code: Required to Retain Tier 1-2 Tree")=0),
Error!$B$47,
IF(AND(_xlpm.baseRow,$E754&lt;&gt;"",$D754&lt;&gt;"",$F754&lt;&gt;"",COUNTBLANK(_xlpm.HRange)=4),
Error!$B$5,
IF(AND($F754="Remove",$H754&lt;&gt;"",$I754=""),
Error!$B$18,
IF(AND($E754="Tier 4",$F754="Remove",$H754="Tree Protection Code: Tier 3 or Tier 4 Allowance",$H754&lt;&gt;"",ISNA(MATCH($I754,Tables!$B$200,0))),
Error!$B$17,
IF(AND($E754="Tier 3",$F754="Remove",$H754&lt;&gt;"",$H754="Tree Protection Code: Tier 3 or Tier 4 Allowance",OR($I754="",ISNA(MATCH($I754,Tables!$B$193:$B$197,0)))),
Error!$B$17,
IF(AND(OR($E754="Tier 2",$E754="Tier 2 Grove"),$F754="Remove",$H754="Tree Protection Code: Other removal allowance or exemption",$I754&lt;&gt;"",ISNA(MATCH($I754,Tables!$B$215:$B$218,0))),
Error!$B$17,
IF(AND(OR($E754="Tier 2",$E754="Tier 2 Grove"),$F754="Remove",$H754="Tree Protection Code: Development Capacity",$I754&lt;&gt;"",ISNA(MATCH($I754,Tables!$B$193:$B$197,0))),
Error!$B$17,
IF(AND(OR($E754="Tier 2",$E754="Tier 2 Grove"),$F754="Remove",$H754="Tree Protection Code: Necessary for Construction",$I754&lt;&gt;"",ISNA(MATCH($I754,Tables!$B$193:$B$197,0))),
Error!$B$17,
IF(AND($E754="Tier 1",$F754="Remove",$H754="Tree Protection Code: Special Exception",$I754&lt;&gt;"",ISNA(MATCH($I754,Tables!$B$215:$B$218,0))),
Error!$B$17,
IF(AND($E754="Tier 1",$F754="Remove",$H754="Tree Protection Code: Other removal allowance or exemption",$I754&lt;&gt;"",ISNA(MATCH($I754,Tables!$B$215:$B$218,0))),
Error!$B$17,
IF(AND($E754="ECA / Shoreline Tree",$F754="Remove",$H754&lt;&gt;"",OR($H754="Shoreline",$H754="Environmental Critical Area (ECA)"),ISNA(MATCH($I754,Tables!$B$209:$B$212,0))),
Error!$B$17,
IF(AND(_xlpm.baseRow,$F754="Retain",$E754="ECA / Shoreline Tree",_xlpm.ECA_Short=0),
Error!$B$61,
IF(AND($F754="Remove",ISNUMBER(MATCH($E754,{"Tier 1","Tier 2","Tier 3","Tier 4","Tier 2 Grove"},0)),ISNUMBER(MATCH($I754,{"On-site replacement","Off-site replacement"},0)),$J754="",$H754&lt;&gt;""),
Error!$B$19,
IF(AND(_xlpm.baseRow,$E754&lt;&gt;"",$D754&lt;&gt;"",$F754&lt;&gt;"",COUNTBLANK($B754:$C754)&gt;0,COUNTBLANK(_xlpm.HRange)&lt;&gt;4),
Error!$B$22,
IF(AND($H754="Zoning: Tree Points",$K754&lt;&gt;"",ISNA(MATCH($K754,Tables!$B$242:$B$253,0))),
Error!$B$58,
IF(AND($H754="Zoning: Tree Points",$K754="Small",$L754&lt;&gt;"",ISNA(MATCH($L754,Tables!$C$243:$C$244,0))),
Error!$B$59,
IF(AND($H754="Zoning: Tree Points",$K754="Small/Medium",$L754&lt;&gt;"",ISNA(MATCH($L754,Tables!$C$246:$C$247,0))),
Error!$B$59,
IF(AND($H754="Zoning: Tree Points",$K754="Medium/Large",$L754&lt;&gt;"",ISNA(MATCH($L754,Tables!$C$249:$C$250,0))),
Error!$B$59,
IF(AND($H754="Zoning: Tree Points",$K754="Large",$L754&lt;&gt;"",ISNA(MATCH($L754,Tables!$C$252:$C$253,0))),
Error!$B$59,
IF(AND($F754="Retain",$H754="Zoning: Tree Points",$C754&lt;&gt;"",$D754&lt;&gt;"",OR($K754="",$L754="",$M754="")),
Error!$B$20,
""
)))))))))))))))))))))))))))))))))))))))))))))))))))))))),
Error!$B$23))</f>
        <v/>
      </c>
      <c r="O754" s="343" t="str" cm="1">
        <f t="array" aca="1" ref="O754" ca="1">IFERROR(_xlfn.LET(
    _xlpm.txt, $C754,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55" spans="1:15" ht="15" thickBot="1" x14ac:dyDescent="0.35">
      <c r="A755" s="311">
        <v>187</v>
      </c>
      <c r="B755" s="312"/>
      <c r="C755" s="313"/>
      <c r="D755" s="478"/>
      <c r="E755" s="314"/>
      <c r="F755" s="314"/>
      <c r="G755" s="315" t="str">
        <f>IF(Tree_Table1[[#This Row],[Tree Status  &amp;]]="Retain", Tables!$B$237, IF(Tree_Table1[[#This Row],[Tree Status  &amp;]]="Remove", Tables!$B$238, ""))</f>
        <v/>
      </c>
      <c r="H755" s="316"/>
      <c r="I755" s="317"/>
      <c r="J755" s="452"/>
      <c r="K755" s="318" t="str">
        <f>IFERROR(
    IF(
        AND($H755="Zoning: Tree Points", NOT(ISNUMBER(SEARCH("sp.", $C755)))),
        VLOOKUP($C755, 'Tree List'!$C$3:$F$601, 4, FALSE),
        ""
    ),
"")</f>
        <v/>
      </c>
      <c r="L755" s="319" t="str" cm="1">
        <f t="array" ref="L755">IFERROR(
IF(
    AND($H755="Zoning: Tree Points", NOT(ISNUMBER(SEARCH("sp.", $C755)))),
    _xlfn.IFS(
        (COUNTIFS('Tree List'!$C$3:$C$601,$C755,'Tree List'!$D$3:$D$601,"Coniferous")
        + COUNTIFS('Tree List'!$C$3:$C$601,$C755,'Tree List'!$D$3:$D$601,"Deciduous Conifer")) &gt; 0,
            _xlfn.IFS($K755="Small",0.5,$K755="Small/Medium",1,$K755="Medium/Large",1.4,$K755="Large",1.8),
        (COUNTIFS('Tree List'!$C$3:$C$601,$C755,'Tree List'!$D$3:$D$601,"Deciduous")
        + COUNTIFS('Tree List'!$C$3:$C$601,$C755,'Tree List'!$D$3:$D$601,"Broadleaf Evergreen")) &gt; 0,
            _xlfn.IFS($K755="Small",0.4,$K755="Small/Medium",0.8,$K755="Medium/Large",1.2,$K755="Large",1.6)
    ),
    ""
),
"")</f>
        <v/>
      </c>
      <c r="M755" s="474" t="str">
        <f t="shared" ref="M755:M810" si="897">IFERROR($D755*$L755,"")</f>
        <v/>
      </c>
      <c r="N755" s="620" t="str" cm="1">
        <f t="array" aca="1" ref="N75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IF(AND(_xlpm.baseRow,ISNA(MATCH($C755,'Tree List'!$C$3:$C$601,0)),SUMPRODUCT(--ISNUMBER(SEARCH(Tables2!$C$677:$C$772,$O755)))&gt;0),
Error!$B$57,
IF(AND(_xlpm.hasDM,$F755="Remove",$H755&lt;&gt;"",OR($I755="On-site replacement",$I755="Off-site replacement",$I755="Payment In Lieu")),
Error!$B$56,
IF(AND(_xlpm.hasDM,$F755="Remove",$H755&lt;&gt;"",$I755="Relocation"),
Error!$B$66,
IF(AND(OR(_xlpm.hasCN,_xlpm.hasPH,_xlpm.hasGR),$H755&lt;&gt;"",COUNTIF(Tables!$B$132:$B$134,$H755)&gt;0,$I755="N/A (No replacement required)"),
Error!$B$62,
IF(AND(_xlpm.baseRow,$E755&lt;&gt;"",ISNA(MATCH($E755,Tables!$B$225:$B$232,0))),
Error!$B$2,
IF(AND(_xlpm.baseRow,$F755&lt;&gt;"",ISNA(MATCH($F755,Tables!$B$234:$B$235,0))),
Error!$B$24,
IF(AND(_xlpm.baseRow,_xlpm.ECA_H&gt;0,_xlpm.Shore_H&gt;0),
Error!$B$16,
IF(AND(_xlpm.baseRow,$E755&lt;&gt;"",$D755=""),
Error!$B$3,
IF(AND(_xlpm.baseRow,OR($E755="Tier 3",$E755="Tier 4"),$C755&lt;&gt;"",$D755&gt;=24,COUNTIF(Tables2!$B$166:$B$674,$C755)&gt;0),
Error!$B$44,
IF(AND(_xlpm.baseRow,OR($E755="Tier 3",$E755="Tier 4"),$C755&lt;&gt;"",$D755&lt;&gt;"",COUNTIF(Tables2!$B$73:$B$152,$C755)&gt;0,
$D755&gt;=IFERROR(INDEX(Tables2!$C$73:$C$152,MATCH($C755,Tables2!$B$73:$B$152,0)),-1)),
Error!$B$44,
IF(AND(_xlpm.baseRow,OR($E755="Tier 2",$E755="Tier 2 Grove"),$C755&lt;&gt;"",$D755&gt;=12,COUNTIF(Tables2!$B$153:$B$162,$C755)&gt;0),
Error!$B$45,
IF(AND(_xlpm.baseRow,$E755="Tier 2 Grove",$D755&lt;12),
Error!$B$41,
IF(AND(_xlpm.baseRow,$E755="Tier 2",$D755&lt;5.88),
Error!$B$40,
IF(AND(_xlpm.baseRow,OR($E755="Tier 2",$E755="Tier 2 Grove"),$C755&lt;&gt;"",$D755&lt;12,$D755&gt;=6,COUNTIF(Tables2!$B$153:$B$162,$C755)&gt;0),
Error!$B$54,
IF(AND(_xlpm.baseRow,$E755="Tier 2",COUNTIF(Tables2!$B$166:$B$674,$C755)&gt;0,$D755&lt;24),
Error!$B$54,
IF(AND(_xlpm.baseRow,$E755="Tier 3",ISNA(MATCH($C755,Tables2!$B$153:$B$162,0)),OR($D755&lt;12,$D755&gt;=24)),
Error!$B$9,
IF(AND(_xlpm.baseRow,$E755="Tier 3",COUNTIF(Tables2!$B$153:$B$162,$C755)&gt;0,$D755&lt;12),
Error!$B$46,
IF(AND(_xlpm.baseRow,$E755="Tier 4",OR($D755&lt;6,$D755&gt;=12)),
Error!$B$10,
IF(AND(_xlpm.baseRow,$E755="&lt;6in DSH for Tree Points",OR($D755&gt;=6,$D755="")),
Error!$B$8,
IF(AND(_xlpm.baseRow,$E755="Street Tree for Green Factor",$F755&lt;&gt;"",$F755&lt;&gt;"Retain"),
Error!$B$14,
IF(AND($E755="&lt;6in DSH for Tree Points",$F755="Retain",$H755&lt;&gt;"",ISNA(MATCH($H755,Tables!$B$174:$B$174,0))),
Error!$B$15,
IF(AND($E755="Street Tree for Green Factor",$F755="Retain",$H755&lt;&gt;"",$H755&lt;&gt;"Zoning: Green Factor"),
Error!$B$15,
IF(AND($E755="ECA / Shoreline Tree",$F755="Remove",$H755&lt;&gt;"",ISNA(MATCH($H755,Tables!$B$189:$B$190,0))),
Error!$B$15,
IF(AND($E755="ECA / Shoreline Tree",$F755="Retain",$H755&lt;&gt;"",ISNA(MATCH($H755,Tables!$B$184:$B$186,0))),
Error!$B$15,
IF(AND($E755="Tier 4",$F755="Remove",$H755&lt;&gt;"",ISNA(MATCH($H755,Tables!$B$171,0))),
Error!$B$15,
IF(AND($E755="Tier 4",$F755="Retain",$H755&lt;&gt;"",ISNA(MATCH($H755,Tables!$B$166:$B$168,0))),
Error!$B$15,
IF(AND($E755="Tier 3",$F755="Retain",$H755&lt;&gt;"",ISNA(MATCH($H755,Tables!$B$158:$B$160,0))),
Error!$B$15,
IF(AND($E755="Tier 3",$F755="Remove",$H755&lt;&gt;"",ISNA(MATCH($H755,Tables!$B$163,0))),
Error!$B$15,
IF(AND(OR($E755="Tier 2",$E755="Tier 2 Grove"),$F755="Remove",$H755&lt;&gt;"",ISNA(MATCH($H755,Tables!$B$153:$B$155,0))),
Error!$B$15,
IF(AND(OR($E755="Tier 2",$E755="Tier 2 Grove"),$F755="Retain",$H755&lt;&gt;"",ISNA(MATCH($H755,Tables!$B$147:$B$150,0))),
Error!$B$15,
IF(AND($E755="Tier 1",$F755="Remove",$H755&lt;&gt;"",ISNA(MATCH($H755,Tables!$B$143:$B$144,0))),
Error!$B$15,
IF(AND($E755="Tier 1",$F755="Retain",$H755&lt;&gt;"",ISNA(MATCH($H755,Tables!$B$137:$B$140,0))),
Error!$B$15,
IF(AND($E755&lt;&gt;"Tier 2",$E755&lt;&gt;"Tier 2 Grove",$E755&lt;&gt;"Tier 3",$E755&lt;&gt;"Tier 4",$H755="Zoning: Green Factor",OR($D755="",$D755&lt;6)),
Error!$B$11,
IF(AND(_xlpm.baseRow,$D755&lt;6,$E755="&lt;6in DSH for Tree Points",_xlpm.TreePoints_H=0),
Error!$B$21,
IF(AND(_xlpm.baseRow,$E755&lt;&gt;"",$D755&lt;&gt;"",$F755=""),
Error!$B$4,
IF(AND(_xlpm.baseRow,$F755="Remove",OR($E755="Tier 1",$E755="Tier 2",$E755="Tier 2 Grove"),COUNTBLANK(_xlpm.HRange)&lt;3,_xlpm.uniqueH&gt;=2),
Error!$B$48,
IF(AND(_xlpm.baseRow,$F755="Retain",OR($E755="Tier 1",$E755="Tier 2",$E755="Tier 2 Grove"),COUNTIF(_xlpm.HRange,"Tree Code: Required to Retain Tier 1-2 Tree")=0),
Error!$B$47,
IF(AND(_xlpm.baseRow,$E755&lt;&gt;"",$D755&lt;&gt;"",$F755&lt;&gt;"",COUNTBLANK(_xlpm.HRange)=4),
Error!$B$5,
IF(AND($F755="Remove",$H755&lt;&gt;"",$I755=""),
Error!$B$18,
IF(AND($E755="Tier 4",$F755="Remove",$H755="Tree Protection Code: Tier 3 or Tier 4 Allowance",$H755&lt;&gt;"",ISNA(MATCH($I755,Tables!$B$200,0))),
Error!$B$17,
IF(AND($E755="Tier 3",$F755="Remove",$H755&lt;&gt;"",$H755="Tree Protection Code: Tier 3 or Tier 4 Allowance",OR($I755="",ISNA(MATCH($I755,Tables!$B$193:$B$197,0)))),
Error!$B$17,
IF(AND(OR($E755="Tier 2",$E755="Tier 2 Grove"),$F755="Remove",$H755="Tree Protection Code: Other removal allowance or exemption",$I755&lt;&gt;"",ISNA(MATCH($I755,Tables!$B$215:$B$218,0))),
Error!$B$17,
IF(AND(OR($E755="Tier 2",$E755="Tier 2 Grove"),$F755="Remove",$H755="Tree Protection Code: Development Capacity",$I755&lt;&gt;"",ISNA(MATCH($I755,Tables!$B$193:$B$197,0))),
Error!$B$17,
IF(AND(OR($E755="Tier 2",$E755="Tier 2 Grove"),$F755="Remove",$H755="Tree Protection Code: Necessary for Construction",$I755&lt;&gt;"",ISNA(MATCH($I755,Tables!$B$193:$B$197,0))),
Error!$B$17,
IF(AND($E755="Tier 1",$F755="Remove",$H755="Tree Protection Code: Special Exception",$I755&lt;&gt;"",ISNA(MATCH($I755,Tables!$B$215:$B$218,0))),
Error!$B$17,
IF(AND($E755="Tier 1",$F755="Remove",$H755="Tree Protection Code: Other removal allowance or exemption",$I755&lt;&gt;"",ISNA(MATCH($I755,Tables!$B$215:$B$218,0))),
Error!$B$17,
IF(AND($E755="ECA / Shoreline Tree",$F755="Remove",$H755&lt;&gt;"",OR($H755="Shoreline",$H755="Environmental Critical Area (ECA)"),ISNA(MATCH($I755,Tables!$B$209:$B$212,0))),
Error!$B$17,
IF(AND(_xlpm.baseRow,$F755="Retain",$E755="ECA / Shoreline Tree",_xlpm.ECA_Short=0),
Error!$B$61,
IF(AND($F755="Remove",ISNUMBER(MATCH($E755,{"Tier 1","Tier 2","Tier 3","Tier 4","Tier 2 Grove"},0)),ISNUMBER(MATCH($I755,{"On-site replacement","Off-site replacement"},0)),$J755="",$H755&lt;&gt;""),
Error!$B$19,
IF(AND(_xlpm.baseRow,$E755&lt;&gt;"",$D755&lt;&gt;"",$F755&lt;&gt;"",COUNTBLANK($B755:$C755)&gt;0,COUNTBLANK(_xlpm.HRange)&lt;&gt;4),
Error!$B$22,
IF(AND($H755="Zoning: Tree Points",$K755&lt;&gt;"",ISNA(MATCH($K755,Tables!$B$242:$B$253,0))),
Error!$B$58,
IF(AND($H755="Zoning: Tree Points",$K755="Small",$L755&lt;&gt;"",ISNA(MATCH($L755,Tables!$C$243:$C$244,0))),
Error!$B$59,
IF(AND($H755="Zoning: Tree Points",$K755="Small/Medium",$L755&lt;&gt;"",ISNA(MATCH($L755,Tables!$C$246:$C$247,0))),
Error!$B$59,
IF(AND($H755="Zoning: Tree Points",$K755="Medium/Large",$L755&lt;&gt;"",ISNA(MATCH($L755,Tables!$C$249:$C$250,0))),
Error!$B$59,
IF(AND($H755="Zoning: Tree Points",$K755="Large",$L755&lt;&gt;"",ISNA(MATCH($L755,Tables!$C$252:$C$253,0))),
Error!$B$59,
IF(AND($F755="Retain",$H755="Zoning: Tree Points",$C755&lt;&gt;"",$D755&lt;&gt;"",OR($K755="",$L755="",$M755="")),
Error!$B$20,
""
)))))))))))))))))))))))))))))))))))))))))))))))))))))))),
Error!$B$23))</f>
        <v/>
      </c>
      <c r="O755" s="343" t="str" cm="1">
        <f t="array" aca="1" ref="O755" ca="1">IFERROR(_xlfn.LET(
    _xlpm.txt, $C755,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56" spans="1:15" x14ac:dyDescent="0.3">
      <c r="A756" s="320"/>
      <c r="B756" s="616" t="str">
        <f t="shared" ref="B756:B758" si="898">IF($B755="", "", $B755)</f>
        <v/>
      </c>
      <c r="C756" s="617" t="str">
        <f t="shared" ref="C756:C758" si="899">IF($C755="", "", $C755)</f>
        <v/>
      </c>
      <c r="D756" s="618" t="str">
        <f t="shared" ref="D756:D758" si="900">IF($D755="", "", $D755)</f>
        <v/>
      </c>
      <c r="E756" s="616" t="str">
        <f t="shared" ref="E756:E758" si="901">IF($E755="", "", $E755)</f>
        <v/>
      </c>
      <c r="F756" s="616" t="str">
        <f t="shared" ref="F756:F758" si="902">IF($F755="", "", $F755)</f>
        <v/>
      </c>
      <c r="G756" s="619" t="str">
        <f>IF(Tree_Table1[[#This Row],[Tree Status  &amp;]]="Retain", Tables!$B$237, IF(Tree_Table1[[#This Row],[Tree Status  &amp;]]="Remove", Tables!$B$238, ""))</f>
        <v/>
      </c>
      <c r="H756" s="321"/>
      <c r="I756" s="322"/>
      <c r="J756" s="453"/>
      <c r="K756" s="323" t="str">
        <f>IFERROR(
    IF(
        AND($H756="Zoning: Tree Points", NOT(ISNUMBER(SEARCH("sp.", $C756)))),
        VLOOKUP($C756, 'Tree List'!$C$3:$F$601, 4, FALSE),
        ""
    ),
"")</f>
        <v/>
      </c>
      <c r="L756" s="324" t="str" cm="1">
        <f t="array" ref="L756">IFERROR(
IF(
    AND($H756="Zoning: Tree Points", NOT(ISNUMBER(SEARCH("sp.", $C756)))),
    _xlfn.IFS(
        (COUNTIFS('Tree List'!$C$3:$C$601,$C756,'Tree List'!$D$3:$D$601,"Coniferous")
        + COUNTIFS('Tree List'!$C$3:$C$601,$C756,'Tree List'!$D$3:$D$601,"Deciduous Conifer")) &gt; 0,
            _xlfn.IFS($K756="Small",0.5,$K756="Small/Medium",1,$K756="Medium/Large",1.4,$K756="Large",1.8),
        (COUNTIFS('Tree List'!$C$3:$C$601,$C756,'Tree List'!$D$3:$D$601,"Deciduous")
        + COUNTIFS('Tree List'!$C$3:$C$601,$C756,'Tree List'!$D$3:$D$601,"Broadleaf Evergreen")) &gt; 0,
            _xlfn.IFS($K756="Small",0.4,$K756="Small/Medium",0.8,$K756="Medium/Large",1.2,$K756="Large",1.6)
    ),
    ""
),
"")</f>
        <v/>
      </c>
      <c r="M756" s="475" t="str">
        <f t="shared" si="897"/>
        <v/>
      </c>
      <c r="N756" s="346" t="str" cm="1">
        <f t="array" aca="1" ref="N75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IF(AND(_xlpm.baseRow,ISNA(MATCH($C756,'Tree List'!$C$3:$C$601,0)),SUMPRODUCT(--ISNUMBER(SEARCH(Tables2!$C$677:$C$772,$O756)))&gt;0),
Error!$B$57,
IF(AND(_xlpm.hasDM,$F756="Remove",$H756&lt;&gt;"",OR($I756="On-site replacement",$I756="Off-site replacement",$I756="Payment In Lieu")),
Error!$B$56,
IF(AND(_xlpm.hasDM,$F756="Remove",$H756&lt;&gt;"",$I756="Relocation"),
Error!$B$66,
IF(AND(OR(_xlpm.hasCN,_xlpm.hasPH,_xlpm.hasGR),$H756&lt;&gt;"",COUNTIF(Tables!$B$132:$B$134,$H756)&gt;0,$I756="N/A (No replacement required)"),
Error!$B$62,
IF(AND(_xlpm.baseRow,$E756&lt;&gt;"",ISNA(MATCH($E756,Tables!$B$225:$B$232,0))),
Error!$B$2,
IF(AND(_xlpm.baseRow,$F756&lt;&gt;"",ISNA(MATCH($F756,Tables!$B$234:$B$235,0))),
Error!$B$24,
IF(AND(_xlpm.baseRow,_xlpm.ECA_H&gt;0,_xlpm.Shore_H&gt;0),
Error!$B$16,
IF(AND(_xlpm.baseRow,$E756&lt;&gt;"",$D756=""),
Error!$B$3,
IF(AND(_xlpm.baseRow,OR($E756="Tier 3",$E756="Tier 4"),$C756&lt;&gt;"",$D756&gt;=24,COUNTIF(Tables2!$B$166:$B$674,$C756)&gt;0),
Error!$B$44,
IF(AND(_xlpm.baseRow,OR($E756="Tier 3",$E756="Tier 4"),$C756&lt;&gt;"",$D756&lt;&gt;"",COUNTIF(Tables2!$B$73:$B$152,$C756)&gt;0,
$D756&gt;=IFERROR(INDEX(Tables2!$C$73:$C$152,MATCH($C756,Tables2!$B$73:$B$152,0)),-1)),
Error!$B$44,
IF(AND(_xlpm.baseRow,OR($E756="Tier 2",$E756="Tier 2 Grove"),$C756&lt;&gt;"",$D756&gt;=12,COUNTIF(Tables2!$B$153:$B$162,$C756)&gt;0),
Error!$B$45,
IF(AND(_xlpm.baseRow,$E756="Tier 2 Grove",$D756&lt;12),
Error!$B$41,
IF(AND(_xlpm.baseRow,$E756="Tier 2",$D756&lt;5.88),
Error!$B$40,
IF(AND(_xlpm.baseRow,OR($E756="Tier 2",$E756="Tier 2 Grove"),$C756&lt;&gt;"",$D756&lt;12,$D756&gt;=6,COUNTIF(Tables2!$B$153:$B$162,$C756)&gt;0),
Error!$B$54,
IF(AND(_xlpm.baseRow,$E756="Tier 2",COUNTIF(Tables2!$B$166:$B$674,$C756)&gt;0,$D756&lt;24),
Error!$B$54,
IF(AND(_xlpm.baseRow,$E756="Tier 3",ISNA(MATCH($C756,Tables2!$B$153:$B$162,0)),OR($D756&lt;12,$D756&gt;=24)),
Error!$B$9,
IF(AND(_xlpm.baseRow,$E756="Tier 3",COUNTIF(Tables2!$B$153:$B$162,$C756)&gt;0,$D756&lt;12),
Error!$B$46,
IF(AND(_xlpm.baseRow,$E756="Tier 4",OR($D756&lt;6,$D756&gt;=12)),
Error!$B$10,
IF(AND(_xlpm.baseRow,$E756="&lt;6in DSH for Tree Points",OR($D756&gt;=6,$D756="")),
Error!$B$8,
IF(AND(_xlpm.baseRow,$E756="Street Tree for Green Factor",$F756&lt;&gt;"",$F756&lt;&gt;"Retain"),
Error!$B$14,
IF(AND($E756="&lt;6in DSH for Tree Points",$F756="Retain",$H756&lt;&gt;"",ISNA(MATCH($H756,Tables!$B$174:$B$174,0))),
Error!$B$15,
IF(AND($E756="Street Tree for Green Factor",$F756="Retain",$H756&lt;&gt;"",$H756&lt;&gt;"Zoning: Green Factor"),
Error!$B$15,
IF(AND($E756="ECA / Shoreline Tree",$F756="Remove",$H756&lt;&gt;"",ISNA(MATCH($H756,Tables!$B$189:$B$190,0))),
Error!$B$15,
IF(AND($E756="ECA / Shoreline Tree",$F756="Retain",$H756&lt;&gt;"",ISNA(MATCH($H756,Tables!$B$184:$B$186,0))),
Error!$B$15,
IF(AND($E756="Tier 4",$F756="Remove",$H756&lt;&gt;"",ISNA(MATCH($H756,Tables!$B$171,0))),
Error!$B$15,
IF(AND($E756="Tier 4",$F756="Retain",$H756&lt;&gt;"",ISNA(MATCH($H756,Tables!$B$166:$B$168,0))),
Error!$B$15,
IF(AND($E756="Tier 3",$F756="Retain",$H756&lt;&gt;"",ISNA(MATCH($H756,Tables!$B$158:$B$160,0))),
Error!$B$15,
IF(AND($E756="Tier 3",$F756="Remove",$H756&lt;&gt;"",ISNA(MATCH($H756,Tables!$B$163,0))),
Error!$B$15,
IF(AND(OR($E756="Tier 2",$E756="Tier 2 Grove"),$F756="Remove",$H756&lt;&gt;"",ISNA(MATCH($H756,Tables!$B$153:$B$155,0))),
Error!$B$15,
IF(AND(OR($E756="Tier 2",$E756="Tier 2 Grove"),$F756="Retain",$H756&lt;&gt;"",ISNA(MATCH($H756,Tables!$B$147:$B$150,0))),
Error!$B$15,
IF(AND($E756="Tier 1",$F756="Remove",$H756&lt;&gt;"",ISNA(MATCH($H756,Tables!$B$143:$B$144,0))),
Error!$B$15,
IF(AND($E756="Tier 1",$F756="Retain",$H756&lt;&gt;"",ISNA(MATCH($H756,Tables!$B$137:$B$140,0))),
Error!$B$15,
IF(AND($E756&lt;&gt;"Tier 2",$E756&lt;&gt;"Tier 2 Grove",$E756&lt;&gt;"Tier 3",$E756&lt;&gt;"Tier 4",$H756="Zoning: Green Factor",OR($D756="",$D756&lt;6)),
Error!$B$11,
IF(AND(_xlpm.baseRow,$D756&lt;6,$E756="&lt;6in DSH for Tree Points",_xlpm.TreePoints_H=0),
Error!$B$21,
IF(AND(_xlpm.baseRow,$E756&lt;&gt;"",$D756&lt;&gt;"",$F756=""),
Error!$B$4,
IF(AND(_xlpm.baseRow,$F756="Remove",OR($E756="Tier 1",$E756="Tier 2",$E756="Tier 2 Grove"),COUNTBLANK(_xlpm.HRange)&lt;3,_xlpm.uniqueH&gt;=2),
Error!$B$48,
IF(AND(_xlpm.baseRow,$F756="Retain",OR($E756="Tier 1",$E756="Tier 2",$E756="Tier 2 Grove"),COUNTIF(_xlpm.HRange,"Tree Code: Required to Retain Tier 1-2 Tree")=0),
Error!$B$47,
IF(AND(_xlpm.baseRow,$E756&lt;&gt;"",$D756&lt;&gt;"",$F756&lt;&gt;"",COUNTBLANK(_xlpm.HRange)=4),
Error!$B$5,
IF(AND($F756="Remove",$H756&lt;&gt;"",$I756=""),
Error!$B$18,
IF(AND($E756="Tier 4",$F756="Remove",$H756="Tree Protection Code: Tier 3 or Tier 4 Allowance",$H756&lt;&gt;"",ISNA(MATCH($I756,Tables!$B$200,0))),
Error!$B$17,
IF(AND($E756="Tier 3",$F756="Remove",$H756&lt;&gt;"",$H756="Tree Protection Code: Tier 3 or Tier 4 Allowance",OR($I756="",ISNA(MATCH($I756,Tables!$B$193:$B$197,0)))),
Error!$B$17,
IF(AND(OR($E756="Tier 2",$E756="Tier 2 Grove"),$F756="Remove",$H756="Tree Protection Code: Other removal allowance or exemption",$I756&lt;&gt;"",ISNA(MATCH($I756,Tables!$B$215:$B$218,0))),
Error!$B$17,
IF(AND(OR($E756="Tier 2",$E756="Tier 2 Grove"),$F756="Remove",$H756="Tree Protection Code: Development Capacity",$I756&lt;&gt;"",ISNA(MATCH($I756,Tables!$B$193:$B$197,0))),
Error!$B$17,
IF(AND(OR($E756="Tier 2",$E756="Tier 2 Grove"),$F756="Remove",$H756="Tree Protection Code: Necessary for Construction",$I756&lt;&gt;"",ISNA(MATCH($I756,Tables!$B$193:$B$197,0))),
Error!$B$17,
IF(AND($E756="Tier 1",$F756="Remove",$H756="Tree Protection Code: Special Exception",$I756&lt;&gt;"",ISNA(MATCH($I756,Tables!$B$215:$B$218,0))),
Error!$B$17,
IF(AND($E756="Tier 1",$F756="Remove",$H756="Tree Protection Code: Other removal allowance or exemption",$I756&lt;&gt;"",ISNA(MATCH($I756,Tables!$B$215:$B$218,0))),
Error!$B$17,
IF(AND($E756="ECA / Shoreline Tree",$F756="Remove",$H756&lt;&gt;"",OR($H756="Shoreline",$H756="Environmental Critical Area (ECA)"),ISNA(MATCH($I756,Tables!$B$209:$B$212,0))),
Error!$B$17,
IF(AND(_xlpm.baseRow,$F756="Retain",$E756="ECA / Shoreline Tree",_xlpm.ECA_Short=0),
Error!$B$61,
IF(AND($F756="Remove",ISNUMBER(MATCH($E756,{"Tier 1","Tier 2","Tier 3","Tier 4","Tier 2 Grove"},0)),ISNUMBER(MATCH($I756,{"On-site replacement","Off-site replacement"},0)),$J756="",$H756&lt;&gt;""),
Error!$B$19,
IF(AND(_xlpm.baseRow,$E756&lt;&gt;"",$D756&lt;&gt;"",$F756&lt;&gt;"",COUNTBLANK($B756:$C756)&gt;0,COUNTBLANK(_xlpm.HRange)&lt;&gt;4),
Error!$B$22,
IF(AND($H756="Zoning: Tree Points",$K756&lt;&gt;"",ISNA(MATCH($K756,Tables!$B$242:$B$253,0))),
Error!$B$58,
IF(AND($H756="Zoning: Tree Points",$K756="Small",$L756&lt;&gt;"",ISNA(MATCH($L756,Tables!$C$243:$C$244,0))),
Error!$B$59,
IF(AND($H756="Zoning: Tree Points",$K756="Small/Medium",$L756&lt;&gt;"",ISNA(MATCH($L756,Tables!$C$246:$C$247,0))),
Error!$B$59,
IF(AND($H756="Zoning: Tree Points",$K756="Medium/Large",$L756&lt;&gt;"",ISNA(MATCH($L756,Tables!$C$249:$C$250,0))),
Error!$B$59,
IF(AND($H756="Zoning: Tree Points",$K756="Large",$L756&lt;&gt;"",ISNA(MATCH($L756,Tables!$C$252:$C$253,0))),
Error!$B$59,
IF(AND($F756="Retain",$H756="Zoning: Tree Points",$C756&lt;&gt;"",$D756&lt;&gt;"",OR($K756="",$L756="",$M756="")),
Error!$B$20,
""
)))))))))))))))))))))))))))))))))))))))))))))))))))))))),
Error!$B$23))</f>
        <v/>
      </c>
      <c r="O756" s="343" t="str" cm="1">
        <f t="array" aca="1" ref="O756" ca="1">IFERROR(_xlfn.LET(
    _xlpm.txt, $C756,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57" spans="1:15" x14ac:dyDescent="0.3">
      <c r="A757" s="320"/>
      <c r="B757" s="616" t="str">
        <f t="shared" si="898"/>
        <v/>
      </c>
      <c r="C757" s="617" t="str">
        <f t="shared" si="899"/>
        <v/>
      </c>
      <c r="D757" s="618" t="str">
        <f t="shared" si="900"/>
        <v/>
      </c>
      <c r="E757" s="616" t="str">
        <f t="shared" si="901"/>
        <v/>
      </c>
      <c r="F757" s="616" t="str">
        <f t="shared" si="902"/>
        <v/>
      </c>
      <c r="G757" s="619" t="str">
        <f>IF(Tree_Table1[[#This Row],[Tree Status  &amp;]]="Retain", Tables!$B$237, IF(Tree_Table1[[#This Row],[Tree Status  &amp;]]="Remove", Tables!$B$238, ""))</f>
        <v/>
      </c>
      <c r="H757" s="321"/>
      <c r="I757" s="322"/>
      <c r="J757" s="453"/>
      <c r="K757" s="323" t="str">
        <f>IFERROR(
    IF(
        AND($H757="Zoning: Tree Points", NOT(ISNUMBER(SEARCH("sp.", $C757)))),
        VLOOKUP($C757, 'Tree List'!$C$3:$F$601, 4, FALSE),
        ""
    ),
"")</f>
        <v/>
      </c>
      <c r="L757" s="324" t="str" cm="1">
        <f t="array" ref="L757">IFERROR(
IF(
    AND($H757="Zoning: Tree Points", NOT(ISNUMBER(SEARCH("sp.", $C757)))),
    _xlfn.IFS(
        (COUNTIFS('Tree List'!$C$3:$C$601,$C757,'Tree List'!$D$3:$D$601,"Coniferous")
        + COUNTIFS('Tree List'!$C$3:$C$601,$C757,'Tree List'!$D$3:$D$601,"Deciduous Conifer")) &gt; 0,
            _xlfn.IFS($K757="Small",0.5,$K757="Small/Medium",1,$K757="Medium/Large",1.4,$K757="Large",1.8),
        (COUNTIFS('Tree List'!$C$3:$C$601,$C757,'Tree List'!$D$3:$D$601,"Deciduous")
        + COUNTIFS('Tree List'!$C$3:$C$601,$C757,'Tree List'!$D$3:$D$601,"Broadleaf Evergreen")) &gt; 0,
            _xlfn.IFS($K757="Small",0.4,$K757="Small/Medium",0.8,$K757="Medium/Large",1.2,$K757="Large",1.6)
    ),
    ""
),
"")</f>
        <v/>
      </c>
      <c r="M757" s="475" t="str">
        <f t="shared" si="897"/>
        <v/>
      </c>
      <c r="N757" s="346" t="str" cm="1">
        <f t="array" aca="1" ref="N75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IF(AND(_xlpm.baseRow,ISNA(MATCH($C757,'Tree List'!$C$3:$C$601,0)),SUMPRODUCT(--ISNUMBER(SEARCH(Tables2!$C$677:$C$772,$O757)))&gt;0),
Error!$B$57,
IF(AND(_xlpm.hasDM,$F757="Remove",$H757&lt;&gt;"",OR($I757="On-site replacement",$I757="Off-site replacement",$I757="Payment In Lieu")),
Error!$B$56,
IF(AND(_xlpm.hasDM,$F757="Remove",$H757&lt;&gt;"",$I757="Relocation"),
Error!$B$66,
IF(AND(OR(_xlpm.hasCN,_xlpm.hasPH,_xlpm.hasGR),$H757&lt;&gt;"",COUNTIF(Tables!$B$132:$B$134,$H757)&gt;0,$I757="N/A (No replacement required)"),
Error!$B$62,
IF(AND(_xlpm.baseRow,$E757&lt;&gt;"",ISNA(MATCH($E757,Tables!$B$225:$B$232,0))),
Error!$B$2,
IF(AND(_xlpm.baseRow,$F757&lt;&gt;"",ISNA(MATCH($F757,Tables!$B$234:$B$235,0))),
Error!$B$24,
IF(AND(_xlpm.baseRow,_xlpm.ECA_H&gt;0,_xlpm.Shore_H&gt;0),
Error!$B$16,
IF(AND(_xlpm.baseRow,$E757&lt;&gt;"",$D757=""),
Error!$B$3,
IF(AND(_xlpm.baseRow,OR($E757="Tier 3",$E757="Tier 4"),$C757&lt;&gt;"",$D757&gt;=24,COUNTIF(Tables2!$B$166:$B$674,$C757)&gt;0),
Error!$B$44,
IF(AND(_xlpm.baseRow,OR($E757="Tier 3",$E757="Tier 4"),$C757&lt;&gt;"",$D757&lt;&gt;"",COUNTIF(Tables2!$B$73:$B$152,$C757)&gt;0,
$D757&gt;=IFERROR(INDEX(Tables2!$C$73:$C$152,MATCH($C757,Tables2!$B$73:$B$152,0)),-1)),
Error!$B$44,
IF(AND(_xlpm.baseRow,OR($E757="Tier 2",$E757="Tier 2 Grove"),$C757&lt;&gt;"",$D757&gt;=12,COUNTIF(Tables2!$B$153:$B$162,$C757)&gt;0),
Error!$B$45,
IF(AND(_xlpm.baseRow,$E757="Tier 2 Grove",$D757&lt;12),
Error!$B$41,
IF(AND(_xlpm.baseRow,$E757="Tier 2",$D757&lt;5.88),
Error!$B$40,
IF(AND(_xlpm.baseRow,OR($E757="Tier 2",$E757="Tier 2 Grove"),$C757&lt;&gt;"",$D757&lt;12,$D757&gt;=6,COUNTIF(Tables2!$B$153:$B$162,$C757)&gt;0),
Error!$B$54,
IF(AND(_xlpm.baseRow,$E757="Tier 2",COUNTIF(Tables2!$B$166:$B$674,$C757)&gt;0,$D757&lt;24),
Error!$B$54,
IF(AND(_xlpm.baseRow,$E757="Tier 3",ISNA(MATCH($C757,Tables2!$B$153:$B$162,0)),OR($D757&lt;12,$D757&gt;=24)),
Error!$B$9,
IF(AND(_xlpm.baseRow,$E757="Tier 3",COUNTIF(Tables2!$B$153:$B$162,$C757)&gt;0,$D757&lt;12),
Error!$B$46,
IF(AND(_xlpm.baseRow,$E757="Tier 4",OR($D757&lt;6,$D757&gt;=12)),
Error!$B$10,
IF(AND(_xlpm.baseRow,$E757="&lt;6in DSH for Tree Points",OR($D757&gt;=6,$D757="")),
Error!$B$8,
IF(AND(_xlpm.baseRow,$E757="Street Tree for Green Factor",$F757&lt;&gt;"",$F757&lt;&gt;"Retain"),
Error!$B$14,
IF(AND($E757="&lt;6in DSH for Tree Points",$F757="Retain",$H757&lt;&gt;"",ISNA(MATCH($H757,Tables!$B$174:$B$174,0))),
Error!$B$15,
IF(AND($E757="Street Tree for Green Factor",$F757="Retain",$H757&lt;&gt;"",$H757&lt;&gt;"Zoning: Green Factor"),
Error!$B$15,
IF(AND($E757="ECA / Shoreline Tree",$F757="Remove",$H757&lt;&gt;"",ISNA(MATCH($H757,Tables!$B$189:$B$190,0))),
Error!$B$15,
IF(AND($E757="ECA / Shoreline Tree",$F757="Retain",$H757&lt;&gt;"",ISNA(MATCH($H757,Tables!$B$184:$B$186,0))),
Error!$B$15,
IF(AND($E757="Tier 4",$F757="Remove",$H757&lt;&gt;"",ISNA(MATCH($H757,Tables!$B$171,0))),
Error!$B$15,
IF(AND($E757="Tier 4",$F757="Retain",$H757&lt;&gt;"",ISNA(MATCH($H757,Tables!$B$166:$B$168,0))),
Error!$B$15,
IF(AND($E757="Tier 3",$F757="Retain",$H757&lt;&gt;"",ISNA(MATCH($H757,Tables!$B$158:$B$160,0))),
Error!$B$15,
IF(AND($E757="Tier 3",$F757="Remove",$H757&lt;&gt;"",ISNA(MATCH($H757,Tables!$B$163,0))),
Error!$B$15,
IF(AND(OR($E757="Tier 2",$E757="Tier 2 Grove"),$F757="Remove",$H757&lt;&gt;"",ISNA(MATCH($H757,Tables!$B$153:$B$155,0))),
Error!$B$15,
IF(AND(OR($E757="Tier 2",$E757="Tier 2 Grove"),$F757="Retain",$H757&lt;&gt;"",ISNA(MATCH($H757,Tables!$B$147:$B$150,0))),
Error!$B$15,
IF(AND($E757="Tier 1",$F757="Remove",$H757&lt;&gt;"",ISNA(MATCH($H757,Tables!$B$143:$B$144,0))),
Error!$B$15,
IF(AND($E757="Tier 1",$F757="Retain",$H757&lt;&gt;"",ISNA(MATCH($H757,Tables!$B$137:$B$140,0))),
Error!$B$15,
IF(AND($E757&lt;&gt;"Tier 2",$E757&lt;&gt;"Tier 2 Grove",$E757&lt;&gt;"Tier 3",$E757&lt;&gt;"Tier 4",$H757="Zoning: Green Factor",OR($D757="",$D757&lt;6)),
Error!$B$11,
IF(AND(_xlpm.baseRow,$D757&lt;6,$E757="&lt;6in DSH for Tree Points",_xlpm.TreePoints_H=0),
Error!$B$21,
IF(AND(_xlpm.baseRow,$E757&lt;&gt;"",$D757&lt;&gt;"",$F757=""),
Error!$B$4,
IF(AND(_xlpm.baseRow,$F757="Remove",OR($E757="Tier 1",$E757="Tier 2",$E757="Tier 2 Grove"),COUNTBLANK(_xlpm.HRange)&lt;3,_xlpm.uniqueH&gt;=2),
Error!$B$48,
IF(AND(_xlpm.baseRow,$F757="Retain",OR($E757="Tier 1",$E757="Tier 2",$E757="Tier 2 Grove"),COUNTIF(_xlpm.HRange,"Tree Code: Required to Retain Tier 1-2 Tree")=0),
Error!$B$47,
IF(AND(_xlpm.baseRow,$E757&lt;&gt;"",$D757&lt;&gt;"",$F757&lt;&gt;"",COUNTBLANK(_xlpm.HRange)=4),
Error!$B$5,
IF(AND($F757="Remove",$H757&lt;&gt;"",$I757=""),
Error!$B$18,
IF(AND($E757="Tier 4",$F757="Remove",$H757="Tree Protection Code: Tier 3 or Tier 4 Allowance",$H757&lt;&gt;"",ISNA(MATCH($I757,Tables!$B$200,0))),
Error!$B$17,
IF(AND($E757="Tier 3",$F757="Remove",$H757&lt;&gt;"",$H757="Tree Protection Code: Tier 3 or Tier 4 Allowance",OR($I757="",ISNA(MATCH($I757,Tables!$B$193:$B$197,0)))),
Error!$B$17,
IF(AND(OR($E757="Tier 2",$E757="Tier 2 Grove"),$F757="Remove",$H757="Tree Protection Code: Other removal allowance or exemption",$I757&lt;&gt;"",ISNA(MATCH($I757,Tables!$B$215:$B$218,0))),
Error!$B$17,
IF(AND(OR($E757="Tier 2",$E757="Tier 2 Grove"),$F757="Remove",$H757="Tree Protection Code: Development Capacity",$I757&lt;&gt;"",ISNA(MATCH($I757,Tables!$B$193:$B$197,0))),
Error!$B$17,
IF(AND(OR($E757="Tier 2",$E757="Tier 2 Grove"),$F757="Remove",$H757="Tree Protection Code: Necessary for Construction",$I757&lt;&gt;"",ISNA(MATCH($I757,Tables!$B$193:$B$197,0))),
Error!$B$17,
IF(AND($E757="Tier 1",$F757="Remove",$H757="Tree Protection Code: Special Exception",$I757&lt;&gt;"",ISNA(MATCH($I757,Tables!$B$215:$B$218,0))),
Error!$B$17,
IF(AND($E757="Tier 1",$F757="Remove",$H757="Tree Protection Code: Other removal allowance or exemption",$I757&lt;&gt;"",ISNA(MATCH($I757,Tables!$B$215:$B$218,0))),
Error!$B$17,
IF(AND($E757="ECA / Shoreline Tree",$F757="Remove",$H757&lt;&gt;"",OR($H757="Shoreline",$H757="Environmental Critical Area (ECA)"),ISNA(MATCH($I757,Tables!$B$209:$B$212,0))),
Error!$B$17,
IF(AND(_xlpm.baseRow,$F757="Retain",$E757="ECA / Shoreline Tree",_xlpm.ECA_Short=0),
Error!$B$61,
IF(AND($F757="Remove",ISNUMBER(MATCH($E757,{"Tier 1","Tier 2","Tier 3","Tier 4","Tier 2 Grove"},0)),ISNUMBER(MATCH($I757,{"On-site replacement","Off-site replacement"},0)),$J757="",$H757&lt;&gt;""),
Error!$B$19,
IF(AND(_xlpm.baseRow,$E757&lt;&gt;"",$D757&lt;&gt;"",$F757&lt;&gt;"",COUNTBLANK($B757:$C757)&gt;0,COUNTBLANK(_xlpm.HRange)&lt;&gt;4),
Error!$B$22,
IF(AND($H757="Zoning: Tree Points",$K757&lt;&gt;"",ISNA(MATCH($K757,Tables!$B$242:$B$253,0))),
Error!$B$58,
IF(AND($H757="Zoning: Tree Points",$K757="Small",$L757&lt;&gt;"",ISNA(MATCH($L757,Tables!$C$243:$C$244,0))),
Error!$B$59,
IF(AND($H757="Zoning: Tree Points",$K757="Small/Medium",$L757&lt;&gt;"",ISNA(MATCH($L757,Tables!$C$246:$C$247,0))),
Error!$B$59,
IF(AND($H757="Zoning: Tree Points",$K757="Medium/Large",$L757&lt;&gt;"",ISNA(MATCH($L757,Tables!$C$249:$C$250,0))),
Error!$B$59,
IF(AND($H757="Zoning: Tree Points",$K757="Large",$L757&lt;&gt;"",ISNA(MATCH($L757,Tables!$C$252:$C$253,0))),
Error!$B$59,
IF(AND($F757="Retain",$H757="Zoning: Tree Points",$C757&lt;&gt;"",$D757&lt;&gt;"",OR($K757="",$L757="",$M757="")),
Error!$B$20,
""
)))))))))))))))))))))))))))))))))))))))))))))))))))))))),
Error!$B$23))</f>
        <v/>
      </c>
      <c r="O757" s="343" t="str" cm="1">
        <f t="array" aca="1" ref="O757" ca="1">IFERROR(_xlfn.LET(
    _xlpm.txt, $C757,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58" spans="1:15" ht="15" thickBot="1" x14ac:dyDescent="0.35">
      <c r="A758" s="331"/>
      <c r="B758" s="616" t="str">
        <f t="shared" si="898"/>
        <v/>
      </c>
      <c r="C758" s="617" t="str">
        <f t="shared" si="899"/>
        <v/>
      </c>
      <c r="D758" s="618" t="str">
        <f t="shared" si="900"/>
        <v/>
      </c>
      <c r="E758" s="616" t="str">
        <f t="shared" si="901"/>
        <v/>
      </c>
      <c r="F758" s="616" t="str">
        <f t="shared" si="902"/>
        <v/>
      </c>
      <c r="G758" s="619" t="str">
        <f>IF(Tree_Table1[[#This Row],[Tree Status  &amp;]]="Retain", Tables!$B$237, IF(Tree_Table1[[#This Row],[Tree Status  &amp;]]="Remove", Tables!$B$238, ""))</f>
        <v/>
      </c>
      <c r="H758" s="329"/>
      <c r="I758" s="330"/>
      <c r="J758" s="455"/>
      <c r="K758" s="327" t="str">
        <f>IFERROR(
    IF(
        AND($H758="Zoning: Tree Points", NOT(ISNUMBER(SEARCH("sp.", $C758)))),
        VLOOKUP($C758, 'Tree List'!$C$3:$F$601, 4, FALSE),
        ""
    ),
"")</f>
        <v/>
      </c>
      <c r="L758" s="328" t="str" cm="1">
        <f t="array" ref="L758">IFERROR(
IF(
    AND($H758="Zoning: Tree Points", NOT(ISNUMBER(SEARCH("sp.", $C758)))),
    _xlfn.IFS(
        (COUNTIFS('Tree List'!$C$3:$C$601,$C758,'Tree List'!$D$3:$D$601,"Coniferous")
        + COUNTIFS('Tree List'!$C$3:$C$601,$C758,'Tree List'!$D$3:$D$601,"Deciduous Conifer")) &gt; 0,
            _xlfn.IFS($K758="Small",0.5,$K758="Small/Medium",1,$K758="Medium/Large",1.4,$K758="Large",1.8),
        (COUNTIFS('Tree List'!$C$3:$C$601,$C758,'Tree List'!$D$3:$D$601,"Deciduous")
        + COUNTIFS('Tree List'!$C$3:$C$601,$C758,'Tree List'!$D$3:$D$601,"Broadleaf Evergreen")) &gt; 0,
            _xlfn.IFS($K758="Small",0.4,$K758="Small/Medium",0.8,$K758="Medium/Large",1.2,$K758="Large",1.6)
    ),
    ""
),
"")</f>
        <v/>
      </c>
      <c r="M758" s="476" t="str">
        <f t="shared" si="897"/>
        <v/>
      </c>
      <c r="N758" s="347" t="str" cm="1">
        <f t="array" aca="1" ref="N75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IF(AND(_xlpm.baseRow,ISNA(MATCH($C758,'Tree List'!$C$3:$C$601,0)),SUMPRODUCT(--ISNUMBER(SEARCH(Tables2!$C$677:$C$772,$O758)))&gt;0),
Error!$B$57,
IF(AND(_xlpm.hasDM,$F758="Remove",$H758&lt;&gt;"",OR($I758="On-site replacement",$I758="Off-site replacement",$I758="Payment In Lieu")),
Error!$B$56,
IF(AND(_xlpm.hasDM,$F758="Remove",$H758&lt;&gt;"",$I758="Relocation"),
Error!$B$66,
IF(AND(OR(_xlpm.hasCN,_xlpm.hasPH,_xlpm.hasGR),$H758&lt;&gt;"",COUNTIF(Tables!$B$132:$B$134,$H758)&gt;0,$I758="N/A (No replacement required)"),
Error!$B$62,
IF(AND(_xlpm.baseRow,$E758&lt;&gt;"",ISNA(MATCH($E758,Tables!$B$225:$B$232,0))),
Error!$B$2,
IF(AND(_xlpm.baseRow,$F758&lt;&gt;"",ISNA(MATCH($F758,Tables!$B$234:$B$235,0))),
Error!$B$24,
IF(AND(_xlpm.baseRow,_xlpm.ECA_H&gt;0,_xlpm.Shore_H&gt;0),
Error!$B$16,
IF(AND(_xlpm.baseRow,$E758&lt;&gt;"",$D758=""),
Error!$B$3,
IF(AND(_xlpm.baseRow,OR($E758="Tier 3",$E758="Tier 4"),$C758&lt;&gt;"",$D758&gt;=24,COUNTIF(Tables2!$B$166:$B$674,$C758)&gt;0),
Error!$B$44,
IF(AND(_xlpm.baseRow,OR($E758="Tier 3",$E758="Tier 4"),$C758&lt;&gt;"",$D758&lt;&gt;"",COUNTIF(Tables2!$B$73:$B$152,$C758)&gt;0,
$D758&gt;=IFERROR(INDEX(Tables2!$C$73:$C$152,MATCH($C758,Tables2!$B$73:$B$152,0)),-1)),
Error!$B$44,
IF(AND(_xlpm.baseRow,OR($E758="Tier 2",$E758="Tier 2 Grove"),$C758&lt;&gt;"",$D758&gt;=12,COUNTIF(Tables2!$B$153:$B$162,$C758)&gt;0),
Error!$B$45,
IF(AND(_xlpm.baseRow,$E758="Tier 2 Grove",$D758&lt;12),
Error!$B$41,
IF(AND(_xlpm.baseRow,$E758="Tier 2",$D758&lt;5.88),
Error!$B$40,
IF(AND(_xlpm.baseRow,OR($E758="Tier 2",$E758="Tier 2 Grove"),$C758&lt;&gt;"",$D758&lt;12,$D758&gt;=6,COUNTIF(Tables2!$B$153:$B$162,$C758)&gt;0),
Error!$B$54,
IF(AND(_xlpm.baseRow,$E758="Tier 2",COUNTIF(Tables2!$B$166:$B$674,$C758)&gt;0,$D758&lt;24),
Error!$B$54,
IF(AND(_xlpm.baseRow,$E758="Tier 3",ISNA(MATCH($C758,Tables2!$B$153:$B$162,0)),OR($D758&lt;12,$D758&gt;=24)),
Error!$B$9,
IF(AND(_xlpm.baseRow,$E758="Tier 3",COUNTIF(Tables2!$B$153:$B$162,$C758)&gt;0,$D758&lt;12),
Error!$B$46,
IF(AND(_xlpm.baseRow,$E758="Tier 4",OR($D758&lt;6,$D758&gt;=12)),
Error!$B$10,
IF(AND(_xlpm.baseRow,$E758="&lt;6in DSH for Tree Points",OR($D758&gt;=6,$D758="")),
Error!$B$8,
IF(AND(_xlpm.baseRow,$E758="Street Tree for Green Factor",$F758&lt;&gt;"",$F758&lt;&gt;"Retain"),
Error!$B$14,
IF(AND($E758="&lt;6in DSH for Tree Points",$F758="Retain",$H758&lt;&gt;"",ISNA(MATCH($H758,Tables!$B$174:$B$174,0))),
Error!$B$15,
IF(AND($E758="Street Tree for Green Factor",$F758="Retain",$H758&lt;&gt;"",$H758&lt;&gt;"Zoning: Green Factor"),
Error!$B$15,
IF(AND($E758="ECA / Shoreline Tree",$F758="Remove",$H758&lt;&gt;"",ISNA(MATCH($H758,Tables!$B$189:$B$190,0))),
Error!$B$15,
IF(AND($E758="ECA / Shoreline Tree",$F758="Retain",$H758&lt;&gt;"",ISNA(MATCH($H758,Tables!$B$184:$B$186,0))),
Error!$B$15,
IF(AND($E758="Tier 4",$F758="Remove",$H758&lt;&gt;"",ISNA(MATCH($H758,Tables!$B$171,0))),
Error!$B$15,
IF(AND($E758="Tier 4",$F758="Retain",$H758&lt;&gt;"",ISNA(MATCH($H758,Tables!$B$166:$B$168,0))),
Error!$B$15,
IF(AND($E758="Tier 3",$F758="Retain",$H758&lt;&gt;"",ISNA(MATCH($H758,Tables!$B$158:$B$160,0))),
Error!$B$15,
IF(AND($E758="Tier 3",$F758="Remove",$H758&lt;&gt;"",ISNA(MATCH($H758,Tables!$B$163,0))),
Error!$B$15,
IF(AND(OR($E758="Tier 2",$E758="Tier 2 Grove"),$F758="Remove",$H758&lt;&gt;"",ISNA(MATCH($H758,Tables!$B$153:$B$155,0))),
Error!$B$15,
IF(AND(OR($E758="Tier 2",$E758="Tier 2 Grove"),$F758="Retain",$H758&lt;&gt;"",ISNA(MATCH($H758,Tables!$B$147:$B$150,0))),
Error!$B$15,
IF(AND($E758="Tier 1",$F758="Remove",$H758&lt;&gt;"",ISNA(MATCH($H758,Tables!$B$143:$B$144,0))),
Error!$B$15,
IF(AND($E758="Tier 1",$F758="Retain",$H758&lt;&gt;"",ISNA(MATCH($H758,Tables!$B$137:$B$140,0))),
Error!$B$15,
IF(AND($E758&lt;&gt;"Tier 2",$E758&lt;&gt;"Tier 2 Grove",$E758&lt;&gt;"Tier 3",$E758&lt;&gt;"Tier 4",$H758="Zoning: Green Factor",OR($D758="",$D758&lt;6)),
Error!$B$11,
IF(AND(_xlpm.baseRow,$D758&lt;6,$E758="&lt;6in DSH for Tree Points",_xlpm.TreePoints_H=0),
Error!$B$21,
IF(AND(_xlpm.baseRow,$E758&lt;&gt;"",$D758&lt;&gt;"",$F758=""),
Error!$B$4,
IF(AND(_xlpm.baseRow,$F758="Remove",OR($E758="Tier 1",$E758="Tier 2",$E758="Tier 2 Grove"),COUNTBLANK(_xlpm.HRange)&lt;3,_xlpm.uniqueH&gt;=2),
Error!$B$48,
IF(AND(_xlpm.baseRow,$F758="Retain",OR($E758="Tier 1",$E758="Tier 2",$E758="Tier 2 Grove"),COUNTIF(_xlpm.HRange,"Tree Code: Required to Retain Tier 1-2 Tree")=0),
Error!$B$47,
IF(AND(_xlpm.baseRow,$E758&lt;&gt;"",$D758&lt;&gt;"",$F758&lt;&gt;"",COUNTBLANK(_xlpm.HRange)=4),
Error!$B$5,
IF(AND($F758="Remove",$H758&lt;&gt;"",$I758=""),
Error!$B$18,
IF(AND($E758="Tier 4",$F758="Remove",$H758="Tree Protection Code: Tier 3 or Tier 4 Allowance",$H758&lt;&gt;"",ISNA(MATCH($I758,Tables!$B$200,0))),
Error!$B$17,
IF(AND($E758="Tier 3",$F758="Remove",$H758&lt;&gt;"",$H758="Tree Protection Code: Tier 3 or Tier 4 Allowance",OR($I758="",ISNA(MATCH($I758,Tables!$B$193:$B$197,0)))),
Error!$B$17,
IF(AND(OR($E758="Tier 2",$E758="Tier 2 Grove"),$F758="Remove",$H758="Tree Protection Code: Other removal allowance or exemption",$I758&lt;&gt;"",ISNA(MATCH($I758,Tables!$B$215:$B$218,0))),
Error!$B$17,
IF(AND(OR($E758="Tier 2",$E758="Tier 2 Grove"),$F758="Remove",$H758="Tree Protection Code: Development Capacity",$I758&lt;&gt;"",ISNA(MATCH($I758,Tables!$B$193:$B$197,0))),
Error!$B$17,
IF(AND(OR($E758="Tier 2",$E758="Tier 2 Grove"),$F758="Remove",$H758="Tree Protection Code: Necessary for Construction",$I758&lt;&gt;"",ISNA(MATCH($I758,Tables!$B$193:$B$197,0))),
Error!$B$17,
IF(AND($E758="Tier 1",$F758="Remove",$H758="Tree Protection Code: Special Exception",$I758&lt;&gt;"",ISNA(MATCH($I758,Tables!$B$215:$B$218,0))),
Error!$B$17,
IF(AND($E758="Tier 1",$F758="Remove",$H758="Tree Protection Code: Other removal allowance or exemption",$I758&lt;&gt;"",ISNA(MATCH($I758,Tables!$B$215:$B$218,0))),
Error!$B$17,
IF(AND($E758="ECA / Shoreline Tree",$F758="Remove",$H758&lt;&gt;"",OR($H758="Shoreline",$H758="Environmental Critical Area (ECA)"),ISNA(MATCH($I758,Tables!$B$209:$B$212,0))),
Error!$B$17,
IF(AND(_xlpm.baseRow,$F758="Retain",$E758="ECA / Shoreline Tree",_xlpm.ECA_Short=0),
Error!$B$61,
IF(AND($F758="Remove",ISNUMBER(MATCH($E758,{"Tier 1","Tier 2","Tier 3","Tier 4","Tier 2 Grove"},0)),ISNUMBER(MATCH($I758,{"On-site replacement","Off-site replacement"},0)),$J758="",$H758&lt;&gt;""),
Error!$B$19,
IF(AND(_xlpm.baseRow,$E758&lt;&gt;"",$D758&lt;&gt;"",$F758&lt;&gt;"",COUNTBLANK($B758:$C758)&gt;0,COUNTBLANK(_xlpm.HRange)&lt;&gt;4),
Error!$B$22,
IF(AND($H758="Zoning: Tree Points",$K758&lt;&gt;"",ISNA(MATCH($K758,Tables!$B$242:$B$253,0))),
Error!$B$58,
IF(AND($H758="Zoning: Tree Points",$K758="Small",$L758&lt;&gt;"",ISNA(MATCH($L758,Tables!$C$243:$C$244,0))),
Error!$B$59,
IF(AND($H758="Zoning: Tree Points",$K758="Small/Medium",$L758&lt;&gt;"",ISNA(MATCH($L758,Tables!$C$246:$C$247,0))),
Error!$B$59,
IF(AND($H758="Zoning: Tree Points",$K758="Medium/Large",$L758&lt;&gt;"",ISNA(MATCH($L758,Tables!$C$249:$C$250,0))),
Error!$B$59,
IF(AND($H758="Zoning: Tree Points",$K758="Large",$L758&lt;&gt;"",ISNA(MATCH($L758,Tables!$C$252:$C$253,0))),
Error!$B$59,
IF(AND($F758="Retain",$H758="Zoning: Tree Points",$C758&lt;&gt;"",$D758&lt;&gt;"",OR($K758="",$L758="",$M758="")),
Error!$B$20,
""
)))))))))))))))))))))))))))))))))))))))))))))))))))))))),
Error!$B$23))</f>
        <v/>
      </c>
      <c r="O758" s="343" t="str" cm="1">
        <f t="array" aca="1" ref="O758" ca="1">IFERROR(_xlfn.LET(
    _xlpm.txt, $C758,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59" spans="1:15" ht="15" thickBot="1" x14ac:dyDescent="0.35">
      <c r="A759" s="311">
        <v>188</v>
      </c>
      <c r="B759" s="312"/>
      <c r="C759" s="313"/>
      <c r="D759" s="478"/>
      <c r="E759" s="314"/>
      <c r="F759" s="314"/>
      <c r="G759" s="315" t="str">
        <f>IF(Tree_Table1[[#This Row],[Tree Status  &amp;]]="Retain", Tables!$B$237, IF(Tree_Table1[[#This Row],[Tree Status  &amp;]]="Remove", Tables!$B$238, ""))</f>
        <v/>
      </c>
      <c r="H759" s="316"/>
      <c r="I759" s="317"/>
      <c r="J759" s="452"/>
      <c r="K759" s="318" t="str">
        <f>IFERROR(
    IF(
        AND($H759="Zoning: Tree Points", NOT(ISNUMBER(SEARCH("sp.", $C759)))),
        VLOOKUP($C759, 'Tree List'!$C$3:$F$601, 4, FALSE),
        ""
    ),
"")</f>
        <v/>
      </c>
      <c r="L759" s="319" t="str" cm="1">
        <f t="array" ref="L759">IFERROR(
IF(
    AND($H759="Zoning: Tree Points", NOT(ISNUMBER(SEARCH("sp.", $C759)))),
    _xlfn.IFS(
        (COUNTIFS('Tree List'!$C$3:$C$601,$C759,'Tree List'!$D$3:$D$601,"Coniferous")
        + COUNTIFS('Tree List'!$C$3:$C$601,$C759,'Tree List'!$D$3:$D$601,"Deciduous Conifer")) &gt; 0,
            _xlfn.IFS($K759="Small",0.5,$K759="Small/Medium",1,$K759="Medium/Large",1.4,$K759="Large",1.8),
        (COUNTIFS('Tree List'!$C$3:$C$601,$C759,'Tree List'!$D$3:$D$601,"Deciduous")
        + COUNTIFS('Tree List'!$C$3:$C$601,$C759,'Tree List'!$D$3:$D$601,"Broadleaf Evergreen")) &gt; 0,
            _xlfn.IFS($K759="Small",0.4,$K759="Small/Medium",0.8,$K759="Medium/Large",1.2,$K759="Large",1.6)
    ),
    ""
),
"")</f>
        <v/>
      </c>
      <c r="M759" s="474" t="str">
        <f t="shared" si="897"/>
        <v/>
      </c>
      <c r="N759" s="620" t="str" cm="1">
        <f t="array" aca="1" ref="N75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IF(AND(_xlpm.baseRow,ISNA(MATCH($C759,'Tree List'!$C$3:$C$601,0)),SUMPRODUCT(--ISNUMBER(SEARCH(Tables2!$C$677:$C$772,$O759)))&gt;0),
Error!$B$57,
IF(AND(_xlpm.hasDM,$F759="Remove",$H759&lt;&gt;"",OR($I759="On-site replacement",$I759="Off-site replacement",$I759="Payment In Lieu")),
Error!$B$56,
IF(AND(_xlpm.hasDM,$F759="Remove",$H759&lt;&gt;"",$I759="Relocation"),
Error!$B$66,
IF(AND(OR(_xlpm.hasCN,_xlpm.hasPH,_xlpm.hasGR),$H759&lt;&gt;"",COUNTIF(Tables!$B$132:$B$134,$H759)&gt;0,$I759="N/A (No replacement required)"),
Error!$B$62,
IF(AND(_xlpm.baseRow,$E759&lt;&gt;"",ISNA(MATCH($E759,Tables!$B$225:$B$232,0))),
Error!$B$2,
IF(AND(_xlpm.baseRow,$F759&lt;&gt;"",ISNA(MATCH($F759,Tables!$B$234:$B$235,0))),
Error!$B$24,
IF(AND(_xlpm.baseRow,_xlpm.ECA_H&gt;0,_xlpm.Shore_H&gt;0),
Error!$B$16,
IF(AND(_xlpm.baseRow,$E759&lt;&gt;"",$D759=""),
Error!$B$3,
IF(AND(_xlpm.baseRow,OR($E759="Tier 3",$E759="Tier 4"),$C759&lt;&gt;"",$D759&gt;=24,COUNTIF(Tables2!$B$166:$B$674,$C759)&gt;0),
Error!$B$44,
IF(AND(_xlpm.baseRow,OR($E759="Tier 3",$E759="Tier 4"),$C759&lt;&gt;"",$D759&lt;&gt;"",COUNTIF(Tables2!$B$73:$B$152,$C759)&gt;0,
$D759&gt;=IFERROR(INDEX(Tables2!$C$73:$C$152,MATCH($C759,Tables2!$B$73:$B$152,0)),-1)),
Error!$B$44,
IF(AND(_xlpm.baseRow,OR($E759="Tier 2",$E759="Tier 2 Grove"),$C759&lt;&gt;"",$D759&gt;=12,COUNTIF(Tables2!$B$153:$B$162,$C759)&gt;0),
Error!$B$45,
IF(AND(_xlpm.baseRow,$E759="Tier 2 Grove",$D759&lt;12),
Error!$B$41,
IF(AND(_xlpm.baseRow,$E759="Tier 2",$D759&lt;5.88),
Error!$B$40,
IF(AND(_xlpm.baseRow,OR($E759="Tier 2",$E759="Tier 2 Grove"),$C759&lt;&gt;"",$D759&lt;12,$D759&gt;=6,COUNTIF(Tables2!$B$153:$B$162,$C759)&gt;0),
Error!$B$54,
IF(AND(_xlpm.baseRow,$E759="Tier 2",COUNTIF(Tables2!$B$166:$B$674,$C759)&gt;0,$D759&lt;24),
Error!$B$54,
IF(AND(_xlpm.baseRow,$E759="Tier 3",ISNA(MATCH($C759,Tables2!$B$153:$B$162,0)),OR($D759&lt;12,$D759&gt;=24)),
Error!$B$9,
IF(AND(_xlpm.baseRow,$E759="Tier 3",COUNTIF(Tables2!$B$153:$B$162,$C759)&gt;0,$D759&lt;12),
Error!$B$46,
IF(AND(_xlpm.baseRow,$E759="Tier 4",OR($D759&lt;6,$D759&gt;=12)),
Error!$B$10,
IF(AND(_xlpm.baseRow,$E759="&lt;6in DSH for Tree Points",OR($D759&gt;=6,$D759="")),
Error!$B$8,
IF(AND(_xlpm.baseRow,$E759="Street Tree for Green Factor",$F759&lt;&gt;"",$F759&lt;&gt;"Retain"),
Error!$B$14,
IF(AND($E759="&lt;6in DSH for Tree Points",$F759="Retain",$H759&lt;&gt;"",ISNA(MATCH($H759,Tables!$B$174:$B$174,0))),
Error!$B$15,
IF(AND($E759="Street Tree for Green Factor",$F759="Retain",$H759&lt;&gt;"",$H759&lt;&gt;"Zoning: Green Factor"),
Error!$B$15,
IF(AND($E759="ECA / Shoreline Tree",$F759="Remove",$H759&lt;&gt;"",ISNA(MATCH($H759,Tables!$B$189:$B$190,0))),
Error!$B$15,
IF(AND($E759="ECA / Shoreline Tree",$F759="Retain",$H759&lt;&gt;"",ISNA(MATCH($H759,Tables!$B$184:$B$186,0))),
Error!$B$15,
IF(AND($E759="Tier 4",$F759="Remove",$H759&lt;&gt;"",ISNA(MATCH($H759,Tables!$B$171,0))),
Error!$B$15,
IF(AND($E759="Tier 4",$F759="Retain",$H759&lt;&gt;"",ISNA(MATCH($H759,Tables!$B$166:$B$168,0))),
Error!$B$15,
IF(AND($E759="Tier 3",$F759="Retain",$H759&lt;&gt;"",ISNA(MATCH($H759,Tables!$B$158:$B$160,0))),
Error!$B$15,
IF(AND($E759="Tier 3",$F759="Remove",$H759&lt;&gt;"",ISNA(MATCH($H759,Tables!$B$163,0))),
Error!$B$15,
IF(AND(OR($E759="Tier 2",$E759="Tier 2 Grove"),$F759="Remove",$H759&lt;&gt;"",ISNA(MATCH($H759,Tables!$B$153:$B$155,0))),
Error!$B$15,
IF(AND(OR($E759="Tier 2",$E759="Tier 2 Grove"),$F759="Retain",$H759&lt;&gt;"",ISNA(MATCH($H759,Tables!$B$147:$B$150,0))),
Error!$B$15,
IF(AND($E759="Tier 1",$F759="Remove",$H759&lt;&gt;"",ISNA(MATCH($H759,Tables!$B$143:$B$144,0))),
Error!$B$15,
IF(AND($E759="Tier 1",$F759="Retain",$H759&lt;&gt;"",ISNA(MATCH($H759,Tables!$B$137:$B$140,0))),
Error!$B$15,
IF(AND($E759&lt;&gt;"Tier 2",$E759&lt;&gt;"Tier 2 Grove",$E759&lt;&gt;"Tier 3",$E759&lt;&gt;"Tier 4",$H759="Zoning: Green Factor",OR($D759="",$D759&lt;6)),
Error!$B$11,
IF(AND(_xlpm.baseRow,$D759&lt;6,$E759="&lt;6in DSH for Tree Points",_xlpm.TreePoints_H=0),
Error!$B$21,
IF(AND(_xlpm.baseRow,$E759&lt;&gt;"",$D759&lt;&gt;"",$F759=""),
Error!$B$4,
IF(AND(_xlpm.baseRow,$F759="Remove",OR($E759="Tier 1",$E759="Tier 2",$E759="Tier 2 Grove"),COUNTBLANK(_xlpm.HRange)&lt;3,_xlpm.uniqueH&gt;=2),
Error!$B$48,
IF(AND(_xlpm.baseRow,$F759="Retain",OR($E759="Tier 1",$E759="Tier 2",$E759="Tier 2 Grove"),COUNTIF(_xlpm.HRange,"Tree Code: Required to Retain Tier 1-2 Tree")=0),
Error!$B$47,
IF(AND(_xlpm.baseRow,$E759&lt;&gt;"",$D759&lt;&gt;"",$F759&lt;&gt;"",COUNTBLANK(_xlpm.HRange)=4),
Error!$B$5,
IF(AND($F759="Remove",$H759&lt;&gt;"",$I759=""),
Error!$B$18,
IF(AND($E759="Tier 4",$F759="Remove",$H759="Tree Protection Code: Tier 3 or Tier 4 Allowance",$H759&lt;&gt;"",ISNA(MATCH($I759,Tables!$B$200,0))),
Error!$B$17,
IF(AND($E759="Tier 3",$F759="Remove",$H759&lt;&gt;"",$H759="Tree Protection Code: Tier 3 or Tier 4 Allowance",OR($I759="",ISNA(MATCH($I759,Tables!$B$193:$B$197,0)))),
Error!$B$17,
IF(AND(OR($E759="Tier 2",$E759="Tier 2 Grove"),$F759="Remove",$H759="Tree Protection Code: Other removal allowance or exemption",$I759&lt;&gt;"",ISNA(MATCH($I759,Tables!$B$215:$B$218,0))),
Error!$B$17,
IF(AND(OR($E759="Tier 2",$E759="Tier 2 Grove"),$F759="Remove",$H759="Tree Protection Code: Development Capacity",$I759&lt;&gt;"",ISNA(MATCH($I759,Tables!$B$193:$B$197,0))),
Error!$B$17,
IF(AND(OR($E759="Tier 2",$E759="Tier 2 Grove"),$F759="Remove",$H759="Tree Protection Code: Necessary for Construction",$I759&lt;&gt;"",ISNA(MATCH($I759,Tables!$B$193:$B$197,0))),
Error!$B$17,
IF(AND($E759="Tier 1",$F759="Remove",$H759="Tree Protection Code: Special Exception",$I759&lt;&gt;"",ISNA(MATCH($I759,Tables!$B$215:$B$218,0))),
Error!$B$17,
IF(AND($E759="Tier 1",$F759="Remove",$H759="Tree Protection Code: Other removal allowance or exemption",$I759&lt;&gt;"",ISNA(MATCH($I759,Tables!$B$215:$B$218,0))),
Error!$B$17,
IF(AND($E759="ECA / Shoreline Tree",$F759="Remove",$H759&lt;&gt;"",OR($H759="Shoreline",$H759="Environmental Critical Area (ECA)"),ISNA(MATCH($I759,Tables!$B$209:$B$212,0))),
Error!$B$17,
IF(AND(_xlpm.baseRow,$F759="Retain",$E759="ECA / Shoreline Tree",_xlpm.ECA_Short=0),
Error!$B$61,
IF(AND($F759="Remove",ISNUMBER(MATCH($E759,{"Tier 1","Tier 2","Tier 3","Tier 4","Tier 2 Grove"},0)),ISNUMBER(MATCH($I759,{"On-site replacement","Off-site replacement"},0)),$J759="",$H759&lt;&gt;""),
Error!$B$19,
IF(AND(_xlpm.baseRow,$E759&lt;&gt;"",$D759&lt;&gt;"",$F759&lt;&gt;"",COUNTBLANK($B759:$C759)&gt;0,COUNTBLANK(_xlpm.HRange)&lt;&gt;4),
Error!$B$22,
IF(AND($H759="Zoning: Tree Points",$K759&lt;&gt;"",ISNA(MATCH($K759,Tables!$B$242:$B$253,0))),
Error!$B$58,
IF(AND($H759="Zoning: Tree Points",$K759="Small",$L759&lt;&gt;"",ISNA(MATCH($L759,Tables!$C$243:$C$244,0))),
Error!$B$59,
IF(AND($H759="Zoning: Tree Points",$K759="Small/Medium",$L759&lt;&gt;"",ISNA(MATCH($L759,Tables!$C$246:$C$247,0))),
Error!$B$59,
IF(AND($H759="Zoning: Tree Points",$K759="Medium/Large",$L759&lt;&gt;"",ISNA(MATCH($L759,Tables!$C$249:$C$250,0))),
Error!$B$59,
IF(AND($H759="Zoning: Tree Points",$K759="Large",$L759&lt;&gt;"",ISNA(MATCH($L759,Tables!$C$252:$C$253,0))),
Error!$B$59,
IF(AND($F759="Retain",$H759="Zoning: Tree Points",$C759&lt;&gt;"",$D759&lt;&gt;"",OR($K759="",$L759="",$M759="")),
Error!$B$20,
""
)))))))))))))))))))))))))))))))))))))))))))))))))))))))),
Error!$B$23))</f>
        <v/>
      </c>
      <c r="O759" s="343" t="str" cm="1">
        <f t="array" aca="1" ref="O759" ca="1">IFERROR(_xlfn.LET(
    _xlpm.txt, $C759,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60" spans="1:15" x14ac:dyDescent="0.3">
      <c r="A760" s="320"/>
      <c r="B760" s="616" t="str">
        <f t="shared" ref="B760:B762" si="903">IF($B759="", "", $B759)</f>
        <v/>
      </c>
      <c r="C760" s="617" t="str">
        <f t="shared" ref="C760:C762" si="904">IF($C759="", "", $C759)</f>
        <v/>
      </c>
      <c r="D760" s="618" t="str">
        <f t="shared" ref="D760:D762" si="905">IF($D759="", "", $D759)</f>
        <v/>
      </c>
      <c r="E760" s="616" t="str">
        <f t="shared" ref="E760:E762" si="906">IF($E759="", "", $E759)</f>
        <v/>
      </c>
      <c r="F760" s="616" t="str">
        <f t="shared" ref="F760:F762" si="907">IF($F759="", "", $F759)</f>
        <v/>
      </c>
      <c r="G760" s="619" t="str">
        <f>IF(Tree_Table1[[#This Row],[Tree Status  &amp;]]="Retain", Tables!$B$237, IF(Tree_Table1[[#This Row],[Tree Status  &amp;]]="Remove", Tables!$B$238, ""))</f>
        <v/>
      </c>
      <c r="H760" s="321"/>
      <c r="I760" s="322"/>
      <c r="J760" s="453"/>
      <c r="K760" s="323" t="str">
        <f>IFERROR(
    IF(
        AND($H760="Zoning: Tree Points", NOT(ISNUMBER(SEARCH("sp.", $C760)))),
        VLOOKUP($C760, 'Tree List'!$C$3:$F$601, 4, FALSE),
        ""
    ),
"")</f>
        <v/>
      </c>
      <c r="L760" s="324" t="str" cm="1">
        <f t="array" ref="L760">IFERROR(
IF(
    AND($H760="Zoning: Tree Points", NOT(ISNUMBER(SEARCH("sp.", $C760)))),
    _xlfn.IFS(
        (COUNTIFS('Tree List'!$C$3:$C$601,$C760,'Tree List'!$D$3:$D$601,"Coniferous")
        + COUNTIFS('Tree List'!$C$3:$C$601,$C760,'Tree List'!$D$3:$D$601,"Deciduous Conifer")) &gt; 0,
            _xlfn.IFS($K760="Small",0.5,$K760="Small/Medium",1,$K760="Medium/Large",1.4,$K760="Large",1.8),
        (COUNTIFS('Tree List'!$C$3:$C$601,$C760,'Tree List'!$D$3:$D$601,"Deciduous")
        + COUNTIFS('Tree List'!$C$3:$C$601,$C760,'Tree List'!$D$3:$D$601,"Broadleaf Evergreen")) &gt; 0,
            _xlfn.IFS($K760="Small",0.4,$K760="Small/Medium",0.8,$K760="Medium/Large",1.2,$K760="Large",1.6)
    ),
    ""
),
"")</f>
        <v/>
      </c>
      <c r="M760" s="475" t="str">
        <f t="shared" si="897"/>
        <v/>
      </c>
      <c r="N760" s="346" t="str" cm="1">
        <f t="array" aca="1" ref="N76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IF(AND(_xlpm.baseRow,ISNA(MATCH($C760,'Tree List'!$C$3:$C$601,0)),SUMPRODUCT(--ISNUMBER(SEARCH(Tables2!$C$677:$C$772,$O760)))&gt;0),
Error!$B$57,
IF(AND(_xlpm.hasDM,$F760="Remove",$H760&lt;&gt;"",OR($I760="On-site replacement",$I760="Off-site replacement",$I760="Payment In Lieu")),
Error!$B$56,
IF(AND(_xlpm.hasDM,$F760="Remove",$H760&lt;&gt;"",$I760="Relocation"),
Error!$B$66,
IF(AND(OR(_xlpm.hasCN,_xlpm.hasPH,_xlpm.hasGR),$H760&lt;&gt;"",COUNTIF(Tables!$B$132:$B$134,$H760)&gt;0,$I760="N/A (No replacement required)"),
Error!$B$62,
IF(AND(_xlpm.baseRow,$E760&lt;&gt;"",ISNA(MATCH($E760,Tables!$B$225:$B$232,0))),
Error!$B$2,
IF(AND(_xlpm.baseRow,$F760&lt;&gt;"",ISNA(MATCH($F760,Tables!$B$234:$B$235,0))),
Error!$B$24,
IF(AND(_xlpm.baseRow,_xlpm.ECA_H&gt;0,_xlpm.Shore_H&gt;0),
Error!$B$16,
IF(AND(_xlpm.baseRow,$E760&lt;&gt;"",$D760=""),
Error!$B$3,
IF(AND(_xlpm.baseRow,OR($E760="Tier 3",$E760="Tier 4"),$C760&lt;&gt;"",$D760&gt;=24,COUNTIF(Tables2!$B$166:$B$674,$C760)&gt;0),
Error!$B$44,
IF(AND(_xlpm.baseRow,OR($E760="Tier 3",$E760="Tier 4"),$C760&lt;&gt;"",$D760&lt;&gt;"",COUNTIF(Tables2!$B$73:$B$152,$C760)&gt;0,
$D760&gt;=IFERROR(INDEX(Tables2!$C$73:$C$152,MATCH($C760,Tables2!$B$73:$B$152,0)),-1)),
Error!$B$44,
IF(AND(_xlpm.baseRow,OR($E760="Tier 2",$E760="Tier 2 Grove"),$C760&lt;&gt;"",$D760&gt;=12,COUNTIF(Tables2!$B$153:$B$162,$C760)&gt;0),
Error!$B$45,
IF(AND(_xlpm.baseRow,$E760="Tier 2 Grove",$D760&lt;12),
Error!$B$41,
IF(AND(_xlpm.baseRow,$E760="Tier 2",$D760&lt;5.88),
Error!$B$40,
IF(AND(_xlpm.baseRow,OR($E760="Tier 2",$E760="Tier 2 Grove"),$C760&lt;&gt;"",$D760&lt;12,$D760&gt;=6,COUNTIF(Tables2!$B$153:$B$162,$C760)&gt;0),
Error!$B$54,
IF(AND(_xlpm.baseRow,$E760="Tier 2",COUNTIF(Tables2!$B$166:$B$674,$C760)&gt;0,$D760&lt;24),
Error!$B$54,
IF(AND(_xlpm.baseRow,$E760="Tier 3",ISNA(MATCH($C760,Tables2!$B$153:$B$162,0)),OR($D760&lt;12,$D760&gt;=24)),
Error!$B$9,
IF(AND(_xlpm.baseRow,$E760="Tier 3",COUNTIF(Tables2!$B$153:$B$162,$C760)&gt;0,$D760&lt;12),
Error!$B$46,
IF(AND(_xlpm.baseRow,$E760="Tier 4",OR($D760&lt;6,$D760&gt;=12)),
Error!$B$10,
IF(AND(_xlpm.baseRow,$E760="&lt;6in DSH for Tree Points",OR($D760&gt;=6,$D760="")),
Error!$B$8,
IF(AND(_xlpm.baseRow,$E760="Street Tree for Green Factor",$F760&lt;&gt;"",$F760&lt;&gt;"Retain"),
Error!$B$14,
IF(AND($E760="&lt;6in DSH for Tree Points",$F760="Retain",$H760&lt;&gt;"",ISNA(MATCH($H760,Tables!$B$174:$B$174,0))),
Error!$B$15,
IF(AND($E760="Street Tree for Green Factor",$F760="Retain",$H760&lt;&gt;"",$H760&lt;&gt;"Zoning: Green Factor"),
Error!$B$15,
IF(AND($E760="ECA / Shoreline Tree",$F760="Remove",$H760&lt;&gt;"",ISNA(MATCH($H760,Tables!$B$189:$B$190,0))),
Error!$B$15,
IF(AND($E760="ECA / Shoreline Tree",$F760="Retain",$H760&lt;&gt;"",ISNA(MATCH($H760,Tables!$B$184:$B$186,0))),
Error!$B$15,
IF(AND($E760="Tier 4",$F760="Remove",$H760&lt;&gt;"",ISNA(MATCH($H760,Tables!$B$171,0))),
Error!$B$15,
IF(AND($E760="Tier 4",$F760="Retain",$H760&lt;&gt;"",ISNA(MATCH($H760,Tables!$B$166:$B$168,0))),
Error!$B$15,
IF(AND($E760="Tier 3",$F760="Retain",$H760&lt;&gt;"",ISNA(MATCH($H760,Tables!$B$158:$B$160,0))),
Error!$B$15,
IF(AND($E760="Tier 3",$F760="Remove",$H760&lt;&gt;"",ISNA(MATCH($H760,Tables!$B$163,0))),
Error!$B$15,
IF(AND(OR($E760="Tier 2",$E760="Tier 2 Grove"),$F760="Remove",$H760&lt;&gt;"",ISNA(MATCH($H760,Tables!$B$153:$B$155,0))),
Error!$B$15,
IF(AND(OR($E760="Tier 2",$E760="Tier 2 Grove"),$F760="Retain",$H760&lt;&gt;"",ISNA(MATCH($H760,Tables!$B$147:$B$150,0))),
Error!$B$15,
IF(AND($E760="Tier 1",$F760="Remove",$H760&lt;&gt;"",ISNA(MATCH($H760,Tables!$B$143:$B$144,0))),
Error!$B$15,
IF(AND($E760="Tier 1",$F760="Retain",$H760&lt;&gt;"",ISNA(MATCH($H760,Tables!$B$137:$B$140,0))),
Error!$B$15,
IF(AND($E760&lt;&gt;"Tier 2",$E760&lt;&gt;"Tier 2 Grove",$E760&lt;&gt;"Tier 3",$E760&lt;&gt;"Tier 4",$H760="Zoning: Green Factor",OR($D760="",$D760&lt;6)),
Error!$B$11,
IF(AND(_xlpm.baseRow,$D760&lt;6,$E760="&lt;6in DSH for Tree Points",_xlpm.TreePoints_H=0),
Error!$B$21,
IF(AND(_xlpm.baseRow,$E760&lt;&gt;"",$D760&lt;&gt;"",$F760=""),
Error!$B$4,
IF(AND(_xlpm.baseRow,$F760="Remove",OR($E760="Tier 1",$E760="Tier 2",$E760="Tier 2 Grove"),COUNTBLANK(_xlpm.HRange)&lt;3,_xlpm.uniqueH&gt;=2),
Error!$B$48,
IF(AND(_xlpm.baseRow,$F760="Retain",OR($E760="Tier 1",$E760="Tier 2",$E760="Tier 2 Grove"),COUNTIF(_xlpm.HRange,"Tree Code: Required to Retain Tier 1-2 Tree")=0),
Error!$B$47,
IF(AND(_xlpm.baseRow,$E760&lt;&gt;"",$D760&lt;&gt;"",$F760&lt;&gt;"",COUNTBLANK(_xlpm.HRange)=4),
Error!$B$5,
IF(AND($F760="Remove",$H760&lt;&gt;"",$I760=""),
Error!$B$18,
IF(AND($E760="Tier 4",$F760="Remove",$H760="Tree Protection Code: Tier 3 or Tier 4 Allowance",$H760&lt;&gt;"",ISNA(MATCH($I760,Tables!$B$200,0))),
Error!$B$17,
IF(AND($E760="Tier 3",$F760="Remove",$H760&lt;&gt;"",$H760="Tree Protection Code: Tier 3 or Tier 4 Allowance",OR($I760="",ISNA(MATCH($I760,Tables!$B$193:$B$197,0)))),
Error!$B$17,
IF(AND(OR($E760="Tier 2",$E760="Tier 2 Grove"),$F760="Remove",$H760="Tree Protection Code: Other removal allowance or exemption",$I760&lt;&gt;"",ISNA(MATCH($I760,Tables!$B$215:$B$218,0))),
Error!$B$17,
IF(AND(OR($E760="Tier 2",$E760="Tier 2 Grove"),$F760="Remove",$H760="Tree Protection Code: Development Capacity",$I760&lt;&gt;"",ISNA(MATCH($I760,Tables!$B$193:$B$197,0))),
Error!$B$17,
IF(AND(OR($E760="Tier 2",$E760="Tier 2 Grove"),$F760="Remove",$H760="Tree Protection Code: Necessary for Construction",$I760&lt;&gt;"",ISNA(MATCH($I760,Tables!$B$193:$B$197,0))),
Error!$B$17,
IF(AND($E760="Tier 1",$F760="Remove",$H760="Tree Protection Code: Special Exception",$I760&lt;&gt;"",ISNA(MATCH($I760,Tables!$B$215:$B$218,0))),
Error!$B$17,
IF(AND($E760="Tier 1",$F760="Remove",$H760="Tree Protection Code: Other removal allowance or exemption",$I760&lt;&gt;"",ISNA(MATCH($I760,Tables!$B$215:$B$218,0))),
Error!$B$17,
IF(AND($E760="ECA / Shoreline Tree",$F760="Remove",$H760&lt;&gt;"",OR($H760="Shoreline",$H760="Environmental Critical Area (ECA)"),ISNA(MATCH($I760,Tables!$B$209:$B$212,0))),
Error!$B$17,
IF(AND(_xlpm.baseRow,$F760="Retain",$E760="ECA / Shoreline Tree",_xlpm.ECA_Short=0),
Error!$B$61,
IF(AND($F760="Remove",ISNUMBER(MATCH($E760,{"Tier 1","Tier 2","Tier 3","Tier 4","Tier 2 Grove"},0)),ISNUMBER(MATCH($I760,{"On-site replacement","Off-site replacement"},0)),$J760="",$H760&lt;&gt;""),
Error!$B$19,
IF(AND(_xlpm.baseRow,$E760&lt;&gt;"",$D760&lt;&gt;"",$F760&lt;&gt;"",COUNTBLANK($B760:$C760)&gt;0,COUNTBLANK(_xlpm.HRange)&lt;&gt;4),
Error!$B$22,
IF(AND($H760="Zoning: Tree Points",$K760&lt;&gt;"",ISNA(MATCH($K760,Tables!$B$242:$B$253,0))),
Error!$B$58,
IF(AND($H760="Zoning: Tree Points",$K760="Small",$L760&lt;&gt;"",ISNA(MATCH($L760,Tables!$C$243:$C$244,0))),
Error!$B$59,
IF(AND($H760="Zoning: Tree Points",$K760="Small/Medium",$L760&lt;&gt;"",ISNA(MATCH($L760,Tables!$C$246:$C$247,0))),
Error!$B$59,
IF(AND($H760="Zoning: Tree Points",$K760="Medium/Large",$L760&lt;&gt;"",ISNA(MATCH($L760,Tables!$C$249:$C$250,0))),
Error!$B$59,
IF(AND($H760="Zoning: Tree Points",$K760="Large",$L760&lt;&gt;"",ISNA(MATCH($L760,Tables!$C$252:$C$253,0))),
Error!$B$59,
IF(AND($F760="Retain",$H760="Zoning: Tree Points",$C760&lt;&gt;"",$D760&lt;&gt;"",OR($K760="",$L760="",$M760="")),
Error!$B$20,
""
)))))))))))))))))))))))))))))))))))))))))))))))))))))))),
Error!$B$23))</f>
        <v/>
      </c>
      <c r="O760" s="343" t="str" cm="1">
        <f t="array" aca="1" ref="O760" ca="1">IFERROR(_xlfn.LET(
    _xlpm.txt, $C760,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61" spans="1:15" x14ac:dyDescent="0.3">
      <c r="A761" s="320"/>
      <c r="B761" s="616" t="str">
        <f t="shared" si="903"/>
        <v/>
      </c>
      <c r="C761" s="617" t="str">
        <f t="shared" si="904"/>
        <v/>
      </c>
      <c r="D761" s="618" t="str">
        <f t="shared" si="905"/>
        <v/>
      </c>
      <c r="E761" s="616" t="str">
        <f t="shared" si="906"/>
        <v/>
      </c>
      <c r="F761" s="616" t="str">
        <f t="shared" si="907"/>
        <v/>
      </c>
      <c r="G761" s="619" t="str">
        <f>IF(Tree_Table1[[#This Row],[Tree Status  &amp;]]="Retain", Tables!$B$237, IF(Tree_Table1[[#This Row],[Tree Status  &amp;]]="Remove", Tables!$B$238, ""))</f>
        <v/>
      </c>
      <c r="H761" s="321"/>
      <c r="I761" s="322"/>
      <c r="J761" s="453"/>
      <c r="K761" s="323" t="str">
        <f>IFERROR(
    IF(
        AND($H761="Zoning: Tree Points", NOT(ISNUMBER(SEARCH("sp.", $C761)))),
        VLOOKUP($C761, 'Tree List'!$C$3:$F$601, 4, FALSE),
        ""
    ),
"")</f>
        <v/>
      </c>
      <c r="L761" s="324" t="str" cm="1">
        <f t="array" ref="L761">IFERROR(
IF(
    AND($H761="Zoning: Tree Points", NOT(ISNUMBER(SEARCH("sp.", $C761)))),
    _xlfn.IFS(
        (COUNTIFS('Tree List'!$C$3:$C$601,$C761,'Tree List'!$D$3:$D$601,"Coniferous")
        + COUNTIFS('Tree List'!$C$3:$C$601,$C761,'Tree List'!$D$3:$D$601,"Deciduous Conifer")) &gt; 0,
            _xlfn.IFS($K761="Small",0.5,$K761="Small/Medium",1,$K761="Medium/Large",1.4,$K761="Large",1.8),
        (COUNTIFS('Tree List'!$C$3:$C$601,$C761,'Tree List'!$D$3:$D$601,"Deciduous")
        + COUNTIFS('Tree List'!$C$3:$C$601,$C761,'Tree List'!$D$3:$D$601,"Broadleaf Evergreen")) &gt; 0,
            _xlfn.IFS($K761="Small",0.4,$K761="Small/Medium",0.8,$K761="Medium/Large",1.2,$K761="Large",1.6)
    ),
    ""
),
"")</f>
        <v/>
      </c>
      <c r="M761" s="475" t="str">
        <f t="shared" si="897"/>
        <v/>
      </c>
      <c r="N761" s="346" t="str" cm="1">
        <f t="array" aca="1" ref="N76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IF(AND(_xlpm.baseRow,ISNA(MATCH($C761,'Tree List'!$C$3:$C$601,0)),SUMPRODUCT(--ISNUMBER(SEARCH(Tables2!$C$677:$C$772,$O761)))&gt;0),
Error!$B$57,
IF(AND(_xlpm.hasDM,$F761="Remove",$H761&lt;&gt;"",OR($I761="On-site replacement",$I761="Off-site replacement",$I761="Payment In Lieu")),
Error!$B$56,
IF(AND(_xlpm.hasDM,$F761="Remove",$H761&lt;&gt;"",$I761="Relocation"),
Error!$B$66,
IF(AND(OR(_xlpm.hasCN,_xlpm.hasPH,_xlpm.hasGR),$H761&lt;&gt;"",COUNTIF(Tables!$B$132:$B$134,$H761)&gt;0,$I761="N/A (No replacement required)"),
Error!$B$62,
IF(AND(_xlpm.baseRow,$E761&lt;&gt;"",ISNA(MATCH($E761,Tables!$B$225:$B$232,0))),
Error!$B$2,
IF(AND(_xlpm.baseRow,$F761&lt;&gt;"",ISNA(MATCH($F761,Tables!$B$234:$B$235,0))),
Error!$B$24,
IF(AND(_xlpm.baseRow,_xlpm.ECA_H&gt;0,_xlpm.Shore_H&gt;0),
Error!$B$16,
IF(AND(_xlpm.baseRow,$E761&lt;&gt;"",$D761=""),
Error!$B$3,
IF(AND(_xlpm.baseRow,OR($E761="Tier 3",$E761="Tier 4"),$C761&lt;&gt;"",$D761&gt;=24,COUNTIF(Tables2!$B$166:$B$674,$C761)&gt;0),
Error!$B$44,
IF(AND(_xlpm.baseRow,OR($E761="Tier 3",$E761="Tier 4"),$C761&lt;&gt;"",$D761&lt;&gt;"",COUNTIF(Tables2!$B$73:$B$152,$C761)&gt;0,
$D761&gt;=IFERROR(INDEX(Tables2!$C$73:$C$152,MATCH($C761,Tables2!$B$73:$B$152,0)),-1)),
Error!$B$44,
IF(AND(_xlpm.baseRow,OR($E761="Tier 2",$E761="Tier 2 Grove"),$C761&lt;&gt;"",$D761&gt;=12,COUNTIF(Tables2!$B$153:$B$162,$C761)&gt;0),
Error!$B$45,
IF(AND(_xlpm.baseRow,$E761="Tier 2 Grove",$D761&lt;12),
Error!$B$41,
IF(AND(_xlpm.baseRow,$E761="Tier 2",$D761&lt;5.88),
Error!$B$40,
IF(AND(_xlpm.baseRow,OR($E761="Tier 2",$E761="Tier 2 Grove"),$C761&lt;&gt;"",$D761&lt;12,$D761&gt;=6,COUNTIF(Tables2!$B$153:$B$162,$C761)&gt;0),
Error!$B$54,
IF(AND(_xlpm.baseRow,$E761="Tier 2",COUNTIF(Tables2!$B$166:$B$674,$C761)&gt;0,$D761&lt;24),
Error!$B$54,
IF(AND(_xlpm.baseRow,$E761="Tier 3",ISNA(MATCH($C761,Tables2!$B$153:$B$162,0)),OR($D761&lt;12,$D761&gt;=24)),
Error!$B$9,
IF(AND(_xlpm.baseRow,$E761="Tier 3",COUNTIF(Tables2!$B$153:$B$162,$C761)&gt;0,$D761&lt;12),
Error!$B$46,
IF(AND(_xlpm.baseRow,$E761="Tier 4",OR($D761&lt;6,$D761&gt;=12)),
Error!$B$10,
IF(AND(_xlpm.baseRow,$E761="&lt;6in DSH for Tree Points",OR($D761&gt;=6,$D761="")),
Error!$B$8,
IF(AND(_xlpm.baseRow,$E761="Street Tree for Green Factor",$F761&lt;&gt;"",$F761&lt;&gt;"Retain"),
Error!$B$14,
IF(AND($E761="&lt;6in DSH for Tree Points",$F761="Retain",$H761&lt;&gt;"",ISNA(MATCH($H761,Tables!$B$174:$B$174,0))),
Error!$B$15,
IF(AND($E761="Street Tree for Green Factor",$F761="Retain",$H761&lt;&gt;"",$H761&lt;&gt;"Zoning: Green Factor"),
Error!$B$15,
IF(AND($E761="ECA / Shoreline Tree",$F761="Remove",$H761&lt;&gt;"",ISNA(MATCH($H761,Tables!$B$189:$B$190,0))),
Error!$B$15,
IF(AND($E761="ECA / Shoreline Tree",$F761="Retain",$H761&lt;&gt;"",ISNA(MATCH($H761,Tables!$B$184:$B$186,0))),
Error!$B$15,
IF(AND($E761="Tier 4",$F761="Remove",$H761&lt;&gt;"",ISNA(MATCH($H761,Tables!$B$171,0))),
Error!$B$15,
IF(AND($E761="Tier 4",$F761="Retain",$H761&lt;&gt;"",ISNA(MATCH($H761,Tables!$B$166:$B$168,0))),
Error!$B$15,
IF(AND($E761="Tier 3",$F761="Retain",$H761&lt;&gt;"",ISNA(MATCH($H761,Tables!$B$158:$B$160,0))),
Error!$B$15,
IF(AND($E761="Tier 3",$F761="Remove",$H761&lt;&gt;"",ISNA(MATCH($H761,Tables!$B$163,0))),
Error!$B$15,
IF(AND(OR($E761="Tier 2",$E761="Tier 2 Grove"),$F761="Remove",$H761&lt;&gt;"",ISNA(MATCH($H761,Tables!$B$153:$B$155,0))),
Error!$B$15,
IF(AND(OR($E761="Tier 2",$E761="Tier 2 Grove"),$F761="Retain",$H761&lt;&gt;"",ISNA(MATCH($H761,Tables!$B$147:$B$150,0))),
Error!$B$15,
IF(AND($E761="Tier 1",$F761="Remove",$H761&lt;&gt;"",ISNA(MATCH($H761,Tables!$B$143:$B$144,0))),
Error!$B$15,
IF(AND($E761="Tier 1",$F761="Retain",$H761&lt;&gt;"",ISNA(MATCH($H761,Tables!$B$137:$B$140,0))),
Error!$B$15,
IF(AND($E761&lt;&gt;"Tier 2",$E761&lt;&gt;"Tier 2 Grove",$E761&lt;&gt;"Tier 3",$E761&lt;&gt;"Tier 4",$H761="Zoning: Green Factor",OR($D761="",$D761&lt;6)),
Error!$B$11,
IF(AND(_xlpm.baseRow,$D761&lt;6,$E761="&lt;6in DSH for Tree Points",_xlpm.TreePoints_H=0),
Error!$B$21,
IF(AND(_xlpm.baseRow,$E761&lt;&gt;"",$D761&lt;&gt;"",$F761=""),
Error!$B$4,
IF(AND(_xlpm.baseRow,$F761="Remove",OR($E761="Tier 1",$E761="Tier 2",$E761="Tier 2 Grove"),COUNTBLANK(_xlpm.HRange)&lt;3,_xlpm.uniqueH&gt;=2),
Error!$B$48,
IF(AND(_xlpm.baseRow,$F761="Retain",OR($E761="Tier 1",$E761="Tier 2",$E761="Tier 2 Grove"),COUNTIF(_xlpm.HRange,"Tree Code: Required to Retain Tier 1-2 Tree")=0),
Error!$B$47,
IF(AND(_xlpm.baseRow,$E761&lt;&gt;"",$D761&lt;&gt;"",$F761&lt;&gt;"",COUNTBLANK(_xlpm.HRange)=4),
Error!$B$5,
IF(AND($F761="Remove",$H761&lt;&gt;"",$I761=""),
Error!$B$18,
IF(AND($E761="Tier 4",$F761="Remove",$H761="Tree Protection Code: Tier 3 or Tier 4 Allowance",$H761&lt;&gt;"",ISNA(MATCH($I761,Tables!$B$200,0))),
Error!$B$17,
IF(AND($E761="Tier 3",$F761="Remove",$H761&lt;&gt;"",$H761="Tree Protection Code: Tier 3 or Tier 4 Allowance",OR($I761="",ISNA(MATCH($I761,Tables!$B$193:$B$197,0)))),
Error!$B$17,
IF(AND(OR($E761="Tier 2",$E761="Tier 2 Grove"),$F761="Remove",$H761="Tree Protection Code: Other removal allowance or exemption",$I761&lt;&gt;"",ISNA(MATCH($I761,Tables!$B$215:$B$218,0))),
Error!$B$17,
IF(AND(OR($E761="Tier 2",$E761="Tier 2 Grove"),$F761="Remove",$H761="Tree Protection Code: Development Capacity",$I761&lt;&gt;"",ISNA(MATCH($I761,Tables!$B$193:$B$197,0))),
Error!$B$17,
IF(AND(OR($E761="Tier 2",$E761="Tier 2 Grove"),$F761="Remove",$H761="Tree Protection Code: Necessary for Construction",$I761&lt;&gt;"",ISNA(MATCH($I761,Tables!$B$193:$B$197,0))),
Error!$B$17,
IF(AND($E761="Tier 1",$F761="Remove",$H761="Tree Protection Code: Special Exception",$I761&lt;&gt;"",ISNA(MATCH($I761,Tables!$B$215:$B$218,0))),
Error!$B$17,
IF(AND($E761="Tier 1",$F761="Remove",$H761="Tree Protection Code: Other removal allowance or exemption",$I761&lt;&gt;"",ISNA(MATCH($I761,Tables!$B$215:$B$218,0))),
Error!$B$17,
IF(AND($E761="ECA / Shoreline Tree",$F761="Remove",$H761&lt;&gt;"",OR($H761="Shoreline",$H761="Environmental Critical Area (ECA)"),ISNA(MATCH($I761,Tables!$B$209:$B$212,0))),
Error!$B$17,
IF(AND(_xlpm.baseRow,$F761="Retain",$E761="ECA / Shoreline Tree",_xlpm.ECA_Short=0),
Error!$B$61,
IF(AND($F761="Remove",ISNUMBER(MATCH($E761,{"Tier 1","Tier 2","Tier 3","Tier 4","Tier 2 Grove"},0)),ISNUMBER(MATCH($I761,{"On-site replacement","Off-site replacement"},0)),$J761="",$H761&lt;&gt;""),
Error!$B$19,
IF(AND(_xlpm.baseRow,$E761&lt;&gt;"",$D761&lt;&gt;"",$F761&lt;&gt;"",COUNTBLANK($B761:$C761)&gt;0,COUNTBLANK(_xlpm.HRange)&lt;&gt;4),
Error!$B$22,
IF(AND($H761="Zoning: Tree Points",$K761&lt;&gt;"",ISNA(MATCH($K761,Tables!$B$242:$B$253,0))),
Error!$B$58,
IF(AND($H761="Zoning: Tree Points",$K761="Small",$L761&lt;&gt;"",ISNA(MATCH($L761,Tables!$C$243:$C$244,0))),
Error!$B$59,
IF(AND($H761="Zoning: Tree Points",$K761="Small/Medium",$L761&lt;&gt;"",ISNA(MATCH($L761,Tables!$C$246:$C$247,0))),
Error!$B$59,
IF(AND($H761="Zoning: Tree Points",$K761="Medium/Large",$L761&lt;&gt;"",ISNA(MATCH($L761,Tables!$C$249:$C$250,0))),
Error!$B$59,
IF(AND($H761="Zoning: Tree Points",$K761="Large",$L761&lt;&gt;"",ISNA(MATCH($L761,Tables!$C$252:$C$253,0))),
Error!$B$59,
IF(AND($F761="Retain",$H761="Zoning: Tree Points",$C761&lt;&gt;"",$D761&lt;&gt;"",OR($K761="",$L761="",$M761="")),
Error!$B$20,
""
)))))))))))))))))))))))))))))))))))))))))))))))))))))))),
Error!$B$23))</f>
        <v/>
      </c>
      <c r="O761" s="343" t="str" cm="1">
        <f t="array" aca="1" ref="O761" ca="1">IFERROR(_xlfn.LET(
    _xlpm.txt, $C761,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62" spans="1:15" ht="15" thickBot="1" x14ac:dyDescent="0.35">
      <c r="A762" s="331"/>
      <c r="B762" s="616" t="str">
        <f t="shared" si="903"/>
        <v/>
      </c>
      <c r="C762" s="617" t="str">
        <f t="shared" si="904"/>
        <v/>
      </c>
      <c r="D762" s="618" t="str">
        <f t="shared" si="905"/>
        <v/>
      </c>
      <c r="E762" s="616" t="str">
        <f t="shared" si="906"/>
        <v/>
      </c>
      <c r="F762" s="616" t="str">
        <f t="shared" si="907"/>
        <v/>
      </c>
      <c r="G762" s="619" t="str">
        <f>IF(Tree_Table1[[#This Row],[Tree Status  &amp;]]="Retain", Tables!$B$237, IF(Tree_Table1[[#This Row],[Tree Status  &amp;]]="Remove", Tables!$B$238, ""))</f>
        <v/>
      </c>
      <c r="H762" s="329"/>
      <c r="I762" s="330"/>
      <c r="J762" s="455"/>
      <c r="K762" s="327" t="str">
        <f>IFERROR(
    IF(
        AND($H762="Zoning: Tree Points", NOT(ISNUMBER(SEARCH("sp.", $C762)))),
        VLOOKUP($C762, 'Tree List'!$C$3:$F$601, 4, FALSE),
        ""
    ),
"")</f>
        <v/>
      </c>
      <c r="L762" s="328" t="str" cm="1">
        <f t="array" ref="L762">IFERROR(
IF(
    AND($H762="Zoning: Tree Points", NOT(ISNUMBER(SEARCH("sp.", $C762)))),
    _xlfn.IFS(
        (COUNTIFS('Tree List'!$C$3:$C$601,$C762,'Tree List'!$D$3:$D$601,"Coniferous")
        + COUNTIFS('Tree List'!$C$3:$C$601,$C762,'Tree List'!$D$3:$D$601,"Deciduous Conifer")) &gt; 0,
            _xlfn.IFS($K762="Small",0.5,$K762="Small/Medium",1,$K762="Medium/Large",1.4,$K762="Large",1.8),
        (COUNTIFS('Tree List'!$C$3:$C$601,$C762,'Tree List'!$D$3:$D$601,"Deciduous")
        + COUNTIFS('Tree List'!$C$3:$C$601,$C762,'Tree List'!$D$3:$D$601,"Broadleaf Evergreen")) &gt; 0,
            _xlfn.IFS($K762="Small",0.4,$K762="Small/Medium",0.8,$K762="Medium/Large",1.2,$K762="Large",1.6)
    ),
    ""
),
"")</f>
        <v/>
      </c>
      <c r="M762" s="476" t="str">
        <f t="shared" si="897"/>
        <v/>
      </c>
      <c r="N762" s="347" t="str" cm="1">
        <f t="array" aca="1" ref="N76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IF(AND(_xlpm.baseRow,ISNA(MATCH($C762,'Tree List'!$C$3:$C$601,0)),SUMPRODUCT(--ISNUMBER(SEARCH(Tables2!$C$677:$C$772,$O762)))&gt;0),
Error!$B$57,
IF(AND(_xlpm.hasDM,$F762="Remove",$H762&lt;&gt;"",OR($I762="On-site replacement",$I762="Off-site replacement",$I762="Payment In Lieu")),
Error!$B$56,
IF(AND(_xlpm.hasDM,$F762="Remove",$H762&lt;&gt;"",$I762="Relocation"),
Error!$B$66,
IF(AND(OR(_xlpm.hasCN,_xlpm.hasPH,_xlpm.hasGR),$H762&lt;&gt;"",COUNTIF(Tables!$B$132:$B$134,$H762)&gt;0,$I762="N/A (No replacement required)"),
Error!$B$62,
IF(AND(_xlpm.baseRow,$E762&lt;&gt;"",ISNA(MATCH($E762,Tables!$B$225:$B$232,0))),
Error!$B$2,
IF(AND(_xlpm.baseRow,$F762&lt;&gt;"",ISNA(MATCH($F762,Tables!$B$234:$B$235,0))),
Error!$B$24,
IF(AND(_xlpm.baseRow,_xlpm.ECA_H&gt;0,_xlpm.Shore_H&gt;0),
Error!$B$16,
IF(AND(_xlpm.baseRow,$E762&lt;&gt;"",$D762=""),
Error!$B$3,
IF(AND(_xlpm.baseRow,OR($E762="Tier 3",$E762="Tier 4"),$C762&lt;&gt;"",$D762&gt;=24,COUNTIF(Tables2!$B$166:$B$674,$C762)&gt;0),
Error!$B$44,
IF(AND(_xlpm.baseRow,OR($E762="Tier 3",$E762="Tier 4"),$C762&lt;&gt;"",$D762&lt;&gt;"",COUNTIF(Tables2!$B$73:$B$152,$C762)&gt;0,
$D762&gt;=IFERROR(INDEX(Tables2!$C$73:$C$152,MATCH($C762,Tables2!$B$73:$B$152,0)),-1)),
Error!$B$44,
IF(AND(_xlpm.baseRow,OR($E762="Tier 2",$E762="Tier 2 Grove"),$C762&lt;&gt;"",$D762&gt;=12,COUNTIF(Tables2!$B$153:$B$162,$C762)&gt;0),
Error!$B$45,
IF(AND(_xlpm.baseRow,$E762="Tier 2 Grove",$D762&lt;12),
Error!$B$41,
IF(AND(_xlpm.baseRow,$E762="Tier 2",$D762&lt;5.88),
Error!$B$40,
IF(AND(_xlpm.baseRow,OR($E762="Tier 2",$E762="Tier 2 Grove"),$C762&lt;&gt;"",$D762&lt;12,$D762&gt;=6,COUNTIF(Tables2!$B$153:$B$162,$C762)&gt;0),
Error!$B$54,
IF(AND(_xlpm.baseRow,$E762="Tier 2",COUNTIF(Tables2!$B$166:$B$674,$C762)&gt;0,$D762&lt;24),
Error!$B$54,
IF(AND(_xlpm.baseRow,$E762="Tier 3",ISNA(MATCH($C762,Tables2!$B$153:$B$162,0)),OR($D762&lt;12,$D762&gt;=24)),
Error!$B$9,
IF(AND(_xlpm.baseRow,$E762="Tier 3",COUNTIF(Tables2!$B$153:$B$162,$C762)&gt;0,$D762&lt;12),
Error!$B$46,
IF(AND(_xlpm.baseRow,$E762="Tier 4",OR($D762&lt;6,$D762&gt;=12)),
Error!$B$10,
IF(AND(_xlpm.baseRow,$E762="&lt;6in DSH for Tree Points",OR($D762&gt;=6,$D762="")),
Error!$B$8,
IF(AND(_xlpm.baseRow,$E762="Street Tree for Green Factor",$F762&lt;&gt;"",$F762&lt;&gt;"Retain"),
Error!$B$14,
IF(AND($E762="&lt;6in DSH for Tree Points",$F762="Retain",$H762&lt;&gt;"",ISNA(MATCH($H762,Tables!$B$174:$B$174,0))),
Error!$B$15,
IF(AND($E762="Street Tree for Green Factor",$F762="Retain",$H762&lt;&gt;"",$H762&lt;&gt;"Zoning: Green Factor"),
Error!$B$15,
IF(AND($E762="ECA / Shoreline Tree",$F762="Remove",$H762&lt;&gt;"",ISNA(MATCH($H762,Tables!$B$189:$B$190,0))),
Error!$B$15,
IF(AND($E762="ECA / Shoreline Tree",$F762="Retain",$H762&lt;&gt;"",ISNA(MATCH($H762,Tables!$B$184:$B$186,0))),
Error!$B$15,
IF(AND($E762="Tier 4",$F762="Remove",$H762&lt;&gt;"",ISNA(MATCH($H762,Tables!$B$171,0))),
Error!$B$15,
IF(AND($E762="Tier 4",$F762="Retain",$H762&lt;&gt;"",ISNA(MATCH($H762,Tables!$B$166:$B$168,0))),
Error!$B$15,
IF(AND($E762="Tier 3",$F762="Retain",$H762&lt;&gt;"",ISNA(MATCH($H762,Tables!$B$158:$B$160,0))),
Error!$B$15,
IF(AND($E762="Tier 3",$F762="Remove",$H762&lt;&gt;"",ISNA(MATCH($H762,Tables!$B$163,0))),
Error!$B$15,
IF(AND(OR($E762="Tier 2",$E762="Tier 2 Grove"),$F762="Remove",$H762&lt;&gt;"",ISNA(MATCH($H762,Tables!$B$153:$B$155,0))),
Error!$B$15,
IF(AND(OR($E762="Tier 2",$E762="Tier 2 Grove"),$F762="Retain",$H762&lt;&gt;"",ISNA(MATCH($H762,Tables!$B$147:$B$150,0))),
Error!$B$15,
IF(AND($E762="Tier 1",$F762="Remove",$H762&lt;&gt;"",ISNA(MATCH($H762,Tables!$B$143:$B$144,0))),
Error!$B$15,
IF(AND($E762="Tier 1",$F762="Retain",$H762&lt;&gt;"",ISNA(MATCH($H762,Tables!$B$137:$B$140,0))),
Error!$B$15,
IF(AND($E762&lt;&gt;"Tier 2",$E762&lt;&gt;"Tier 2 Grove",$E762&lt;&gt;"Tier 3",$E762&lt;&gt;"Tier 4",$H762="Zoning: Green Factor",OR($D762="",$D762&lt;6)),
Error!$B$11,
IF(AND(_xlpm.baseRow,$D762&lt;6,$E762="&lt;6in DSH for Tree Points",_xlpm.TreePoints_H=0),
Error!$B$21,
IF(AND(_xlpm.baseRow,$E762&lt;&gt;"",$D762&lt;&gt;"",$F762=""),
Error!$B$4,
IF(AND(_xlpm.baseRow,$F762="Remove",OR($E762="Tier 1",$E762="Tier 2",$E762="Tier 2 Grove"),COUNTBLANK(_xlpm.HRange)&lt;3,_xlpm.uniqueH&gt;=2),
Error!$B$48,
IF(AND(_xlpm.baseRow,$F762="Retain",OR($E762="Tier 1",$E762="Tier 2",$E762="Tier 2 Grove"),COUNTIF(_xlpm.HRange,"Tree Code: Required to Retain Tier 1-2 Tree")=0),
Error!$B$47,
IF(AND(_xlpm.baseRow,$E762&lt;&gt;"",$D762&lt;&gt;"",$F762&lt;&gt;"",COUNTBLANK(_xlpm.HRange)=4),
Error!$B$5,
IF(AND($F762="Remove",$H762&lt;&gt;"",$I762=""),
Error!$B$18,
IF(AND($E762="Tier 4",$F762="Remove",$H762="Tree Protection Code: Tier 3 or Tier 4 Allowance",$H762&lt;&gt;"",ISNA(MATCH($I762,Tables!$B$200,0))),
Error!$B$17,
IF(AND($E762="Tier 3",$F762="Remove",$H762&lt;&gt;"",$H762="Tree Protection Code: Tier 3 or Tier 4 Allowance",OR($I762="",ISNA(MATCH($I762,Tables!$B$193:$B$197,0)))),
Error!$B$17,
IF(AND(OR($E762="Tier 2",$E762="Tier 2 Grove"),$F762="Remove",$H762="Tree Protection Code: Other removal allowance or exemption",$I762&lt;&gt;"",ISNA(MATCH($I762,Tables!$B$215:$B$218,0))),
Error!$B$17,
IF(AND(OR($E762="Tier 2",$E762="Tier 2 Grove"),$F762="Remove",$H762="Tree Protection Code: Development Capacity",$I762&lt;&gt;"",ISNA(MATCH($I762,Tables!$B$193:$B$197,0))),
Error!$B$17,
IF(AND(OR($E762="Tier 2",$E762="Tier 2 Grove"),$F762="Remove",$H762="Tree Protection Code: Necessary for Construction",$I762&lt;&gt;"",ISNA(MATCH($I762,Tables!$B$193:$B$197,0))),
Error!$B$17,
IF(AND($E762="Tier 1",$F762="Remove",$H762="Tree Protection Code: Special Exception",$I762&lt;&gt;"",ISNA(MATCH($I762,Tables!$B$215:$B$218,0))),
Error!$B$17,
IF(AND($E762="Tier 1",$F762="Remove",$H762="Tree Protection Code: Other removal allowance or exemption",$I762&lt;&gt;"",ISNA(MATCH($I762,Tables!$B$215:$B$218,0))),
Error!$B$17,
IF(AND($E762="ECA / Shoreline Tree",$F762="Remove",$H762&lt;&gt;"",OR($H762="Shoreline",$H762="Environmental Critical Area (ECA)"),ISNA(MATCH($I762,Tables!$B$209:$B$212,0))),
Error!$B$17,
IF(AND(_xlpm.baseRow,$F762="Retain",$E762="ECA / Shoreline Tree",_xlpm.ECA_Short=0),
Error!$B$61,
IF(AND($F762="Remove",ISNUMBER(MATCH($E762,{"Tier 1","Tier 2","Tier 3","Tier 4","Tier 2 Grove"},0)),ISNUMBER(MATCH($I762,{"On-site replacement","Off-site replacement"},0)),$J762="",$H762&lt;&gt;""),
Error!$B$19,
IF(AND(_xlpm.baseRow,$E762&lt;&gt;"",$D762&lt;&gt;"",$F762&lt;&gt;"",COUNTBLANK($B762:$C762)&gt;0,COUNTBLANK(_xlpm.HRange)&lt;&gt;4),
Error!$B$22,
IF(AND($H762="Zoning: Tree Points",$K762&lt;&gt;"",ISNA(MATCH($K762,Tables!$B$242:$B$253,0))),
Error!$B$58,
IF(AND($H762="Zoning: Tree Points",$K762="Small",$L762&lt;&gt;"",ISNA(MATCH($L762,Tables!$C$243:$C$244,0))),
Error!$B$59,
IF(AND($H762="Zoning: Tree Points",$K762="Small/Medium",$L762&lt;&gt;"",ISNA(MATCH($L762,Tables!$C$246:$C$247,0))),
Error!$B$59,
IF(AND($H762="Zoning: Tree Points",$K762="Medium/Large",$L762&lt;&gt;"",ISNA(MATCH($L762,Tables!$C$249:$C$250,0))),
Error!$B$59,
IF(AND($H762="Zoning: Tree Points",$K762="Large",$L762&lt;&gt;"",ISNA(MATCH($L762,Tables!$C$252:$C$253,0))),
Error!$B$59,
IF(AND($F762="Retain",$H762="Zoning: Tree Points",$C762&lt;&gt;"",$D762&lt;&gt;"",OR($K762="",$L762="",$M762="")),
Error!$B$20,
""
)))))))))))))))))))))))))))))))))))))))))))))))))))))))),
Error!$B$23))</f>
        <v/>
      </c>
      <c r="O762" s="343" t="str" cm="1">
        <f t="array" aca="1" ref="O762" ca="1">IFERROR(_xlfn.LET(
    _xlpm.txt, $C762,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63" spans="1:15" ht="15" thickBot="1" x14ac:dyDescent="0.35">
      <c r="A763" s="311">
        <v>189</v>
      </c>
      <c r="B763" s="312"/>
      <c r="C763" s="313"/>
      <c r="D763" s="478"/>
      <c r="E763" s="314"/>
      <c r="F763" s="314"/>
      <c r="G763" s="315" t="str">
        <f>IF(Tree_Table1[[#This Row],[Tree Status  &amp;]]="Retain", Tables!$B$237, IF(Tree_Table1[[#This Row],[Tree Status  &amp;]]="Remove", Tables!$B$238, ""))</f>
        <v/>
      </c>
      <c r="H763" s="316"/>
      <c r="I763" s="317"/>
      <c r="J763" s="452"/>
      <c r="K763" s="318" t="str">
        <f>IFERROR(
    IF(
        AND($H763="Zoning: Tree Points", NOT(ISNUMBER(SEARCH("sp.", $C763)))),
        VLOOKUP($C763, 'Tree List'!$C$3:$F$601, 4, FALSE),
        ""
    ),
"")</f>
        <v/>
      </c>
      <c r="L763" s="319" t="str" cm="1">
        <f t="array" ref="L763">IFERROR(
IF(
    AND($H763="Zoning: Tree Points", NOT(ISNUMBER(SEARCH("sp.", $C763)))),
    _xlfn.IFS(
        (COUNTIFS('Tree List'!$C$3:$C$601,$C763,'Tree List'!$D$3:$D$601,"Coniferous")
        + COUNTIFS('Tree List'!$C$3:$C$601,$C763,'Tree List'!$D$3:$D$601,"Deciduous Conifer")) &gt; 0,
            _xlfn.IFS($K763="Small",0.5,$K763="Small/Medium",1,$K763="Medium/Large",1.4,$K763="Large",1.8),
        (COUNTIFS('Tree List'!$C$3:$C$601,$C763,'Tree List'!$D$3:$D$601,"Deciduous")
        + COUNTIFS('Tree List'!$C$3:$C$601,$C763,'Tree List'!$D$3:$D$601,"Broadleaf Evergreen")) &gt; 0,
            _xlfn.IFS($K763="Small",0.4,$K763="Small/Medium",0.8,$K763="Medium/Large",1.2,$K763="Large",1.6)
    ),
    ""
),
"")</f>
        <v/>
      </c>
      <c r="M763" s="474" t="str">
        <f t="shared" si="897"/>
        <v/>
      </c>
      <c r="N763" s="620" t="str" cm="1">
        <f t="array" aca="1" ref="N76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IF(AND(_xlpm.baseRow,ISNA(MATCH($C763,'Tree List'!$C$3:$C$601,0)),SUMPRODUCT(--ISNUMBER(SEARCH(Tables2!$C$677:$C$772,$O763)))&gt;0),
Error!$B$57,
IF(AND(_xlpm.hasDM,$F763="Remove",$H763&lt;&gt;"",OR($I763="On-site replacement",$I763="Off-site replacement",$I763="Payment In Lieu")),
Error!$B$56,
IF(AND(_xlpm.hasDM,$F763="Remove",$H763&lt;&gt;"",$I763="Relocation"),
Error!$B$66,
IF(AND(OR(_xlpm.hasCN,_xlpm.hasPH,_xlpm.hasGR),$H763&lt;&gt;"",COUNTIF(Tables!$B$132:$B$134,$H763)&gt;0,$I763="N/A (No replacement required)"),
Error!$B$62,
IF(AND(_xlpm.baseRow,$E763&lt;&gt;"",ISNA(MATCH($E763,Tables!$B$225:$B$232,0))),
Error!$B$2,
IF(AND(_xlpm.baseRow,$F763&lt;&gt;"",ISNA(MATCH($F763,Tables!$B$234:$B$235,0))),
Error!$B$24,
IF(AND(_xlpm.baseRow,_xlpm.ECA_H&gt;0,_xlpm.Shore_H&gt;0),
Error!$B$16,
IF(AND(_xlpm.baseRow,$E763&lt;&gt;"",$D763=""),
Error!$B$3,
IF(AND(_xlpm.baseRow,OR($E763="Tier 3",$E763="Tier 4"),$C763&lt;&gt;"",$D763&gt;=24,COUNTIF(Tables2!$B$166:$B$674,$C763)&gt;0),
Error!$B$44,
IF(AND(_xlpm.baseRow,OR($E763="Tier 3",$E763="Tier 4"),$C763&lt;&gt;"",$D763&lt;&gt;"",COUNTIF(Tables2!$B$73:$B$152,$C763)&gt;0,
$D763&gt;=IFERROR(INDEX(Tables2!$C$73:$C$152,MATCH($C763,Tables2!$B$73:$B$152,0)),-1)),
Error!$B$44,
IF(AND(_xlpm.baseRow,OR($E763="Tier 2",$E763="Tier 2 Grove"),$C763&lt;&gt;"",$D763&gt;=12,COUNTIF(Tables2!$B$153:$B$162,$C763)&gt;0),
Error!$B$45,
IF(AND(_xlpm.baseRow,$E763="Tier 2 Grove",$D763&lt;12),
Error!$B$41,
IF(AND(_xlpm.baseRow,$E763="Tier 2",$D763&lt;5.88),
Error!$B$40,
IF(AND(_xlpm.baseRow,OR($E763="Tier 2",$E763="Tier 2 Grove"),$C763&lt;&gt;"",$D763&lt;12,$D763&gt;=6,COUNTIF(Tables2!$B$153:$B$162,$C763)&gt;0),
Error!$B$54,
IF(AND(_xlpm.baseRow,$E763="Tier 2",COUNTIF(Tables2!$B$166:$B$674,$C763)&gt;0,$D763&lt;24),
Error!$B$54,
IF(AND(_xlpm.baseRow,$E763="Tier 3",ISNA(MATCH($C763,Tables2!$B$153:$B$162,0)),OR($D763&lt;12,$D763&gt;=24)),
Error!$B$9,
IF(AND(_xlpm.baseRow,$E763="Tier 3",COUNTIF(Tables2!$B$153:$B$162,$C763)&gt;0,$D763&lt;12),
Error!$B$46,
IF(AND(_xlpm.baseRow,$E763="Tier 4",OR($D763&lt;6,$D763&gt;=12)),
Error!$B$10,
IF(AND(_xlpm.baseRow,$E763="&lt;6in DSH for Tree Points",OR($D763&gt;=6,$D763="")),
Error!$B$8,
IF(AND(_xlpm.baseRow,$E763="Street Tree for Green Factor",$F763&lt;&gt;"",$F763&lt;&gt;"Retain"),
Error!$B$14,
IF(AND($E763="&lt;6in DSH for Tree Points",$F763="Retain",$H763&lt;&gt;"",ISNA(MATCH($H763,Tables!$B$174:$B$174,0))),
Error!$B$15,
IF(AND($E763="Street Tree for Green Factor",$F763="Retain",$H763&lt;&gt;"",$H763&lt;&gt;"Zoning: Green Factor"),
Error!$B$15,
IF(AND($E763="ECA / Shoreline Tree",$F763="Remove",$H763&lt;&gt;"",ISNA(MATCH($H763,Tables!$B$189:$B$190,0))),
Error!$B$15,
IF(AND($E763="ECA / Shoreline Tree",$F763="Retain",$H763&lt;&gt;"",ISNA(MATCH($H763,Tables!$B$184:$B$186,0))),
Error!$B$15,
IF(AND($E763="Tier 4",$F763="Remove",$H763&lt;&gt;"",ISNA(MATCH($H763,Tables!$B$171,0))),
Error!$B$15,
IF(AND($E763="Tier 4",$F763="Retain",$H763&lt;&gt;"",ISNA(MATCH($H763,Tables!$B$166:$B$168,0))),
Error!$B$15,
IF(AND($E763="Tier 3",$F763="Retain",$H763&lt;&gt;"",ISNA(MATCH($H763,Tables!$B$158:$B$160,0))),
Error!$B$15,
IF(AND($E763="Tier 3",$F763="Remove",$H763&lt;&gt;"",ISNA(MATCH($H763,Tables!$B$163,0))),
Error!$B$15,
IF(AND(OR($E763="Tier 2",$E763="Tier 2 Grove"),$F763="Remove",$H763&lt;&gt;"",ISNA(MATCH($H763,Tables!$B$153:$B$155,0))),
Error!$B$15,
IF(AND(OR($E763="Tier 2",$E763="Tier 2 Grove"),$F763="Retain",$H763&lt;&gt;"",ISNA(MATCH($H763,Tables!$B$147:$B$150,0))),
Error!$B$15,
IF(AND($E763="Tier 1",$F763="Remove",$H763&lt;&gt;"",ISNA(MATCH($H763,Tables!$B$143:$B$144,0))),
Error!$B$15,
IF(AND($E763="Tier 1",$F763="Retain",$H763&lt;&gt;"",ISNA(MATCH($H763,Tables!$B$137:$B$140,0))),
Error!$B$15,
IF(AND($E763&lt;&gt;"Tier 2",$E763&lt;&gt;"Tier 2 Grove",$E763&lt;&gt;"Tier 3",$E763&lt;&gt;"Tier 4",$H763="Zoning: Green Factor",OR($D763="",$D763&lt;6)),
Error!$B$11,
IF(AND(_xlpm.baseRow,$D763&lt;6,$E763="&lt;6in DSH for Tree Points",_xlpm.TreePoints_H=0),
Error!$B$21,
IF(AND(_xlpm.baseRow,$E763&lt;&gt;"",$D763&lt;&gt;"",$F763=""),
Error!$B$4,
IF(AND(_xlpm.baseRow,$F763="Remove",OR($E763="Tier 1",$E763="Tier 2",$E763="Tier 2 Grove"),COUNTBLANK(_xlpm.HRange)&lt;3,_xlpm.uniqueH&gt;=2),
Error!$B$48,
IF(AND(_xlpm.baseRow,$F763="Retain",OR($E763="Tier 1",$E763="Tier 2",$E763="Tier 2 Grove"),COUNTIF(_xlpm.HRange,"Tree Code: Required to Retain Tier 1-2 Tree")=0),
Error!$B$47,
IF(AND(_xlpm.baseRow,$E763&lt;&gt;"",$D763&lt;&gt;"",$F763&lt;&gt;"",COUNTBLANK(_xlpm.HRange)=4),
Error!$B$5,
IF(AND($F763="Remove",$H763&lt;&gt;"",$I763=""),
Error!$B$18,
IF(AND($E763="Tier 4",$F763="Remove",$H763="Tree Protection Code: Tier 3 or Tier 4 Allowance",$H763&lt;&gt;"",ISNA(MATCH($I763,Tables!$B$200,0))),
Error!$B$17,
IF(AND($E763="Tier 3",$F763="Remove",$H763&lt;&gt;"",$H763="Tree Protection Code: Tier 3 or Tier 4 Allowance",OR($I763="",ISNA(MATCH($I763,Tables!$B$193:$B$197,0)))),
Error!$B$17,
IF(AND(OR($E763="Tier 2",$E763="Tier 2 Grove"),$F763="Remove",$H763="Tree Protection Code: Other removal allowance or exemption",$I763&lt;&gt;"",ISNA(MATCH($I763,Tables!$B$215:$B$218,0))),
Error!$B$17,
IF(AND(OR($E763="Tier 2",$E763="Tier 2 Grove"),$F763="Remove",$H763="Tree Protection Code: Development Capacity",$I763&lt;&gt;"",ISNA(MATCH($I763,Tables!$B$193:$B$197,0))),
Error!$B$17,
IF(AND(OR($E763="Tier 2",$E763="Tier 2 Grove"),$F763="Remove",$H763="Tree Protection Code: Necessary for Construction",$I763&lt;&gt;"",ISNA(MATCH($I763,Tables!$B$193:$B$197,0))),
Error!$B$17,
IF(AND($E763="Tier 1",$F763="Remove",$H763="Tree Protection Code: Special Exception",$I763&lt;&gt;"",ISNA(MATCH($I763,Tables!$B$215:$B$218,0))),
Error!$B$17,
IF(AND($E763="Tier 1",$F763="Remove",$H763="Tree Protection Code: Other removal allowance or exemption",$I763&lt;&gt;"",ISNA(MATCH($I763,Tables!$B$215:$B$218,0))),
Error!$B$17,
IF(AND($E763="ECA / Shoreline Tree",$F763="Remove",$H763&lt;&gt;"",OR($H763="Shoreline",$H763="Environmental Critical Area (ECA)"),ISNA(MATCH($I763,Tables!$B$209:$B$212,0))),
Error!$B$17,
IF(AND(_xlpm.baseRow,$F763="Retain",$E763="ECA / Shoreline Tree",_xlpm.ECA_Short=0),
Error!$B$61,
IF(AND($F763="Remove",ISNUMBER(MATCH($E763,{"Tier 1","Tier 2","Tier 3","Tier 4","Tier 2 Grove"},0)),ISNUMBER(MATCH($I763,{"On-site replacement","Off-site replacement"},0)),$J763="",$H763&lt;&gt;""),
Error!$B$19,
IF(AND(_xlpm.baseRow,$E763&lt;&gt;"",$D763&lt;&gt;"",$F763&lt;&gt;"",COUNTBLANK($B763:$C763)&gt;0,COUNTBLANK(_xlpm.HRange)&lt;&gt;4),
Error!$B$22,
IF(AND($H763="Zoning: Tree Points",$K763&lt;&gt;"",ISNA(MATCH($K763,Tables!$B$242:$B$253,0))),
Error!$B$58,
IF(AND($H763="Zoning: Tree Points",$K763="Small",$L763&lt;&gt;"",ISNA(MATCH($L763,Tables!$C$243:$C$244,0))),
Error!$B$59,
IF(AND($H763="Zoning: Tree Points",$K763="Small/Medium",$L763&lt;&gt;"",ISNA(MATCH($L763,Tables!$C$246:$C$247,0))),
Error!$B$59,
IF(AND($H763="Zoning: Tree Points",$K763="Medium/Large",$L763&lt;&gt;"",ISNA(MATCH($L763,Tables!$C$249:$C$250,0))),
Error!$B$59,
IF(AND($H763="Zoning: Tree Points",$K763="Large",$L763&lt;&gt;"",ISNA(MATCH($L763,Tables!$C$252:$C$253,0))),
Error!$B$59,
IF(AND($F763="Retain",$H763="Zoning: Tree Points",$C763&lt;&gt;"",$D763&lt;&gt;"",OR($K763="",$L763="",$M763="")),
Error!$B$20,
""
)))))))))))))))))))))))))))))))))))))))))))))))))))))))),
Error!$B$23))</f>
        <v/>
      </c>
      <c r="O763" s="343" t="str" cm="1">
        <f t="array" aca="1" ref="O763" ca="1">IFERROR(_xlfn.LET(
    _xlpm.txt, $C763,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64" spans="1:15" x14ac:dyDescent="0.3">
      <c r="A764" s="320"/>
      <c r="B764" s="616" t="str">
        <f t="shared" ref="B764:B766" si="908">IF($B763="", "", $B763)</f>
        <v/>
      </c>
      <c r="C764" s="617" t="str">
        <f t="shared" ref="C764:C766" si="909">IF($C763="", "", $C763)</f>
        <v/>
      </c>
      <c r="D764" s="618" t="str">
        <f t="shared" ref="D764:D766" si="910">IF($D763="", "", $D763)</f>
        <v/>
      </c>
      <c r="E764" s="616" t="str">
        <f t="shared" ref="E764:E766" si="911">IF($E763="", "", $E763)</f>
        <v/>
      </c>
      <c r="F764" s="616" t="str">
        <f t="shared" ref="F764:F766" si="912">IF($F763="", "", $F763)</f>
        <v/>
      </c>
      <c r="G764" s="619" t="str">
        <f>IF(Tree_Table1[[#This Row],[Tree Status  &amp;]]="Retain", Tables!$B$237, IF(Tree_Table1[[#This Row],[Tree Status  &amp;]]="Remove", Tables!$B$238, ""))</f>
        <v/>
      </c>
      <c r="H764" s="321"/>
      <c r="I764" s="322"/>
      <c r="J764" s="453"/>
      <c r="K764" s="323" t="str">
        <f>IFERROR(
    IF(
        AND($H764="Zoning: Tree Points", NOT(ISNUMBER(SEARCH("sp.", $C764)))),
        VLOOKUP($C764, 'Tree List'!$C$3:$F$601, 4, FALSE),
        ""
    ),
"")</f>
        <v/>
      </c>
      <c r="L764" s="324" t="str" cm="1">
        <f t="array" ref="L764">IFERROR(
IF(
    AND($H764="Zoning: Tree Points", NOT(ISNUMBER(SEARCH("sp.", $C764)))),
    _xlfn.IFS(
        (COUNTIFS('Tree List'!$C$3:$C$601,$C764,'Tree List'!$D$3:$D$601,"Coniferous")
        + COUNTIFS('Tree List'!$C$3:$C$601,$C764,'Tree List'!$D$3:$D$601,"Deciduous Conifer")) &gt; 0,
            _xlfn.IFS($K764="Small",0.5,$K764="Small/Medium",1,$K764="Medium/Large",1.4,$K764="Large",1.8),
        (COUNTIFS('Tree List'!$C$3:$C$601,$C764,'Tree List'!$D$3:$D$601,"Deciduous")
        + COUNTIFS('Tree List'!$C$3:$C$601,$C764,'Tree List'!$D$3:$D$601,"Broadleaf Evergreen")) &gt; 0,
            _xlfn.IFS($K764="Small",0.4,$K764="Small/Medium",0.8,$K764="Medium/Large",1.2,$K764="Large",1.6)
    ),
    ""
),
"")</f>
        <v/>
      </c>
      <c r="M764" s="475" t="str">
        <f t="shared" si="897"/>
        <v/>
      </c>
      <c r="N764" s="346" t="str" cm="1">
        <f t="array" aca="1" ref="N76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IF(AND(_xlpm.baseRow,ISNA(MATCH($C764,'Tree List'!$C$3:$C$601,0)),SUMPRODUCT(--ISNUMBER(SEARCH(Tables2!$C$677:$C$772,$O764)))&gt;0),
Error!$B$57,
IF(AND(_xlpm.hasDM,$F764="Remove",$H764&lt;&gt;"",OR($I764="On-site replacement",$I764="Off-site replacement",$I764="Payment In Lieu")),
Error!$B$56,
IF(AND(_xlpm.hasDM,$F764="Remove",$H764&lt;&gt;"",$I764="Relocation"),
Error!$B$66,
IF(AND(OR(_xlpm.hasCN,_xlpm.hasPH,_xlpm.hasGR),$H764&lt;&gt;"",COUNTIF(Tables!$B$132:$B$134,$H764)&gt;0,$I764="N/A (No replacement required)"),
Error!$B$62,
IF(AND(_xlpm.baseRow,$E764&lt;&gt;"",ISNA(MATCH($E764,Tables!$B$225:$B$232,0))),
Error!$B$2,
IF(AND(_xlpm.baseRow,$F764&lt;&gt;"",ISNA(MATCH($F764,Tables!$B$234:$B$235,0))),
Error!$B$24,
IF(AND(_xlpm.baseRow,_xlpm.ECA_H&gt;0,_xlpm.Shore_H&gt;0),
Error!$B$16,
IF(AND(_xlpm.baseRow,$E764&lt;&gt;"",$D764=""),
Error!$B$3,
IF(AND(_xlpm.baseRow,OR($E764="Tier 3",$E764="Tier 4"),$C764&lt;&gt;"",$D764&gt;=24,COUNTIF(Tables2!$B$166:$B$674,$C764)&gt;0),
Error!$B$44,
IF(AND(_xlpm.baseRow,OR($E764="Tier 3",$E764="Tier 4"),$C764&lt;&gt;"",$D764&lt;&gt;"",COUNTIF(Tables2!$B$73:$B$152,$C764)&gt;0,
$D764&gt;=IFERROR(INDEX(Tables2!$C$73:$C$152,MATCH($C764,Tables2!$B$73:$B$152,0)),-1)),
Error!$B$44,
IF(AND(_xlpm.baseRow,OR($E764="Tier 2",$E764="Tier 2 Grove"),$C764&lt;&gt;"",$D764&gt;=12,COUNTIF(Tables2!$B$153:$B$162,$C764)&gt;0),
Error!$B$45,
IF(AND(_xlpm.baseRow,$E764="Tier 2 Grove",$D764&lt;12),
Error!$B$41,
IF(AND(_xlpm.baseRow,$E764="Tier 2",$D764&lt;5.88),
Error!$B$40,
IF(AND(_xlpm.baseRow,OR($E764="Tier 2",$E764="Tier 2 Grove"),$C764&lt;&gt;"",$D764&lt;12,$D764&gt;=6,COUNTIF(Tables2!$B$153:$B$162,$C764)&gt;0),
Error!$B$54,
IF(AND(_xlpm.baseRow,$E764="Tier 2",COUNTIF(Tables2!$B$166:$B$674,$C764)&gt;0,$D764&lt;24),
Error!$B$54,
IF(AND(_xlpm.baseRow,$E764="Tier 3",ISNA(MATCH($C764,Tables2!$B$153:$B$162,0)),OR($D764&lt;12,$D764&gt;=24)),
Error!$B$9,
IF(AND(_xlpm.baseRow,$E764="Tier 3",COUNTIF(Tables2!$B$153:$B$162,$C764)&gt;0,$D764&lt;12),
Error!$B$46,
IF(AND(_xlpm.baseRow,$E764="Tier 4",OR($D764&lt;6,$D764&gt;=12)),
Error!$B$10,
IF(AND(_xlpm.baseRow,$E764="&lt;6in DSH for Tree Points",OR($D764&gt;=6,$D764="")),
Error!$B$8,
IF(AND(_xlpm.baseRow,$E764="Street Tree for Green Factor",$F764&lt;&gt;"",$F764&lt;&gt;"Retain"),
Error!$B$14,
IF(AND($E764="&lt;6in DSH for Tree Points",$F764="Retain",$H764&lt;&gt;"",ISNA(MATCH($H764,Tables!$B$174:$B$174,0))),
Error!$B$15,
IF(AND($E764="Street Tree for Green Factor",$F764="Retain",$H764&lt;&gt;"",$H764&lt;&gt;"Zoning: Green Factor"),
Error!$B$15,
IF(AND($E764="ECA / Shoreline Tree",$F764="Remove",$H764&lt;&gt;"",ISNA(MATCH($H764,Tables!$B$189:$B$190,0))),
Error!$B$15,
IF(AND($E764="ECA / Shoreline Tree",$F764="Retain",$H764&lt;&gt;"",ISNA(MATCH($H764,Tables!$B$184:$B$186,0))),
Error!$B$15,
IF(AND($E764="Tier 4",$F764="Remove",$H764&lt;&gt;"",ISNA(MATCH($H764,Tables!$B$171,0))),
Error!$B$15,
IF(AND($E764="Tier 4",$F764="Retain",$H764&lt;&gt;"",ISNA(MATCH($H764,Tables!$B$166:$B$168,0))),
Error!$B$15,
IF(AND($E764="Tier 3",$F764="Retain",$H764&lt;&gt;"",ISNA(MATCH($H764,Tables!$B$158:$B$160,0))),
Error!$B$15,
IF(AND($E764="Tier 3",$F764="Remove",$H764&lt;&gt;"",ISNA(MATCH($H764,Tables!$B$163,0))),
Error!$B$15,
IF(AND(OR($E764="Tier 2",$E764="Tier 2 Grove"),$F764="Remove",$H764&lt;&gt;"",ISNA(MATCH($H764,Tables!$B$153:$B$155,0))),
Error!$B$15,
IF(AND(OR($E764="Tier 2",$E764="Tier 2 Grove"),$F764="Retain",$H764&lt;&gt;"",ISNA(MATCH($H764,Tables!$B$147:$B$150,0))),
Error!$B$15,
IF(AND($E764="Tier 1",$F764="Remove",$H764&lt;&gt;"",ISNA(MATCH($H764,Tables!$B$143:$B$144,0))),
Error!$B$15,
IF(AND($E764="Tier 1",$F764="Retain",$H764&lt;&gt;"",ISNA(MATCH($H764,Tables!$B$137:$B$140,0))),
Error!$B$15,
IF(AND($E764&lt;&gt;"Tier 2",$E764&lt;&gt;"Tier 2 Grove",$E764&lt;&gt;"Tier 3",$E764&lt;&gt;"Tier 4",$H764="Zoning: Green Factor",OR($D764="",$D764&lt;6)),
Error!$B$11,
IF(AND(_xlpm.baseRow,$D764&lt;6,$E764="&lt;6in DSH for Tree Points",_xlpm.TreePoints_H=0),
Error!$B$21,
IF(AND(_xlpm.baseRow,$E764&lt;&gt;"",$D764&lt;&gt;"",$F764=""),
Error!$B$4,
IF(AND(_xlpm.baseRow,$F764="Remove",OR($E764="Tier 1",$E764="Tier 2",$E764="Tier 2 Grove"),COUNTBLANK(_xlpm.HRange)&lt;3,_xlpm.uniqueH&gt;=2),
Error!$B$48,
IF(AND(_xlpm.baseRow,$F764="Retain",OR($E764="Tier 1",$E764="Tier 2",$E764="Tier 2 Grove"),COUNTIF(_xlpm.HRange,"Tree Code: Required to Retain Tier 1-2 Tree")=0),
Error!$B$47,
IF(AND(_xlpm.baseRow,$E764&lt;&gt;"",$D764&lt;&gt;"",$F764&lt;&gt;"",COUNTBLANK(_xlpm.HRange)=4),
Error!$B$5,
IF(AND($F764="Remove",$H764&lt;&gt;"",$I764=""),
Error!$B$18,
IF(AND($E764="Tier 4",$F764="Remove",$H764="Tree Protection Code: Tier 3 or Tier 4 Allowance",$H764&lt;&gt;"",ISNA(MATCH($I764,Tables!$B$200,0))),
Error!$B$17,
IF(AND($E764="Tier 3",$F764="Remove",$H764&lt;&gt;"",$H764="Tree Protection Code: Tier 3 or Tier 4 Allowance",OR($I764="",ISNA(MATCH($I764,Tables!$B$193:$B$197,0)))),
Error!$B$17,
IF(AND(OR($E764="Tier 2",$E764="Tier 2 Grove"),$F764="Remove",$H764="Tree Protection Code: Other removal allowance or exemption",$I764&lt;&gt;"",ISNA(MATCH($I764,Tables!$B$215:$B$218,0))),
Error!$B$17,
IF(AND(OR($E764="Tier 2",$E764="Tier 2 Grove"),$F764="Remove",$H764="Tree Protection Code: Development Capacity",$I764&lt;&gt;"",ISNA(MATCH($I764,Tables!$B$193:$B$197,0))),
Error!$B$17,
IF(AND(OR($E764="Tier 2",$E764="Tier 2 Grove"),$F764="Remove",$H764="Tree Protection Code: Necessary for Construction",$I764&lt;&gt;"",ISNA(MATCH($I764,Tables!$B$193:$B$197,0))),
Error!$B$17,
IF(AND($E764="Tier 1",$F764="Remove",$H764="Tree Protection Code: Special Exception",$I764&lt;&gt;"",ISNA(MATCH($I764,Tables!$B$215:$B$218,0))),
Error!$B$17,
IF(AND($E764="Tier 1",$F764="Remove",$H764="Tree Protection Code: Other removal allowance or exemption",$I764&lt;&gt;"",ISNA(MATCH($I764,Tables!$B$215:$B$218,0))),
Error!$B$17,
IF(AND($E764="ECA / Shoreline Tree",$F764="Remove",$H764&lt;&gt;"",OR($H764="Shoreline",$H764="Environmental Critical Area (ECA)"),ISNA(MATCH($I764,Tables!$B$209:$B$212,0))),
Error!$B$17,
IF(AND(_xlpm.baseRow,$F764="Retain",$E764="ECA / Shoreline Tree",_xlpm.ECA_Short=0),
Error!$B$61,
IF(AND($F764="Remove",ISNUMBER(MATCH($E764,{"Tier 1","Tier 2","Tier 3","Tier 4","Tier 2 Grove"},0)),ISNUMBER(MATCH($I764,{"On-site replacement","Off-site replacement"},0)),$J764="",$H764&lt;&gt;""),
Error!$B$19,
IF(AND(_xlpm.baseRow,$E764&lt;&gt;"",$D764&lt;&gt;"",$F764&lt;&gt;"",COUNTBLANK($B764:$C764)&gt;0,COUNTBLANK(_xlpm.HRange)&lt;&gt;4),
Error!$B$22,
IF(AND($H764="Zoning: Tree Points",$K764&lt;&gt;"",ISNA(MATCH($K764,Tables!$B$242:$B$253,0))),
Error!$B$58,
IF(AND($H764="Zoning: Tree Points",$K764="Small",$L764&lt;&gt;"",ISNA(MATCH($L764,Tables!$C$243:$C$244,0))),
Error!$B$59,
IF(AND($H764="Zoning: Tree Points",$K764="Small/Medium",$L764&lt;&gt;"",ISNA(MATCH($L764,Tables!$C$246:$C$247,0))),
Error!$B$59,
IF(AND($H764="Zoning: Tree Points",$K764="Medium/Large",$L764&lt;&gt;"",ISNA(MATCH($L764,Tables!$C$249:$C$250,0))),
Error!$B$59,
IF(AND($H764="Zoning: Tree Points",$K764="Large",$L764&lt;&gt;"",ISNA(MATCH($L764,Tables!$C$252:$C$253,0))),
Error!$B$59,
IF(AND($F764="Retain",$H764="Zoning: Tree Points",$C764&lt;&gt;"",$D764&lt;&gt;"",OR($K764="",$L764="",$M764="")),
Error!$B$20,
""
)))))))))))))))))))))))))))))))))))))))))))))))))))))))),
Error!$B$23))</f>
        <v/>
      </c>
      <c r="O764" s="343" t="str" cm="1">
        <f t="array" aca="1" ref="O764" ca="1">IFERROR(_xlfn.LET(
    _xlpm.txt, $C764,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65" spans="1:15" x14ac:dyDescent="0.3">
      <c r="A765" s="320"/>
      <c r="B765" s="616" t="str">
        <f t="shared" si="908"/>
        <v/>
      </c>
      <c r="C765" s="617" t="str">
        <f t="shared" si="909"/>
        <v/>
      </c>
      <c r="D765" s="618" t="str">
        <f t="shared" si="910"/>
        <v/>
      </c>
      <c r="E765" s="616" t="str">
        <f t="shared" si="911"/>
        <v/>
      </c>
      <c r="F765" s="616" t="str">
        <f t="shared" si="912"/>
        <v/>
      </c>
      <c r="G765" s="619" t="str">
        <f>IF(Tree_Table1[[#This Row],[Tree Status  &amp;]]="Retain", Tables!$B$237, IF(Tree_Table1[[#This Row],[Tree Status  &amp;]]="Remove", Tables!$B$238, ""))</f>
        <v/>
      </c>
      <c r="H765" s="321"/>
      <c r="I765" s="322"/>
      <c r="J765" s="453"/>
      <c r="K765" s="323" t="str">
        <f>IFERROR(
    IF(
        AND($H765="Zoning: Tree Points", NOT(ISNUMBER(SEARCH("sp.", $C765)))),
        VLOOKUP($C765, 'Tree List'!$C$3:$F$601, 4, FALSE),
        ""
    ),
"")</f>
        <v/>
      </c>
      <c r="L765" s="324" t="str" cm="1">
        <f t="array" ref="L765">IFERROR(
IF(
    AND($H765="Zoning: Tree Points", NOT(ISNUMBER(SEARCH("sp.", $C765)))),
    _xlfn.IFS(
        (COUNTIFS('Tree List'!$C$3:$C$601,$C765,'Tree List'!$D$3:$D$601,"Coniferous")
        + COUNTIFS('Tree List'!$C$3:$C$601,$C765,'Tree List'!$D$3:$D$601,"Deciduous Conifer")) &gt; 0,
            _xlfn.IFS($K765="Small",0.5,$K765="Small/Medium",1,$K765="Medium/Large",1.4,$K765="Large",1.8),
        (COUNTIFS('Tree List'!$C$3:$C$601,$C765,'Tree List'!$D$3:$D$601,"Deciduous")
        + COUNTIFS('Tree List'!$C$3:$C$601,$C765,'Tree List'!$D$3:$D$601,"Broadleaf Evergreen")) &gt; 0,
            _xlfn.IFS($K765="Small",0.4,$K765="Small/Medium",0.8,$K765="Medium/Large",1.2,$K765="Large",1.6)
    ),
    ""
),
"")</f>
        <v/>
      </c>
      <c r="M765" s="475" t="str">
        <f t="shared" si="897"/>
        <v/>
      </c>
      <c r="N765" s="346" t="str" cm="1">
        <f t="array" aca="1" ref="N76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IF(AND(_xlpm.baseRow,ISNA(MATCH($C765,'Tree List'!$C$3:$C$601,0)),SUMPRODUCT(--ISNUMBER(SEARCH(Tables2!$C$677:$C$772,$O765)))&gt;0),
Error!$B$57,
IF(AND(_xlpm.hasDM,$F765="Remove",$H765&lt;&gt;"",OR($I765="On-site replacement",$I765="Off-site replacement",$I765="Payment In Lieu")),
Error!$B$56,
IF(AND(_xlpm.hasDM,$F765="Remove",$H765&lt;&gt;"",$I765="Relocation"),
Error!$B$66,
IF(AND(OR(_xlpm.hasCN,_xlpm.hasPH,_xlpm.hasGR),$H765&lt;&gt;"",COUNTIF(Tables!$B$132:$B$134,$H765)&gt;0,$I765="N/A (No replacement required)"),
Error!$B$62,
IF(AND(_xlpm.baseRow,$E765&lt;&gt;"",ISNA(MATCH($E765,Tables!$B$225:$B$232,0))),
Error!$B$2,
IF(AND(_xlpm.baseRow,$F765&lt;&gt;"",ISNA(MATCH($F765,Tables!$B$234:$B$235,0))),
Error!$B$24,
IF(AND(_xlpm.baseRow,_xlpm.ECA_H&gt;0,_xlpm.Shore_H&gt;0),
Error!$B$16,
IF(AND(_xlpm.baseRow,$E765&lt;&gt;"",$D765=""),
Error!$B$3,
IF(AND(_xlpm.baseRow,OR($E765="Tier 3",$E765="Tier 4"),$C765&lt;&gt;"",$D765&gt;=24,COUNTIF(Tables2!$B$166:$B$674,$C765)&gt;0),
Error!$B$44,
IF(AND(_xlpm.baseRow,OR($E765="Tier 3",$E765="Tier 4"),$C765&lt;&gt;"",$D765&lt;&gt;"",COUNTIF(Tables2!$B$73:$B$152,$C765)&gt;0,
$D765&gt;=IFERROR(INDEX(Tables2!$C$73:$C$152,MATCH($C765,Tables2!$B$73:$B$152,0)),-1)),
Error!$B$44,
IF(AND(_xlpm.baseRow,OR($E765="Tier 2",$E765="Tier 2 Grove"),$C765&lt;&gt;"",$D765&gt;=12,COUNTIF(Tables2!$B$153:$B$162,$C765)&gt;0),
Error!$B$45,
IF(AND(_xlpm.baseRow,$E765="Tier 2 Grove",$D765&lt;12),
Error!$B$41,
IF(AND(_xlpm.baseRow,$E765="Tier 2",$D765&lt;5.88),
Error!$B$40,
IF(AND(_xlpm.baseRow,OR($E765="Tier 2",$E765="Tier 2 Grove"),$C765&lt;&gt;"",$D765&lt;12,$D765&gt;=6,COUNTIF(Tables2!$B$153:$B$162,$C765)&gt;0),
Error!$B$54,
IF(AND(_xlpm.baseRow,$E765="Tier 2",COUNTIF(Tables2!$B$166:$B$674,$C765)&gt;0,$D765&lt;24),
Error!$B$54,
IF(AND(_xlpm.baseRow,$E765="Tier 3",ISNA(MATCH($C765,Tables2!$B$153:$B$162,0)),OR($D765&lt;12,$D765&gt;=24)),
Error!$B$9,
IF(AND(_xlpm.baseRow,$E765="Tier 3",COUNTIF(Tables2!$B$153:$B$162,$C765)&gt;0,$D765&lt;12),
Error!$B$46,
IF(AND(_xlpm.baseRow,$E765="Tier 4",OR($D765&lt;6,$D765&gt;=12)),
Error!$B$10,
IF(AND(_xlpm.baseRow,$E765="&lt;6in DSH for Tree Points",OR($D765&gt;=6,$D765="")),
Error!$B$8,
IF(AND(_xlpm.baseRow,$E765="Street Tree for Green Factor",$F765&lt;&gt;"",$F765&lt;&gt;"Retain"),
Error!$B$14,
IF(AND($E765="&lt;6in DSH for Tree Points",$F765="Retain",$H765&lt;&gt;"",ISNA(MATCH($H765,Tables!$B$174:$B$174,0))),
Error!$B$15,
IF(AND($E765="Street Tree for Green Factor",$F765="Retain",$H765&lt;&gt;"",$H765&lt;&gt;"Zoning: Green Factor"),
Error!$B$15,
IF(AND($E765="ECA / Shoreline Tree",$F765="Remove",$H765&lt;&gt;"",ISNA(MATCH($H765,Tables!$B$189:$B$190,0))),
Error!$B$15,
IF(AND($E765="ECA / Shoreline Tree",$F765="Retain",$H765&lt;&gt;"",ISNA(MATCH($H765,Tables!$B$184:$B$186,0))),
Error!$B$15,
IF(AND($E765="Tier 4",$F765="Remove",$H765&lt;&gt;"",ISNA(MATCH($H765,Tables!$B$171,0))),
Error!$B$15,
IF(AND($E765="Tier 4",$F765="Retain",$H765&lt;&gt;"",ISNA(MATCH($H765,Tables!$B$166:$B$168,0))),
Error!$B$15,
IF(AND($E765="Tier 3",$F765="Retain",$H765&lt;&gt;"",ISNA(MATCH($H765,Tables!$B$158:$B$160,0))),
Error!$B$15,
IF(AND($E765="Tier 3",$F765="Remove",$H765&lt;&gt;"",ISNA(MATCH($H765,Tables!$B$163,0))),
Error!$B$15,
IF(AND(OR($E765="Tier 2",$E765="Tier 2 Grove"),$F765="Remove",$H765&lt;&gt;"",ISNA(MATCH($H765,Tables!$B$153:$B$155,0))),
Error!$B$15,
IF(AND(OR($E765="Tier 2",$E765="Tier 2 Grove"),$F765="Retain",$H765&lt;&gt;"",ISNA(MATCH($H765,Tables!$B$147:$B$150,0))),
Error!$B$15,
IF(AND($E765="Tier 1",$F765="Remove",$H765&lt;&gt;"",ISNA(MATCH($H765,Tables!$B$143:$B$144,0))),
Error!$B$15,
IF(AND($E765="Tier 1",$F765="Retain",$H765&lt;&gt;"",ISNA(MATCH($H765,Tables!$B$137:$B$140,0))),
Error!$B$15,
IF(AND($E765&lt;&gt;"Tier 2",$E765&lt;&gt;"Tier 2 Grove",$E765&lt;&gt;"Tier 3",$E765&lt;&gt;"Tier 4",$H765="Zoning: Green Factor",OR($D765="",$D765&lt;6)),
Error!$B$11,
IF(AND(_xlpm.baseRow,$D765&lt;6,$E765="&lt;6in DSH for Tree Points",_xlpm.TreePoints_H=0),
Error!$B$21,
IF(AND(_xlpm.baseRow,$E765&lt;&gt;"",$D765&lt;&gt;"",$F765=""),
Error!$B$4,
IF(AND(_xlpm.baseRow,$F765="Remove",OR($E765="Tier 1",$E765="Tier 2",$E765="Tier 2 Grove"),COUNTBLANK(_xlpm.HRange)&lt;3,_xlpm.uniqueH&gt;=2),
Error!$B$48,
IF(AND(_xlpm.baseRow,$F765="Retain",OR($E765="Tier 1",$E765="Tier 2",$E765="Tier 2 Grove"),COUNTIF(_xlpm.HRange,"Tree Code: Required to Retain Tier 1-2 Tree")=0),
Error!$B$47,
IF(AND(_xlpm.baseRow,$E765&lt;&gt;"",$D765&lt;&gt;"",$F765&lt;&gt;"",COUNTBLANK(_xlpm.HRange)=4),
Error!$B$5,
IF(AND($F765="Remove",$H765&lt;&gt;"",$I765=""),
Error!$B$18,
IF(AND($E765="Tier 4",$F765="Remove",$H765="Tree Protection Code: Tier 3 or Tier 4 Allowance",$H765&lt;&gt;"",ISNA(MATCH($I765,Tables!$B$200,0))),
Error!$B$17,
IF(AND($E765="Tier 3",$F765="Remove",$H765&lt;&gt;"",$H765="Tree Protection Code: Tier 3 or Tier 4 Allowance",OR($I765="",ISNA(MATCH($I765,Tables!$B$193:$B$197,0)))),
Error!$B$17,
IF(AND(OR($E765="Tier 2",$E765="Tier 2 Grove"),$F765="Remove",$H765="Tree Protection Code: Other removal allowance or exemption",$I765&lt;&gt;"",ISNA(MATCH($I765,Tables!$B$215:$B$218,0))),
Error!$B$17,
IF(AND(OR($E765="Tier 2",$E765="Tier 2 Grove"),$F765="Remove",$H765="Tree Protection Code: Development Capacity",$I765&lt;&gt;"",ISNA(MATCH($I765,Tables!$B$193:$B$197,0))),
Error!$B$17,
IF(AND(OR($E765="Tier 2",$E765="Tier 2 Grove"),$F765="Remove",$H765="Tree Protection Code: Necessary for Construction",$I765&lt;&gt;"",ISNA(MATCH($I765,Tables!$B$193:$B$197,0))),
Error!$B$17,
IF(AND($E765="Tier 1",$F765="Remove",$H765="Tree Protection Code: Special Exception",$I765&lt;&gt;"",ISNA(MATCH($I765,Tables!$B$215:$B$218,0))),
Error!$B$17,
IF(AND($E765="Tier 1",$F765="Remove",$H765="Tree Protection Code: Other removal allowance or exemption",$I765&lt;&gt;"",ISNA(MATCH($I765,Tables!$B$215:$B$218,0))),
Error!$B$17,
IF(AND($E765="ECA / Shoreline Tree",$F765="Remove",$H765&lt;&gt;"",OR($H765="Shoreline",$H765="Environmental Critical Area (ECA)"),ISNA(MATCH($I765,Tables!$B$209:$B$212,0))),
Error!$B$17,
IF(AND(_xlpm.baseRow,$F765="Retain",$E765="ECA / Shoreline Tree",_xlpm.ECA_Short=0),
Error!$B$61,
IF(AND($F765="Remove",ISNUMBER(MATCH($E765,{"Tier 1","Tier 2","Tier 3","Tier 4","Tier 2 Grove"},0)),ISNUMBER(MATCH($I765,{"On-site replacement","Off-site replacement"},0)),$J765="",$H765&lt;&gt;""),
Error!$B$19,
IF(AND(_xlpm.baseRow,$E765&lt;&gt;"",$D765&lt;&gt;"",$F765&lt;&gt;"",COUNTBLANK($B765:$C765)&gt;0,COUNTBLANK(_xlpm.HRange)&lt;&gt;4),
Error!$B$22,
IF(AND($H765="Zoning: Tree Points",$K765&lt;&gt;"",ISNA(MATCH($K765,Tables!$B$242:$B$253,0))),
Error!$B$58,
IF(AND($H765="Zoning: Tree Points",$K765="Small",$L765&lt;&gt;"",ISNA(MATCH($L765,Tables!$C$243:$C$244,0))),
Error!$B$59,
IF(AND($H765="Zoning: Tree Points",$K765="Small/Medium",$L765&lt;&gt;"",ISNA(MATCH($L765,Tables!$C$246:$C$247,0))),
Error!$B$59,
IF(AND($H765="Zoning: Tree Points",$K765="Medium/Large",$L765&lt;&gt;"",ISNA(MATCH($L765,Tables!$C$249:$C$250,0))),
Error!$B$59,
IF(AND($H765="Zoning: Tree Points",$K765="Large",$L765&lt;&gt;"",ISNA(MATCH($L765,Tables!$C$252:$C$253,0))),
Error!$B$59,
IF(AND($F765="Retain",$H765="Zoning: Tree Points",$C765&lt;&gt;"",$D765&lt;&gt;"",OR($K765="",$L765="",$M765="")),
Error!$B$20,
""
)))))))))))))))))))))))))))))))))))))))))))))))))))))))),
Error!$B$23))</f>
        <v/>
      </c>
      <c r="O765" s="343" t="str" cm="1">
        <f t="array" aca="1" ref="O765" ca="1">IFERROR(_xlfn.LET(
    _xlpm.txt, $C765,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66" spans="1:15" ht="15" thickBot="1" x14ac:dyDescent="0.35">
      <c r="A766" s="331"/>
      <c r="B766" s="616" t="str">
        <f t="shared" si="908"/>
        <v/>
      </c>
      <c r="C766" s="617" t="str">
        <f t="shared" si="909"/>
        <v/>
      </c>
      <c r="D766" s="618" t="str">
        <f t="shared" si="910"/>
        <v/>
      </c>
      <c r="E766" s="616" t="str">
        <f t="shared" si="911"/>
        <v/>
      </c>
      <c r="F766" s="616" t="str">
        <f t="shared" si="912"/>
        <v/>
      </c>
      <c r="G766" s="619" t="str">
        <f>IF(Tree_Table1[[#This Row],[Tree Status  &amp;]]="Retain", Tables!$B$237, IF(Tree_Table1[[#This Row],[Tree Status  &amp;]]="Remove", Tables!$B$238, ""))</f>
        <v/>
      </c>
      <c r="H766" s="329"/>
      <c r="I766" s="330"/>
      <c r="J766" s="455"/>
      <c r="K766" s="327" t="str">
        <f>IFERROR(
    IF(
        AND($H766="Zoning: Tree Points", NOT(ISNUMBER(SEARCH("sp.", $C766)))),
        VLOOKUP($C766, 'Tree List'!$C$3:$F$601, 4, FALSE),
        ""
    ),
"")</f>
        <v/>
      </c>
      <c r="L766" s="328" t="str" cm="1">
        <f t="array" ref="L766">IFERROR(
IF(
    AND($H766="Zoning: Tree Points", NOT(ISNUMBER(SEARCH("sp.", $C766)))),
    _xlfn.IFS(
        (COUNTIFS('Tree List'!$C$3:$C$601,$C766,'Tree List'!$D$3:$D$601,"Coniferous")
        + COUNTIFS('Tree List'!$C$3:$C$601,$C766,'Tree List'!$D$3:$D$601,"Deciduous Conifer")) &gt; 0,
            _xlfn.IFS($K766="Small",0.5,$K766="Small/Medium",1,$K766="Medium/Large",1.4,$K766="Large",1.8),
        (COUNTIFS('Tree List'!$C$3:$C$601,$C766,'Tree List'!$D$3:$D$601,"Deciduous")
        + COUNTIFS('Tree List'!$C$3:$C$601,$C766,'Tree List'!$D$3:$D$601,"Broadleaf Evergreen")) &gt; 0,
            _xlfn.IFS($K766="Small",0.4,$K766="Small/Medium",0.8,$K766="Medium/Large",1.2,$K766="Large",1.6)
    ),
    ""
),
"")</f>
        <v/>
      </c>
      <c r="M766" s="476" t="str">
        <f t="shared" si="897"/>
        <v/>
      </c>
      <c r="N766" s="347" t="str" cm="1">
        <f t="array" aca="1" ref="N76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IF(AND(_xlpm.baseRow,ISNA(MATCH($C766,'Tree List'!$C$3:$C$601,0)),SUMPRODUCT(--ISNUMBER(SEARCH(Tables2!$C$677:$C$772,$O766)))&gt;0),
Error!$B$57,
IF(AND(_xlpm.hasDM,$F766="Remove",$H766&lt;&gt;"",OR($I766="On-site replacement",$I766="Off-site replacement",$I766="Payment In Lieu")),
Error!$B$56,
IF(AND(_xlpm.hasDM,$F766="Remove",$H766&lt;&gt;"",$I766="Relocation"),
Error!$B$66,
IF(AND(OR(_xlpm.hasCN,_xlpm.hasPH,_xlpm.hasGR),$H766&lt;&gt;"",COUNTIF(Tables!$B$132:$B$134,$H766)&gt;0,$I766="N/A (No replacement required)"),
Error!$B$62,
IF(AND(_xlpm.baseRow,$E766&lt;&gt;"",ISNA(MATCH($E766,Tables!$B$225:$B$232,0))),
Error!$B$2,
IF(AND(_xlpm.baseRow,$F766&lt;&gt;"",ISNA(MATCH($F766,Tables!$B$234:$B$235,0))),
Error!$B$24,
IF(AND(_xlpm.baseRow,_xlpm.ECA_H&gt;0,_xlpm.Shore_H&gt;0),
Error!$B$16,
IF(AND(_xlpm.baseRow,$E766&lt;&gt;"",$D766=""),
Error!$B$3,
IF(AND(_xlpm.baseRow,OR($E766="Tier 3",$E766="Tier 4"),$C766&lt;&gt;"",$D766&gt;=24,COUNTIF(Tables2!$B$166:$B$674,$C766)&gt;0),
Error!$B$44,
IF(AND(_xlpm.baseRow,OR($E766="Tier 3",$E766="Tier 4"),$C766&lt;&gt;"",$D766&lt;&gt;"",COUNTIF(Tables2!$B$73:$B$152,$C766)&gt;0,
$D766&gt;=IFERROR(INDEX(Tables2!$C$73:$C$152,MATCH($C766,Tables2!$B$73:$B$152,0)),-1)),
Error!$B$44,
IF(AND(_xlpm.baseRow,OR($E766="Tier 2",$E766="Tier 2 Grove"),$C766&lt;&gt;"",$D766&gt;=12,COUNTIF(Tables2!$B$153:$B$162,$C766)&gt;0),
Error!$B$45,
IF(AND(_xlpm.baseRow,$E766="Tier 2 Grove",$D766&lt;12),
Error!$B$41,
IF(AND(_xlpm.baseRow,$E766="Tier 2",$D766&lt;5.88),
Error!$B$40,
IF(AND(_xlpm.baseRow,OR($E766="Tier 2",$E766="Tier 2 Grove"),$C766&lt;&gt;"",$D766&lt;12,$D766&gt;=6,COUNTIF(Tables2!$B$153:$B$162,$C766)&gt;0),
Error!$B$54,
IF(AND(_xlpm.baseRow,$E766="Tier 2",COUNTIF(Tables2!$B$166:$B$674,$C766)&gt;0,$D766&lt;24),
Error!$B$54,
IF(AND(_xlpm.baseRow,$E766="Tier 3",ISNA(MATCH($C766,Tables2!$B$153:$B$162,0)),OR($D766&lt;12,$D766&gt;=24)),
Error!$B$9,
IF(AND(_xlpm.baseRow,$E766="Tier 3",COUNTIF(Tables2!$B$153:$B$162,$C766)&gt;0,$D766&lt;12),
Error!$B$46,
IF(AND(_xlpm.baseRow,$E766="Tier 4",OR($D766&lt;6,$D766&gt;=12)),
Error!$B$10,
IF(AND(_xlpm.baseRow,$E766="&lt;6in DSH for Tree Points",OR($D766&gt;=6,$D766="")),
Error!$B$8,
IF(AND(_xlpm.baseRow,$E766="Street Tree for Green Factor",$F766&lt;&gt;"",$F766&lt;&gt;"Retain"),
Error!$B$14,
IF(AND($E766="&lt;6in DSH for Tree Points",$F766="Retain",$H766&lt;&gt;"",ISNA(MATCH($H766,Tables!$B$174:$B$174,0))),
Error!$B$15,
IF(AND($E766="Street Tree for Green Factor",$F766="Retain",$H766&lt;&gt;"",$H766&lt;&gt;"Zoning: Green Factor"),
Error!$B$15,
IF(AND($E766="ECA / Shoreline Tree",$F766="Remove",$H766&lt;&gt;"",ISNA(MATCH($H766,Tables!$B$189:$B$190,0))),
Error!$B$15,
IF(AND($E766="ECA / Shoreline Tree",$F766="Retain",$H766&lt;&gt;"",ISNA(MATCH($H766,Tables!$B$184:$B$186,0))),
Error!$B$15,
IF(AND($E766="Tier 4",$F766="Remove",$H766&lt;&gt;"",ISNA(MATCH($H766,Tables!$B$171,0))),
Error!$B$15,
IF(AND($E766="Tier 4",$F766="Retain",$H766&lt;&gt;"",ISNA(MATCH($H766,Tables!$B$166:$B$168,0))),
Error!$B$15,
IF(AND($E766="Tier 3",$F766="Retain",$H766&lt;&gt;"",ISNA(MATCH($H766,Tables!$B$158:$B$160,0))),
Error!$B$15,
IF(AND($E766="Tier 3",$F766="Remove",$H766&lt;&gt;"",ISNA(MATCH($H766,Tables!$B$163,0))),
Error!$B$15,
IF(AND(OR($E766="Tier 2",$E766="Tier 2 Grove"),$F766="Remove",$H766&lt;&gt;"",ISNA(MATCH($H766,Tables!$B$153:$B$155,0))),
Error!$B$15,
IF(AND(OR($E766="Tier 2",$E766="Tier 2 Grove"),$F766="Retain",$H766&lt;&gt;"",ISNA(MATCH($H766,Tables!$B$147:$B$150,0))),
Error!$B$15,
IF(AND($E766="Tier 1",$F766="Remove",$H766&lt;&gt;"",ISNA(MATCH($H766,Tables!$B$143:$B$144,0))),
Error!$B$15,
IF(AND($E766="Tier 1",$F766="Retain",$H766&lt;&gt;"",ISNA(MATCH($H766,Tables!$B$137:$B$140,0))),
Error!$B$15,
IF(AND($E766&lt;&gt;"Tier 2",$E766&lt;&gt;"Tier 2 Grove",$E766&lt;&gt;"Tier 3",$E766&lt;&gt;"Tier 4",$H766="Zoning: Green Factor",OR($D766="",$D766&lt;6)),
Error!$B$11,
IF(AND(_xlpm.baseRow,$D766&lt;6,$E766="&lt;6in DSH for Tree Points",_xlpm.TreePoints_H=0),
Error!$B$21,
IF(AND(_xlpm.baseRow,$E766&lt;&gt;"",$D766&lt;&gt;"",$F766=""),
Error!$B$4,
IF(AND(_xlpm.baseRow,$F766="Remove",OR($E766="Tier 1",$E766="Tier 2",$E766="Tier 2 Grove"),COUNTBLANK(_xlpm.HRange)&lt;3,_xlpm.uniqueH&gt;=2),
Error!$B$48,
IF(AND(_xlpm.baseRow,$F766="Retain",OR($E766="Tier 1",$E766="Tier 2",$E766="Tier 2 Grove"),COUNTIF(_xlpm.HRange,"Tree Code: Required to Retain Tier 1-2 Tree")=0),
Error!$B$47,
IF(AND(_xlpm.baseRow,$E766&lt;&gt;"",$D766&lt;&gt;"",$F766&lt;&gt;"",COUNTBLANK(_xlpm.HRange)=4),
Error!$B$5,
IF(AND($F766="Remove",$H766&lt;&gt;"",$I766=""),
Error!$B$18,
IF(AND($E766="Tier 4",$F766="Remove",$H766="Tree Protection Code: Tier 3 or Tier 4 Allowance",$H766&lt;&gt;"",ISNA(MATCH($I766,Tables!$B$200,0))),
Error!$B$17,
IF(AND($E766="Tier 3",$F766="Remove",$H766&lt;&gt;"",$H766="Tree Protection Code: Tier 3 or Tier 4 Allowance",OR($I766="",ISNA(MATCH($I766,Tables!$B$193:$B$197,0)))),
Error!$B$17,
IF(AND(OR($E766="Tier 2",$E766="Tier 2 Grove"),$F766="Remove",$H766="Tree Protection Code: Other removal allowance or exemption",$I766&lt;&gt;"",ISNA(MATCH($I766,Tables!$B$215:$B$218,0))),
Error!$B$17,
IF(AND(OR($E766="Tier 2",$E766="Tier 2 Grove"),$F766="Remove",$H766="Tree Protection Code: Development Capacity",$I766&lt;&gt;"",ISNA(MATCH($I766,Tables!$B$193:$B$197,0))),
Error!$B$17,
IF(AND(OR($E766="Tier 2",$E766="Tier 2 Grove"),$F766="Remove",$H766="Tree Protection Code: Necessary for Construction",$I766&lt;&gt;"",ISNA(MATCH($I766,Tables!$B$193:$B$197,0))),
Error!$B$17,
IF(AND($E766="Tier 1",$F766="Remove",$H766="Tree Protection Code: Special Exception",$I766&lt;&gt;"",ISNA(MATCH($I766,Tables!$B$215:$B$218,0))),
Error!$B$17,
IF(AND($E766="Tier 1",$F766="Remove",$H766="Tree Protection Code: Other removal allowance or exemption",$I766&lt;&gt;"",ISNA(MATCH($I766,Tables!$B$215:$B$218,0))),
Error!$B$17,
IF(AND($E766="ECA / Shoreline Tree",$F766="Remove",$H766&lt;&gt;"",OR($H766="Shoreline",$H766="Environmental Critical Area (ECA)"),ISNA(MATCH($I766,Tables!$B$209:$B$212,0))),
Error!$B$17,
IF(AND(_xlpm.baseRow,$F766="Retain",$E766="ECA / Shoreline Tree",_xlpm.ECA_Short=0),
Error!$B$61,
IF(AND($F766="Remove",ISNUMBER(MATCH($E766,{"Tier 1","Tier 2","Tier 3","Tier 4","Tier 2 Grove"},0)),ISNUMBER(MATCH($I766,{"On-site replacement","Off-site replacement"},0)),$J766="",$H766&lt;&gt;""),
Error!$B$19,
IF(AND(_xlpm.baseRow,$E766&lt;&gt;"",$D766&lt;&gt;"",$F766&lt;&gt;"",COUNTBLANK($B766:$C766)&gt;0,COUNTBLANK(_xlpm.HRange)&lt;&gt;4),
Error!$B$22,
IF(AND($H766="Zoning: Tree Points",$K766&lt;&gt;"",ISNA(MATCH($K766,Tables!$B$242:$B$253,0))),
Error!$B$58,
IF(AND($H766="Zoning: Tree Points",$K766="Small",$L766&lt;&gt;"",ISNA(MATCH($L766,Tables!$C$243:$C$244,0))),
Error!$B$59,
IF(AND($H766="Zoning: Tree Points",$K766="Small/Medium",$L766&lt;&gt;"",ISNA(MATCH($L766,Tables!$C$246:$C$247,0))),
Error!$B$59,
IF(AND($H766="Zoning: Tree Points",$K766="Medium/Large",$L766&lt;&gt;"",ISNA(MATCH($L766,Tables!$C$249:$C$250,0))),
Error!$B$59,
IF(AND($H766="Zoning: Tree Points",$K766="Large",$L766&lt;&gt;"",ISNA(MATCH($L766,Tables!$C$252:$C$253,0))),
Error!$B$59,
IF(AND($F766="Retain",$H766="Zoning: Tree Points",$C766&lt;&gt;"",$D766&lt;&gt;"",OR($K766="",$L766="",$M766="")),
Error!$B$20,
""
)))))))))))))))))))))))))))))))))))))))))))))))))))))))),
Error!$B$23))</f>
        <v/>
      </c>
      <c r="O766" s="343" t="str" cm="1">
        <f t="array" aca="1" ref="O766" ca="1">IFERROR(_xlfn.LET(
    _xlpm.txt, $C766,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67" spans="1:15" ht="15" thickBot="1" x14ac:dyDescent="0.35">
      <c r="A767" s="311">
        <v>190</v>
      </c>
      <c r="B767" s="312"/>
      <c r="C767" s="313"/>
      <c r="D767" s="478"/>
      <c r="E767" s="314"/>
      <c r="F767" s="314"/>
      <c r="G767" s="315" t="str">
        <f>IF(Tree_Table1[[#This Row],[Tree Status  &amp;]]="Retain", Tables!$B$237, IF(Tree_Table1[[#This Row],[Tree Status  &amp;]]="Remove", Tables!$B$238, ""))</f>
        <v/>
      </c>
      <c r="H767" s="316"/>
      <c r="I767" s="317"/>
      <c r="J767" s="452"/>
      <c r="K767" s="318" t="str">
        <f>IFERROR(
    IF(
        AND($H767="Zoning: Tree Points", NOT(ISNUMBER(SEARCH("sp.", $C767)))),
        VLOOKUP($C767, 'Tree List'!$C$3:$F$601, 4, FALSE),
        ""
    ),
"")</f>
        <v/>
      </c>
      <c r="L767" s="319" t="str" cm="1">
        <f t="array" ref="L767">IFERROR(
IF(
    AND($H767="Zoning: Tree Points", NOT(ISNUMBER(SEARCH("sp.", $C767)))),
    _xlfn.IFS(
        (COUNTIFS('Tree List'!$C$3:$C$601,$C767,'Tree List'!$D$3:$D$601,"Coniferous")
        + COUNTIFS('Tree List'!$C$3:$C$601,$C767,'Tree List'!$D$3:$D$601,"Deciduous Conifer")) &gt; 0,
            _xlfn.IFS($K767="Small",0.5,$K767="Small/Medium",1,$K767="Medium/Large",1.4,$K767="Large",1.8),
        (COUNTIFS('Tree List'!$C$3:$C$601,$C767,'Tree List'!$D$3:$D$601,"Deciduous")
        + COUNTIFS('Tree List'!$C$3:$C$601,$C767,'Tree List'!$D$3:$D$601,"Broadleaf Evergreen")) &gt; 0,
            _xlfn.IFS($K767="Small",0.4,$K767="Small/Medium",0.8,$K767="Medium/Large",1.2,$K767="Large",1.6)
    ),
    ""
),
"")</f>
        <v/>
      </c>
      <c r="M767" s="474" t="str">
        <f t="shared" si="897"/>
        <v/>
      </c>
      <c r="N767" s="620" t="str" cm="1">
        <f t="array" aca="1" ref="N76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IF(AND(_xlpm.baseRow,ISNA(MATCH($C767,'Tree List'!$C$3:$C$601,0)),SUMPRODUCT(--ISNUMBER(SEARCH(Tables2!$C$677:$C$772,$O767)))&gt;0),
Error!$B$57,
IF(AND(_xlpm.hasDM,$F767="Remove",$H767&lt;&gt;"",OR($I767="On-site replacement",$I767="Off-site replacement",$I767="Payment In Lieu")),
Error!$B$56,
IF(AND(_xlpm.hasDM,$F767="Remove",$H767&lt;&gt;"",$I767="Relocation"),
Error!$B$66,
IF(AND(OR(_xlpm.hasCN,_xlpm.hasPH,_xlpm.hasGR),$H767&lt;&gt;"",COUNTIF(Tables!$B$132:$B$134,$H767)&gt;0,$I767="N/A (No replacement required)"),
Error!$B$62,
IF(AND(_xlpm.baseRow,$E767&lt;&gt;"",ISNA(MATCH($E767,Tables!$B$225:$B$232,0))),
Error!$B$2,
IF(AND(_xlpm.baseRow,$F767&lt;&gt;"",ISNA(MATCH($F767,Tables!$B$234:$B$235,0))),
Error!$B$24,
IF(AND(_xlpm.baseRow,_xlpm.ECA_H&gt;0,_xlpm.Shore_H&gt;0),
Error!$B$16,
IF(AND(_xlpm.baseRow,$E767&lt;&gt;"",$D767=""),
Error!$B$3,
IF(AND(_xlpm.baseRow,OR($E767="Tier 3",$E767="Tier 4"),$C767&lt;&gt;"",$D767&gt;=24,COUNTIF(Tables2!$B$166:$B$674,$C767)&gt;0),
Error!$B$44,
IF(AND(_xlpm.baseRow,OR($E767="Tier 3",$E767="Tier 4"),$C767&lt;&gt;"",$D767&lt;&gt;"",COUNTIF(Tables2!$B$73:$B$152,$C767)&gt;0,
$D767&gt;=IFERROR(INDEX(Tables2!$C$73:$C$152,MATCH($C767,Tables2!$B$73:$B$152,0)),-1)),
Error!$B$44,
IF(AND(_xlpm.baseRow,OR($E767="Tier 2",$E767="Tier 2 Grove"),$C767&lt;&gt;"",$D767&gt;=12,COUNTIF(Tables2!$B$153:$B$162,$C767)&gt;0),
Error!$B$45,
IF(AND(_xlpm.baseRow,$E767="Tier 2 Grove",$D767&lt;12),
Error!$B$41,
IF(AND(_xlpm.baseRow,$E767="Tier 2",$D767&lt;5.88),
Error!$B$40,
IF(AND(_xlpm.baseRow,OR($E767="Tier 2",$E767="Tier 2 Grove"),$C767&lt;&gt;"",$D767&lt;12,$D767&gt;=6,COUNTIF(Tables2!$B$153:$B$162,$C767)&gt;0),
Error!$B$54,
IF(AND(_xlpm.baseRow,$E767="Tier 2",COUNTIF(Tables2!$B$166:$B$674,$C767)&gt;0,$D767&lt;24),
Error!$B$54,
IF(AND(_xlpm.baseRow,$E767="Tier 3",ISNA(MATCH($C767,Tables2!$B$153:$B$162,0)),OR($D767&lt;12,$D767&gt;=24)),
Error!$B$9,
IF(AND(_xlpm.baseRow,$E767="Tier 3",COUNTIF(Tables2!$B$153:$B$162,$C767)&gt;0,$D767&lt;12),
Error!$B$46,
IF(AND(_xlpm.baseRow,$E767="Tier 4",OR($D767&lt;6,$D767&gt;=12)),
Error!$B$10,
IF(AND(_xlpm.baseRow,$E767="&lt;6in DSH for Tree Points",OR($D767&gt;=6,$D767="")),
Error!$B$8,
IF(AND(_xlpm.baseRow,$E767="Street Tree for Green Factor",$F767&lt;&gt;"",$F767&lt;&gt;"Retain"),
Error!$B$14,
IF(AND($E767="&lt;6in DSH for Tree Points",$F767="Retain",$H767&lt;&gt;"",ISNA(MATCH($H767,Tables!$B$174:$B$174,0))),
Error!$B$15,
IF(AND($E767="Street Tree for Green Factor",$F767="Retain",$H767&lt;&gt;"",$H767&lt;&gt;"Zoning: Green Factor"),
Error!$B$15,
IF(AND($E767="ECA / Shoreline Tree",$F767="Remove",$H767&lt;&gt;"",ISNA(MATCH($H767,Tables!$B$189:$B$190,0))),
Error!$B$15,
IF(AND($E767="ECA / Shoreline Tree",$F767="Retain",$H767&lt;&gt;"",ISNA(MATCH($H767,Tables!$B$184:$B$186,0))),
Error!$B$15,
IF(AND($E767="Tier 4",$F767="Remove",$H767&lt;&gt;"",ISNA(MATCH($H767,Tables!$B$171,0))),
Error!$B$15,
IF(AND($E767="Tier 4",$F767="Retain",$H767&lt;&gt;"",ISNA(MATCH($H767,Tables!$B$166:$B$168,0))),
Error!$B$15,
IF(AND($E767="Tier 3",$F767="Retain",$H767&lt;&gt;"",ISNA(MATCH($H767,Tables!$B$158:$B$160,0))),
Error!$B$15,
IF(AND($E767="Tier 3",$F767="Remove",$H767&lt;&gt;"",ISNA(MATCH($H767,Tables!$B$163,0))),
Error!$B$15,
IF(AND(OR($E767="Tier 2",$E767="Tier 2 Grove"),$F767="Remove",$H767&lt;&gt;"",ISNA(MATCH($H767,Tables!$B$153:$B$155,0))),
Error!$B$15,
IF(AND(OR($E767="Tier 2",$E767="Tier 2 Grove"),$F767="Retain",$H767&lt;&gt;"",ISNA(MATCH($H767,Tables!$B$147:$B$150,0))),
Error!$B$15,
IF(AND($E767="Tier 1",$F767="Remove",$H767&lt;&gt;"",ISNA(MATCH($H767,Tables!$B$143:$B$144,0))),
Error!$B$15,
IF(AND($E767="Tier 1",$F767="Retain",$H767&lt;&gt;"",ISNA(MATCH($H767,Tables!$B$137:$B$140,0))),
Error!$B$15,
IF(AND($E767&lt;&gt;"Tier 2",$E767&lt;&gt;"Tier 2 Grove",$E767&lt;&gt;"Tier 3",$E767&lt;&gt;"Tier 4",$H767="Zoning: Green Factor",OR($D767="",$D767&lt;6)),
Error!$B$11,
IF(AND(_xlpm.baseRow,$D767&lt;6,$E767="&lt;6in DSH for Tree Points",_xlpm.TreePoints_H=0),
Error!$B$21,
IF(AND(_xlpm.baseRow,$E767&lt;&gt;"",$D767&lt;&gt;"",$F767=""),
Error!$B$4,
IF(AND(_xlpm.baseRow,$F767="Remove",OR($E767="Tier 1",$E767="Tier 2",$E767="Tier 2 Grove"),COUNTBLANK(_xlpm.HRange)&lt;3,_xlpm.uniqueH&gt;=2),
Error!$B$48,
IF(AND(_xlpm.baseRow,$F767="Retain",OR($E767="Tier 1",$E767="Tier 2",$E767="Tier 2 Grove"),COUNTIF(_xlpm.HRange,"Tree Code: Required to Retain Tier 1-2 Tree")=0),
Error!$B$47,
IF(AND(_xlpm.baseRow,$E767&lt;&gt;"",$D767&lt;&gt;"",$F767&lt;&gt;"",COUNTBLANK(_xlpm.HRange)=4),
Error!$B$5,
IF(AND($F767="Remove",$H767&lt;&gt;"",$I767=""),
Error!$B$18,
IF(AND($E767="Tier 4",$F767="Remove",$H767="Tree Protection Code: Tier 3 or Tier 4 Allowance",$H767&lt;&gt;"",ISNA(MATCH($I767,Tables!$B$200,0))),
Error!$B$17,
IF(AND($E767="Tier 3",$F767="Remove",$H767&lt;&gt;"",$H767="Tree Protection Code: Tier 3 or Tier 4 Allowance",OR($I767="",ISNA(MATCH($I767,Tables!$B$193:$B$197,0)))),
Error!$B$17,
IF(AND(OR($E767="Tier 2",$E767="Tier 2 Grove"),$F767="Remove",$H767="Tree Protection Code: Other removal allowance or exemption",$I767&lt;&gt;"",ISNA(MATCH($I767,Tables!$B$215:$B$218,0))),
Error!$B$17,
IF(AND(OR($E767="Tier 2",$E767="Tier 2 Grove"),$F767="Remove",$H767="Tree Protection Code: Development Capacity",$I767&lt;&gt;"",ISNA(MATCH($I767,Tables!$B$193:$B$197,0))),
Error!$B$17,
IF(AND(OR($E767="Tier 2",$E767="Tier 2 Grove"),$F767="Remove",$H767="Tree Protection Code: Necessary for Construction",$I767&lt;&gt;"",ISNA(MATCH($I767,Tables!$B$193:$B$197,0))),
Error!$B$17,
IF(AND($E767="Tier 1",$F767="Remove",$H767="Tree Protection Code: Special Exception",$I767&lt;&gt;"",ISNA(MATCH($I767,Tables!$B$215:$B$218,0))),
Error!$B$17,
IF(AND($E767="Tier 1",$F767="Remove",$H767="Tree Protection Code: Other removal allowance or exemption",$I767&lt;&gt;"",ISNA(MATCH($I767,Tables!$B$215:$B$218,0))),
Error!$B$17,
IF(AND($E767="ECA / Shoreline Tree",$F767="Remove",$H767&lt;&gt;"",OR($H767="Shoreline",$H767="Environmental Critical Area (ECA)"),ISNA(MATCH($I767,Tables!$B$209:$B$212,0))),
Error!$B$17,
IF(AND(_xlpm.baseRow,$F767="Retain",$E767="ECA / Shoreline Tree",_xlpm.ECA_Short=0),
Error!$B$61,
IF(AND($F767="Remove",ISNUMBER(MATCH($E767,{"Tier 1","Tier 2","Tier 3","Tier 4","Tier 2 Grove"},0)),ISNUMBER(MATCH($I767,{"On-site replacement","Off-site replacement"},0)),$J767="",$H767&lt;&gt;""),
Error!$B$19,
IF(AND(_xlpm.baseRow,$E767&lt;&gt;"",$D767&lt;&gt;"",$F767&lt;&gt;"",COUNTBLANK($B767:$C767)&gt;0,COUNTBLANK(_xlpm.HRange)&lt;&gt;4),
Error!$B$22,
IF(AND($H767="Zoning: Tree Points",$K767&lt;&gt;"",ISNA(MATCH($K767,Tables!$B$242:$B$253,0))),
Error!$B$58,
IF(AND($H767="Zoning: Tree Points",$K767="Small",$L767&lt;&gt;"",ISNA(MATCH($L767,Tables!$C$243:$C$244,0))),
Error!$B$59,
IF(AND($H767="Zoning: Tree Points",$K767="Small/Medium",$L767&lt;&gt;"",ISNA(MATCH($L767,Tables!$C$246:$C$247,0))),
Error!$B$59,
IF(AND($H767="Zoning: Tree Points",$K767="Medium/Large",$L767&lt;&gt;"",ISNA(MATCH($L767,Tables!$C$249:$C$250,0))),
Error!$B$59,
IF(AND($H767="Zoning: Tree Points",$K767="Large",$L767&lt;&gt;"",ISNA(MATCH($L767,Tables!$C$252:$C$253,0))),
Error!$B$59,
IF(AND($F767="Retain",$H767="Zoning: Tree Points",$C767&lt;&gt;"",$D767&lt;&gt;"",OR($K767="",$L767="",$M767="")),
Error!$B$20,
""
)))))))))))))))))))))))))))))))))))))))))))))))))))))))),
Error!$B$23))</f>
        <v/>
      </c>
      <c r="O767" s="343" t="str" cm="1">
        <f t="array" aca="1" ref="O767" ca="1">IFERROR(_xlfn.LET(
    _xlpm.txt, $C767,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68" spans="1:15" x14ac:dyDescent="0.3">
      <c r="A768" s="320"/>
      <c r="B768" s="616" t="str">
        <f t="shared" ref="B768:B770" si="913">IF($B767="", "", $B767)</f>
        <v/>
      </c>
      <c r="C768" s="617" t="str">
        <f t="shared" ref="C768:C770" si="914">IF($C767="", "", $C767)</f>
        <v/>
      </c>
      <c r="D768" s="618" t="str">
        <f t="shared" ref="D768:D770" si="915">IF($D767="", "", $D767)</f>
        <v/>
      </c>
      <c r="E768" s="616" t="str">
        <f t="shared" ref="E768:E770" si="916">IF($E767="", "", $E767)</f>
        <v/>
      </c>
      <c r="F768" s="616" t="str">
        <f t="shared" ref="F768:F770" si="917">IF($F767="", "", $F767)</f>
        <v/>
      </c>
      <c r="G768" s="619" t="str">
        <f>IF(Tree_Table1[[#This Row],[Tree Status  &amp;]]="Retain", Tables!$B$237, IF(Tree_Table1[[#This Row],[Tree Status  &amp;]]="Remove", Tables!$B$238, ""))</f>
        <v/>
      </c>
      <c r="H768" s="321"/>
      <c r="I768" s="322"/>
      <c r="J768" s="453"/>
      <c r="K768" s="323" t="str">
        <f>IFERROR(
    IF(
        AND($H768="Zoning: Tree Points", NOT(ISNUMBER(SEARCH("sp.", $C768)))),
        VLOOKUP($C768, 'Tree List'!$C$3:$F$601, 4, FALSE),
        ""
    ),
"")</f>
        <v/>
      </c>
      <c r="L768" s="324" t="str" cm="1">
        <f t="array" ref="L768">IFERROR(
IF(
    AND($H768="Zoning: Tree Points", NOT(ISNUMBER(SEARCH("sp.", $C768)))),
    _xlfn.IFS(
        (COUNTIFS('Tree List'!$C$3:$C$601,$C768,'Tree List'!$D$3:$D$601,"Coniferous")
        + COUNTIFS('Tree List'!$C$3:$C$601,$C768,'Tree List'!$D$3:$D$601,"Deciduous Conifer")) &gt; 0,
            _xlfn.IFS($K768="Small",0.5,$K768="Small/Medium",1,$K768="Medium/Large",1.4,$K768="Large",1.8),
        (COUNTIFS('Tree List'!$C$3:$C$601,$C768,'Tree List'!$D$3:$D$601,"Deciduous")
        + COUNTIFS('Tree List'!$C$3:$C$601,$C768,'Tree List'!$D$3:$D$601,"Broadleaf Evergreen")) &gt; 0,
            _xlfn.IFS($K768="Small",0.4,$K768="Small/Medium",0.8,$K768="Medium/Large",1.2,$K768="Large",1.6)
    ),
    ""
),
"")</f>
        <v/>
      </c>
      <c r="M768" s="475" t="str">
        <f t="shared" si="897"/>
        <v/>
      </c>
      <c r="N768" s="346" t="str" cm="1">
        <f t="array" aca="1" ref="N76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IF(AND(_xlpm.baseRow,ISNA(MATCH($C768,'Tree List'!$C$3:$C$601,0)),SUMPRODUCT(--ISNUMBER(SEARCH(Tables2!$C$677:$C$772,$O768)))&gt;0),
Error!$B$57,
IF(AND(_xlpm.hasDM,$F768="Remove",$H768&lt;&gt;"",OR($I768="On-site replacement",$I768="Off-site replacement",$I768="Payment In Lieu")),
Error!$B$56,
IF(AND(_xlpm.hasDM,$F768="Remove",$H768&lt;&gt;"",$I768="Relocation"),
Error!$B$66,
IF(AND(OR(_xlpm.hasCN,_xlpm.hasPH,_xlpm.hasGR),$H768&lt;&gt;"",COUNTIF(Tables!$B$132:$B$134,$H768)&gt;0,$I768="N/A (No replacement required)"),
Error!$B$62,
IF(AND(_xlpm.baseRow,$E768&lt;&gt;"",ISNA(MATCH($E768,Tables!$B$225:$B$232,0))),
Error!$B$2,
IF(AND(_xlpm.baseRow,$F768&lt;&gt;"",ISNA(MATCH($F768,Tables!$B$234:$B$235,0))),
Error!$B$24,
IF(AND(_xlpm.baseRow,_xlpm.ECA_H&gt;0,_xlpm.Shore_H&gt;0),
Error!$B$16,
IF(AND(_xlpm.baseRow,$E768&lt;&gt;"",$D768=""),
Error!$B$3,
IF(AND(_xlpm.baseRow,OR($E768="Tier 3",$E768="Tier 4"),$C768&lt;&gt;"",$D768&gt;=24,COUNTIF(Tables2!$B$166:$B$674,$C768)&gt;0),
Error!$B$44,
IF(AND(_xlpm.baseRow,OR($E768="Tier 3",$E768="Tier 4"),$C768&lt;&gt;"",$D768&lt;&gt;"",COUNTIF(Tables2!$B$73:$B$152,$C768)&gt;0,
$D768&gt;=IFERROR(INDEX(Tables2!$C$73:$C$152,MATCH($C768,Tables2!$B$73:$B$152,0)),-1)),
Error!$B$44,
IF(AND(_xlpm.baseRow,OR($E768="Tier 2",$E768="Tier 2 Grove"),$C768&lt;&gt;"",$D768&gt;=12,COUNTIF(Tables2!$B$153:$B$162,$C768)&gt;0),
Error!$B$45,
IF(AND(_xlpm.baseRow,$E768="Tier 2 Grove",$D768&lt;12),
Error!$B$41,
IF(AND(_xlpm.baseRow,$E768="Tier 2",$D768&lt;5.88),
Error!$B$40,
IF(AND(_xlpm.baseRow,OR($E768="Tier 2",$E768="Tier 2 Grove"),$C768&lt;&gt;"",$D768&lt;12,$D768&gt;=6,COUNTIF(Tables2!$B$153:$B$162,$C768)&gt;0),
Error!$B$54,
IF(AND(_xlpm.baseRow,$E768="Tier 2",COUNTIF(Tables2!$B$166:$B$674,$C768)&gt;0,$D768&lt;24),
Error!$B$54,
IF(AND(_xlpm.baseRow,$E768="Tier 3",ISNA(MATCH($C768,Tables2!$B$153:$B$162,0)),OR($D768&lt;12,$D768&gt;=24)),
Error!$B$9,
IF(AND(_xlpm.baseRow,$E768="Tier 3",COUNTIF(Tables2!$B$153:$B$162,$C768)&gt;0,$D768&lt;12),
Error!$B$46,
IF(AND(_xlpm.baseRow,$E768="Tier 4",OR($D768&lt;6,$D768&gt;=12)),
Error!$B$10,
IF(AND(_xlpm.baseRow,$E768="&lt;6in DSH for Tree Points",OR($D768&gt;=6,$D768="")),
Error!$B$8,
IF(AND(_xlpm.baseRow,$E768="Street Tree for Green Factor",$F768&lt;&gt;"",$F768&lt;&gt;"Retain"),
Error!$B$14,
IF(AND($E768="&lt;6in DSH for Tree Points",$F768="Retain",$H768&lt;&gt;"",ISNA(MATCH($H768,Tables!$B$174:$B$174,0))),
Error!$B$15,
IF(AND($E768="Street Tree for Green Factor",$F768="Retain",$H768&lt;&gt;"",$H768&lt;&gt;"Zoning: Green Factor"),
Error!$B$15,
IF(AND($E768="ECA / Shoreline Tree",$F768="Remove",$H768&lt;&gt;"",ISNA(MATCH($H768,Tables!$B$189:$B$190,0))),
Error!$B$15,
IF(AND($E768="ECA / Shoreline Tree",$F768="Retain",$H768&lt;&gt;"",ISNA(MATCH($H768,Tables!$B$184:$B$186,0))),
Error!$B$15,
IF(AND($E768="Tier 4",$F768="Remove",$H768&lt;&gt;"",ISNA(MATCH($H768,Tables!$B$171,0))),
Error!$B$15,
IF(AND($E768="Tier 4",$F768="Retain",$H768&lt;&gt;"",ISNA(MATCH($H768,Tables!$B$166:$B$168,0))),
Error!$B$15,
IF(AND($E768="Tier 3",$F768="Retain",$H768&lt;&gt;"",ISNA(MATCH($H768,Tables!$B$158:$B$160,0))),
Error!$B$15,
IF(AND($E768="Tier 3",$F768="Remove",$H768&lt;&gt;"",ISNA(MATCH($H768,Tables!$B$163,0))),
Error!$B$15,
IF(AND(OR($E768="Tier 2",$E768="Tier 2 Grove"),$F768="Remove",$H768&lt;&gt;"",ISNA(MATCH($H768,Tables!$B$153:$B$155,0))),
Error!$B$15,
IF(AND(OR($E768="Tier 2",$E768="Tier 2 Grove"),$F768="Retain",$H768&lt;&gt;"",ISNA(MATCH($H768,Tables!$B$147:$B$150,0))),
Error!$B$15,
IF(AND($E768="Tier 1",$F768="Remove",$H768&lt;&gt;"",ISNA(MATCH($H768,Tables!$B$143:$B$144,0))),
Error!$B$15,
IF(AND($E768="Tier 1",$F768="Retain",$H768&lt;&gt;"",ISNA(MATCH($H768,Tables!$B$137:$B$140,0))),
Error!$B$15,
IF(AND($E768&lt;&gt;"Tier 2",$E768&lt;&gt;"Tier 2 Grove",$E768&lt;&gt;"Tier 3",$E768&lt;&gt;"Tier 4",$H768="Zoning: Green Factor",OR($D768="",$D768&lt;6)),
Error!$B$11,
IF(AND(_xlpm.baseRow,$D768&lt;6,$E768="&lt;6in DSH for Tree Points",_xlpm.TreePoints_H=0),
Error!$B$21,
IF(AND(_xlpm.baseRow,$E768&lt;&gt;"",$D768&lt;&gt;"",$F768=""),
Error!$B$4,
IF(AND(_xlpm.baseRow,$F768="Remove",OR($E768="Tier 1",$E768="Tier 2",$E768="Tier 2 Grove"),COUNTBLANK(_xlpm.HRange)&lt;3,_xlpm.uniqueH&gt;=2),
Error!$B$48,
IF(AND(_xlpm.baseRow,$F768="Retain",OR($E768="Tier 1",$E768="Tier 2",$E768="Tier 2 Grove"),COUNTIF(_xlpm.HRange,"Tree Code: Required to Retain Tier 1-2 Tree")=0),
Error!$B$47,
IF(AND(_xlpm.baseRow,$E768&lt;&gt;"",$D768&lt;&gt;"",$F768&lt;&gt;"",COUNTBLANK(_xlpm.HRange)=4),
Error!$B$5,
IF(AND($F768="Remove",$H768&lt;&gt;"",$I768=""),
Error!$B$18,
IF(AND($E768="Tier 4",$F768="Remove",$H768="Tree Protection Code: Tier 3 or Tier 4 Allowance",$H768&lt;&gt;"",ISNA(MATCH($I768,Tables!$B$200,0))),
Error!$B$17,
IF(AND($E768="Tier 3",$F768="Remove",$H768&lt;&gt;"",$H768="Tree Protection Code: Tier 3 or Tier 4 Allowance",OR($I768="",ISNA(MATCH($I768,Tables!$B$193:$B$197,0)))),
Error!$B$17,
IF(AND(OR($E768="Tier 2",$E768="Tier 2 Grove"),$F768="Remove",$H768="Tree Protection Code: Other removal allowance or exemption",$I768&lt;&gt;"",ISNA(MATCH($I768,Tables!$B$215:$B$218,0))),
Error!$B$17,
IF(AND(OR($E768="Tier 2",$E768="Tier 2 Grove"),$F768="Remove",$H768="Tree Protection Code: Development Capacity",$I768&lt;&gt;"",ISNA(MATCH($I768,Tables!$B$193:$B$197,0))),
Error!$B$17,
IF(AND(OR($E768="Tier 2",$E768="Tier 2 Grove"),$F768="Remove",$H768="Tree Protection Code: Necessary for Construction",$I768&lt;&gt;"",ISNA(MATCH($I768,Tables!$B$193:$B$197,0))),
Error!$B$17,
IF(AND($E768="Tier 1",$F768="Remove",$H768="Tree Protection Code: Special Exception",$I768&lt;&gt;"",ISNA(MATCH($I768,Tables!$B$215:$B$218,0))),
Error!$B$17,
IF(AND($E768="Tier 1",$F768="Remove",$H768="Tree Protection Code: Other removal allowance or exemption",$I768&lt;&gt;"",ISNA(MATCH($I768,Tables!$B$215:$B$218,0))),
Error!$B$17,
IF(AND($E768="ECA / Shoreline Tree",$F768="Remove",$H768&lt;&gt;"",OR($H768="Shoreline",$H768="Environmental Critical Area (ECA)"),ISNA(MATCH($I768,Tables!$B$209:$B$212,0))),
Error!$B$17,
IF(AND(_xlpm.baseRow,$F768="Retain",$E768="ECA / Shoreline Tree",_xlpm.ECA_Short=0),
Error!$B$61,
IF(AND($F768="Remove",ISNUMBER(MATCH($E768,{"Tier 1","Tier 2","Tier 3","Tier 4","Tier 2 Grove"},0)),ISNUMBER(MATCH($I768,{"On-site replacement","Off-site replacement"},0)),$J768="",$H768&lt;&gt;""),
Error!$B$19,
IF(AND(_xlpm.baseRow,$E768&lt;&gt;"",$D768&lt;&gt;"",$F768&lt;&gt;"",COUNTBLANK($B768:$C768)&gt;0,COUNTBLANK(_xlpm.HRange)&lt;&gt;4),
Error!$B$22,
IF(AND($H768="Zoning: Tree Points",$K768&lt;&gt;"",ISNA(MATCH($K768,Tables!$B$242:$B$253,0))),
Error!$B$58,
IF(AND($H768="Zoning: Tree Points",$K768="Small",$L768&lt;&gt;"",ISNA(MATCH($L768,Tables!$C$243:$C$244,0))),
Error!$B$59,
IF(AND($H768="Zoning: Tree Points",$K768="Small/Medium",$L768&lt;&gt;"",ISNA(MATCH($L768,Tables!$C$246:$C$247,0))),
Error!$B$59,
IF(AND($H768="Zoning: Tree Points",$K768="Medium/Large",$L768&lt;&gt;"",ISNA(MATCH($L768,Tables!$C$249:$C$250,0))),
Error!$B$59,
IF(AND($H768="Zoning: Tree Points",$K768="Large",$L768&lt;&gt;"",ISNA(MATCH($L768,Tables!$C$252:$C$253,0))),
Error!$B$59,
IF(AND($F768="Retain",$H768="Zoning: Tree Points",$C768&lt;&gt;"",$D768&lt;&gt;"",OR($K768="",$L768="",$M768="")),
Error!$B$20,
""
)))))))))))))))))))))))))))))))))))))))))))))))))))))))),
Error!$B$23))</f>
        <v/>
      </c>
      <c r="O768" s="343" t="str" cm="1">
        <f t="array" aca="1" ref="O768" ca="1">IFERROR(_xlfn.LET(
    _xlpm.txt, $C768,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69" spans="1:15" x14ac:dyDescent="0.3">
      <c r="A769" s="320"/>
      <c r="B769" s="616" t="str">
        <f t="shared" si="913"/>
        <v/>
      </c>
      <c r="C769" s="617" t="str">
        <f t="shared" si="914"/>
        <v/>
      </c>
      <c r="D769" s="618" t="str">
        <f t="shared" si="915"/>
        <v/>
      </c>
      <c r="E769" s="616" t="str">
        <f t="shared" si="916"/>
        <v/>
      </c>
      <c r="F769" s="616" t="str">
        <f t="shared" si="917"/>
        <v/>
      </c>
      <c r="G769" s="619" t="str">
        <f>IF(Tree_Table1[[#This Row],[Tree Status  &amp;]]="Retain", Tables!$B$237, IF(Tree_Table1[[#This Row],[Tree Status  &amp;]]="Remove", Tables!$B$238, ""))</f>
        <v/>
      </c>
      <c r="H769" s="321"/>
      <c r="I769" s="322"/>
      <c r="J769" s="453"/>
      <c r="K769" s="323" t="str">
        <f>IFERROR(
    IF(
        AND($H769="Zoning: Tree Points", NOT(ISNUMBER(SEARCH("sp.", $C769)))),
        VLOOKUP($C769, 'Tree List'!$C$3:$F$601, 4, FALSE),
        ""
    ),
"")</f>
        <v/>
      </c>
      <c r="L769" s="324" t="str" cm="1">
        <f t="array" ref="L769">IFERROR(
IF(
    AND($H769="Zoning: Tree Points", NOT(ISNUMBER(SEARCH("sp.", $C769)))),
    _xlfn.IFS(
        (COUNTIFS('Tree List'!$C$3:$C$601,$C769,'Tree List'!$D$3:$D$601,"Coniferous")
        + COUNTIFS('Tree List'!$C$3:$C$601,$C769,'Tree List'!$D$3:$D$601,"Deciduous Conifer")) &gt; 0,
            _xlfn.IFS($K769="Small",0.5,$K769="Small/Medium",1,$K769="Medium/Large",1.4,$K769="Large",1.8),
        (COUNTIFS('Tree List'!$C$3:$C$601,$C769,'Tree List'!$D$3:$D$601,"Deciduous")
        + COUNTIFS('Tree List'!$C$3:$C$601,$C769,'Tree List'!$D$3:$D$601,"Broadleaf Evergreen")) &gt; 0,
            _xlfn.IFS($K769="Small",0.4,$K769="Small/Medium",0.8,$K769="Medium/Large",1.2,$K769="Large",1.6)
    ),
    ""
),
"")</f>
        <v/>
      </c>
      <c r="M769" s="475" t="str">
        <f t="shared" si="897"/>
        <v/>
      </c>
      <c r="N769" s="346" t="str" cm="1">
        <f t="array" aca="1" ref="N76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IF(AND(_xlpm.baseRow,ISNA(MATCH($C769,'Tree List'!$C$3:$C$601,0)),SUMPRODUCT(--ISNUMBER(SEARCH(Tables2!$C$677:$C$772,$O769)))&gt;0),
Error!$B$57,
IF(AND(_xlpm.hasDM,$F769="Remove",$H769&lt;&gt;"",OR($I769="On-site replacement",$I769="Off-site replacement",$I769="Payment In Lieu")),
Error!$B$56,
IF(AND(_xlpm.hasDM,$F769="Remove",$H769&lt;&gt;"",$I769="Relocation"),
Error!$B$66,
IF(AND(OR(_xlpm.hasCN,_xlpm.hasPH,_xlpm.hasGR),$H769&lt;&gt;"",COUNTIF(Tables!$B$132:$B$134,$H769)&gt;0,$I769="N/A (No replacement required)"),
Error!$B$62,
IF(AND(_xlpm.baseRow,$E769&lt;&gt;"",ISNA(MATCH($E769,Tables!$B$225:$B$232,0))),
Error!$B$2,
IF(AND(_xlpm.baseRow,$F769&lt;&gt;"",ISNA(MATCH($F769,Tables!$B$234:$B$235,0))),
Error!$B$24,
IF(AND(_xlpm.baseRow,_xlpm.ECA_H&gt;0,_xlpm.Shore_H&gt;0),
Error!$B$16,
IF(AND(_xlpm.baseRow,$E769&lt;&gt;"",$D769=""),
Error!$B$3,
IF(AND(_xlpm.baseRow,OR($E769="Tier 3",$E769="Tier 4"),$C769&lt;&gt;"",$D769&gt;=24,COUNTIF(Tables2!$B$166:$B$674,$C769)&gt;0),
Error!$B$44,
IF(AND(_xlpm.baseRow,OR($E769="Tier 3",$E769="Tier 4"),$C769&lt;&gt;"",$D769&lt;&gt;"",COUNTIF(Tables2!$B$73:$B$152,$C769)&gt;0,
$D769&gt;=IFERROR(INDEX(Tables2!$C$73:$C$152,MATCH($C769,Tables2!$B$73:$B$152,0)),-1)),
Error!$B$44,
IF(AND(_xlpm.baseRow,OR($E769="Tier 2",$E769="Tier 2 Grove"),$C769&lt;&gt;"",$D769&gt;=12,COUNTIF(Tables2!$B$153:$B$162,$C769)&gt;0),
Error!$B$45,
IF(AND(_xlpm.baseRow,$E769="Tier 2 Grove",$D769&lt;12),
Error!$B$41,
IF(AND(_xlpm.baseRow,$E769="Tier 2",$D769&lt;5.88),
Error!$B$40,
IF(AND(_xlpm.baseRow,OR($E769="Tier 2",$E769="Tier 2 Grove"),$C769&lt;&gt;"",$D769&lt;12,$D769&gt;=6,COUNTIF(Tables2!$B$153:$B$162,$C769)&gt;0),
Error!$B$54,
IF(AND(_xlpm.baseRow,$E769="Tier 2",COUNTIF(Tables2!$B$166:$B$674,$C769)&gt;0,$D769&lt;24),
Error!$B$54,
IF(AND(_xlpm.baseRow,$E769="Tier 3",ISNA(MATCH($C769,Tables2!$B$153:$B$162,0)),OR($D769&lt;12,$D769&gt;=24)),
Error!$B$9,
IF(AND(_xlpm.baseRow,$E769="Tier 3",COUNTIF(Tables2!$B$153:$B$162,$C769)&gt;0,$D769&lt;12),
Error!$B$46,
IF(AND(_xlpm.baseRow,$E769="Tier 4",OR($D769&lt;6,$D769&gt;=12)),
Error!$B$10,
IF(AND(_xlpm.baseRow,$E769="&lt;6in DSH for Tree Points",OR($D769&gt;=6,$D769="")),
Error!$B$8,
IF(AND(_xlpm.baseRow,$E769="Street Tree for Green Factor",$F769&lt;&gt;"",$F769&lt;&gt;"Retain"),
Error!$B$14,
IF(AND($E769="&lt;6in DSH for Tree Points",$F769="Retain",$H769&lt;&gt;"",ISNA(MATCH($H769,Tables!$B$174:$B$174,0))),
Error!$B$15,
IF(AND($E769="Street Tree for Green Factor",$F769="Retain",$H769&lt;&gt;"",$H769&lt;&gt;"Zoning: Green Factor"),
Error!$B$15,
IF(AND($E769="ECA / Shoreline Tree",$F769="Remove",$H769&lt;&gt;"",ISNA(MATCH($H769,Tables!$B$189:$B$190,0))),
Error!$B$15,
IF(AND($E769="ECA / Shoreline Tree",$F769="Retain",$H769&lt;&gt;"",ISNA(MATCH($H769,Tables!$B$184:$B$186,0))),
Error!$B$15,
IF(AND($E769="Tier 4",$F769="Remove",$H769&lt;&gt;"",ISNA(MATCH($H769,Tables!$B$171,0))),
Error!$B$15,
IF(AND($E769="Tier 4",$F769="Retain",$H769&lt;&gt;"",ISNA(MATCH($H769,Tables!$B$166:$B$168,0))),
Error!$B$15,
IF(AND($E769="Tier 3",$F769="Retain",$H769&lt;&gt;"",ISNA(MATCH($H769,Tables!$B$158:$B$160,0))),
Error!$B$15,
IF(AND($E769="Tier 3",$F769="Remove",$H769&lt;&gt;"",ISNA(MATCH($H769,Tables!$B$163,0))),
Error!$B$15,
IF(AND(OR($E769="Tier 2",$E769="Tier 2 Grove"),$F769="Remove",$H769&lt;&gt;"",ISNA(MATCH($H769,Tables!$B$153:$B$155,0))),
Error!$B$15,
IF(AND(OR($E769="Tier 2",$E769="Tier 2 Grove"),$F769="Retain",$H769&lt;&gt;"",ISNA(MATCH($H769,Tables!$B$147:$B$150,0))),
Error!$B$15,
IF(AND($E769="Tier 1",$F769="Remove",$H769&lt;&gt;"",ISNA(MATCH($H769,Tables!$B$143:$B$144,0))),
Error!$B$15,
IF(AND($E769="Tier 1",$F769="Retain",$H769&lt;&gt;"",ISNA(MATCH($H769,Tables!$B$137:$B$140,0))),
Error!$B$15,
IF(AND($E769&lt;&gt;"Tier 2",$E769&lt;&gt;"Tier 2 Grove",$E769&lt;&gt;"Tier 3",$E769&lt;&gt;"Tier 4",$H769="Zoning: Green Factor",OR($D769="",$D769&lt;6)),
Error!$B$11,
IF(AND(_xlpm.baseRow,$D769&lt;6,$E769="&lt;6in DSH for Tree Points",_xlpm.TreePoints_H=0),
Error!$B$21,
IF(AND(_xlpm.baseRow,$E769&lt;&gt;"",$D769&lt;&gt;"",$F769=""),
Error!$B$4,
IF(AND(_xlpm.baseRow,$F769="Remove",OR($E769="Tier 1",$E769="Tier 2",$E769="Tier 2 Grove"),COUNTBLANK(_xlpm.HRange)&lt;3,_xlpm.uniqueH&gt;=2),
Error!$B$48,
IF(AND(_xlpm.baseRow,$F769="Retain",OR($E769="Tier 1",$E769="Tier 2",$E769="Tier 2 Grove"),COUNTIF(_xlpm.HRange,"Tree Code: Required to Retain Tier 1-2 Tree")=0),
Error!$B$47,
IF(AND(_xlpm.baseRow,$E769&lt;&gt;"",$D769&lt;&gt;"",$F769&lt;&gt;"",COUNTBLANK(_xlpm.HRange)=4),
Error!$B$5,
IF(AND($F769="Remove",$H769&lt;&gt;"",$I769=""),
Error!$B$18,
IF(AND($E769="Tier 4",$F769="Remove",$H769="Tree Protection Code: Tier 3 or Tier 4 Allowance",$H769&lt;&gt;"",ISNA(MATCH($I769,Tables!$B$200,0))),
Error!$B$17,
IF(AND($E769="Tier 3",$F769="Remove",$H769&lt;&gt;"",$H769="Tree Protection Code: Tier 3 or Tier 4 Allowance",OR($I769="",ISNA(MATCH($I769,Tables!$B$193:$B$197,0)))),
Error!$B$17,
IF(AND(OR($E769="Tier 2",$E769="Tier 2 Grove"),$F769="Remove",$H769="Tree Protection Code: Other removal allowance or exemption",$I769&lt;&gt;"",ISNA(MATCH($I769,Tables!$B$215:$B$218,0))),
Error!$B$17,
IF(AND(OR($E769="Tier 2",$E769="Tier 2 Grove"),$F769="Remove",$H769="Tree Protection Code: Development Capacity",$I769&lt;&gt;"",ISNA(MATCH($I769,Tables!$B$193:$B$197,0))),
Error!$B$17,
IF(AND(OR($E769="Tier 2",$E769="Tier 2 Grove"),$F769="Remove",$H769="Tree Protection Code: Necessary for Construction",$I769&lt;&gt;"",ISNA(MATCH($I769,Tables!$B$193:$B$197,0))),
Error!$B$17,
IF(AND($E769="Tier 1",$F769="Remove",$H769="Tree Protection Code: Special Exception",$I769&lt;&gt;"",ISNA(MATCH($I769,Tables!$B$215:$B$218,0))),
Error!$B$17,
IF(AND($E769="Tier 1",$F769="Remove",$H769="Tree Protection Code: Other removal allowance or exemption",$I769&lt;&gt;"",ISNA(MATCH($I769,Tables!$B$215:$B$218,0))),
Error!$B$17,
IF(AND($E769="ECA / Shoreline Tree",$F769="Remove",$H769&lt;&gt;"",OR($H769="Shoreline",$H769="Environmental Critical Area (ECA)"),ISNA(MATCH($I769,Tables!$B$209:$B$212,0))),
Error!$B$17,
IF(AND(_xlpm.baseRow,$F769="Retain",$E769="ECA / Shoreline Tree",_xlpm.ECA_Short=0),
Error!$B$61,
IF(AND($F769="Remove",ISNUMBER(MATCH($E769,{"Tier 1","Tier 2","Tier 3","Tier 4","Tier 2 Grove"},0)),ISNUMBER(MATCH($I769,{"On-site replacement","Off-site replacement"},0)),$J769="",$H769&lt;&gt;""),
Error!$B$19,
IF(AND(_xlpm.baseRow,$E769&lt;&gt;"",$D769&lt;&gt;"",$F769&lt;&gt;"",COUNTBLANK($B769:$C769)&gt;0,COUNTBLANK(_xlpm.HRange)&lt;&gt;4),
Error!$B$22,
IF(AND($H769="Zoning: Tree Points",$K769&lt;&gt;"",ISNA(MATCH($K769,Tables!$B$242:$B$253,0))),
Error!$B$58,
IF(AND($H769="Zoning: Tree Points",$K769="Small",$L769&lt;&gt;"",ISNA(MATCH($L769,Tables!$C$243:$C$244,0))),
Error!$B$59,
IF(AND($H769="Zoning: Tree Points",$K769="Small/Medium",$L769&lt;&gt;"",ISNA(MATCH($L769,Tables!$C$246:$C$247,0))),
Error!$B$59,
IF(AND($H769="Zoning: Tree Points",$K769="Medium/Large",$L769&lt;&gt;"",ISNA(MATCH($L769,Tables!$C$249:$C$250,0))),
Error!$B$59,
IF(AND($H769="Zoning: Tree Points",$K769="Large",$L769&lt;&gt;"",ISNA(MATCH($L769,Tables!$C$252:$C$253,0))),
Error!$B$59,
IF(AND($F769="Retain",$H769="Zoning: Tree Points",$C769&lt;&gt;"",$D769&lt;&gt;"",OR($K769="",$L769="",$M769="")),
Error!$B$20,
""
)))))))))))))))))))))))))))))))))))))))))))))))))))))))),
Error!$B$23))</f>
        <v/>
      </c>
      <c r="O769" s="343" t="str" cm="1">
        <f t="array" aca="1" ref="O769" ca="1">IFERROR(_xlfn.LET(
    _xlpm.txt, $C769,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70" spans="1:15" ht="15" thickBot="1" x14ac:dyDescent="0.35">
      <c r="A770" s="331"/>
      <c r="B770" s="616" t="str">
        <f t="shared" si="913"/>
        <v/>
      </c>
      <c r="C770" s="617" t="str">
        <f t="shared" si="914"/>
        <v/>
      </c>
      <c r="D770" s="618" t="str">
        <f t="shared" si="915"/>
        <v/>
      </c>
      <c r="E770" s="616" t="str">
        <f t="shared" si="916"/>
        <v/>
      </c>
      <c r="F770" s="616" t="str">
        <f t="shared" si="917"/>
        <v/>
      </c>
      <c r="G770" s="619" t="str">
        <f>IF(Tree_Table1[[#This Row],[Tree Status  &amp;]]="Retain", Tables!$B$237, IF(Tree_Table1[[#This Row],[Tree Status  &amp;]]="Remove", Tables!$B$238, ""))</f>
        <v/>
      </c>
      <c r="H770" s="329"/>
      <c r="I770" s="330"/>
      <c r="J770" s="455"/>
      <c r="K770" s="327" t="str">
        <f>IFERROR(
    IF(
        AND($H770="Zoning: Tree Points", NOT(ISNUMBER(SEARCH("sp.", $C770)))),
        VLOOKUP($C770, 'Tree List'!$C$3:$F$601, 4, FALSE),
        ""
    ),
"")</f>
        <v/>
      </c>
      <c r="L770" s="328" t="str" cm="1">
        <f t="array" ref="L770">IFERROR(
IF(
    AND($H770="Zoning: Tree Points", NOT(ISNUMBER(SEARCH("sp.", $C770)))),
    _xlfn.IFS(
        (COUNTIFS('Tree List'!$C$3:$C$601,$C770,'Tree List'!$D$3:$D$601,"Coniferous")
        + COUNTIFS('Tree List'!$C$3:$C$601,$C770,'Tree List'!$D$3:$D$601,"Deciduous Conifer")) &gt; 0,
            _xlfn.IFS($K770="Small",0.5,$K770="Small/Medium",1,$K770="Medium/Large",1.4,$K770="Large",1.8),
        (COUNTIFS('Tree List'!$C$3:$C$601,$C770,'Tree List'!$D$3:$D$601,"Deciduous")
        + COUNTIFS('Tree List'!$C$3:$C$601,$C770,'Tree List'!$D$3:$D$601,"Broadleaf Evergreen")) &gt; 0,
            _xlfn.IFS($K770="Small",0.4,$K770="Small/Medium",0.8,$K770="Medium/Large",1.2,$K770="Large",1.6)
    ),
    ""
),
"")</f>
        <v/>
      </c>
      <c r="M770" s="476" t="str">
        <f t="shared" si="897"/>
        <v/>
      </c>
      <c r="N770" s="347" t="str" cm="1">
        <f t="array" aca="1" ref="N77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IF(AND(_xlpm.baseRow,ISNA(MATCH($C770,'Tree List'!$C$3:$C$601,0)),SUMPRODUCT(--ISNUMBER(SEARCH(Tables2!$C$677:$C$772,$O770)))&gt;0),
Error!$B$57,
IF(AND(_xlpm.hasDM,$F770="Remove",$H770&lt;&gt;"",OR($I770="On-site replacement",$I770="Off-site replacement",$I770="Payment In Lieu")),
Error!$B$56,
IF(AND(_xlpm.hasDM,$F770="Remove",$H770&lt;&gt;"",$I770="Relocation"),
Error!$B$66,
IF(AND(OR(_xlpm.hasCN,_xlpm.hasPH,_xlpm.hasGR),$H770&lt;&gt;"",COUNTIF(Tables!$B$132:$B$134,$H770)&gt;0,$I770="N/A (No replacement required)"),
Error!$B$62,
IF(AND(_xlpm.baseRow,$E770&lt;&gt;"",ISNA(MATCH($E770,Tables!$B$225:$B$232,0))),
Error!$B$2,
IF(AND(_xlpm.baseRow,$F770&lt;&gt;"",ISNA(MATCH($F770,Tables!$B$234:$B$235,0))),
Error!$B$24,
IF(AND(_xlpm.baseRow,_xlpm.ECA_H&gt;0,_xlpm.Shore_H&gt;0),
Error!$B$16,
IF(AND(_xlpm.baseRow,$E770&lt;&gt;"",$D770=""),
Error!$B$3,
IF(AND(_xlpm.baseRow,OR($E770="Tier 3",$E770="Tier 4"),$C770&lt;&gt;"",$D770&gt;=24,COUNTIF(Tables2!$B$166:$B$674,$C770)&gt;0),
Error!$B$44,
IF(AND(_xlpm.baseRow,OR($E770="Tier 3",$E770="Tier 4"),$C770&lt;&gt;"",$D770&lt;&gt;"",COUNTIF(Tables2!$B$73:$B$152,$C770)&gt;0,
$D770&gt;=IFERROR(INDEX(Tables2!$C$73:$C$152,MATCH($C770,Tables2!$B$73:$B$152,0)),-1)),
Error!$B$44,
IF(AND(_xlpm.baseRow,OR($E770="Tier 2",$E770="Tier 2 Grove"),$C770&lt;&gt;"",$D770&gt;=12,COUNTIF(Tables2!$B$153:$B$162,$C770)&gt;0),
Error!$B$45,
IF(AND(_xlpm.baseRow,$E770="Tier 2 Grove",$D770&lt;12),
Error!$B$41,
IF(AND(_xlpm.baseRow,$E770="Tier 2",$D770&lt;5.88),
Error!$B$40,
IF(AND(_xlpm.baseRow,OR($E770="Tier 2",$E770="Tier 2 Grove"),$C770&lt;&gt;"",$D770&lt;12,$D770&gt;=6,COUNTIF(Tables2!$B$153:$B$162,$C770)&gt;0),
Error!$B$54,
IF(AND(_xlpm.baseRow,$E770="Tier 2",COUNTIF(Tables2!$B$166:$B$674,$C770)&gt;0,$D770&lt;24),
Error!$B$54,
IF(AND(_xlpm.baseRow,$E770="Tier 3",ISNA(MATCH($C770,Tables2!$B$153:$B$162,0)),OR($D770&lt;12,$D770&gt;=24)),
Error!$B$9,
IF(AND(_xlpm.baseRow,$E770="Tier 3",COUNTIF(Tables2!$B$153:$B$162,$C770)&gt;0,$D770&lt;12),
Error!$B$46,
IF(AND(_xlpm.baseRow,$E770="Tier 4",OR($D770&lt;6,$D770&gt;=12)),
Error!$B$10,
IF(AND(_xlpm.baseRow,$E770="&lt;6in DSH for Tree Points",OR($D770&gt;=6,$D770="")),
Error!$B$8,
IF(AND(_xlpm.baseRow,$E770="Street Tree for Green Factor",$F770&lt;&gt;"",$F770&lt;&gt;"Retain"),
Error!$B$14,
IF(AND($E770="&lt;6in DSH for Tree Points",$F770="Retain",$H770&lt;&gt;"",ISNA(MATCH($H770,Tables!$B$174:$B$174,0))),
Error!$B$15,
IF(AND($E770="Street Tree for Green Factor",$F770="Retain",$H770&lt;&gt;"",$H770&lt;&gt;"Zoning: Green Factor"),
Error!$B$15,
IF(AND($E770="ECA / Shoreline Tree",$F770="Remove",$H770&lt;&gt;"",ISNA(MATCH($H770,Tables!$B$189:$B$190,0))),
Error!$B$15,
IF(AND($E770="ECA / Shoreline Tree",$F770="Retain",$H770&lt;&gt;"",ISNA(MATCH($H770,Tables!$B$184:$B$186,0))),
Error!$B$15,
IF(AND($E770="Tier 4",$F770="Remove",$H770&lt;&gt;"",ISNA(MATCH($H770,Tables!$B$171,0))),
Error!$B$15,
IF(AND($E770="Tier 4",$F770="Retain",$H770&lt;&gt;"",ISNA(MATCH($H770,Tables!$B$166:$B$168,0))),
Error!$B$15,
IF(AND($E770="Tier 3",$F770="Retain",$H770&lt;&gt;"",ISNA(MATCH($H770,Tables!$B$158:$B$160,0))),
Error!$B$15,
IF(AND($E770="Tier 3",$F770="Remove",$H770&lt;&gt;"",ISNA(MATCH($H770,Tables!$B$163,0))),
Error!$B$15,
IF(AND(OR($E770="Tier 2",$E770="Tier 2 Grove"),$F770="Remove",$H770&lt;&gt;"",ISNA(MATCH($H770,Tables!$B$153:$B$155,0))),
Error!$B$15,
IF(AND(OR($E770="Tier 2",$E770="Tier 2 Grove"),$F770="Retain",$H770&lt;&gt;"",ISNA(MATCH($H770,Tables!$B$147:$B$150,0))),
Error!$B$15,
IF(AND($E770="Tier 1",$F770="Remove",$H770&lt;&gt;"",ISNA(MATCH($H770,Tables!$B$143:$B$144,0))),
Error!$B$15,
IF(AND($E770="Tier 1",$F770="Retain",$H770&lt;&gt;"",ISNA(MATCH($H770,Tables!$B$137:$B$140,0))),
Error!$B$15,
IF(AND($E770&lt;&gt;"Tier 2",$E770&lt;&gt;"Tier 2 Grove",$E770&lt;&gt;"Tier 3",$E770&lt;&gt;"Tier 4",$H770="Zoning: Green Factor",OR($D770="",$D770&lt;6)),
Error!$B$11,
IF(AND(_xlpm.baseRow,$D770&lt;6,$E770="&lt;6in DSH for Tree Points",_xlpm.TreePoints_H=0),
Error!$B$21,
IF(AND(_xlpm.baseRow,$E770&lt;&gt;"",$D770&lt;&gt;"",$F770=""),
Error!$B$4,
IF(AND(_xlpm.baseRow,$F770="Remove",OR($E770="Tier 1",$E770="Tier 2",$E770="Tier 2 Grove"),COUNTBLANK(_xlpm.HRange)&lt;3,_xlpm.uniqueH&gt;=2),
Error!$B$48,
IF(AND(_xlpm.baseRow,$F770="Retain",OR($E770="Tier 1",$E770="Tier 2",$E770="Tier 2 Grove"),COUNTIF(_xlpm.HRange,"Tree Code: Required to Retain Tier 1-2 Tree")=0),
Error!$B$47,
IF(AND(_xlpm.baseRow,$E770&lt;&gt;"",$D770&lt;&gt;"",$F770&lt;&gt;"",COUNTBLANK(_xlpm.HRange)=4),
Error!$B$5,
IF(AND($F770="Remove",$H770&lt;&gt;"",$I770=""),
Error!$B$18,
IF(AND($E770="Tier 4",$F770="Remove",$H770="Tree Protection Code: Tier 3 or Tier 4 Allowance",$H770&lt;&gt;"",ISNA(MATCH($I770,Tables!$B$200,0))),
Error!$B$17,
IF(AND($E770="Tier 3",$F770="Remove",$H770&lt;&gt;"",$H770="Tree Protection Code: Tier 3 or Tier 4 Allowance",OR($I770="",ISNA(MATCH($I770,Tables!$B$193:$B$197,0)))),
Error!$B$17,
IF(AND(OR($E770="Tier 2",$E770="Tier 2 Grove"),$F770="Remove",$H770="Tree Protection Code: Other removal allowance or exemption",$I770&lt;&gt;"",ISNA(MATCH($I770,Tables!$B$215:$B$218,0))),
Error!$B$17,
IF(AND(OR($E770="Tier 2",$E770="Tier 2 Grove"),$F770="Remove",$H770="Tree Protection Code: Development Capacity",$I770&lt;&gt;"",ISNA(MATCH($I770,Tables!$B$193:$B$197,0))),
Error!$B$17,
IF(AND(OR($E770="Tier 2",$E770="Tier 2 Grove"),$F770="Remove",$H770="Tree Protection Code: Necessary for Construction",$I770&lt;&gt;"",ISNA(MATCH($I770,Tables!$B$193:$B$197,0))),
Error!$B$17,
IF(AND($E770="Tier 1",$F770="Remove",$H770="Tree Protection Code: Special Exception",$I770&lt;&gt;"",ISNA(MATCH($I770,Tables!$B$215:$B$218,0))),
Error!$B$17,
IF(AND($E770="Tier 1",$F770="Remove",$H770="Tree Protection Code: Other removal allowance or exemption",$I770&lt;&gt;"",ISNA(MATCH($I770,Tables!$B$215:$B$218,0))),
Error!$B$17,
IF(AND($E770="ECA / Shoreline Tree",$F770="Remove",$H770&lt;&gt;"",OR($H770="Shoreline",$H770="Environmental Critical Area (ECA)"),ISNA(MATCH($I770,Tables!$B$209:$B$212,0))),
Error!$B$17,
IF(AND(_xlpm.baseRow,$F770="Retain",$E770="ECA / Shoreline Tree",_xlpm.ECA_Short=0),
Error!$B$61,
IF(AND($F770="Remove",ISNUMBER(MATCH($E770,{"Tier 1","Tier 2","Tier 3","Tier 4","Tier 2 Grove"},0)),ISNUMBER(MATCH($I770,{"On-site replacement","Off-site replacement"},0)),$J770="",$H770&lt;&gt;""),
Error!$B$19,
IF(AND(_xlpm.baseRow,$E770&lt;&gt;"",$D770&lt;&gt;"",$F770&lt;&gt;"",COUNTBLANK($B770:$C770)&gt;0,COUNTBLANK(_xlpm.HRange)&lt;&gt;4),
Error!$B$22,
IF(AND($H770="Zoning: Tree Points",$K770&lt;&gt;"",ISNA(MATCH($K770,Tables!$B$242:$B$253,0))),
Error!$B$58,
IF(AND($H770="Zoning: Tree Points",$K770="Small",$L770&lt;&gt;"",ISNA(MATCH($L770,Tables!$C$243:$C$244,0))),
Error!$B$59,
IF(AND($H770="Zoning: Tree Points",$K770="Small/Medium",$L770&lt;&gt;"",ISNA(MATCH($L770,Tables!$C$246:$C$247,0))),
Error!$B$59,
IF(AND($H770="Zoning: Tree Points",$K770="Medium/Large",$L770&lt;&gt;"",ISNA(MATCH($L770,Tables!$C$249:$C$250,0))),
Error!$B$59,
IF(AND($H770="Zoning: Tree Points",$K770="Large",$L770&lt;&gt;"",ISNA(MATCH($L770,Tables!$C$252:$C$253,0))),
Error!$B$59,
IF(AND($F770="Retain",$H770="Zoning: Tree Points",$C770&lt;&gt;"",$D770&lt;&gt;"",OR($K770="",$L770="",$M770="")),
Error!$B$20,
""
)))))))))))))))))))))))))))))))))))))))))))))))))))))))),
Error!$B$23))</f>
        <v/>
      </c>
      <c r="O770" s="343" t="str" cm="1">
        <f t="array" aca="1" ref="O770" ca="1">IFERROR(_xlfn.LET(
    _xlpm.txt, $C770,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71" spans="1:15" ht="15" thickBot="1" x14ac:dyDescent="0.35">
      <c r="A771" s="311">
        <v>191</v>
      </c>
      <c r="B771" s="312"/>
      <c r="C771" s="313"/>
      <c r="D771" s="478"/>
      <c r="E771" s="314"/>
      <c r="F771" s="314"/>
      <c r="G771" s="315" t="str">
        <f>IF(Tree_Table1[[#This Row],[Tree Status  &amp;]]="Retain", Tables!$B$237, IF(Tree_Table1[[#This Row],[Tree Status  &amp;]]="Remove", Tables!$B$238, ""))</f>
        <v/>
      </c>
      <c r="H771" s="316"/>
      <c r="I771" s="317"/>
      <c r="J771" s="452"/>
      <c r="K771" s="318" t="str">
        <f>IFERROR(
    IF(
        AND($H771="Zoning: Tree Points", NOT(ISNUMBER(SEARCH("sp.", $C771)))),
        VLOOKUP($C771, 'Tree List'!$C$3:$F$601, 4, FALSE),
        ""
    ),
"")</f>
        <v/>
      </c>
      <c r="L771" s="319" t="str" cm="1">
        <f t="array" ref="L771">IFERROR(
IF(
    AND($H771="Zoning: Tree Points", NOT(ISNUMBER(SEARCH("sp.", $C771)))),
    _xlfn.IFS(
        (COUNTIFS('Tree List'!$C$3:$C$601,$C771,'Tree List'!$D$3:$D$601,"Coniferous")
        + COUNTIFS('Tree List'!$C$3:$C$601,$C771,'Tree List'!$D$3:$D$601,"Deciduous Conifer")) &gt; 0,
            _xlfn.IFS($K771="Small",0.5,$K771="Small/Medium",1,$K771="Medium/Large",1.4,$K771="Large",1.8),
        (COUNTIFS('Tree List'!$C$3:$C$601,$C771,'Tree List'!$D$3:$D$601,"Deciduous")
        + COUNTIFS('Tree List'!$C$3:$C$601,$C771,'Tree List'!$D$3:$D$601,"Broadleaf Evergreen")) &gt; 0,
            _xlfn.IFS($K771="Small",0.4,$K771="Small/Medium",0.8,$K771="Medium/Large",1.2,$K771="Large",1.6)
    ),
    ""
),
"")</f>
        <v/>
      </c>
      <c r="M771" s="474" t="str">
        <f t="shared" si="897"/>
        <v/>
      </c>
      <c r="N771" s="620" t="str" cm="1">
        <f t="array" aca="1" ref="N77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IF(AND(_xlpm.baseRow,ISNA(MATCH($C771,'Tree List'!$C$3:$C$601,0)),SUMPRODUCT(--ISNUMBER(SEARCH(Tables2!$C$677:$C$772,$O771)))&gt;0),
Error!$B$57,
IF(AND(_xlpm.hasDM,$F771="Remove",$H771&lt;&gt;"",OR($I771="On-site replacement",$I771="Off-site replacement",$I771="Payment In Lieu")),
Error!$B$56,
IF(AND(_xlpm.hasDM,$F771="Remove",$H771&lt;&gt;"",$I771="Relocation"),
Error!$B$66,
IF(AND(OR(_xlpm.hasCN,_xlpm.hasPH,_xlpm.hasGR),$H771&lt;&gt;"",COUNTIF(Tables!$B$132:$B$134,$H771)&gt;0,$I771="N/A (No replacement required)"),
Error!$B$62,
IF(AND(_xlpm.baseRow,$E771&lt;&gt;"",ISNA(MATCH($E771,Tables!$B$225:$B$232,0))),
Error!$B$2,
IF(AND(_xlpm.baseRow,$F771&lt;&gt;"",ISNA(MATCH($F771,Tables!$B$234:$B$235,0))),
Error!$B$24,
IF(AND(_xlpm.baseRow,_xlpm.ECA_H&gt;0,_xlpm.Shore_H&gt;0),
Error!$B$16,
IF(AND(_xlpm.baseRow,$E771&lt;&gt;"",$D771=""),
Error!$B$3,
IF(AND(_xlpm.baseRow,OR($E771="Tier 3",$E771="Tier 4"),$C771&lt;&gt;"",$D771&gt;=24,COUNTIF(Tables2!$B$166:$B$674,$C771)&gt;0),
Error!$B$44,
IF(AND(_xlpm.baseRow,OR($E771="Tier 3",$E771="Tier 4"),$C771&lt;&gt;"",$D771&lt;&gt;"",COUNTIF(Tables2!$B$73:$B$152,$C771)&gt;0,
$D771&gt;=IFERROR(INDEX(Tables2!$C$73:$C$152,MATCH($C771,Tables2!$B$73:$B$152,0)),-1)),
Error!$B$44,
IF(AND(_xlpm.baseRow,OR($E771="Tier 2",$E771="Tier 2 Grove"),$C771&lt;&gt;"",$D771&gt;=12,COUNTIF(Tables2!$B$153:$B$162,$C771)&gt;0),
Error!$B$45,
IF(AND(_xlpm.baseRow,$E771="Tier 2 Grove",$D771&lt;12),
Error!$B$41,
IF(AND(_xlpm.baseRow,$E771="Tier 2",$D771&lt;5.88),
Error!$B$40,
IF(AND(_xlpm.baseRow,OR($E771="Tier 2",$E771="Tier 2 Grove"),$C771&lt;&gt;"",$D771&lt;12,$D771&gt;=6,COUNTIF(Tables2!$B$153:$B$162,$C771)&gt;0),
Error!$B$54,
IF(AND(_xlpm.baseRow,$E771="Tier 2",COUNTIF(Tables2!$B$166:$B$674,$C771)&gt;0,$D771&lt;24),
Error!$B$54,
IF(AND(_xlpm.baseRow,$E771="Tier 3",ISNA(MATCH($C771,Tables2!$B$153:$B$162,0)),OR($D771&lt;12,$D771&gt;=24)),
Error!$B$9,
IF(AND(_xlpm.baseRow,$E771="Tier 3",COUNTIF(Tables2!$B$153:$B$162,$C771)&gt;0,$D771&lt;12),
Error!$B$46,
IF(AND(_xlpm.baseRow,$E771="Tier 4",OR($D771&lt;6,$D771&gt;=12)),
Error!$B$10,
IF(AND(_xlpm.baseRow,$E771="&lt;6in DSH for Tree Points",OR($D771&gt;=6,$D771="")),
Error!$B$8,
IF(AND(_xlpm.baseRow,$E771="Street Tree for Green Factor",$F771&lt;&gt;"",$F771&lt;&gt;"Retain"),
Error!$B$14,
IF(AND($E771="&lt;6in DSH for Tree Points",$F771="Retain",$H771&lt;&gt;"",ISNA(MATCH($H771,Tables!$B$174:$B$174,0))),
Error!$B$15,
IF(AND($E771="Street Tree for Green Factor",$F771="Retain",$H771&lt;&gt;"",$H771&lt;&gt;"Zoning: Green Factor"),
Error!$B$15,
IF(AND($E771="ECA / Shoreline Tree",$F771="Remove",$H771&lt;&gt;"",ISNA(MATCH($H771,Tables!$B$189:$B$190,0))),
Error!$B$15,
IF(AND($E771="ECA / Shoreline Tree",$F771="Retain",$H771&lt;&gt;"",ISNA(MATCH($H771,Tables!$B$184:$B$186,0))),
Error!$B$15,
IF(AND($E771="Tier 4",$F771="Remove",$H771&lt;&gt;"",ISNA(MATCH($H771,Tables!$B$171,0))),
Error!$B$15,
IF(AND($E771="Tier 4",$F771="Retain",$H771&lt;&gt;"",ISNA(MATCH($H771,Tables!$B$166:$B$168,0))),
Error!$B$15,
IF(AND($E771="Tier 3",$F771="Retain",$H771&lt;&gt;"",ISNA(MATCH($H771,Tables!$B$158:$B$160,0))),
Error!$B$15,
IF(AND($E771="Tier 3",$F771="Remove",$H771&lt;&gt;"",ISNA(MATCH($H771,Tables!$B$163,0))),
Error!$B$15,
IF(AND(OR($E771="Tier 2",$E771="Tier 2 Grove"),$F771="Remove",$H771&lt;&gt;"",ISNA(MATCH($H771,Tables!$B$153:$B$155,0))),
Error!$B$15,
IF(AND(OR($E771="Tier 2",$E771="Tier 2 Grove"),$F771="Retain",$H771&lt;&gt;"",ISNA(MATCH($H771,Tables!$B$147:$B$150,0))),
Error!$B$15,
IF(AND($E771="Tier 1",$F771="Remove",$H771&lt;&gt;"",ISNA(MATCH($H771,Tables!$B$143:$B$144,0))),
Error!$B$15,
IF(AND($E771="Tier 1",$F771="Retain",$H771&lt;&gt;"",ISNA(MATCH($H771,Tables!$B$137:$B$140,0))),
Error!$B$15,
IF(AND($E771&lt;&gt;"Tier 2",$E771&lt;&gt;"Tier 2 Grove",$E771&lt;&gt;"Tier 3",$E771&lt;&gt;"Tier 4",$H771="Zoning: Green Factor",OR($D771="",$D771&lt;6)),
Error!$B$11,
IF(AND(_xlpm.baseRow,$D771&lt;6,$E771="&lt;6in DSH for Tree Points",_xlpm.TreePoints_H=0),
Error!$B$21,
IF(AND(_xlpm.baseRow,$E771&lt;&gt;"",$D771&lt;&gt;"",$F771=""),
Error!$B$4,
IF(AND(_xlpm.baseRow,$F771="Remove",OR($E771="Tier 1",$E771="Tier 2",$E771="Tier 2 Grove"),COUNTBLANK(_xlpm.HRange)&lt;3,_xlpm.uniqueH&gt;=2),
Error!$B$48,
IF(AND(_xlpm.baseRow,$F771="Retain",OR($E771="Tier 1",$E771="Tier 2",$E771="Tier 2 Grove"),COUNTIF(_xlpm.HRange,"Tree Code: Required to Retain Tier 1-2 Tree")=0),
Error!$B$47,
IF(AND(_xlpm.baseRow,$E771&lt;&gt;"",$D771&lt;&gt;"",$F771&lt;&gt;"",COUNTBLANK(_xlpm.HRange)=4),
Error!$B$5,
IF(AND($F771="Remove",$H771&lt;&gt;"",$I771=""),
Error!$B$18,
IF(AND($E771="Tier 4",$F771="Remove",$H771="Tree Protection Code: Tier 3 or Tier 4 Allowance",$H771&lt;&gt;"",ISNA(MATCH($I771,Tables!$B$200,0))),
Error!$B$17,
IF(AND($E771="Tier 3",$F771="Remove",$H771&lt;&gt;"",$H771="Tree Protection Code: Tier 3 or Tier 4 Allowance",OR($I771="",ISNA(MATCH($I771,Tables!$B$193:$B$197,0)))),
Error!$B$17,
IF(AND(OR($E771="Tier 2",$E771="Tier 2 Grove"),$F771="Remove",$H771="Tree Protection Code: Other removal allowance or exemption",$I771&lt;&gt;"",ISNA(MATCH($I771,Tables!$B$215:$B$218,0))),
Error!$B$17,
IF(AND(OR($E771="Tier 2",$E771="Tier 2 Grove"),$F771="Remove",$H771="Tree Protection Code: Development Capacity",$I771&lt;&gt;"",ISNA(MATCH($I771,Tables!$B$193:$B$197,0))),
Error!$B$17,
IF(AND(OR($E771="Tier 2",$E771="Tier 2 Grove"),$F771="Remove",$H771="Tree Protection Code: Necessary for Construction",$I771&lt;&gt;"",ISNA(MATCH($I771,Tables!$B$193:$B$197,0))),
Error!$B$17,
IF(AND($E771="Tier 1",$F771="Remove",$H771="Tree Protection Code: Special Exception",$I771&lt;&gt;"",ISNA(MATCH($I771,Tables!$B$215:$B$218,0))),
Error!$B$17,
IF(AND($E771="Tier 1",$F771="Remove",$H771="Tree Protection Code: Other removal allowance or exemption",$I771&lt;&gt;"",ISNA(MATCH($I771,Tables!$B$215:$B$218,0))),
Error!$B$17,
IF(AND($E771="ECA / Shoreline Tree",$F771="Remove",$H771&lt;&gt;"",OR($H771="Shoreline",$H771="Environmental Critical Area (ECA)"),ISNA(MATCH($I771,Tables!$B$209:$B$212,0))),
Error!$B$17,
IF(AND(_xlpm.baseRow,$F771="Retain",$E771="ECA / Shoreline Tree",_xlpm.ECA_Short=0),
Error!$B$61,
IF(AND($F771="Remove",ISNUMBER(MATCH($E771,{"Tier 1","Tier 2","Tier 3","Tier 4","Tier 2 Grove"},0)),ISNUMBER(MATCH($I771,{"On-site replacement","Off-site replacement"},0)),$J771="",$H771&lt;&gt;""),
Error!$B$19,
IF(AND(_xlpm.baseRow,$E771&lt;&gt;"",$D771&lt;&gt;"",$F771&lt;&gt;"",COUNTBLANK($B771:$C771)&gt;0,COUNTBLANK(_xlpm.HRange)&lt;&gt;4),
Error!$B$22,
IF(AND($H771="Zoning: Tree Points",$K771&lt;&gt;"",ISNA(MATCH($K771,Tables!$B$242:$B$253,0))),
Error!$B$58,
IF(AND($H771="Zoning: Tree Points",$K771="Small",$L771&lt;&gt;"",ISNA(MATCH($L771,Tables!$C$243:$C$244,0))),
Error!$B$59,
IF(AND($H771="Zoning: Tree Points",$K771="Small/Medium",$L771&lt;&gt;"",ISNA(MATCH($L771,Tables!$C$246:$C$247,0))),
Error!$B$59,
IF(AND($H771="Zoning: Tree Points",$K771="Medium/Large",$L771&lt;&gt;"",ISNA(MATCH($L771,Tables!$C$249:$C$250,0))),
Error!$B$59,
IF(AND($H771="Zoning: Tree Points",$K771="Large",$L771&lt;&gt;"",ISNA(MATCH($L771,Tables!$C$252:$C$253,0))),
Error!$B$59,
IF(AND($F771="Retain",$H771="Zoning: Tree Points",$C771&lt;&gt;"",$D771&lt;&gt;"",OR($K771="",$L771="",$M771="")),
Error!$B$20,
""
)))))))))))))))))))))))))))))))))))))))))))))))))))))))),
Error!$B$23))</f>
        <v/>
      </c>
      <c r="O771" s="343" t="str" cm="1">
        <f t="array" aca="1" ref="O771" ca="1">IFERROR(_xlfn.LET(
    _xlpm.txt, $C771,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72" spans="1:15" x14ac:dyDescent="0.3">
      <c r="A772" s="320"/>
      <c r="B772" s="616" t="str">
        <f t="shared" ref="B772:B774" si="918">IF($B771="", "", $B771)</f>
        <v/>
      </c>
      <c r="C772" s="617" t="str">
        <f t="shared" ref="C772:C774" si="919">IF($C771="", "", $C771)</f>
        <v/>
      </c>
      <c r="D772" s="618" t="str">
        <f t="shared" ref="D772:D774" si="920">IF($D771="", "", $D771)</f>
        <v/>
      </c>
      <c r="E772" s="616" t="str">
        <f t="shared" ref="E772:E774" si="921">IF($E771="", "", $E771)</f>
        <v/>
      </c>
      <c r="F772" s="616" t="str">
        <f t="shared" ref="F772:F774" si="922">IF($F771="", "", $F771)</f>
        <v/>
      </c>
      <c r="G772" s="619" t="str">
        <f>IF(Tree_Table1[[#This Row],[Tree Status  &amp;]]="Retain", Tables!$B$237, IF(Tree_Table1[[#This Row],[Tree Status  &amp;]]="Remove", Tables!$B$238, ""))</f>
        <v/>
      </c>
      <c r="H772" s="321"/>
      <c r="I772" s="322"/>
      <c r="J772" s="453"/>
      <c r="K772" s="323" t="str">
        <f>IFERROR(
    IF(
        AND($H772="Zoning: Tree Points", NOT(ISNUMBER(SEARCH("sp.", $C772)))),
        VLOOKUP($C772, 'Tree List'!$C$3:$F$601, 4, FALSE),
        ""
    ),
"")</f>
        <v/>
      </c>
      <c r="L772" s="324" t="str" cm="1">
        <f t="array" ref="L772">IFERROR(
IF(
    AND($H772="Zoning: Tree Points", NOT(ISNUMBER(SEARCH("sp.", $C772)))),
    _xlfn.IFS(
        (COUNTIFS('Tree List'!$C$3:$C$601,$C772,'Tree List'!$D$3:$D$601,"Coniferous")
        + COUNTIFS('Tree List'!$C$3:$C$601,$C772,'Tree List'!$D$3:$D$601,"Deciduous Conifer")) &gt; 0,
            _xlfn.IFS($K772="Small",0.5,$K772="Small/Medium",1,$K772="Medium/Large",1.4,$K772="Large",1.8),
        (COUNTIFS('Tree List'!$C$3:$C$601,$C772,'Tree List'!$D$3:$D$601,"Deciduous")
        + COUNTIFS('Tree List'!$C$3:$C$601,$C772,'Tree List'!$D$3:$D$601,"Broadleaf Evergreen")) &gt; 0,
            _xlfn.IFS($K772="Small",0.4,$K772="Small/Medium",0.8,$K772="Medium/Large",1.2,$K772="Large",1.6)
    ),
    ""
),
"")</f>
        <v/>
      </c>
      <c r="M772" s="475" t="str">
        <f t="shared" si="897"/>
        <v/>
      </c>
      <c r="N772" s="346" t="str" cm="1">
        <f t="array" aca="1" ref="N77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IF(AND(_xlpm.baseRow,ISNA(MATCH($C772,'Tree List'!$C$3:$C$601,0)),SUMPRODUCT(--ISNUMBER(SEARCH(Tables2!$C$677:$C$772,$O772)))&gt;0),
Error!$B$57,
IF(AND(_xlpm.hasDM,$F772="Remove",$H772&lt;&gt;"",OR($I772="On-site replacement",$I772="Off-site replacement",$I772="Payment In Lieu")),
Error!$B$56,
IF(AND(_xlpm.hasDM,$F772="Remove",$H772&lt;&gt;"",$I772="Relocation"),
Error!$B$66,
IF(AND(OR(_xlpm.hasCN,_xlpm.hasPH,_xlpm.hasGR),$H772&lt;&gt;"",COUNTIF(Tables!$B$132:$B$134,$H772)&gt;0,$I772="N/A (No replacement required)"),
Error!$B$62,
IF(AND(_xlpm.baseRow,$E772&lt;&gt;"",ISNA(MATCH($E772,Tables!$B$225:$B$232,0))),
Error!$B$2,
IF(AND(_xlpm.baseRow,$F772&lt;&gt;"",ISNA(MATCH($F772,Tables!$B$234:$B$235,0))),
Error!$B$24,
IF(AND(_xlpm.baseRow,_xlpm.ECA_H&gt;0,_xlpm.Shore_H&gt;0),
Error!$B$16,
IF(AND(_xlpm.baseRow,$E772&lt;&gt;"",$D772=""),
Error!$B$3,
IF(AND(_xlpm.baseRow,OR($E772="Tier 3",$E772="Tier 4"),$C772&lt;&gt;"",$D772&gt;=24,COUNTIF(Tables2!$B$166:$B$674,$C772)&gt;0),
Error!$B$44,
IF(AND(_xlpm.baseRow,OR($E772="Tier 3",$E772="Tier 4"),$C772&lt;&gt;"",$D772&lt;&gt;"",COUNTIF(Tables2!$B$73:$B$152,$C772)&gt;0,
$D772&gt;=IFERROR(INDEX(Tables2!$C$73:$C$152,MATCH($C772,Tables2!$B$73:$B$152,0)),-1)),
Error!$B$44,
IF(AND(_xlpm.baseRow,OR($E772="Tier 2",$E772="Tier 2 Grove"),$C772&lt;&gt;"",$D772&gt;=12,COUNTIF(Tables2!$B$153:$B$162,$C772)&gt;0),
Error!$B$45,
IF(AND(_xlpm.baseRow,$E772="Tier 2 Grove",$D772&lt;12),
Error!$B$41,
IF(AND(_xlpm.baseRow,$E772="Tier 2",$D772&lt;5.88),
Error!$B$40,
IF(AND(_xlpm.baseRow,OR($E772="Tier 2",$E772="Tier 2 Grove"),$C772&lt;&gt;"",$D772&lt;12,$D772&gt;=6,COUNTIF(Tables2!$B$153:$B$162,$C772)&gt;0),
Error!$B$54,
IF(AND(_xlpm.baseRow,$E772="Tier 2",COUNTIF(Tables2!$B$166:$B$674,$C772)&gt;0,$D772&lt;24),
Error!$B$54,
IF(AND(_xlpm.baseRow,$E772="Tier 3",ISNA(MATCH($C772,Tables2!$B$153:$B$162,0)),OR($D772&lt;12,$D772&gt;=24)),
Error!$B$9,
IF(AND(_xlpm.baseRow,$E772="Tier 3",COUNTIF(Tables2!$B$153:$B$162,$C772)&gt;0,$D772&lt;12),
Error!$B$46,
IF(AND(_xlpm.baseRow,$E772="Tier 4",OR($D772&lt;6,$D772&gt;=12)),
Error!$B$10,
IF(AND(_xlpm.baseRow,$E772="&lt;6in DSH for Tree Points",OR($D772&gt;=6,$D772="")),
Error!$B$8,
IF(AND(_xlpm.baseRow,$E772="Street Tree for Green Factor",$F772&lt;&gt;"",$F772&lt;&gt;"Retain"),
Error!$B$14,
IF(AND($E772="&lt;6in DSH for Tree Points",$F772="Retain",$H772&lt;&gt;"",ISNA(MATCH($H772,Tables!$B$174:$B$174,0))),
Error!$B$15,
IF(AND($E772="Street Tree for Green Factor",$F772="Retain",$H772&lt;&gt;"",$H772&lt;&gt;"Zoning: Green Factor"),
Error!$B$15,
IF(AND($E772="ECA / Shoreline Tree",$F772="Remove",$H772&lt;&gt;"",ISNA(MATCH($H772,Tables!$B$189:$B$190,0))),
Error!$B$15,
IF(AND($E772="ECA / Shoreline Tree",$F772="Retain",$H772&lt;&gt;"",ISNA(MATCH($H772,Tables!$B$184:$B$186,0))),
Error!$B$15,
IF(AND($E772="Tier 4",$F772="Remove",$H772&lt;&gt;"",ISNA(MATCH($H772,Tables!$B$171,0))),
Error!$B$15,
IF(AND($E772="Tier 4",$F772="Retain",$H772&lt;&gt;"",ISNA(MATCH($H772,Tables!$B$166:$B$168,0))),
Error!$B$15,
IF(AND($E772="Tier 3",$F772="Retain",$H772&lt;&gt;"",ISNA(MATCH($H772,Tables!$B$158:$B$160,0))),
Error!$B$15,
IF(AND($E772="Tier 3",$F772="Remove",$H772&lt;&gt;"",ISNA(MATCH($H772,Tables!$B$163,0))),
Error!$B$15,
IF(AND(OR($E772="Tier 2",$E772="Tier 2 Grove"),$F772="Remove",$H772&lt;&gt;"",ISNA(MATCH($H772,Tables!$B$153:$B$155,0))),
Error!$B$15,
IF(AND(OR($E772="Tier 2",$E772="Tier 2 Grove"),$F772="Retain",$H772&lt;&gt;"",ISNA(MATCH($H772,Tables!$B$147:$B$150,0))),
Error!$B$15,
IF(AND($E772="Tier 1",$F772="Remove",$H772&lt;&gt;"",ISNA(MATCH($H772,Tables!$B$143:$B$144,0))),
Error!$B$15,
IF(AND($E772="Tier 1",$F772="Retain",$H772&lt;&gt;"",ISNA(MATCH($H772,Tables!$B$137:$B$140,0))),
Error!$B$15,
IF(AND($E772&lt;&gt;"Tier 2",$E772&lt;&gt;"Tier 2 Grove",$E772&lt;&gt;"Tier 3",$E772&lt;&gt;"Tier 4",$H772="Zoning: Green Factor",OR($D772="",$D772&lt;6)),
Error!$B$11,
IF(AND(_xlpm.baseRow,$D772&lt;6,$E772="&lt;6in DSH for Tree Points",_xlpm.TreePoints_H=0),
Error!$B$21,
IF(AND(_xlpm.baseRow,$E772&lt;&gt;"",$D772&lt;&gt;"",$F772=""),
Error!$B$4,
IF(AND(_xlpm.baseRow,$F772="Remove",OR($E772="Tier 1",$E772="Tier 2",$E772="Tier 2 Grove"),COUNTBLANK(_xlpm.HRange)&lt;3,_xlpm.uniqueH&gt;=2),
Error!$B$48,
IF(AND(_xlpm.baseRow,$F772="Retain",OR($E772="Tier 1",$E772="Tier 2",$E772="Tier 2 Grove"),COUNTIF(_xlpm.HRange,"Tree Code: Required to Retain Tier 1-2 Tree")=0),
Error!$B$47,
IF(AND(_xlpm.baseRow,$E772&lt;&gt;"",$D772&lt;&gt;"",$F772&lt;&gt;"",COUNTBLANK(_xlpm.HRange)=4),
Error!$B$5,
IF(AND($F772="Remove",$H772&lt;&gt;"",$I772=""),
Error!$B$18,
IF(AND($E772="Tier 4",$F772="Remove",$H772="Tree Protection Code: Tier 3 or Tier 4 Allowance",$H772&lt;&gt;"",ISNA(MATCH($I772,Tables!$B$200,0))),
Error!$B$17,
IF(AND($E772="Tier 3",$F772="Remove",$H772&lt;&gt;"",$H772="Tree Protection Code: Tier 3 or Tier 4 Allowance",OR($I772="",ISNA(MATCH($I772,Tables!$B$193:$B$197,0)))),
Error!$B$17,
IF(AND(OR($E772="Tier 2",$E772="Tier 2 Grove"),$F772="Remove",$H772="Tree Protection Code: Other removal allowance or exemption",$I772&lt;&gt;"",ISNA(MATCH($I772,Tables!$B$215:$B$218,0))),
Error!$B$17,
IF(AND(OR($E772="Tier 2",$E772="Tier 2 Grove"),$F772="Remove",$H772="Tree Protection Code: Development Capacity",$I772&lt;&gt;"",ISNA(MATCH($I772,Tables!$B$193:$B$197,0))),
Error!$B$17,
IF(AND(OR($E772="Tier 2",$E772="Tier 2 Grove"),$F772="Remove",$H772="Tree Protection Code: Necessary for Construction",$I772&lt;&gt;"",ISNA(MATCH($I772,Tables!$B$193:$B$197,0))),
Error!$B$17,
IF(AND($E772="Tier 1",$F772="Remove",$H772="Tree Protection Code: Special Exception",$I772&lt;&gt;"",ISNA(MATCH($I772,Tables!$B$215:$B$218,0))),
Error!$B$17,
IF(AND($E772="Tier 1",$F772="Remove",$H772="Tree Protection Code: Other removal allowance or exemption",$I772&lt;&gt;"",ISNA(MATCH($I772,Tables!$B$215:$B$218,0))),
Error!$B$17,
IF(AND($E772="ECA / Shoreline Tree",$F772="Remove",$H772&lt;&gt;"",OR($H772="Shoreline",$H772="Environmental Critical Area (ECA)"),ISNA(MATCH($I772,Tables!$B$209:$B$212,0))),
Error!$B$17,
IF(AND(_xlpm.baseRow,$F772="Retain",$E772="ECA / Shoreline Tree",_xlpm.ECA_Short=0),
Error!$B$61,
IF(AND($F772="Remove",ISNUMBER(MATCH($E772,{"Tier 1","Tier 2","Tier 3","Tier 4","Tier 2 Grove"},0)),ISNUMBER(MATCH($I772,{"On-site replacement","Off-site replacement"},0)),$J772="",$H772&lt;&gt;""),
Error!$B$19,
IF(AND(_xlpm.baseRow,$E772&lt;&gt;"",$D772&lt;&gt;"",$F772&lt;&gt;"",COUNTBLANK($B772:$C772)&gt;0,COUNTBLANK(_xlpm.HRange)&lt;&gt;4),
Error!$B$22,
IF(AND($H772="Zoning: Tree Points",$K772&lt;&gt;"",ISNA(MATCH($K772,Tables!$B$242:$B$253,0))),
Error!$B$58,
IF(AND($H772="Zoning: Tree Points",$K772="Small",$L772&lt;&gt;"",ISNA(MATCH($L772,Tables!$C$243:$C$244,0))),
Error!$B$59,
IF(AND($H772="Zoning: Tree Points",$K772="Small/Medium",$L772&lt;&gt;"",ISNA(MATCH($L772,Tables!$C$246:$C$247,0))),
Error!$B$59,
IF(AND($H772="Zoning: Tree Points",$K772="Medium/Large",$L772&lt;&gt;"",ISNA(MATCH($L772,Tables!$C$249:$C$250,0))),
Error!$B$59,
IF(AND($H772="Zoning: Tree Points",$K772="Large",$L772&lt;&gt;"",ISNA(MATCH($L772,Tables!$C$252:$C$253,0))),
Error!$B$59,
IF(AND($F772="Retain",$H772="Zoning: Tree Points",$C772&lt;&gt;"",$D772&lt;&gt;"",OR($K772="",$L772="",$M772="")),
Error!$B$20,
""
)))))))))))))))))))))))))))))))))))))))))))))))))))))))),
Error!$B$23))</f>
        <v/>
      </c>
      <c r="O772" s="343" t="str" cm="1">
        <f t="array" aca="1" ref="O772" ca="1">IFERROR(_xlfn.LET(
    _xlpm.txt, $C772,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73" spans="1:15" x14ac:dyDescent="0.3">
      <c r="A773" s="320"/>
      <c r="B773" s="616" t="str">
        <f t="shared" si="918"/>
        <v/>
      </c>
      <c r="C773" s="617" t="str">
        <f t="shared" si="919"/>
        <v/>
      </c>
      <c r="D773" s="618" t="str">
        <f t="shared" si="920"/>
        <v/>
      </c>
      <c r="E773" s="616" t="str">
        <f t="shared" si="921"/>
        <v/>
      </c>
      <c r="F773" s="616" t="str">
        <f t="shared" si="922"/>
        <v/>
      </c>
      <c r="G773" s="619" t="str">
        <f>IF(Tree_Table1[[#This Row],[Tree Status  &amp;]]="Retain", Tables!$B$237, IF(Tree_Table1[[#This Row],[Tree Status  &amp;]]="Remove", Tables!$B$238, ""))</f>
        <v/>
      </c>
      <c r="H773" s="321"/>
      <c r="I773" s="322"/>
      <c r="J773" s="453"/>
      <c r="K773" s="323" t="str">
        <f>IFERROR(
    IF(
        AND($H773="Zoning: Tree Points", NOT(ISNUMBER(SEARCH("sp.", $C773)))),
        VLOOKUP($C773, 'Tree List'!$C$3:$F$601, 4, FALSE),
        ""
    ),
"")</f>
        <v/>
      </c>
      <c r="L773" s="324" t="str" cm="1">
        <f t="array" ref="L773">IFERROR(
IF(
    AND($H773="Zoning: Tree Points", NOT(ISNUMBER(SEARCH("sp.", $C773)))),
    _xlfn.IFS(
        (COUNTIFS('Tree List'!$C$3:$C$601,$C773,'Tree List'!$D$3:$D$601,"Coniferous")
        + COUNTIFS('Tree List'!$C$3:$C$601,$C773,'Tree List'!$D$3:$D$601,"Deciduous Conifer")) &gt; 0,
            _xlfn.IFS($K773="Small",0.5,$K773="Small/Medium",1,$K773="Medium/Large",1.4,$K773="Large",1.8),
        (COUNTIFS('Tree List'!$C$3:$C$601,$C773,'Tree List'!$D$3:$D$601,"Deciduous")
        + COUNTIFS('Tree List'!$C$3:$C$601,$C773,'Tree List'!$D$3:$D$601,"Broadleaf Evergreen")) &gt; 0,
            _xlfn.IFS($K773="Small",0.4,$K773="Small/Medium",0.8,$K773="Medium/Large",1.2,$K773="Large",1.6)
    ),
    ""
),
"")</f>
        <v/>
      </c>
      <c r="M773" s="475" t="str">
        <f t="shared" si="897"/>
        <v/>
      </c>
      <c r="N773" s="346" t="str" cm="1">
        <f t="array" aca="1" ref="N77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IF(AND(_xlpm.baseRow,ISNA(MATCH($C773,'Tree List'!$C$3:$C$601,0)),SUMPRODUCT(--ISNUMBER(SEARCH(Tables2!$C$677:$C$772,$O773)))&gt;0),
Error!$B$57,
IF(AND(_xlpm.hasDM,$F773="Remove",$H773&lt;&gt;"",OR($I773="On-site replacement",$I773="Off-site replacement",$I773="Payment In Lieu")),
Error!$B$56,
IF(AND(_xlpm.hasDM,$F773="Remove",$H773&lt;&gt;"",$I773="Relocation"),
Error!$B$66,
IF(AND(OR(_xlpm.hasCN,_xlpm.hasPH,_xlpm.hasGR),$H773&lt;&gt;"",COUNTIF(Tables!$B$132:$B$134,$H773)&gt;0,$I773="N/A (No replacement required)"),
Error!$B$62,
IF(AND(_xlpm.baseRow,$E773&lt;&gt;"",ISNA(MATCH($E773,Tables!$B$225:$B$232,0))),
Error!$B$2,
IF(AND(_xlpm.baseRow,$F773&lt;&gt;"",ISNA(MATCH($F773,Tables!$B$234:$B$235,0))),
Error!$B$24,
IF(AND(_xlpm.baseRow,_xlpm.ECA_H&gt;0,_xlpm.Shore_H&gt;0),
Error!$B$16,
IF(AND(_xlpm.baseRow,$E773&lt;&gt;"",$D773=""),
Error!$B$3,
IF(AND(_xlpm.baseRow,OR($E773="Tier 3",$E773="Tier 4"),$C773&lt;&gt;"",$D773&gt;=24,COUNTIF(Tables2!$B$166:$B$674,$C773)&gt;0),
Error!$B$44,
IF(AND(_xlpm.baseRow,OR($E773="Tier 3",$E773="Tier 4"),$C773&lt;&gt;"",$D773&lt;&gt;"",COUNTIF(Tables2!$B$73:$B$152,$C773)&gt;0,
$D773&gt;=IFERROR(INDEX(Tables2!$C$73:$C$152,MATCH($C773,Tables2!$B$73:$B$152,0)),-1)),
Error!$B$44,
IF(AND(_xlpm.baseRow,OR($E773="Tier 2",$E773="Tier 2 Grove"),$C773&lt;&gt;"",$D773&gt;=12,COUNTIF(Tables2!$B$153:$B$162,$C773)&gt;0),
Error!$B$45,
IF(AND(_xlpm.baseRow,$E773="Tier 2 Grove",$D773&lt;12),
Error!$B$41,
IF(AND(_xlpm.baseRow,$E773="Tier 2",$D773&lt;5.88),
Error!$B$40,
IF(AND(_xlpm.baseRow,OR($E773="Tier 2",$E773="Tier 2 Grove"),$C773&lt;&gt;"",$D773&lt;12,$D773&gt;=6,COUNTIF(Tables2!$B$153:$B$162,$C773)&gt;0),
Error!$B$54,
IF(AND(_xlpm.baseRow,$E773="Tier 2",COUNTIF(Tables2!$B$166:$B$674,$C773)&gt;0,$D773&lt;24),
Error!$B$54,
IF(AND(_xlpm.baseRow,$E773="Tier 3",ISNA(MATCH($C773,Tables2!$B$153:$B$162,0)),OR($D773&lt;12,$D773&gt;=24)),
Error!$B$9,
IF(AND(_xlpm.baseRow,$E773="Tier 3",COUNTIF(Tables2!$B$153:$B$162,$C773)&gt;0,$D773&lt;12),
Error!$B$46,
IF(AND(_xlpm.baseRow,$E773="Tier 4",OR($D773&lt;6,$D773&gt;=12)),
Error!$B$10,
IF(AND(_xlpm.baseRow,$E773="&lt;6in DSH for Tree Points",OR($D773&gt;=6,$D773="")),
Error!$B$8,
IF(AND(_xlpm.baseRow,$E773="Street Tree for Green Factor",$F773&lt;&gt;"",$F773&lt;&gt;"Retain"),
Error!$B$14,
IF(AND($E773="&lt;6in DSH for Tree Points",$F773="Retain",$H773&lt;&gt;"",ISNA(MATCH($H773,Tables!$B$174:$B$174,0))),
Error!$B$15,
IF(AND($E773="Street Tree for Green Factor",$F773="Retain",$H773&lt;&gt;"",$H773&lt;&gt;"Zoning: Green Factor"),
Error!$B$15,
IF(AND($E773="ECA / Shoreline Tree",$F773="Remove",$H773&lt;&gt;"",ISNA(MATCH($H773,Tables!$B$189:$B$190,0))),
Error!$B$15,
IF(AND($E773="ECA / Shoreline Tree",$F773="Retain",$H773&lt;&gt;"",ISNA(MATCH($H773,Tables!$B$184:$B$186,0))),
Error!$B$15,
IF(AND($E773="Tier 4",$F773="Remove",$H773&lt;&gt;"",ISNA(MATCH($H773,Tables!$B$171,0))),
Error!$B$15,
IF(AND($E773="Tier 4",$F773="Retain",$H773&lt;&gt;"",ISNA(MATCH($H773,Tables!$B$166:$B$168,0))),
Error!$B$15,
IF(AND($E773="Tier 3",$F773="Retain",$H773&lt;&gt;"",ISNA(MATCH($H773,Tables!$B$158:$B$160,0))),
Error!$B$15,
IF(AND($E773="Tier 3",$F773="Remove",$H773&lt;&gt;"",ISNA(MATCH($H773,Tables!$B$163,0))),
Error!$B$15,
IF(AND(OR($E773="Tier 2",$E773="Tier 2 Grove"),$F773="Remove",$H773&lt;&gt;"",ISNA(MATCH($H773,Tables!$B$153:$B$155,0))),
Error!$B$15,
IF(AND(OR($E773="Tier 2",$E773="Tier 2 Grove"),$F773="Retain",$H773&lt;&gt;"",ISNA(MATCH($H773,Tables!$B$147:$B$150,0))),
Error!$B$15,
IF(AND($E773="Tier 1",$F773="Remove",$H773&lt;&gt;"",ISNA(MATCH($H773,Tables!$B$143:$B$144,0))),
Error!$B$15,
IF(AND($E773="Tier 1",$F773="Retain",$H773&lt;&gt;"",ISNA(MATCH($H773,Tables!$B$137:$B$140,0))),
Error!$B$15,
IF(AND($E773&lt;&gt;"Tier 2",$E773&lt;&gt;"Tier 2 Grove",$E773&lt;&gt;"Tier 3",$E773&lt;&gt;"Tier 4",$H773="Zoning: Green Factor",OR($D773="",$D773&lt;6)),
Error!$B$11,
IF(AND(_xlpm.baseRow,$D773&lt;6,$E773="&lt;6in DSH for Tree Points",_xlpm.TreePoints_H=0),
Error!$B$21,
IF(AND(_xlpm.baseRow,$E773&lt;&gt;"",$D773&lt;&gt;"",$F773=""),
Error!$B$4,
IF(AND(_xlpm.baseRow,$F773="Remove",OR($E773="Tier 1",$E773="Tier 2",$E773="Tier 2 Grove"),COUNTBLANK(_xlpm.HRange)&lt;3,_xlpm.uniqueH&gt;=2),
Error!$B$48,
IF(AND(_xlpm.baseRow,$F773="Retain",OR($E773="Tier 1",$E773="Tier 2",$E773="Tier 2 Grove"),COUNTIF(_xlpm.HRange,"Tree Code: Required to Retain Tier 1-2 Tree")=0),
Error!$B$47,
IF(AND(_xlpm.baseRow,$E773&lt;&gt;"",$D773&lt;&gt;"",$F773&lt;&gt;"",COUNTBLANK(_xlpm.HRange)=4),
Error!$B$5,
IF(AND($F773="Remove",$H773&lt;&gt;"",$I773=""),
Error!$B$18,
IF(AND($E773="Tier 4",$F773="Remove",$H773="Tree Protection Code: Tier 3 or Tier 4 Allowance",$H773&lt;&gt;"",ISNA(MATCH($I773,Tables!$B$200,0))),
Error!$B$17,
IF(AND($E773="Tier 3",$F773="Remove",$H773&lt;&gt;"",$H773="Tree Protection Code: Tier 3 or Tier 4 Allowance",OR($I773="",ISNA(MATCH($I773,Tables!$B$193:$B$197,0)))),
Error!$B$17,
IF(AND(OR($E773="Tier 2",$E773="Tier 2 Grove"),$F773="Remove",$H773="Tree Protection Code: Other removal allowance or exemption",$I773&lt;&gt;"",ISNA(MATCH($I773,Tables!$B$215:$B$218,0))),
Error!$B$17,
IF(AND(OR($E773="Tier 2",$E773="Tier 2 Grove"),$F773="Remove",$H773="Tree Protection Code: Development Capacity",$I773&lt;&gt;"",ISNA(MATCH($I773,Tables!$B$193:$B$197,0))),
Error!$B$17,
IF(AND(OR($E773="Tier 2",$E773="Tier 2 Grove"),$F773="Remove",$H773="Tree Protection Code: Necessary for Construction",$I773&lt;&gt;"",ISNA(MATCH($I773,Tables!$B$193:$B$197,0))),
Error!$B$17,
IF(AND($E773="Tier 1",$F773="Remove",$H773="Tree Protection Code: Special Exception",$I773&lt;&gt;"",ISNA(MATCH($I773,Tables!$B$215:$B$218,0))),
Error!$B$17,
IF(AND($E773="Tier 1",$F773="Remove",$H773="Tree Protection Code: Other removal allowance or exemption",$I773&lt;&gt;"",ISNA(MATCH($I773,Tables!$B$215:$B$218,0))),
Error!$B$17,
IF(AND($E773="ECA / Shoreline Tree",$F773="Remove",$H773&lt;&gt;"",OR($H773="Shoreline",$H773="Environmental Critical Area (ECA)"),ISNA(MATCH($I773,Tables!$B$209:$B$212,0))),
Error!$B$17,
IF(AND(_xlpm.baseRow,$F773="Retain",$E773="ECA / Shoreline Tree",_xlpm.ECA_Short=0),
Error!$B$61,
IF(AND($F773="Remove",ISNUMBER(MATCH($E773,{"Tier 1","Tier 2","Tier 3","Tier 4","Tier 2 Grove"},0)),ISNUMBER(MATCH($I773,{"On-site replacement","Off-site replacement"},0)),$J773="",$H773&lt;&gt;""),
Error!$B$19,
IF(AND(_xlpm.baseRow,$E773&lt;&gt;"",$D773&lt;&gt;"",$F773&lt;&gt;"",COUNTBLANK($B773:$C773)&gt;0,COUNTBLANK(_xlpm.HRange)&lt;&gt;4),
Error!$B$22,
IF(AND($H773="Zoning: Tree Points",$K773&lt;&gt;"",ISNA(MATCH($K773,Tables!$B$242:$B$253,0))),
Error!$B$58,
IF(AND($H773="Zoning: Tree Points",$K773="Small",$L773&lt;&gt;"",ISNA(MATCH($L773,Tables!$C$243:$C$244,0))),
Error!$B$59,
IF(AND($H773="Zoning: Tree Points",$K773="Small/Medium",$L773&lt;&gt;"",ISNA(MATCH($L773,Tables!$C$246:$C$247,0))),
Error!$B$59,
IF(AND($H773="Zoning: Tree Points",$K773="Medium/Large",$L773&lt;&gt;"",ISNA(MATCH($L773,Tables!$C$249:$C$250,0))),
Error!$B$59,
IF(AND($H773="Zoning: Tree Points",$K773="Large",$L773&lt;&gt;"",ISNA(MATCH($L773,Tables!$C$252:$C$253,0))),
Error!$B$59,
IF(AND($F773="Retain",$H773="Zoning: Tree Points",$C773&lt;&gt;"",$D773&lt;&gt;"",OR($K773="",$L773="",$M773="")),
Error!$B$20,
""
)))))))))))))))))))))))))))))))))))))))))))))))))))))))),
Error!$B$23))</f>
        <v/>
      </c>
      <c r="O773" s="343" t="str" cm="1">
        <f t="array" aca="1" ref="O773" ca="1">IFERROR(_xlfn.LET(
    _xlpm.txt, $C773,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74" spans="1:15" ht="15" thickBot="1" x14ac:dyDescent="0.35">
      <c r="A774" s="331"/>
      <c r="B774" s="616" t="str">
        <f t="shared" si="918"/>
        <v/>
      </c>
      <c r="C774" s="617" t="str">
        <f t="shared" si="919"/>
        <v/>
      </c>
      <c r="D774" s="618" t="str">
        <f t="shared" si="920"/>
        <v/>
      </c>
      <c r="E774" s="616" t="str">
        <f t="shared" si="921"/>
        <v/>
      </c>
      <c r="F774" s="616" t="str">
        <f t="shared" si="922"/>
        <v/>
      </c>
      <c r="G774" s="619" t="str">
        <f>IF(Tree_Table1[[#This Row],[Tree Status  &amp;]]="Retain", Tables!$B$237, IF(Tree_Table1[[#This Row],[Tree Status  &amp;]]="Remove", Tables!$B$238, ""))</f>
        <v/>
      </c>
      <c r="H774" s="329"/>
      <c r="I774" s="330"/>
      <c r="J774" s="455"/>
      <c r="K774" s="327" t="str">
        <f>IFERROR(
    IF(
        AND($H774="Zoning: Tree Points", NOT(ISNUMBER(SEARCH("sp.", $C774)))),
        VLOOKUP($C774, 'Tree List'!$C$3:$F$601, 4, FALSE),
        ""
    ),
"")</f>
        <v/>
      </c>
      <c r="L774" s="328" t="str" cm="1">
        <f t="array" ref="L774">IFERROR(
IF(
    AND($H774="Zoning: Tree Points", NOT(ISNUMBER(SEARCH("sp.", $C774)))),
    _xlfn.IFS(
        (COUNTIFS('Tree List'!$C$3:$C$601,$C774,'Tree List'!$D$3:$D$601,"Coniferous")
        + COUNTIFS('Tree List'!$C$3:$C$601,$C774,'Tree List'!$D$3:$D$601,"Deciduous Conifer")) &gt; 0,
            _xlfn.IFS($K774="Small",0.5,$K774="Small/Medium",1,$K774="Medium/Large",1.4,$K774="Large",1.8),
        (COUNTIFS('Tree List'!$C$3:$C$601,$C774,'Tree List'!$D$3:$D$601,"Deciduous")
        + COUNTIFS('Tree List'!$C$3:$C$601,$C774,'Tree List'!$D$3:$D$601,"Broadleaf Evergreen")) &gt; 0,
            _xlfn.IFS($K774="Small",0.4,$K774="Small/Medium",0.8,$K774="Medium/Large",1.2,$K774="Large",1.6)
    ),
    ""
),
"")</f>
        <v/>
      </c>
      <c r="M774" s="476" t="str">
        <f t="shared" si="897"/>
        <v/>
      </c>
      <c r="N774" s="347" t="str" cm="1">
        <f t="array" aca="1" ref="N77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IF(AND(_xlpm.baseRow,ISNA(MATCH($C774,'Tree List'!$C$3:$C$601,0)),SUMPRODUCT(--ISNUMBER(SEARCH(Tables2!$C$677:$C$772,$O774)))&gt;0),
Error!$B$57,
IF(AND(_xlpm.hasDM,$F774="Remove",$H774&lt;&gt;"",OR($I774="On-site replacement",$I774="Off-site replacement",$I774="Payment In Lieu")),
Error!$B$56,
IF(AND(_xlpm.hasDM,$F774="Remove",$H774&lt;&gt;"",$I774="Relocation"),
Error!$B$66,
IF(AND(OR(_xlpm.hasCN,_xlpm.hasPH,_xlpm.hasGR),$H774&lt;&gt;"",COUNTIF(Tables!$B$132:$B$134,$H774)&gt;0,$I774="N/A (No replacement required)"),
Error!$B$62,
IF(AND(_xlpm.baseRow,$E774&lt;&gt;"",ISNA(MATCH($E774,Tables!$B$225:$B$232,0))),
Error!$B$2,
IF(AND(_xlpm.baseRow,$F774&lt;&gt;"",ISNA(MATCH($F774,Tables!$B$234:$B$235,0))),
Error!$B$24,
IF(AND(_xlpm.baseRow,_xlpm.ECA_H&gt;0,_xlpm.Shore_H&gt;0),
Error!$B$16,
IF(AND(_xlpm.baseRow,$E774&lt;&gt;"",$D774=""),
Error!$B$3,
IF(AND(_xlpm.baseRow,OR($E774="Tier 3",$E774="Tier 4"),$C774&lt;&gt;"",$D774&gt;=24,COUNTIF(Tables2!$B$166:$B$674,$C774)&gt;0),
Error!$B$44,
IF(AND(_xlpm.baseRow,OR($E774="Tier 3",$E774="Tier 4"),$C774&lt;&gt;"",$D774&lt;&gt;"",COUNTIF(Tables2!$B$73:$B$152,$C774)&gt;0,
$D774&gt;=IFERROR(INDEX(Tables2!$C$73:$C$152,MATCH($C774,Tables2!$B$73:$B$152,0)),-1)),
Error!$B$44,
IF(AND(_xlpm.baseRow,OR($E774="Tier 2",$E774="Tier 2 Grove"),$C774&lt;&gt;"",$D774&gt;=12,COUNTIF(Tables2!$B$153:$B$162,$C774)&gt;0),
Error!$B$45,
IF(AND(_xlpm.baseRow,$E774="Tier 2 Grove",$D774&lt;12),
Error!$B$41,
IF(AND(_xlpm.baseRow,$E774="Tier 2",$D774&lt;5.88),
Error!$B$40,
IF(AND(_xlpm.baseRow,OR($E774="Tier 2",$E774="Tier 2 Grove"),$C774&lt;&gt;"",$D774&lt;12,$D774&gt;=6,COUNTIF(Tables2!$B$153:$B$162,$C774)&gt;0),
Error!$B$54,
IF(AND(_xlpm.baseRow,$E774="Tier 2",COUNTIF(Tables2!$B$166:$B$674,$C774)&gt;0,$D774&lt;24),
Error!$B$54,
IF(AND(_xlpm.baseRow,$E774="Tier 3",ISNA(MATCH($C774,Tables2!$B$153:$B$162,0)),OR($D774&lt;12,$D774&gt;=24)),
Error!$B$9,
IF(AND(_xlpm.baseRow,$E774="Tier 3",COUNTIF(Tables2!$B$153:$B$162,$C774)&gt;0,$D774&lt;12),
Error!$B$46,
IF(AND(_xlpm.baseRow,$E774="Tier 4",OR($D774&lt;6,$D774&gt;=12)),
Error!$B$10,
IF(AND(_xlpm.baseRow,$E774="&lt;6in DSH for Tree Points",OR($D774&gt;=6,$D774="")),
Error!$B$8,
IF(AND(_xlpm.baseRow,$E774="Street Tree for Green Factor",$F774&lt;&gt;"",$F774&lt;&gt;"Retain"),
Error!$B$14,
IF(AND($E774="&lt;6in DSH for Tree Points",$F774="Retain",$H774&lt;&gt;"",ISNA(MATCH($H774,Tables!$B$174:$B$174,0))),
Error!$B$15,
IF(AND($E774="Street Tree for Green Factor",$F774="Retain",$H774&lt;&gt;"",$H774&lt;&gt;"Zoning: Green Factor"),
Error!$B$15,
IF(AND($E774="ECA / Shoreline Tree",$F774="Remove",$H774&lt;&gt;"",ISNA(MATCH($H774,Tables!$B$189:$B$190,0))),
Error!$B$15,
IF(AND($E774="ECA / Shoreline Tree",$F774="Retain",$H774&lt;&gt;"",ISNA(MATCH($H774,Tables!$B$184:$B$186,0))),
Error!$B$15,
IF(AND($E774="Tier 4",$F774="Remove",$H774&lt;&gt;"",ISNA(MATCH($H774,Tables!$B$171,0))),
Error!$B$15,
IF(AND($E774="Tier 4",$F774="Retain",$H774&lt;&gt;"",ISNA(MATCH($H774,Tables!$B$166:$B$168,0))),
Error!$B$15,
IF(AND($E774="Tier 3",$F774="Retain",$H774&lt;&gt;"",ISNA(MATCH($H774,Tables!$B$158:$B$160,0))),
Error!$B$15,
IF(AND($E774="Tier 3",$F774="Remove",$H774&lt;&gt;"",ISNA(MATCH($H774,Tables!$B$163,0))),
Error!$B$15,
IF(AND(OR($E774="Tier 2",$E774="Tier 2 Grove"),$F774="Remove",$H774&lt;&gt;"",ISNA(MATCH($H774,Tables!$B$153:$B$155,0))),
Error!$B$15,
IF(AND(OR($E774="Tier 2",$E774="Tier 2 Grove"),$F774="Retain",$H774&lt;&gt;"",ISNA(MATCH($H774,Tables!$B$147:$B$150,0))),
Error!$B$15,
IF(AND($E774="Tier 1",$F774="Remove",$H774&lt;&gt;"",ISNA(MATCH($H774,Tables!$B$143:$B$144,0))),
Error!$B$15,
IF(AND($E774="Tier 1",$F774="Retain",$H774&lt;&gt;"",ISNA(MATCH($H774,Tables!$B$137:$B$140,0))),
Error!$B$15,
IF(AND($E774&lt;&gt;"Tier 2",$E774&lt;&gt;"Tier 2 Grove",$E774&lt;&gt;"Tier 3",$E774&lt;&gt;"Tier 4",$H774="Zoning: Green Factor",OR($D774="",$D774&lt;6)),
Error!$B$11,
IF(AND(_xlpm.baseRow,$D774&lt;6,$E774="&lt;6in DSH for Tree Points",_xlpm.TreePoints_H=0),
Error!$B$21,
IF(AND(_xlpm.baseRow,$E774&lt;&gt;"",$D774&lt;&gt;"",$F774=""),
Error!$B$4,
IF(AND(_xlpm.baseRow,$F774="Remove",OR($E774="Tier 1",$E774="Tier 2",$E774="Tier 2 Grove"),COUNTBLANK(_xlpm.HRange)&lt;3,_xlpm.uniqueH&gt;=2),
Error!$B$48,
IF(AND(_xlpm.baseRow,$F774="Retain",OR($E774="Tier 1",$E774="Tier 2",$E774="Tier 2 Grove"),COUNTIF(_xlpm.HRange,"Tree Code: Required to Retain Tier 1-2 Tree")=0),
Error!$B$47,
IF(AND(_xlpm.baseRow,$E774&lt;&gt;"",$D774&lt;&gt;"",$F774&lt;&gt;"",COUNTBLANK(_xlpm.HRange)=4),
Error!$B$5,
IF(AND($F774="Remove",$H774&lt;&gt;"",$I774=""),
Error!$B$18,
IF(AND($E774="Tier 4",$F774="Remove",$H774="Tree Protection Code: Tier 3 or Tier 4 Allowance",$H774&lt;&gt;"",ISNA(MATCH($I774,Tables!$B$200,0))),
Error!$B$17,
IF(AND($E774="Tier 3",$F774="Remove",$H774&lt;&gt;"",$H774="Tree Protection Code: Tier 3 or Tier 4 Allowance",OR($I774="",ISNA(MATCH($I774,Tables!$B$193:$B$197,0)))),
Error!$B$17,
IF(AND(OR($E774="Tier 2",$E774="Tier 2 Grove"),$F774="Remove",$H774="Tree Protection Code: Other removal allowance or exemption",$I774&lt;&gt;"",ISNA(MATCH($I774,Tables!$B$215:$B$218,0))),
Error!$B$17,
IF(AND(OR($E774="Tier 2",$E774="Tier 2 Grove"),$F774="Remove",$H774="Tree Protection Code: Development Capacity",$I774&lt;&gt;"",ISNA(MATCH($I774,Tables!$B$193:$B$197,0))),
Error!$B$17,
IF(AND(OR($E774="Tier 2",$E774="Tier 2 Grove"),$F774="Remove",$H774="Tree Protection Code: Necessary for Construction",$I774&lt;&gt;"",ISNA(MATCH($I774,Tables!$B$193:$B$197,0))),
Error!$B$17,
IF(AND($E774="Tier 1",$F774="Remove",$H774="Tree Protection Code: Special Exception",$I774&lt;&gt;"",ISNA(MATCH($I774,Tables!$B$215:$B$218,0))),
Error!$B$17,
IF(AND($E774="Tier 1",$F774="Remove",$H774="Tree Protection Code: Other removal allowance or exemption",$I774&lt;&gt;"",ISNA(MATCH($I774,Tables!$B$215:$B$218,0))),
Error!$B$17,
IF(AND($E774="ECA / Shoreline Tree",$F774="Remove",$H774&lt;&gt;"",OR($H774="Shoreline",$H774="Environmental Critical Area (ECA)"),ISNA(MATCH($I774,Tables!$B$209:$B$212,0))),
Error!$B$17,
IF(AND(_xlpm.baseRow,$F774="Retain",$E774="ECA / Shoreline Tree",_xlpm.ECA_Short=0),
Error!$B$61,
IF(AND($F774="Remove",ISNUMBER(MATCH($E774,{"Tier 1","Tier 2","Tier 3","Tier 4","Tier 2 Grove"},0)),ISNUMBER(MATCH($I774,{"On-site replacement","Off-site replacement"},0)),$J774="",$H774&lt;&gt;""),
Error!$B$19,
IF(AND(_xlpm.baseRow,$E774&lt;&gt;"",$D774&lt;&gt;"",$F774&lt;&gt;"",COUNTBLANK($B774:$C774)&gt;0,COUNTBLANK(_xlpm.HRange)&lt;&gt;4),
Error!$B$22,
IF(AND($H774="Zoning: Tree Points",$K774&lt;&gt;"",ISNA(MATCH($K774,Tables!$B$242:$B$253,0))),
Error!$B$58,
IF(AND($H774="Zoning: Tree Points",$K774="Small",$L774&lt;&gt;"",ISNA(MATCH($L774,Tables!$C$243:$C$244,0))),
Error!$B$59,
IF(AND($H774="Zoning: Tree Points",$K774="Small/Medium",$L774&lt;&gt;"",ISNA(MATCH($L774,Tables!$C$246:$C$247,0))),
Error!$B$59,
IF(AND($H774="Zoning: Tree Points",$K774="Medium/Large",$L774&lt;&gt;"",ISNA(MATCH($L774,Tables!$C$249:$C$250,0))),
Error!$B$59,
IF(AND($H774="Zoning: Tree Points",$K774="Large",$L774&lt;&gt;"",ISNA(MATCH($L774,Tables!$C$252:$C$253,0))),
Error!$B$59,
IF(AND($F774="Retain",$H774="Zoning: Tree Points",$C774&lt;&gt;"",$D774&lt;&gt;"",OR($K774="",$L774="",$M774="")),
Error!$B$20,
""
)))))))))))))))))))))))))))))))))))))))))))))))))))))))),
Error!$B$23))</f>
        <v/>
      </c>
      <c r="O774" s="343" t="str" cm="1">
        <f t="array" aca="1" ref="O774" ca="1">IFERROR(_xlfn.LET(
    _xlpm.txt, $C774,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75" spans="1:15" ht="15" thickBot="1" x14ac:dyDescent="0.35">
      <c r="A775" s="311">
        <v>192</v>
      </c>
      <c r="B775" s="312"/>
      <c r="C775" s="313"/>
      <c r="D775" s="478"/>
      <c r="E775" s="314"/>
      <c r="F775" s="314"/>
      <c r="G775" s="315" t="str">
        <f>IF(Tree_Table1[[#This Row],[Tree Status  &amp;]]="Retain", Tables!$B$237, IF(Tree_Table1[[#This Row],[Tree Status  &amp;]]="Remove", Tables!$B$238, ""))</f>
        <v/>
      </c>
      <c r="H775" s="316"/>
      <c r="I775" s="317"/>
      <c r="J775" s="452"/>
      <c r="K775" s="318" t="str">
        <f>IFERROR(
    IF(
        AND($H775="Zoning: Tree Points", NOT(ISNUMBER(SEARCH("sp.", $C775)))),
        VLOOKUP($C775, 'Tree List'!$C$3:$F$601, 4, FALSE),
        ""
    ),
"")</f>
        <v/>
      </c>
      <c r="L775" s="319" t="str" cm="1">
        <f t="array" ref="L775">IFERROR(
IF(
    AND($H775="Zoning: Tree Points", NOT(ISNUMBER(SEARCH("sp.", $C775)))),
    _xlfn.IFS(
        (COUNTIFS('Tree List'!$C$3:$C$601,$C775,'Tree List'!$D$3:$D$601,"Coniferous")
        + COUNTIFS('Tree List'!$C$3:$C$601,$C775,'Tree List'!$D$3:$D$601,"Deciduous Conifer")) &gt; 0,
            _xlfn.IFS($K775="Small",0.5,$K775="Small/Medium",1,$K775="Medium/Large",1.4,$K775="Large",1.8),
        (COUNTIFS('Tree List'!$C$3:$C$601,$C775,'Tree List'!$D$3:$D$601,"Deciduous")
        + COUNTIFS('Tree List'!$C$3:$C$601,$C775,'Tree List'!$D$3:$D$601,"Broadleaf Evergreen")) &gt; 0,
            _xlfn.IFS($K775="Small",0.4,$K775="Small/Medium",0.8,$K775="Medium/Large",1.2,$K775="Large",1.6)
    ),
    ""
),
"")</f>
        <v/>
      </c>
      <c r="M775" s="474" t="str">
        <f t="shared" si="897"/>
        <v/>
      </c>
      <c r="N775" s="620" t="str" cm="1">
        <f t="array" aca="1" ref="N77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IF(AND(_xlpm.baseRow,ISNA(MATCH($C775,'Tree List'!$C$3:$C$601,0)),SUMPRODUCT(--ISNUMBER(SEARCH(Tables2!$C$677:$C$772,$O775)))&gt;0),
Error!$B$57,
IF(AND(_xlpm.hasDM,$F775="Remove",$H775&lt;&gt;"",OR($I775="On-site replacement",$I775="Off-site replacement",$I775="Payment In Lieu")),
Error!$B$56,
IF(AND(_xlpm.hasDM,$F775="Remove",$H775&lt;&gt;"",$I775="Relocation"),
Error!$B$66,
IF(AND(OR(_xlpm.hasCN,_xlpm.hasPH,_xlpm.hasGR),$H775&lt;&gt;"",COUNTIF(Tables!$B$132:$B$134,$H775)&gt;0,$I775="N/A (No replacement required)"),
Error!$B$62,
IF(AND(_xlpm.baseRow,$E775&lt;&gt;"",ISNA(MATCH($E775,Tables!$B$225:$B$232,0))),
Error!$B$2,
IF(AND(_xlpm.baseRow,$F775&lt;&gt;"",ISNA(MATCH($F775,Tables!$B$234:$B$235,0))),
Error!$B$24,
IF(AND(_xlpm.baseRow,_xlpm.ECA_H&gt;0,_xlpm.Shore_H&gt;0),
Error!$B$16,
IF(AND(_xlpm.baseRow,$E775&lt;&gt;"",$D775=""),
Error!$B$3,
IF(AND(_xlpm.baseRow,OR($E775="Tier 3",$E775="Tier 4"),$C775&lt;&gt;"",$D775&gt;=24,COUNTIF(Tables2!$B$166:$B$674,$C775)&gt;0),
Error!$B$44,
IF(AND(_xlpm.baseRow,OR($E775="Tier 3",$E775="Tier 4"),$C775&lt;&gt;"",$D775&lt;&gt;"",COUNTIF(Tables2!$B$73:$B$152,$C775)&gt;0,
$D775&gt;=IFERROR(INDEX(Tables2!$C$73:$C$152,MATCH($C775,Tables2!$B$73:$B$152,0)),-1)),
Error!$B$44,
IF(AND(_xlpm.baseRow,OR($E775="Tier 2",$E775="Tier 2 Grove"),$C775&lt;&gt;"",$D775&gt;=12,COUNTIF(Tables2!$B$153:$B$162,$C775)&gt;0),
Error!$B$45,
IF(AND(_xlpm.baseRow,$E775="Tier 2 Grove",$D775&lt;12),
Error!$B$41,
IF(AND(_xlpm.baseRow,$E775="Tier 2",$D775&lt;5.88),
Error!$B$40,
IF(AND(_xlpm.baseRow,OR($E775="Tier 2",$E775="Tier 2 Grove"),$C775&lt;&gt;"",$D775&lt;12,$D775&gt;=6,COUNTIF(Tables2!$B$153:$B$162,$C775)&gt;0),
Error!$B$54,
IF(AND(_xlpm.baseRow,$E775="Tier 2",COUNTIF(Tables2!$B$166:$B$674,$C775)&gt;0,$D775&lt;24),
Error!$B$54,
IF(AND(_xlpm.baseRow,$E775="Tier 3",ISNA(MATCH($C775,Tables2!$B$153:$B$162,0)),OR($D775&lt;12,$D775&gt;=24)),
Error!$B$9,
IF(AND(_xlpm.baseRow,$E775="Tier 3",COUNTIF(Tables2!$B$153:$B$162,$C775)&gt;0,$D775&lt;12),
Error!$B$46,
IF(AND(_xlpm.baseRow,$E775="Tier 4",OR($D775&lt;6,$D775&gt;=12)),
Error!$B$10,
IF(AND(_xlpm.baseRow,$E775="&lt;6in DSH for Tree Points",OR($D775&gt;=6,$D775="")),
Error!$B$8,
IF(AND(_xlpm.baseRow,$E775="Street Tree for Green Factor",$F775&lt;&gt;"",$F775&lt;&gt;"Retain"),
Error!$B$14,
IF(AND($E775="&lt;6in DSH for Tree Points",$F775="Retain",$H775&lt;&gt;"",ISNA(MATCH($H775,Tables!$B$174:$B$174,0))),
Error!$B$15,
IF(AND($E775="Street Tree for Green Factor",$F775="Retain",$H775&lt;&gt;"",$H775&lt;&gt;"Zoning: Green Factor"),
Error!$B$15,
IF(AND($E775="ECA / Shoreline Tree",$F775="Remove",$H775&lt;&gt;"",ISNA(MATCH($H775,Tables!$B$189:$B$190,0))),
Error!$B$15,
IF(AND($E775="ECA / Shoreline Tree",$F775="Retain",$H775&lt;&gt;"",ISNA(MATCH($H775,Tables!$B$184:$B$186,0))),
Error!$B$15,
IF(AND($E775="Tier 4",$F775="Remove",$H775&lt;&gt;"",ISNA(MATCH($H775,Tables!$B$171,0))),
Error!$B$15,
IF(AND($E775="Tier 4",$F775="Retain",$H775&lt;&gt;"",ISNA(MATCH($H775,Tables!$B$166:$B$168,0))),
Error!$B$15,
IF(AND($E775="Tier 3",$F775="Retain",$H775&lt;&gt;"",ISNA(MATCH($H775,Tables!$B$158:$B$160,0))),
Error!$B$15,
IF(AND($E775="Tier 3",$F775="Remove",$H775&lt;&gt;"",ISNA(MATCH($H775,Tables!$B$163,0))),
Error!$B$15,
IF(AND(OR($E775="Tier 2",$E775="Tier 2 Grove"),$F775="Remove",$H775&lt;&gt;"",ISNA(MATCH($H775,Tables!$B$153:$B$155,0))),
Error!$B$15,
IF(AND(OR($E775="Tier 2",$E775="Tier 2 Grove"),$F775="Retain",$H775&lt;&gt;"",ISNA(MATCH($H775,Tables!$B$147:$B$150,0))),
Error!$B$15,
IF(AND($E775="Tier 1",$F775="Remove",$H775&lt;&gt;"",ISNA(MATCH($H775,Tables!$B$143:$B$144,0))),
Error!$B$15,
IF(AND($E775="Tier 1",$F775="Retain",$H775&lt;&gt;"",ISNA(MATCH($H775,Tables!$B$137:$B$140,0))),
Error!$B$15,
IF(AND($E775&lt;&gt;"Tier 2",$E775&lt;&gt;"Tier 2 Grove",$E775&lt;&gt;"Tier 3",$E775&lt;&gt;"Tier 4",$H775="Zoning: Green Factor",OR($D775="",$D775&lt;6)),
Error!$B$11,
IF(AND(_xlpm.baseRow,$D775&lt;6,$E775="&lt;6in DSH for Tree Points",_xlpm.TreePoints_H=0),
Error!$B$21,
IF(AND(_xlpm.baseRow,$E775&lt;&gt;"",$D775&lt;&gt;"",$F775=""),
Error!$B$4,
IF(AND(_xlpm.baseRow,$F775="Remove",OR($E775="Tier 1",$E775="Tier 2",$E775="Tier 2 Grove"),COUNTBLANK(_xlpm.HRange)&lt;3,_xlpm.uniqueH&gt;=2),
Error!$B$48,
IF(AND(_xlpm.baseRow,$F775="Retain",OR($E775="Tier 1",$E775="Tier 2",$E775="Tier 2 Grove"),COUNTIF(_xlpm.HRange,"Tree Code: Required to Retain Tier 1-2 Tree")=0),
Error!$B$47,
IF(AND(_xlpm.baseRow,$E775&lt;&gt;"",$D775&lt;&gt;"",$F775&lt;&gt;"",COUNTBLANK(_xlpm.HRange)=4),
Error!$B$5,
IF(AND($F775="Remove",$H775&lt;&gt;"",$I775=""),
Error!$B$18,
IF(AND($E775="Tier 4",$F775="Remove",$H775="Tree Protection Code: Tier 3 or Tier 4 Allowance",$H775&lt;&gt;"",ISNA(MATCH($I775,Tables!$B$200,0))),
Error!$B$17,
IF(AND($E775="Tier 3",$F775="Remove",$H775&lt;&gt;"",$H775="Tree Protection Code: Tier 3 or Tier 4 Allowance",OR($I775="",ISNA(MATCH($I775,Tables!$B$193:$B$197,0)))),
Error!$B$17,
IF(AND(OR($E775="Tier 2",$E775="Tier 2 Grove"),$F775="Remove",$H775="Tree Protection Code: Other removal allowance or exemption",$I775&lt;&gt;"",ISNA(MATCH($I775,Tables!$B$215:$B$218,0))),
Error!$B$17,
IF(AND(OR($E775="Tier 2",$E775="Tier 2 Grove"),$F775="Remove",$H775="Tree Protection Code: Development Capacity",$I775&lt;&gt;"",ISNA(MATCH($I775,Tables!$B$193:$B$197,0))),
Error!$B$17,
IF(AND(OR($E775="Tier 2",$E775="Tier 2 Grove"),$F775="Remove",$H775="Tree Protection Code: Necessary for Construction",$I775&lt;&gt;"",ISNA(MATCH($I775,Tables!$B$193:$B$197,0))),
Error!$B$17,
IF(AND($E775="Tier 1",$F775="Remove",$H775="Tree Protection Code: Special Exception",$I775&lt;&gt;"",ISNA(MATCH($I775,Tables!$B$215:$B$218,0))),
Error!$B$17,
IF(AND($E775="Tier 1",$F775="Remove",$H775="Tree Protection Code: Other removal allowance or exemption",$I775&lt;&gt;"",ISNA(MATCH($I775,Tables!$B$215:$B$218,0))),
Error!$B$17,
IF(AND($E775="ECA / Shoreline Tree",$F775="Remove",$H775&lt;&gt;"",OR($H775="Shoreline",$H775="Environmental Critical Area (ECA)"),ISNA(MATCH($I775,Tables!$B$209:$B$212,0))),
Error!$B$17,
IF(AND(_xlpm.baseRow,$F775="Retain",$E775="ECA / Shoreline Tree",_xlpm.ECA_Short=0),
Error!$B$61,
IF(AND($F775="Remove",ISNUMBER(MATCH($E775,{"Tier 1","Tier 2","Tier 3","Tier 4","Tier 2 Grove"},0)),ISNUMBER(MATCH($I775,{"On-site replacement","Off-site replacement"},0)),$J775="",$H775&lt;&gt;""),
Error!$B$19,
IF(AND(_xlpm.baseRow,$E775&lt;&gt;"",$D775&lt;&gt;"",$F775&lt;&gt;"",COUNTBLANK($B775:$C775)&gt;0,COUNTBLANK(_xlpm.HRange)&lt;&gt;4),
Error!$B$22,
IF(AND($H775="Zoning: Tree Points",$K775&lt;&gt;"",ISNA(MATCH($K775,Tables!$B$242:$B$253,0))),
Error!$B$58,
IF(AND($H775="Zoning: Tree Points",$K775="Small",$L775&lt;&gt;"",ISNA(MATCH($L775,Tables!$C$243:$C$244,0))),
Error!$B$59,
IF(AND($H775="Zoning: Tree Points",$K775="Small/Medium",$L775&lt;&gt;"",ISNA(MATCH($L775,Tables!$C$246:$C$247,0))),
Error!$B$59,
IF(AND($H775="Zoning: Tree Points",$K775="Medium/Large",$L775&lt;&gt;"",ISNA(MATCH($L775,Tables!$C$249:$C$250,0))),
Error!$B$59,
IF(AND($H775="Zoning: Tree Points",$K775="Large",$L775&lt;&gt;"",ISNA(MATCH($L775,Tables!$C$252:$C$253,0))),
Error!$B$59,
IF(AND($F775="Retain",$H775="Zoning: Tree Points",$C775&lt;&gt;"",$D775&lt;&gt;"",OR($K775="",$L775="",$M775="")),
Error!$B$20,
""
)))))))))))))))))))))))))))))))))))))))))))))))))))))))),
Error!$B$23))</f>
        <v/>
      </c>
      <c r="O775" s="343" t="str" cm="1">
        <f t="array" aca="1" ref="O775" ca="1">IFERROR(_xlfn.LET(
    _xlpm.txt, $C775,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76" spans="1:15" x14ac:dyDescent="0.3">
      <c r="A776" s="320"/>
      <c r="B776" s="616" t="str">
        <f t="shared" ref="B776:B778" si="923">IF($B775="", "", $B775)</f>
        <v/>
      </c>
      <c r="C776" s="617" t="str">
        <f t="shared" ref="C776:C778" si="924">IF($C775="", "", $C775)</f>
        <v/>
      </c>
      <c r="D776" s="618" t="str">
        <f t="shared" ref="D776:D778" si="925">IF($D775="", "", $D775)</f>
        <v/>
      </c>
      <c r="E776" s="616" t="str">
        <f t="shared" ref="E776:E778" si="926">IF($E775="", "", $E775)</f>
        <v/>
      </c>
      <c r="F776" s="616" t="str">
        <f t="shared" ref="F776:F778" si="927">IF($F775="", "", $F775)</f>
        <v/>
      </c>
      <c r="G776" s="619" t="str">
        <f>IF(Tree_Table1[[#This Row],[Tree Status  &amp;]]="Retain", Tables!$B$237, IF(Tree_Table1[[#This Row],[Tree Status  &amp;]]="Remove", Tables!$B$238, ""))</f>
        <v/>
      </c>
      <c r="H776" s="321"/>
      <c r="I776" s="322"/>
      <c r="J776" s="453"/>
      <c r="K776" s="323" t="str">
        <f>IFERROR(
    IF(
        AND($H776="Zoning: Tree Points", NOT(ISNUMBER(SEARCH("sp.", $C776)))),
        VLOOKUP($C776, 'Tree List'!$C$3:$F$601, 4, FALSE),
        ""
    ),
"")</f>
        <v/>
      </c>
      <c r="L776" s="324" t="str" cm="1">
        <f t="array" ref="L776">IFERROR(
IF(
    AND($H776="Zoning: Tree Points", NOT(ISNUMBER(SEARCH("sp.", $C776)))),
    _xlfn.IFS(
        (COUNTIFS('Tree List'!$C$3:$C$601,$C776,'Tree List'!$D$3:$D$601,"Coniferous")
        + COUNTIFS('Tree List'!$C$3:$C$601,$C776,'Tree List'!$D$3:$D$601,"Deciduous Conifer")) &gt; 0,
            _xlfn.IFS($K776="Small",0.5,$K776="Small/Medium",1,$K776="Medium/Large",1.4,$K776="Large",1.8),
        (COUNTIFS('Tree List'!$C$3:$C$601,$C776,'Tree List'!$D$3:$D$601,"Deciduous")
        + COUNTIFS('Tree List'!$C$3:$C$601,$C776,'Tree List'!$D$3:$D$601,"Broadleaf Evergreen")) &gt; 0,
            _xlfn.IFS($K776="Small",0.4,$K776="Small/Medium",0.8,$K776="Medium/Large",1.2,$K776="Large",1.6)
    ),
    ""
),
"")</f>
        <v/>
      </c>
      <c r="M776" s="475" t="str">
        <f t="shared" si="897"/>
        <v/>
      </c>
      <c r="N776" s="346" t="str" cm="1">
        <f t="array" aca="1" ref="N77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IF(AND(_xlpm.baseRow,ISNA(MATCH($C776,'Tree List'!$C$3:$C$601,0)),SUMPRODUCT(--ISNUMBER(SEARCH(Tables2!$C$677:$C$772,$O776)))&gt;0),
Error!$B$57,
IF(AND(_xlpm.hasDM,$F776="Remove",$H776&lt;&gt;"",OR($I776="On-site replacement",$I776="Off-site replacement",$I776="Payment In Lieu")),
Error!$B$56,
IF(AND(_xlpm.hasDM,$F776="Remove",$H776&lt;&gt;"",$I776="Relocation"),
Error!$B$66,
IF(AND(OR(_xlpm.hasCN,_xlpm.hasPH,_xlpm.hasGR),$H776&lt;&gt;"",COUNTIF(Tables!$B$132:$B$134,$H776)&gt;0,$I776="N/A (No replacement required)"),
Error!$B$62,
IF(AND(_xlpm.baseRow,$E776&lt;&gt;"",ISNA(MATCH($E776,Tables!$B$225:$B$232,0))),
Error!$B$2,
IF(AND(_xlpm.baseRow,$F776&lt;&gt;"",ISNA(MATCH($F776,Tables!$B$234:$B$235,0))),
Error!$B$24,
IF(AND(_xlpm.baseRow,_xlpm.ECA_H&gt;0,_xlpm.Shore_H&gt;0),
Error!$B$16,
IF(AND(_xlpm.baseRow,$E776&lt;&gt;"",$D776=""),
Error!$B$3,
IF(AND(_xlpm.baseRow,OR($E776="Tier 3",$E776="Tier 4"),$C776&lt;&gt;"",$D776&gt;=24,COUNTIF(Tables2!$B$166:$B$674,$C776)&gt;0),
Error!$B$44,
IF(AND(_xlpm.baseRow,OR($E776="Tier 3",$E776="Tier 4"),$C776&lt;&gt;"",$D776&lt;&gt;"",COUNTIF(Tables2!$B$73:$B$152,$C776)&gt;0,
$D776&gt;=IFERROR(INDEX(Tables2!$C$73:$C$152,MATCH($C776,Tables2!$B$73:$B$152,0)),-1)),
Error!$B$44,
IF(AND(_xlpm.baseRow,OR($E776="Tier 2",$E776="Tier 2 Grove"),$C776&lt;&gt;"",$D776&gt;=12,COUNTIF(Tables2!$B$153:$B$162,$C776)&gt;0),
Error!$B$45,
IF(AND(_xlpm.baseRow,$E776="Tier 2 Grove",$D776&lt;12),
Error!$B$41,
IF(AND(_xlpm.baseRow,$E776="Tier 2",$D776&lt;5.88),
Error!$B$40,
IF(AND(_xlpm.baseRow,OR($E776="Tier 2",$E776="Tier 2 Grove"),$C776&lt;&gt;"",$D776&lt;12,$D776&gt;=6,COUNTIF(Tables2!$B$153:$B$162,$C776)&gt;0),
Error!$B$54,
IF(AND(_xlpm.baseRow,$E776="Tier 2",COUNTIF(Tables2!$B$166:$B$674,$C776)&gt;0,$D776&lt;24),
Error!$B$54,
IF(AND(_xlpm.baseRow,$E776="Tier 3",ISNA(MATCH($C776,Tables2!$B$153:$B$162,0)),OR($D776&lt;12,$D776&gt;=24)),
Error!$B$9,
IF(AND(_xlpm.baseRow,$E776="Tier 3",COUNTIF(Tables2!$B$153:$B$162,$C776)&gt;0,$D776&lt;12),
Error!$B$46,
IF(AND(_xlpm.baseRow,$E776="Tier 4",OR($D776&lt;6,$D776&gt;=12)),
Error!$B$10,
IF(AND(_xlpm.baseRow,$E776="&lt;6in DSH for Tree Points",OR($D776&gt;=6,$D776="")),
Error!$B$8,
IF(AND(_xlpm.baseRow,$E776="Street Tree for Green Factor",$F776&lt;&gt;"",$F776&lt;&gt;"Retain"),
Error!$B$14,
IF(AND($E776="&lt;6in DSH for Tree Points",$F776="Retain",$H776&lt;&gt;"",ISNA(MATCH($H776,Tables!$B$174:$B$174,0))),
Error!$B$15,
IF(AND($E776="Street Tree for Green Factor",$F776="Retain",$H776&lt;&gt;"",$H776&lt;&gt;"Zoning: Green Factor"),
Error!$B$15,
IF(AND($E776="ECA / Shoreline Tree",$F776="Remove",$H776&lt;&gt;"",ISNA(MATCH($H776,Tables!$B$189:$B$190,0))),
Error!$B$15,
IF(AND($E776="ECA / Shoreline Tree",$F776="Retain",$H776&lt;&gt;"",ISNA(MATCH($H776,Tables!$B$184:$B$186,0))),
Error!$B$15,
IF(AND($E776="Tier 4",$F776="Remove",$H776&lt;&gt;"",ISNA(MATCH($H776,Tables!$B$171,0))),
Error!$B$15,
IF(AND($E776="Tier 4",$F776="Retain",$H776&lt;&gt;"",ISNA(MATCH($H776,Tables!$B$166:$B$168,0))),
Error!$B$15,
IF(AND($E776="Tier 3",$F776="Retain",$H776&lt;&gt;"",ISNA(MATCH($H776,Tables!$B$158:$B$160,0))),
Error!$B$15,
IF(AND($E776="Tier 3",$F776="Remove",$H776&lt;&gt;"",ISNA(MATCH($H776,Tables!$B$163,0))),
Error!$B$15,
IF(AND(OR($E776="Tier 2",$E776="Tier 2 Grove"),$F776="Remove",$H776&lt;&gt;"",ISNA(MATCH($H776,Tables!$B$153:$B$155,0))),
Error!$B$15,
IF(AND(OR($E776="Tier 2",$E776="Tier 2 Grove"),$F776="Retain",$H776&lt;&gt;"",ISNA(MATCH($H776,Tables!$B$147:$B$150,0))),
Error!$B$15,
IF(AND($E776="Tier 1",$F776="Remove",$H776&lt;&gt;"",ISNA(MATCH($H776,Tables!$B$143:$B$144,0))),
Error!$B$15,
IF(AND($E776="Tier 1",$F776="Retain",$H776&lt;&gt;"",ISNA(MATCH($H776,Tables!$B$137:$B$140,0))),
Error!$B$15,
IF(AND($E776&lt;&gt;"Tier 2",$E776&lt;&gt;"Tier 2 Grove",$E776&lt;&gt;"Tier 3",$E776&lt;&gt;"Tier 4",$H776="Zoning: Green Factor",OR($D776="",$D776&lt;6)),
Error!$B$11,
IF(AND(_xlpm.baseRow,$D776&lt;6,$E776="&lt;6in DSH for Tree Points",_xlpm.TreePoints_H=0),
Error!$B$21,
IF(AND(_xlpm.baseRow,$E776&lt;&gt;"",$D776&lt;&gt;"",$F776=""),
Error!$B$4,
IF(AND(_xlpm.baseRow,$F776="Remove",OR($E776="Tier 1",$E776="Tier 2",$E776="Tier 2 Grove"),COUNTBLANK(_xlpm.HRange)&lt;3,_xlpm.uniqueH&gt;=2),
Error!$B$48,
IF(AND(_xlpm.baseRow,$F776="Retain",OR($E776="Tier 1",$E776="Tier 2",$E776="Tier 2 Grove"),COUNTIF(_xlpm.HRange,"Tree Code: Required to Retain Tier 1-2 Tree")=0),
Error!$B$47,
IF(AND(_xlpm.baseRow,$E776&lt;&gt;"",$D776&lt;&gt;"",$F776&lt;&gt;"",COUNTBLANK(_xlpm.HRange)=4),
Error!$B$5,
IF(AND($F776="Remove",$H776&lt;&gt;"",$I776=""),
Error!$B$18,
IF(AND($E776="Tier 4",$F776="Remove",$H776="Tree Protection Code: Tier 3 or Tier 4 Allowance",$H776&lt;&gt;"",ISNA(MATCH($I776,Tables!$B$200,0))),
Error!$B$17,
IF(AND($E776="Tier 3",$F776="Remove",$H776&lt;&gt;"",$H776="Tree Protection Code: Tier 3 or Tier 4 Allowance",OR($I776="",ISNA(MATCH($I776,Tables!$B$193:$B$197,0)))),
Error!$B$17,
IF(AND(OR($E776="Tier 2",$E776="Tier 2 Grove"),$F776="Remove",$H776="Tree Protection Code: Other removal allowance or exemption",$I776&lt;&gt;"",ISNA(MATCH($I776,Tables!$B$215:$B$218,0))),
Error!$B$17,
IF(AND(OR($E776="Tier 2",$E776="Tier 2 Grove"),$F776="Remove",$H776="Tree Protection Code: Development Capacity",$I776&lt;&gt;"",ISNA(MATCH($I776,Tables!$B$193:$B$197,0))),
Error!$B$17,
IF(AND(OR($E776="Tier 2",$E776="Tier 2 Grove"),$F776="Remove",$H776="Tree Protection Code: Necessary for Construction",$I776&lt;&gt;"",ISNA(MATCH($I776,Tables!$B$193:$B$197,0))),
Error!$B$17,
IF(AND($E776="Tier 1",$F776="Remove",$H776="Tree Protection Code: Special Exception",$I776&lt;&gt;"",ISNA(MATCH($I776,Tables!$B$215:$B$218,0))),
Error!$B$17,
IF(AND($E776="Tier 1",$F776="Remove",$H776="Tree Protection Code: Other removal allowance or exemption",$I776&lt;&gt;"",ISNA(MATCH($I776,Tables!$B$215:$B$218,0))),
Error!$B$17,
IF(AND($E776="ECA / Shoreline Tree",$F776="Remove",$H776&lt;&gt;"",OR($H776="Shoreline",$H776="Environmental Critical Area (ECA)"),ISNA(MATCH($I776,Tables!$B$209:$B$212,0))),
Error!$B$17,
IF(AND(_xlpm.baseRow,$F776="Retain",$E776="ECA / Shoreline Tree",_xlpm.ECA_Short=0),
Error!$B$61,
IF(AND($F776="Remove",ISNUMBER(MATCH($E776,{"Tier 1","Tier 2","Tier 3","Tier 4","Tier 2 Grove"},0)),ISNUMBER(MATCH($I776,{"On-site replacement","Off-site replacement"},0)),$J776="",$H776&lt;&gt;""),
Error!$B$19,
IF(AND(_xlpm.baseRow,$E776&lt;&gt;"",$D776&lt;&gt;"",$F776&lt;&gt;"",COUNTBLANK($B776:$C776)&gt;0,COUNTBLANK(_xlpm.HRange)&lt;&gt;4),
Error!$B$22,
IF(AND($H776="Zoning: Tree Points",$K776&lt;&gt;"",ISNA(MATCH($K776,Tables!$B$242:$B$253,0))),
Error!$B$58,
IF(AND($H776="Zoning: Tree Points",$K776="Small",$L776&lt;&gt;"",ISNA(MATCH($L776,Tables!$C$243:$C$244,0))),
Error!$B$59,
IF(AND($H776="Zoning: Tree Points",$K776="Small/Medium",$L776&lt;&gt;"",ISNA(MATCH($L776,Tables!$C$246:$C$247,0))),
Error!$B$59,
IF(AND($H776="Zoning: Tree Points",$K776="Medium/Large",$L776&lt;&gt;"",ISNA(MATCH($L776,Tables!$C$249:$C$250,0))),
Error!$B$59,
IF(AND($H776="Zoning: Tree Points",$K776="Large",$L776&lt;&gt;"",ISNA(MATCH($L776,Tables!$C$252:$C$253,0))),
Error!$B$59,
IF(AND($F776="Retain",$H776="Zoning: Tree Points",$C776&lt;&gt;"",$D776&lt;&gt;"",OR($K776="",$L776="",$M776="")),
Error!$B$20,
""
)))))))))))))))))))))))))))))))))))))))))))))))))))))))),
Error!$B$23))</f>
        <v/>
      </c>
      <c r="O776" s="343" t="str" cm="1">
        <f t="array" aca="1" ref="O776" ca="1">IFERROR(_xlfn.LET(
    _xlpm.txt, $C776,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77" spans="1:15" x14ac:dyDescent="0.3">
      <c r="A777" s="320"/>
      <c r="B777" s="616" t="str">
        <f t="shared" si="923"/>
        <v/>
      </c>
      <c r="C777" s="617" t="str">
        <f t="shared" si="924"/>
        <v/>
      </c>
      <c r="D777" s="618" t="str">
        <f t="shared" si="925"/>
        <v/>
      </c>
      <c r="E777" s="616" t="str">
        <f t="shared" si="926"/>
        <v/>
      </c>
      <c r="F777" s="616" t="str">
        <f t="shared" si="927"/>
        <v/>
      </c>
      <c r="G777" s="619" t="str">
        <f>IF(Tree_Table1[[#This Row],[Tree Status  &amp;]]="Retain", Tables!$B$237, IF(Tree_Table1[[#This Row],[Tree Status  &amp;]]="Remove", Tables!$B$238, ""))</f>
        <v/>
      </c>
      <c r="H777" s="321"/>
      <c r="I777" s="322"/>
      <c r="J777" s="453"/>
      <c r="K777" s="323" t="str">
        <f>IFERROR(
    IF(
        AND($H777="Zoning: Tree Points", NOT(ISNUMBER(SEARCH("sp.", $C777)))),
        VLOOKUP($C777, 'Tree List'!$C$3:$F$601, 4, FALSE),
        ""
    ),
"")</f>
        <v/>
      </c>
      <c r="L777" s="324" t="str" cm="1">
        <f t="array" ref="L777">IFERROR(
IF(
    AND($H777="Zoning: Tree Points", NOT(ISNUMBER(SEARCH("sp.", $C777)))),
    _xlfn.IFS(
        (COUNTIFS('Tree List'!$C$3:$C$601,$C777,'Tree List'!$D$3:$D$601,"Coniferous")
        + COUNTIFS('Tree List'!$C$3:$C$601,$C777,'Tree List'!$D$3:$D$601,"Deciduous Conifer")) &gt; 0,
            _xlfn.IFS($K777="Small",0.5,$K777="Small/Medium",1,$K777="Medium/Large",1.4,$K777="Large",1.8),
        (COUNTIFS('Tree List'!$C$3:$C$601,$C777,'Tree List'!$D$3:$D$601,"Deciduous")
        + COUNTIFS('Tree List'!$C$3:$C$601,$C777,'Tree List'!$D$3:$D$601,"Broadleaf Evergreen")) &gt; 0,
            _xlfn.IFS($K777="Small",0.4,$K777="Small/Medium",0.8,$K777="Medium/Large",1.2,$K777="Large",1.6)
    ),
    ""
),
"")</f>
        <v/>
      </c>
      <c r="M777" s="475" t="str">
        <f t="shared" si="897"/>
        <v/>
      </c>
      <c r="N777" s="346" t="str" cm="1">
        <f t="array" aca="1" ref="N77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IF(AND(_xlpm.baseRow,ISNA(MATCH($C777,'Tree List'!$C$3:$C$601,0)),SUMPRODUCT(--ISNUMBER(SEARCH(Tables2!$C$677:$C$772,$O777)))&gt;0),
Error!$B$57,
IF(AND(_xlpm.hasDM,$F777="Remove",$H777&lt;&gt;"",OR($I777="On-site replacement",$I777="Off-site replacement",$I777="Payment In Lieu")),
Error!$B$56,
IF(AND(_xlpm.hasDM,$F777="Remove",$H777&lt;&gt;"",$I777="Relocation"),
Error!$B$66,
IF(AND(OR(_xlpm.hasCN,_xlpm.hasPH,_xlpm.hasGR),$H777&lt;&gt;"",COUNTIF(Tables!$B$132:$B$134,$H777)&gt;0,$I777="N/A (No replacement required)"),
Error!$B$62,
IF(AND(_xlpm.baseRow,$E777&lt;&gt;"",ISNA(MATCH($E777,Tables!$B$225:$B$232,0))),
Error!$B$2,
IF(AND(_xlpm.baseRow,$F777&lt;&gt;"",ISNA(MATCH($F777,Tables!$B$234:$B$235,0))),
Error!$B$24,
IF(AND(_xlpm.baseRow,_xlpm.ECA_H&gt;0,_xlpm.Shore_H&gt;0),
Error!$B$16,
IF(AND(_xlpm.baseRow,$E777&lt;&gt;"",$D777=""),
Error!$B$3,
IF(AND(_xlpm.baseRow,OR($E777="Tier 3",$E777="Tier 4"),$C777&lt;&gt;"",$D777&gt;=24,COUNTIF(Tables2!$B$166:$B$674,$C777)&gt;0),
Error!$B$44,
IF(AND(_xlpm.baseRow,OR($E777="Tier 3",$E777="Tier 4"),$C777&lt;&gt;"",$D777&lt;&gt;"",COUNTIF(Tables2!$B$73:$B$152,$C777)&gt;0,
$D777&gt;=IFERROR(INDEX(Tables2!$C$73:$C$152,MATCH($C777,Tables2!$B$73:$B$152,0)),-1)),
Error!$B$44,
IF(AND(_xlpm.baseRow,OR($E777="Tier 2",$E777="Tier 2 Grove"),$C777&lt;&gt;"",$D777&gt;=12,COUNTIF(Tables2!$B$153:$B$162,$C777)&gt;0),
Error!$B$45,
IF(AND(_xlpm.baseRow,$E777="Tier 2 Grove",$D777&lt;12),
Error!$B$41,
IF(AND(_xlpm.baseRow,$E777="Tier 2",$D777&lt;5.88),
Error!$B$40,
IF(AND(_xlpm.baseRow,OR($E777="Tier 2",$E777="Tier 2 Grove"),$C777&lt;&gt;"",$D777&lt;12,$D777&gt;=6,COUNTIF(Tables2!$B$153:$B$162,$C777)&gt;0),
Error!$B$54,
IF(AND(_xlpm.baseRow,$E777="Tier 2",COUNTIF(Tables2!$B$166:$B$674,$C777)&gt;0,$D777&lt;24),
Error!$B$54,
IF(AND(_xlpm.baseRow,$E777="Tier 3",ISNA(MATCH($C777,Tables2!$B$153:$B$162,0)),OR($D777&lt;12,$D777&gt;=24)),
Error!$B$9,
IF(AND(_xlpm.baseRow,$E777="Tier 3",COUNTIF(Tables2!$B$153:$B$162,$C777)&gt;0,$D777&lt;12),
Error!$B$46,
IF(AND(_xlpm.baseRow,$E777="Tier 4",OR($D777&lt;6,$D777&gt;=12)),
Error!$B$10,
IF(AND(_xlpm.baseRow,$E777="&lt;6in DSH for Tree Points",OR($D777&gt;=6,$D777="")),
Error!$B$8,
IF(AND(_xlpm.baseRow,$E777="Street Tree for Green Factor",$F777&lt;&gt;"",$F777&lt;&gt;"Retain"),
Error!$B$14,
IF(AND($E777="&lt;6in DSH for Tree Points",$F777="Retain",$H777&lt;&gt;"",ISNA(MATCH($H777,Tables!$B$174:$B$174,0))),
Error!$B$15,
IF(AND($E777="Street Tree for Green Factor",$F777="Retain",$H777&lt;&gt;"",$H777&lt;&gt;"Zoning: Green Factor"),
Error!$B$15,
IF(AND($E777="ECA / Shoreline Tree",$F777="Remove",$H777&lt;&gt;"",ISNA(MATCH($H777,Tables!$B$189:$B$190,0))),
Error!$B$15,
IF(AND($E777="ECA / Shoreline Tree",$F777="Retain",$H777&lt;&gt;"",ISNA(MATCH($H777,Tables!$B$184:$B$186,0))),
Error!$B$15,
IF(AND($E777="Tier 4",$F777="Remove",$H777&lt;&gt;"",ISNA(MATCH($H777,Tables!$B$171,0))),
Error!$B$15,
IF(AND($E777="Tier 4",$F777="Retain",$H777&lt;&gt;"",ISNA(MATCH($H777,Tables!$B$166:$B$168,0))),
Error!$B$15,
IF(AND($E777="Tier 3",$F777="Retain",$H777&lt;&gt;"",ISNA(MATCH($H777,Tables!$B$158:$B$160,0))),
Error!$B$15,
IF(AND($E777="Tier 3",$F777="Remove",$H777&lt;&gt;"",ISNA(MATCH($H777,Tables!$B$163,0))),
Error!$B$15,
IF(AND(OR($E777="Tier 2",$E777="Tier 2 Grove"),$F777="Remove",$H777&lt;&gt;"",ISNA(MATCH($H777,Tables!$B$153:$B$155,0))),
Error!$B$15,
IF(AND(OR($E777="Tier 2",$E777="Tier 2 Grove"),$F777="Retain",$H777&lt;&gt;"",ISNA(MATCH($H777,Tables!$B$147:$B$150,0))),
Error!$B$15,
IF(AND($E777="Tier 1",$F777="Remove",$H777&lt;&gt;"",ISNA(MATCH($H777,Tables!$B$143:$B$144,0))),
Error!$B$15,
IF(AND($E777="Tier 1",$F777="Retain",$H777&lt;&gt;"",ISNA(MATCH($H777,Tables!$B$137:$B$140,0))),
Error!$B$15,
IF(AND($E777&lt;&gt;"Tier 2",$E777&lt;&gt;"Tier 2 Grove",$E777&lt;&gt;"Tier 3",$E777&lt;&gt;"Tier 4",$H777="Zoning: Green Factor",OR($D777="",$D777&lt;6)),
Error!$B$11,
IF(AND(_xlpm.baseRow,$D777&lt;6,$E777="&lt;6in DSH for Tree Points",_xlpm.TreePoints_H=0),
Error!$B$21,
IF(AND(_xlpm.baseRow,$E777&lt;&gt;"",$D777&lt;&gt;"",$F777=""),
Error!$B$4,
IF(AND(_xlpm.baseRow,$F777="Remove",OR($E777="Tier 1",$E777="Tier 2",$E777="Tier 2 Grove"),COUNTBLANK(_xlpm.HRange)&lt;3,_xlpm.uniqueH&gt;=2),
Error!$B$48,
IF(AND(_xlpm.baseRow,$F777="Retain",OR($E777="Tier 1",$E777="Tier 2",$E777="Tier 2 Grove"),COUNTIF(_xlpm.HRange,"Tree Code: Required to Retain Tier 1-2 Tree")=0),
Error!$B$47,
IF(AND(_xlpm.baseRow,$E777&lt;&gt;"",$D777&lt;&gt;"",$F777&lt;&gt;"",COUNTBLANK(_xlpm.HRange)=4),
Error!$B$5,
IF(AND($F777="Remove",$H777&lt;&gt;"",$I777=""),
Error!$B$18,
IF(AND($E777="Tier 4",$F777="Remove",$H777="Tree Protection Code: Tier 3 or Tier 4 Allowance",$H777&lt;&gt;"",ISNA(MATCH($I777,Tables!$B$200,0))),
Error!$B$17,
IF(AND($E777="Tier 3",$F777="Remove",$H777&lt;&gt;"",$H777="Tree Protection Code: Tier 3 or Tier 4 Allowance",OR($I777="",ISNA(MATCH($I777,Tables!$B$193:$B$197,0)))),
Error!$B$17,
IF(AND(OR($E777="Tier 2",$E777="Tier 2 Grove"),$F777="Remove",$H777="Tree Protection Code: Other removal allowance or exemption",$I777&lt;&gt;"",ISNA(MATCH($I777,Tables!$B$215:$B$218,0))),
Error!$B$17,
IF(AND(OR($E777="Tier 2",$E777="Tier 2 Grove"),$F777="Remove",$H777="Tree Protection Code: Development Capacity",$I777&lt;&gt;"",ISNA(MATCH($I777,Tables!$B$193:$B$197,0))),
Error!$B$17,
IF(AND(OR($E777="Tier 2",$E777="Tier 2 Grove"),$F777="Remove",$H777="Tree Protection Code: Necessary for Construction",$I777&lt;&gt;"",ISNA(MATCH($I777,Tables!$B$193:$B$197,0))),
Error!$B$17,
IF(AND($E777="Tier 1",$F777="Remove",$H777="Tree Protection Code: Special Exception",$I777&lt;&gt;"",ISNA(MATCH($I777,Tables!$B$215:$B$218,0))),
Error!$B$17,
IF(AND($E777="Tier 1",$F777="Remove",$H777="Tree Protection Code: Other removal allowance or exemption",$I777&lt;&gt;"",ISNA(MATCH($I777,Tables!$B$215:$B$218,0))),
Error!$B$17,
IF(AND($E777="ECA / Shoreline Tree",$F777="Remove",$H777&lt;&gt;"",OR($H777="Shoreline",$H777="Environmental Critical Area (ECA)"),ISNA(MATCH($I777,Tables!$B$209:$B$212,0))),
Error!$B$17,
IF(AND(_xlpm.baseRow,$F777="Retain",$E777="ECA / Shoreline Tree",_xlpm.ECA_Short=0),
Error!$B$61,
IF(AND($F777="Remove",ISNUMBER(MATCH($E777,{"Tier 1","Tier 2","Tier 3","Tier 4","Tier 2 Grove"},0)),ISNUMBER(MATCH($I777,{"On-site replacement","Off-site replacement"},0)),$J777="",$H777&lt;&gt;""),
Error!$B$19,
IF(AND(_xlpm.baseRow,$E777&lt;&gt;"",$D777&lt;&gt;"",$F777&lt;&gt;"",COUNTBLANK($B777:$C777)&gt;0,COUNTBLANK(_xlpm.HRange)&lt;&gt;4),
Error!$B$22,
IF(AND($H777="Zoning: Tree Points",$K777&lt;&gt;"",ISNA(MATCH($K777,Tables!$B$242:$B$253,0))),
Error!$B$58,
IF(AND($H777="Zoning: Tree Points",$K777="Small",$L777&lt;&gt;"",ISNA(MATCH($L777,Tables!$C$243:$C$244,0))),
Error!$B$59,
IF(AND($H777="Zoning: Tree Points",$K777="Small/Medium",$L777&lt;&gt;"",ISNA(MATCH($L777,Tables!$C$246:$C$247,0))),
Error!$B$59,
IF(AND($H777="Zoning: Tree Points",$K777="Medium/Large",$L777&lt;&gt;"",ISNA(MATCH($L777,Tables!$C$249:$C$250,0))),
Error!$B$59,
IF(AND($H777="Zoning: Tree Points",$K777="Large",$L777&lt;&gt;"",ISNA(MATCH($L777,Tables!$C$252:$C$253,0))),
Error!$B$59,
IF(AND($F777="Retain",$H777="Zoning: Tree Points",$C777&lt;&gt;"",$D777&lt;&gt;"",OR($K777="",$L777="",$M777="")),
Error!$B$20,
""
)))))))))))))))))))))))))))))))))))))))))))))))))))))))),
Error!$B$23))</f>
        <v/>
      </c>
      <c r="O777" s="343" t="str" cm="1">
        <f t="array" aca="1" ref="O777" ca="1">IFERROR(_xlfn.LET(
    _xlpm.txt, $C777,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78" spans="1:15" ht="15" thickBot="1" x14ac:dyDescent="0.35">
      <c r="A778" s="331"/>
      <c r="B778" s="616" t="str">
        <f t="shared" si="923"/>
        <v/>
      </c>
      <c r="C778" s="617" t="str">
        <f t="shared" si="924"/>
        <v/>
      </c>
      <c r="D778" s="618" t="str">
        <f t="shared" si="925"/>
        <v/>
      </c>
      <c r="E778" s="616" t="str">
        <f t="shared" si="926"/>
        <v/>
      </c>
      <c r="F778" s="616" t="str">
        <f t="shared" si="927"/>
        <v/>
      </c>
      <c r="G778" s="619" t="str">
        <f>IF(Tree_Table1[[#This Row],[Tree Status  &amp;]]="Retain", Tables!$B$237, IF(Tree_Table1[[#This Row],[Tree Status  &amp;]]="Remove", Tables!$B$238, ""))</f>
        <v/>
      </c>
      <c r="H778" s="329"/>
      <c r="I778" s="330"/>
      <c r="J778" s="455"/>
      <c r="K778" s="327" t="str">
        <f>IFERROR(
    IF(
        AND($H778="Zoning: Tree Points", NOT(ISNUMBER(SEARCH("sp.", $C778)))),
        VLOOKUP($C778, 'Tree List'!$C$3:$F$601, 4, FALSE),
        ""
    ),
"")</f>
        <v/>
      </c>
      <c r="L778" s="328" t="str" cm="1">
        <f t="array" ref="L778">IFERROR(
IF(
    AND($H778="Zoning: Tree Points", NOT(ISNUMBER(SEARCH("sp.", $C778)))),
    _xlfn.IFS(
        (COUNTIFS('Tree List'!$C$3:$C$601,$C778,'Tree List'!$D$3:$D$601,"Coniferous")
        + COUNTIFS('Tree List'!$C$3:$C$601,$C778,'Tree List'!$D$3:$D$601,"Deciduous Conifer")) &gt; 0,
            _xlfn.IFS($K778="Small",0.5,$K778="Small/Medium",1,$K778="Medium/Large",1.4,$K778="Large",1.8),
        (COUNTIFS('Tree List'!$C$3:$C$601,$C778,'Tree List'!$D$3:$D$601,"Deciduous")
        + COUNTIFS('Tree List'!$C$3:$C$601,$C778,'Tree List'!$D$3:$D$601,"Broadleaf Evergreen")) &gt; 0,
            _xlfn.IFS($K778="Small",0.4,$K778="Small/Medium",0.8,$K778="Medium/Large",1.2,$K778="Large",1.6)
    ),
    ""
),
"")</f>
        <v/>
      </c>
      <c r="M778" s="476" t="str">
        <f t="shared" si="897"/>
        <v/>
      </c>
      <c r="N778" s="347" t="str" cm="1">
        <f t="array" aca="1" ref="N77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IF(AND(_xlpm.baseRow,ISNA(MATCH($C778,'Tree List'!$C$3:$C$601,0)),SUMPRODUCT(--ISNUMBER(SEARCH(Tables2!$C$677:$C$772,$O778)))&gt;0),
Error!$B$57,
IF(AND(_xlpm.hasDM,$F778="Remove",$H778&lt;&gt;"",OR($I778="On-site replacement",$I778="Off-site replacement",$I778="Payment In Lieu")),
Error!$B$56,
IF(AND(_xlpm.hasDM,$F778="Remove",$H778&lt;&gt;"",$I778="Relocation"),
Error!$B$66,
IF(AND(OR(_xlpm.hasCN,_xlpm.hasPH,_xlpm.hasGR),$H778&lt;&gt;"",COUNTIF(Tables!$B$132:$B$134,$H778)&gt;0,$I778="N/A (No replacement required)"),
Error!$B$62,
IF(AND(_xlpm.baseRow,$E778&lt;&gt;"",ISNA(MATCH($E778,Tables!$B$225:$B$232,0))),
Error!$B$2,
IF(AND(_xlpm.baseRow,$F778&lt;&gt;"",ISNA(MATCH($F778,Tables!$B$234:$B$235,0))),
Error!$B$24,
IF(AND(_xlpm.baseRow,_xlpm.ECA_H&gt;0,_xlpm.Shore_H&gt;0),
Error!$B$16,
IF(AND(_xlpm.baseRow,$E778&lt;&gt;"",$D778=""),
Error!$B$3,
IF(AND(_xlpm.baseRow,OR($E778="Tier 3",$E778="Tier 4"),$C778&lt;&gt;"",$D778&gt;=24,COUNTIF(Tables2!$B$166:$B$674,$C778)&gt;0),
Error!$B$44,
IF(AND(_xlpm.baseRow,OR($E778="Tier 3",$E778="Tier 4"),$C778&lt;&gt;"",$D778&lt;&gt;"",COUNTIF(Tables2!$B$73:$B$152,$C778)&gt;0,
$D778&gt;=IFERROR(INDEX(Tables2!$C$73:$C$152,MATCH($C778,Tables2!$B$73:$B$152,0)),-1)),
Error!$B$44,
IF(AND(_xlpm.baseRow,OR($E778="Tier 2",$E778="Tier 2 Grove"),$C778&lt;&gt;"",$D778&gt;=12,COUNTIF(Tables2!$B$153:$B$162,$C778)&gt;0),
Error!$B$45,
IF(AND(_xlpm.baseRow,$E778="Tier 2 Grove",$D778&lt;12),
Error!$B$41,
IF(AND(_xlpm.baseRow,$E778="Tier 2",$D778&lt;5.88),
Error!$B$40,
IF(AND(_xlpm.baseRow,OR($E778="Tier 2",$E778="Tier 2 Grove"),$C778&lt;&gt;"",$D778&lt;12,$D778&gt;=6,COUNTIF(Tables2!$B$153:$B$162,$C778)&gt;0),
Error!$B$54,
IF(AND(_xlpm.baseRow,$E778="Tier 2",COUNTIF(Tables2!$B$166:$B$674,$C778)&gt;0,$D778&lt;24),
Error!$B$54,
IF(AND(_xlpm.baseRow,$E778="Tier 3",ISNA(MATCH($C778,Tables2!$B$153:$B$162,0)),OR($D778&lt;12,$D778&gt;=24)),
Error!$B$9,
IF(AND(_xlpm.baseRow,$E778="Tier 3",COUNTIF(Tables2!$B$153:$B$162,$C778)&gt;0,$D778&lt;12),
Error!$B$46,
IF(AND(_xlpm.baseRow,$E778="Tier 4",OR($D778&lt;6,$D778&gt;=12)),
Error!$B$10,
IF(AND(_xlpm.baseRow,$E778="&lt;6in DSH for Tree Points",OR($D778&gt;=6,$D778="")),
Error!$B$8,
IF(AND(_xlpm.baseRow,$E778="Street Tree for Green Factor",$F778&lt;&gt;"",$F778&lt;&gt;"Retain"),
Error!$B$14,
IF(AND($E778="&lt;6in DSH for Tree Points",$F778="Retain",$H778&lt;&gt;"",ISNA(MATCH($H778,Tables!$B$174:$B$174,0))),
Error!$B$15,
IF(AND($E778="Street Tree for Green Factor",$F778="Retain",$H778&lt;&gt;"",$H778&lt;&gt;"Zoning: Green Factor"),
Error!$B$15,
IF(AND($E778="ECA / Shoreline Tree",$F778="Remove",$H778&lt;&gt;"",ISNA(MATCH($H778,Tables!$B$189:$B$190,0))),
Error!$B$15,
IF(AND($E778="ECA / Shoreline Tree",$F778="Retain",$H778&lt;&gt;"",ISNA(MATCH($H778,Tables!$B$184:$B$186,0))),
Error!$B$15,
IF(AND($E778="Tier 4",$F778="Remove",$H778&lt;&gt;"",ISNA(MATCH($H778,Tables!$B$171,0))),
Error!$B$15,
IF(AND($E778="Tier 4",$F778="Retain",$H778&lt;&gt;"",ISNA(MATCH($H778,Tables!$B$166:$B$168,0))),
Error!$B$15,
IF(AND($E778="Tier 3",$F778="Retain",$H778&lt;&gt;"",ISNA(MATCH($H778,Tables!$B$158:$B$160,0))),
Error!$B$15,
IF(AND($E778="Tier 3",$F778="Remove",$H778&lt;&gt;"",ISNA(MATCH($H778,Tables!$B$163,0))),
Error!$B$15,
IF(AND(OR($E778="Tier 2",$E778="Tier 2 Grove"),$F778="Remove",$H778&lt;&gt;"",ISNA(MATCH($H778,Tables!$B$153:$B$155,0))),
Error!$B$15,
IF(AND(OR($E778="Tier 2",$E778="Tier 2 Grove"),$F778="Retain",$H778&lt;&gt;"",ISNA(MATCH($H778,Tables!$B$147:$B$150,0))),
Error!$B$15,
IF(AND($E778="Tier 1",$F778="Remove",$H778&lt;&gt;"",ISNA(MATCH($H778,Tables!$B$143:$B$144,0))),
Error!$B$15,
IF(AND($E778="Tier 1",$F778="Retain",$H778&lt;&gt;"",ISNA(MATCH($H778,Tables!$B$137:$B$140,0))),
Error!$B$15,
IF(AND($E778&lt;&gt;"Tier 2",$E778&lt;&gt;"Tier 2 Grove",$E778&lt;&gt;"Tier 3",$E778&lt;&gt;"Tier 4",$H778="Zoning: Green Factor",OR($D778="",$D778&lt;6)),
Error!$B$11,
IF(AND(_xlpm.baseRow,$D778&lt;6,$E778="&lt;6in DSH for Tree Points",_xlpm.TreePoints_H=0),
Error!$B$21,
IF(AND(_xlpm.baseRow,$E778&lt;&gt;"",$D778&lt;&gt;"",$F778=""),
Error!$B$4,
IF(AND(_xlpm.baseRow,$F778="Remove",OR($E778="Tier 1",$E778="Tier 2",$E778="Tier 2 Grove"),COUNTBLANK(_xlpm.HRange)&lt;3,_xlpm.uniqueH&gt;=2),
Error!$B$48,
IF(AND(_xlpm.baseRow,$F778="Retain",OR($E778="Tier 1",$E778="Tier 2",$E778="Tier 2 Grove"),COUNTIF(_xlpm.HRange,"Tree Code: Required to Retain Tier 1-2 Tree")=0),
Error!$B$47,
IF(AND(_xlpm.baseRow,$E778&lt;&gt;"",$D778&lt;&gt;"",$F778&lt;&gt;"",COUNTBLANK(_xlpm.HRange)=4),
Error!$B$5,
IF(AND($F778="Remove",$H778&lt;&gt;"",$I778=""),
Error!$B$18,
IF(AND($E778="Tier 4",$F778="Remove",$H778="Tree Protection Code: Tier 3 or Tier 4 Allowance",$H778&lt;&gt;"",ISNA(MATCH($I778,Tables!$B$200,0))),
Error!$B$17,
IF(AND($E778="Tier 3",$F778="Remove",$H778&lt;&gt;"",$H778="Tree Protection Code: Tier 3 or Tier 4 Allowance",OR($I778="",ISNA(MATCH($I778,Tables!$B$193:$B$197,0)))),
Error!$B$17,
IF(AND(OR($E778="Tier 2",$E778="Tier 2 Grove"),$F778="Remove",$H778="Tree Protection Code: Other removal allowance or exemption",$I778&lt;&gt;"",ISNA(MATCH($I778,Tables!$B$215:$B$218,0))),
Error!$B$17,
IF(AND(OR($E778="Tier 2",$E778="Tier 2 Grove"),$F778="Remove",$H778="Tree Protection Code: Development Capacity",$I778&lt;&gt;"",ISNA(MATCH($I778,Tables!$B$193:$B$197,0))),
Error!$B$17,
IF(AND(OR($E778="Tier 2",$E778="Tier 2 Grove"),$F778="Remove",$H778="Tree Protection Code: Necessary for Construction",$I778&lt;&gt;"",ISNA(MATCH($I778,Tables!$B$193:$B$197,0))),
Error!$B$17,
IF(AND($E778="Tier 1",$F778="Remove",$H778="Tree Protection Code: Special Exception",$I778&lt;&gt;"",ISNA(MATCH($I778,Tables!$B$215:$B$218,0))),
Error!$B$17,
IF(AND($E778="Tier 1",$F778="Remove",$H778="Tree Protection Code: Other removal allowance or exemption",$I778&lt;&gt;"",ISNA(MATCH($I778,Tables!$B$215:$B$218,0))),
Error!$B$17,
IF(AND($E778="ECA / Shoreline Tree",$F778="Remove",$H778&lt;&gt;"",OR($H778="Shoreline",$H778="Environmental Critical Area (ECA)"),ISNA(MATCH($I778,Tables!$B$209:$B$212,0))),
Error!$B$17,
IF(AND(_xlpm.baseRow,$F778="Retain",$E778="ECA / Shoreline Tree",_xlpm.ECA_Short=0),
Error!$B$61,
IF(AND($F778="Remove",ISNUMBER(MATCH($E778,{"Tier 1","Tier 2","Tier 3","Tier 4","Tier 2 Grove"},0)),ISNUMBER(MATCH($I778,{"On-site replacement","Off-site replacement"},0)),$J778="",$H778&lt;&gt;""),
Error!$B$19,
IF(AND(_xlpm.baseRow,$E778&lt;&gt;"",$D778&lt;&gt;"",$F778&lt;&gt;"",COUNTBLANK($B778:$C778)&gt;0,COUNTBLANK(_xlpm.HRange)&lt;&gt;4),
Error!$B$22,
IF(AND($H778="Zoning: Tree Points",$K778&lt;&gt;"",ISNA(MATCH($K778,Tables!$B$242:$B$253,0))),
Error!$B$58,
IF(AND($H778="Zoning: Tree Points",$K778="Small",$L778&lt;&gt;"",ISNA(MATCH($L778,Tables!$C$243:$C$244,0))),
Error!$B$59,
IF(AND($H778="Zoning: Tree Points",$K778="Small/Medium",$L778&lt;&gt;"",ISNA(MATCH($L778,Tables!$C$246:$C$247,0))),
Error!$B$59,
IF(AND($H778="Zoning: Tree Points",$K778="Medium/Large",$L778&lt;&gt;"",ISNA(MATCH($L778,Tables!$C$249:$C$250,0))),
Error!$B$59,
IF(AND($H778="Zoning: Tree Points",$K778="Large",$L778&lt;&gt;"",ISNA(MATCH($L778,Tables!$C$252:$C$253,0))),
Error!$B$59,
IF(AND($F778="Retain",$H778="Zoning: Tree Points",$C778&lt;&gt;"",$D778&lt;&gt;"",OR($K778="",$L778="",$M778="")),
Error!$B$20,
""
)))))))))))))))))))))))))))))))))))))))))))))))))))))))),
Error!$B$23))</f>
        <v/>
      </c>
      <c r="O778" s="343" t="str" cm="1">
        <f t="array" aca="1" ref="O778" ca="1">IFERROR(_xlfn.LET(
    _xlpm.txt, $C778,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79" spans="1:15" ht="15" thickBot="1" x14ac:dyDescent="0.35">
      <c r="A779" s="311">
        <v>193</v>
      </c>
      <c r="B779" s="312"/>
      <c r="C779" s="313"/>
      <c r="D779" s="478"/>
      <c r="E779" s="314"/>
      <c r="F779" s="314"/>
      <c r="G779" s="315" t="str">
        <f>IF(Tree_Table1[[#This Row],[Tree Status  &amp;]]="Retain", Tables!$B$237, IF(Tree_Table1[[#This Row],[Tree Status  &amp;]]="Remove", Tables!$B$238, ""))</f>
        <v/>
      </c>
      <c r="H779" s="316"/>
      <c r="I779" s="317"/>
      <c r="J779" s="452"/>
      <c r="K779" s="318" t="str">
        <f>IFERROR(
    IF(
        AND($H779="Zoning: Tree Points", NOT(ISNUMBER(SEARCH("sp.", $C779)))),
        VLOOKUP($C779, 'Tree List'!$C$3:$F$601, 4, FALSE),
        ""
    ),
"")</f>
        <v/>
      </c>
      <c r="L779" s="319" t="str" cm="1">
        <f t="array" ref="L779">IFERROR(
IF(
    AND($H779="Zoning: Tree Points", NOT(ISNUMBER(SEARCH("sp.", $C779)))),
    _xlfn.IFS(
        (COUNTIFS('Tree List'!$C$3:$C$601,$C779,'Tree List'!$D$3:$D$601,"Coniferous")
        + COUNTIFS('Tree List'!$C$3:$C$601,$C779,'Tree List'!$D$3:$D$601,"Deciduous Conifer")) &gt; 0,
            _xlfn.IFS($K779="Small",0.5,$K779="Small/Medium",1,$K779="Medium/Large",1.4,$K779="Large",1.8),
        (COUNTIFS('Tree List'!$C$3:$C$601,$C779,'Tree List'!$D$3:$D$601,"Deciduous")
        + COUNTIFS('Tree List'!$C$3:$C$601,$C779,'Tree List'!$D$3:$D$601,"Broadleaf Evergreen")) &gt; 0,
            _xlfn.IFS($K779="Small",0.4,$K779="Small/Medium",0.8,$K779="Medium/Large",1.2,$K779="Large",1.6)
    ),
    ""
),
"")</f>
        <v/>
      </c>
      <c r="M779" s="474" t="str">
        <f t="shared" si="897"/>
        <v/>
      </c>
      <c r="N779" s="620" t="str" cm="1">
        <f t="array" aca="1" ref="N77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IF(AND(_xlpm.baseRow,ISNA(MATCH($C779,'Tree List'!$C$3:$C$601,0)),SUMPRODUCT(--ISNUMBER(SEARCH(Tables2!$C$677:$C$772,$O779)))&gt;0),
Error!$B$57,
IF(AND(_xlpm.hasDM,$F779="Remove",$H779&lt;&gt;"",OR($I779="On-site replacement",$I779="Off-site replacement",$I779="Payment In Lieu")),
Error!$B$56,
IF(AND(_xlpm.hasDM,$F779="Remove",$H779&lt;&gt;"",$I779="Relocation"),
Error!$B$66,
IF(AND(OR(_xlpm.hasCN,_xlpm.hasPH,_xlpm.hasGR),$H779&lt;&gt;"",COUNTIF(Tables!$B$132:$B$134,$H779)&gt;0,$I779="N/A (No replacement required)"),
Error!$B$62,
IF(AND(_xlpm.baseRow,$E779&lt;&gt;"",ISNA(MATCH($E779,Tables!$B$225:$B$232,0))),
Error!$B$2,
IF(AND(_xlpm.baseRow,$F779&lt;&gt;"",ISNA(MATCH($F779,Tables!$B$234:$B$235,0))),
Error!$B$24,
IF(AND(_xlpm.baseRow,_xlpm.ECA_H&gt;0,_xlpm.Shore_H&gt;0),
Error!$B$16,
IF(AND(_xlpm.baseRow,$E779&lt;&gt;"",$D779=""),
Error!$B$3,
IF(AND(_xlpm.baseRow,OR($E779="Tier 3",$E779="Tier 4"),$C779&lt;&gt;"",$D779&gt;=24,COUNTIF(Tables2!$B$166:$B$674,$C779)&gt;0),
Error!$B$44,
IF(AND(_xlpm.baseRow,OR($E779="Tier 3",$E779="Tier 4"),$C779&lt;&gt;"",$D779&lt;&gt;"",COUNTIF(Tables2!$B$73:$B$152,$C779)&gt;0,
$D779&gt;=IFERROR(INDEX(Tables2!$C$73:$C$152,MATCH($C779,Tables2!$B$73:$B$152,0)),-1)),
Error!$B$44,
IF(AND(_xlpm.baseRow,OR($E779="Tier 2",$E779="Tier 2 Grove"),$C779&lt;&gt;"",$D779&gt;=12,COUNTIF(Tables2!$B$153:$B$162,$C779)&gt;0),
Error!$B$45,
IF(AND(_xlpm.baseRow,$E779="Tier 2 Grove",$D779&lt;12),
Error!$B$41,
IF(AND(_xlpm.baseRow,$E779="Tier 2",$D779&lt;5.88),
Error!$B$40,
IF(AND(_xlpm.baseRow,OR($E779="Tier 2",$E779="Tier 2 Grove"),$C779&lt;&gt;"",$D779&lt;12,$D779&gt;=6,COUNTIF(Tables2!$B$153:$B$162,$C779)&gt;0),
Error!$B$54,
IF(AND(_xlpm.baseRow,$E779="Tier 2",COUNTIF(Tables2!$B$166:$B$674,$C779)&gt;0,$D779&lt;24),
Error!$B$54,
IF(AND(_xlpm.baseRow,$E779="Tier 3",ISNA(MATCH($C779,Tables2!$B$153:$B$162,0)),OR($D779&lt;12,$D779&gt;=24)),
Error!$B$9,
IF(AND(_xlpm.baseRow,$E779="Tier 3",COUNTIF(Tables2!$B$153:$B$162,$C779)&gt;0,$D779&lt;12),
Error!$B$46,
IF(AND(_xlpm.baseRow,$E779="Tier 4",OR($D779&lt;6,$D779&gt;=12)),
Error!$B$10,
IF(AND(_xlpm.baseRow,$E779="&lt;6in DSH for Tree Points",OR($D779&gt;=6,$D779="")),
Error!$B$8,
IF(AND(_xlpm.baseRow,$E779="Street Tree for Green Factor",$F779&lt;&gt;"",$F779&lt;&gt;"Retain"),
Error!$B$14,
IF(AND($E779="&lt;6in DSH for Tree Points",$F779="Retain",$H779&lt;&gt;"",ISNA(MATCH($H779,Tables!$B$174:$B$174,0))),
Error!$B$15,
IF(AND($E779="Street Tree for Green Factor",$F779="Retain",$H779&lt;&gt;"",$H779&lt;&gt;"Zoning: Green Factor"),
Error!$B$15,
IF(AND($E779="ECA / Shoreline Tree",$F779="Remove",$H779&lt;&gt;"",ISNA(MATCH($H779,Tables!$B$189:$B$190,0))),
Error!$B$15,
IF(AND($E779="ECA / Shoreline Tree",$F779="Retain",$H779&lt;&gt;"",ISNA(MATCH($H779,Tables!$B$184:$B$186,0))),
Error!$B$15,
IF(AND($E779="Tier 4",$F779="Remove",$H779&lt;&gt;"",ISNA(MATCH($H779,Tables!$B$171,0))),
Error!$B$15,
IF(AND($E779="Tier 4",$F779="Retain",$H779&lt;&gt;"",ISNA(MATCH($H779,Tables!$B$166:$B$168,0))),
Error!$B$15,
IF(AND($E779="Tier 3",$F779="Retain",$H779&lt;&gt;"",ISNA(MATCH($H779,Tables!$B$158:$B$160,0))),
Error!$B$15,
IF(AND($E779="Tier 3",$F779="Remove",$H779&lt;&gt;"",ISNA(MATCH($H779,Tables!$B$163,0))),
Error!$B$15,
IF(AND(OR($E779="Tier 2",$E779="Tier 2 Grove"),$F779="Remove",$H779&lt;&gt;"",ISNA(MATCH($H779,Tables!$B$153:$B$155,0))),
Error!$B$15,
IF(AND(OR($E779="Tier 2",$E779="Tier 2 Grove"),$F779="Retain",$H779&lt;&gt;"",ISNA(MATCH($H779,Tables!$B$147:$B$150,0))),
Error!$B$15,
IF(AND($E779="Tier 1",$F779="Remove",$H779&lt;&gt;"",ISNA(MATCH($H779,Tables!$B$143:$B$144,0))),
Error!$B$15,
IF(AND($E779="Tier 1",$F779="Retain",$H779&lt;&gt;"",ISNA(MATCH($H779,Tables!$B$137:$B$140,0))),
Error!$B$15,
IF(AND($E779&lt;&gt;"Tier 2",$E779&lt;&gt;"Tier 2 Grove",$E779&lt;&gt;"Tier 3",$E779&lt;&gt;"Tier 4",$H779="Zoning: Green Factor",OR($D779="",$D779&lt;6)),
Error!$B$11,
IF(AND(_xlpm.baseRow,$D779&lt;6,$E779="&lt;6in DSH for Tree Points",_xlpm.TreePoints_H=0),
Error!$B$21,
IF(AND(_xlpm.baseRow,$E779&lt;&gt;"",$D779&lt;&gt;"",$F779=""),
Error!$B$4,
IF(AND(_xlpm.baseRow,$F779="Remove",OR($E779="Tier 1",$E779="Tier 2",$E779="Tier 2 Grove"),COUNTBLANK(_xlpm.HRange)&lt;3,_xlpm.uniqueH&gt;=2),
Error!$B$48,
IF(AND(_xlpm.baseRow,$F779="Retain",OR($E779="Tier 1",$E779="Tier 2",$E779="Tier 2 Grove"),COUNTIF(_xlpm.HRange,"Tree Code: Required to Retain Tier 1-2 Tree")=0),
Error!$B$47,
IF(AND(_xlpm.baseRow,$E779&lt;&gt;"",$D779&lt;&gt;"",$F779&lt;&gt;"",COUNTBLANK(_xlpm.HRange)=4),
Error!$B$5,
IF(AND($F779="Remove",$H779&lt;&gt;"",$I779=""),
Error!$B$18,
IF(AND($E779="Tier 4",$F779="Remove",$H779="Tree Protection Code: Tier 3 or Tier 4 Allowance",$H779&lt;&gt;"",ISNA(MATCH($I779,Tables!$B$200,0))),
Error!$B$17,
IF(AND($E779="Tier 3",$F779="Remove",$H779&lt;&gt;"",$H779="Tree Protection Code: Tier 3 or Tier 4 Allowance",OR($I779="",ISNA(MATCH($I779,Tables!$B$193:$B$197,0)))),
Error!$B$17,
IF(AND(OR($E779="Tier 2",$E779="Tier 2 Grove"),$F779="Remove",$H779="Tree Protection Code: Other removal allowance or exemption",$I779&lt;&gt;"",ISNA(MATCH($I779,Tables!$B$215:$B$218,0))),
Error!$B$17,
IF(AND(OR($E779="Tier 2",$E779="Tier 2 Grove"),$F779="Remove",$H779="Tree Protection Code: Development Capacity",$I779&lt;&gt;"",ISNA(MATCH($I779,Tables!$B$193:$B$197,0))),
Error!$B$17,
IF(AND(OR($E779="Tier 2",$E779="Tier 2 Grove"),$F779="Remove",$H779="Tree Protection Code: Necessary for Construction",$I779&lt;&gt;"",ISNA(MATCH($I779,Tables!$B$193:$B$197,0))),
Error!$B$17,
IF(AND($E779="Tier 1",$F779="Remove",$H779="Tree Protection Code: Special Exception",$I779&lt;&gt;"",ISNA(MATCH($I779,Tables!$B$215:$B$218,0))),
Error!$B$17,
IF(AND($E779="Tier 1",$F779="Remove",$H779="Tree Protection Code: Other removal allowance or exemption",$I779&lt;&gt;"",ISNA(MATCH($I779,Tables!$B$215:$B$218,0))),
Error!$B$17,
IF(AND($E779="ECA / Shoreline Tree",$F779="Remove",$H779&lt;&gt;"",OR($H779="Shoreline",$H779="Environmental Critical Area (ECA)"),ISNA(MATCH($I779,Tables!$B$209:$B$212,0))),
Error!$B$17,
IF(AND(_xlpm.baseRow,$F779="Retain",$E779="ECA / Shoreline Tree",_xlpm.ECA_Short=0),
Error!$B$61,
IF(AND($F779="Remove",ISNUMBER(MATCH($E779,{"Tier 1","Tier 2","Tier 3","Tier 4","Tier 2 Grove"},0)),ISNUMBER(MATCH($I779,{"On-site replacement","Off-site replacement"},0)),$J779="",$H779&lt;&gt;""),
Error!$B$19,
IF(AND(_xlpm.baseRow,$E779&lt;&gt;"",$D779&lt;&gt;"",$F779&lt;&gt;"",COUNTBLANK($B779:$C779)&gt;0,COUNTBLANK(_xlpm.HRange)&lt;&gt;4),
Error!$B$22,
IF(AND($H779="Zoning: Tree Points",$K779&lt;&gt;"",ISNA(MATCH($K779,Tables!$B$242:$B$253,0))),
Error!$B$58,
IF(AND($H779="Zoning: Tree Points",$K779="Small",$L779&lt;&gt;"",ISNA(MATCH($L779,Tables!$C$243:$C$244,0))),
Error!$B$59,
IF(AND($H779="Zoning: Tree Points",$K779="Small/Medium",$L779&lt;&gt;"",ISNA(MATCH($L779,Tables!$C$246:$C$247,0))),
Error!$B$59,
IF(AND($H779="Zoning: Tree Points",$K779="Medium/Large",$L779&lt;&gt;"",ISNA(MATCH($L779,Tables!$C$249:$C$250,0))),
Error!$B$59,
IF(AND($H779="Zoning: Tree Points",$K779="Large",$L779&lt;&gt;"",ISNA(MATCH($L779,Tables!$C$252:$C$253,0))),
Error!$B$59,
IF(AND($F779="Retain",$H779="Zoning: Tree Points",$C779&lt;&gt;"",$D779&lt;&gt;"",OR($K779="",$L779="",$M779="")),
Error!$B$20,
""
)))))))))))))))))))))))))))))))))))))))))))))))))))))))),
Error!$B$23))</f>
        <v/>
      </c>
      <c r="O779" s="343" t="str" cm="1">
        <f t="array" aca="1" ref="O779" ca="1">IFERROR(_xlfn.LET(
    _xlpm.txt, $C779,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80" spans="1:15" x14ac:dyDescent="0.3">
      <c r="A780" s="320"/>
      <c r="B780" s="616" t="str">
        <f t="shared" ref="B780:B782" si="928">IF($B779="", "", $B779)</f>
        <v/>
      </c>
      <c r="C780" s="617" t="str">
        <f t="shared" ref="C780:C782" si="929">IF($C779="", "", $C779)</f>
        <v/>
      </c>
      <c r="D780" s="618" t="str">
        <f t="shared" ref="D780:D782" si="930">IF($D779="", "", $D779)</f>
        <v/>
      </c>
      <c r="E780" s="616" t="str">
        <f t="shared" ref="E780:E782" si="931">IF($E779="", "", $E779)</f>
        <v/>
      </c>
      <c r="F780" s="616" t="str">
        <f t="shared" ref="F780:F782" si="932">IF($F779="", "", $F779)</f>
        <v/>
      </c>
      <c r="G780" s="619" t="str">
        <f>IF(Tree_Table1[[#This Row],[Tree Status  &amp;]]="Retain", Tables!$B$237, IF(Tree_Table1[[#This Row],[Tree Status  &amp;]]="Remove", Tables!$B$238, ""))</f>
        <v/>
      </c>
      <c r="H780" s="321"/>
      <c r="I780" s="322"/>
      <c r="J780" s="453"/>
      <c r="K780" s="323" t="str">
        <f>IFERROR(
    IF(
        AND($H780="Zoning: Tree Points", NOT(ISNUMBER(SEARCH("sp.", $C780)))),
        VLOOKUP($C780, 'Tree List'!$C$3:$F$601, 4, FALSE),
        ""
    ),
"")</f>
        <v/>
      </c>
      <c r="L780" s="324" t="str" cm="1">
        <f t="array" ref="L780">IFERROR(
IF(
    AND($H780="Zoning: Tree Points", NOT(ISNUMBER(SEARCH("sp.", $C780)))),
    _xlfn.IFS(
        (COUNTIFS('Tree List'!$C$3:$C$601,$C780,'Tree List'!$D$3:$D$601,"Coniferous")
        + COUNTIFS('Tree List'!$C$3:$C$601,$C780,'Tree List'!$D$3:$D$601,"Deciduous Conifer")) &gt; 0,
            _xlfn.IFS($K780="Small",0.5,$K780="Small/Medium",1,$K780="Medium/Large",1.4,$K780="Large",1.8),
        (COUNTIFS('Tree List'!$C$3:$C$601,$C780,'Tree List'!$D$3:$D$601,"Deciduous")
        + COUNTIFS('Tree List'!$C$3:$C$601,$C780,'Tree List'!$D$3:$D$601,"Broadleaf Evergreen")) &gt; 0,
            _xlfn.IFS($K780="Small",0.4,$K780="Small/Medium",0.8,$K780="Medium/Large",1.2,$K780="Large",1.6)
    ),
    ""
),
"")</f>
        <v/>
      </c>
      <c r="M780" s="475" t="str">
        <f t="shared" si="897"/>
        <v/>
      </c>
      <c r="N780" s="346" t="str" cm="1">
        <f t="array" aca="1" ref="N78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IF(AND(_xlpm.baseRow,ISNA(MATCH($C780,'Tree List'!$C$3:$C$601,0)),SUMPRODUCT(--ISNUMBER(SEARCH(Tables2!$C$677:$C$772,$O780)))&gt;0),
Error!$B$57,
IF(AND(_xlpm.hasDM,$F780="Remove",$H780&lt;&gt;"",OR($I780="On-site replacement",$I780="Off-site replacement",$I780="Payment In Lieu")),
Error!$B$56,
IF(AND(_xlpm.hasDM,$F780="Remove",$H780&lt;&gt;"",$I780="Relocation"),
Error!$B$66,
IF(AND(OR(_xlpm.hasCN,_xlpm.hasPH,_xlpm.hasGR),$H780&lt;&gt;"",COUNTIF(Tables!$B$132:$B$134,$H780)&gt;0,$I780="N/A (No replacement required)"),
Error!$B$62,
IF(AND(_xlpm.baseRow,$E780&lt;&gt;"",ISNA(MATCH($E780,Tables!$B$225:$B$232,0))),
Error!$B$2,
IF(AND(_xlpm.baseRow,$F780&lt;&gt;"",ISNA(MATCH($F780,Tables!$B$234:$B$235,0))),
Error!$B$24,
IF(AND(_xlpm.baseRow,_xlpm.ECA_H&gt;0,_xlpm.Shore_H&gt;0),
Error!$B$16,
IF(AND(_xlpm.baseRow,$E780&lt;&gt;"",$D780=""),
Error!$B$3,
IF(AND(_xlpm.baseRow,OR($E780="Tier 3",$E780="Tier 4"),$C780&lt;&gt;"",$D780&gt;=24,COUNTIF(Tables2!$B$166:$B$674,$C780)&gt;0),
Error!$B$44,
IF(AND(_xlpm.baseRow,OR($E780="Tier 3",$E780="Tier 4"),$C780&lt;&gt;"",$D780&lt;&gt;"",COUNTIF(Tables2!$B$73:$B$152,$C780)&gt;0,
$D780&gt;=IFERROR(INDEX(Tables2!$C$73:$C$152,MATCH($C780,Tables2!$B$73:$B$152,0)),-1)),
Error!$B$44,
IF(AND(_xlpm.baseRow,OR($E780="Tier 2",$E780="Tier 2 Grove"),$C780&lt;&gt;"",$D780&gt;=12,COUNTIF(Tables2!$B$153:$B$162,$C780)&gt;0),
Error!$B$45,
IF(AND(_xlpm.baseRow,$E780="Tier 2 Grove",$D780&lt;12),
Error!$B$41,
IF(AND(_xlpm.baseRow,$E780="Tier 2",$D780&lt;5.88),
Error!$B$40,
IF(AND(_xlpm.baseRow,OR($E780="Tier 2",$E780="Tier 2 Grove"),$C780&lt;&gt;"",$D780&lt;12,$D780&gt;=6,COUNTIF(Tables2!$B$153:$B$162,$C780)&gt;0),
Error!$B$54,
IF(AND(_xlpm.baseRow,$E780="Tier 2",COUNTIF(Tables2!$B$166:$B$674,$C780)&gt;0,$D780&lt;24),
Error!$B$54,
IF(AND(_xlpm.baseRow,$E780="Tier 3",ISNA(MATCH($C780,Tables2!$B$153:$B$162,0)),OR($D780&lt;12,$D780&gt;=24)),
Error!$B$9,
IF(AND(_xlpm.baseRow,$E780="Tier 3",COUNTIF(Tables2!$B$153:$B$162,$C780)&gt;0,$D780&lt;12),
Error!$B$46,
IF(AND(_xlpm.baseRow,$E780="Tier 4",OR($D780&lt;6,$D780&gt;=12)),
Error!$B$10,
IF(AND(_xlpm.baseRow,$E780="&lt;6in DSH for Tree Points",OR($D780&gt;=6,$D780="")),
Error!$B$8,
IF(AND(_xlpm.baseRow,$E780="Street Tree for Green Factor",$F780&lt;&gt;"",$F780&lt;&gt;"Retain"),
Error!$B$14,
IF(AND($E780="&lt;6in DSH for Tree Points",$F780="Retain",$H780&lt;&gt;"",ISNA(MATCH($H780,Tables!$B$174:$B$174,0))),
Error!$B$15,
IF(AND($E780="Street Tree for Green Factor",$F780="Retain",$H780&lt;&gt;"",$H780&lt;&gt;"Zoning: Green Factor"),
Error!$B$15,
IF(AND($E780="ECA / Shoreline Tree",$F780="Remove",$H780&lt;&gt;"",ISNA(MATCH($H780,Tables!$B$189:$B$190,0))),
Error!$B$15,
IF(AND($E780="ECA / Shoreline Tree",$F780="Retain",$H780&lt;&gt;"",ISNA(MATCH($H780,Tables!$B$184:$B$186,0))),
Error!$B$15,
IF(AND($E780="Tier 4",$F780="Remove",$H780&lt;&gt;"",ISNA(MATCH($H780,Tables!$B$171,0))),
Error!$B$15,
IF(AND($E780="Tier 4",$F780="Retain",$H780&lt;&gt;"",ISNA(MATCH($H780,Tables!$B$166:$B$168,0))),
Error!$B$15,
IF(AND($E780="Tier 3",$F780="Retain",$H780&lt;&gt;"",ISNA(MATCH($H780,Tables!$B$158:$B$160,0))),
Error!$B$15,
IF(AND($E780="Tier 3",$F780="Remove",$H780&lt;&gt;"",ISNA(MATCH($H780,Tables!$B$163,0))),
Error!$B$15,
IF(AND(OR($E780="Tier 2",$E780="Tier 2 Grove"),$F780="Remove",$H780&lt;&gt;"",ISNA(MATCH($H780,Tables!$B$153:$B$155,0))),
Error!$B$15,
IF(AND(OR($E780="Tier 2",$E780="Tier 2 Grove"),$F780="Retain",$H780&lt;&gt;"",ISNA(MATCH($H780,Tables!$B$147:$B$150,0))),
Error!$B$15,
IF(AND($E780="Tier 1",$F780="Remove",$H780&lt;&gt;"",ISNA(MATCH($H780,Tables!$B$143:$B$144,0))),
Error!$B$15,
IF(AND($E780="Tier 1",$F780="Retain",$H780&lt;&gt;"",ISNA(MATCH($H780,Tables!$B$137:$B$140,0))),
Error!$B$15,
IF(AND($E780&lt;&gt;"Tier 2",$E780&lt;&gt;"Tier 2 Grove",$E780&lt;&gt;"Tier 3",$E780&lt;&gt;"Tier 4",$H780="Zoning: Green Factor",OR($D780="",$D780&lt;6)),
Error!$B$11,
IF(AND(_xlpm.baseRow,$D780&lt;6,$E780="&lt;6in DSH for Tree Points",_xlpm.TreePoints_H=0),
Error!$B$21,
IF(AND(_xlpm.baseRow,$E780&lt;&gt;"",$D780&lt;&gt;"",$F780=""),
Error!$B$4,
IF(AND(_xlpm.baseRow,$F780="Remove",OR($E780="Tier 1",$E780="Tier 2",$E780="Tier 2 Grove"),COUNTBLANK(_xlpm.HRange)&lt;3,_xlpm.uniqueH&gt;=2),
Error!$B$48,
IF(AND(_xlpm.baseRow,$F780="Retain",OR($E780="Tier 1",$E780="Tier 2",$E780="Tier 2 Grove"),COUNTIF(_xlpm.HRange,"Tree Code: Required to Retain Tier 1-2 Tree")=0),
Error!$B$47,
IF(AND(_xlpm.baseRow,$E780&lt;&gt;"",$D780&lt;&gt;"",$F780&lt;&gt;"",COUNTBLANK(_xlpm.HRange)=4),
Error!$B$5,
IF(AND($F780="Remove",$H780&lt;&gt;"",$I780=""),
Error!$B$18,
IF(AND($E780="Tier 4",$F780="Remove",$H780="Tree Protection Code: Tier 3 or Tier 4 Allowance",$H780&lt;&gt;"",ISNA(MATCH($I780,Tables!$B$200,0))),
Error!$B$17,
IF(AND($E780="Tier 3",$F780="Remove",$H780&lt;&gt;"",$H780="Tree Protection Code: Tier 3 or Tier 4 Allowance",OR($I780="",ISNA(MATCH($I780,Tables!$B$193:$B$197,0)))),
Error!$B$17,
IF(AND(OR($E780="Tier 2",$E780="Tier 2 Grove"),$F780="Remove",$H780="Tree Protection Code: Other removal allowance or exemption",$I780&lt;&gt;"",ISNA(MATCH($I780,Tables!$B$215:$B$218,0))),
Error!$B$17,
IF(AND(OR($E780="Tier 2",$E780="Tier 2 Grove"),$F780="Remove",$H780="Tree Protection Code: Development Capacity",$I780&lt;&gt;"",ISNA(MATCH($I780,Tables!$B$193:$B$197,0))),
Error!$B$17,
IF(AND(OR($E780="Tier 2",$E780="Tier 2 Grove"),$F780="Remove",$H780="Tree Protection Code: Necessary for Construction",$I780&lt;&gt;"",ISNA(MATCH($I780,Tables!$B$193:$B$197,0))),
Error!$B$17,
IF(AND($E780="Tier 1",$F780="Remove",$H780="Tree Protection Code: Special Exception",$I780&lt;&gt;"",ISNA(MATCH($I780,Tables!$B$215:$B$218,0))),
Error!$B$17,
IF(AND($E780="Tier 1",$F780="Remove",$H780="Tree Protection Code: Other removal allowance or exemption",$I780&lt;&gt;"",ISNA(MATCH($I780,Tables!$B$215:$B$218,0))),
Error!$B$17,
IF(AND($E780="ECA / Shoreline Tree",$F780="Remove",$H780&lt;&gt;"",OR($H780="Shoreline",$H780="Environmental Critical Area (ECA)"),ISNA(MATCH($I780,Tables!$B$209:$B$212,0))),
Error!$B$17,
IF(AND(_xlpm.baseRow,$F780="Retain",$E780="ECA / Shoreline Tree",_xlpm.ECA_Short=0),
Error!$B$61,
IF(AND($F780="Remove",ISNUMBER(MATCH($E780,{"Tier 1","Tier 2","Tier 3","Tier 4","Tier 2 Grove"},0)),ISNUMBER(MATCH($I780,{"On-site replacement","Off-site replacement"},0)),$J780="",$H780&lt;&gt;""),
Error!$B$19,
IF(AND(_xlpm.baseRow,$E780&lt;&gt;"",$D780&lt;&gt;"",$F780&lt;&gt;"",COUNTBLANK($B780:$C780)&gt;0,COUNTBLANK(_xlpm.HRange)&lt;&gt;4),
Error!$B$22,
IF(AND($H780="Zoning: Tree Points",$K780&lt;&gt;"",ISNA(MATCH($K780,Tables!$B$242:$B$253,0))),
Error!$B$58,
IF(AND($H780="Zoning: Tree Points",$K780="Small",$L780&lt;&gt;"",ISNA(MATCH($L780,Tables!$C$243:$C$244,0))),
Error!$B$59,
IF(AND($H780="Zoning: Tree Points",$K780="Small/Medium",$L780&lt;&gt;"",ISNA(MATCH($L780,Tables!$C$246:$C$247,0))),
Error!$B$59,
IF(AND($H780="Zoning: Tree Points",$K780="Medium/Large",$L780&lt;&gt;"",ISNA(MATCH($L780,Tables!$C$249:$C$250,0))),
Error!$B$59,
IF(AND($H780="Zoning: Tree Points",$K780="Large",$L780&lt;&gt;"",ISNA(MATCH($L780,Tables!$C$252:$C$253,0))),
Error!$B$59,
IF(AND($F780="Retain",$H780="Zoning: Tree Points",$C780&lt;&gt;"",$D780&lt;&gt;"",OR($K780="",$L780="",$M780="")),
Error!$B$20,
""
)))))))))))))))))))))))))))))))))))))))))))))))))))))))),
Error!$B$23))</f>
        <v/>
      </c>
      <c r="O780" s="343" t="str" cm="1">
        <f t="array" aca="1" ref="O780" ca="1">IFERROR(_xlfn.LET(
    _xlpm.txt, $C780,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81" spans="1:15" x14ac:dyDescent="0.3">
      <c r="A781" s="320"/>
      <c r="B781" s="616" t="str">
        <f t="shared" si="928"/>
        <v/>
      </c>
      <c r="C781" s="617" t="str">
        <f t="shared" si="929"/>
        <v/>
      </c>
      <c r="D781" s="618" t="str">
        <f t="shared" si="930"/>
        <v/>
      </c>
      <c r="E781" s="616" t="str">
        <f t="shared" si="931"/>
        <v/>
      </c>
      <c r="F781" s="616" t="str">
        <f t="shared" si="932"/>
        <v/>
      </c>
      <c r="G781" s="619" t="str">
        <f>IF(Tree_Table1[[#This Row],[Tree Status  &amp;]]="Retain", Tables!$B$237, IF(Tree_Table1[[#This Row],[Tree Status  &amp;]]="Remove", Tables!$B$238, ""))</f>
        <v/>
      </c>
      <c r="H781" s="321"/>
      <c r="I781" s="322"/>
      <c r="J781" s="453"/>
      <c r="K781" s="323" t="str">
        <f>IFERROR(
    IF(
        AND($H781="Zoning: Tree Points", NOT(ISNUMBER(SEARCH("sp.", $C781)))),
        VLOOKUP($C781, 'Tree List'!$C$3:$F$601, 4, FALSE),
        ""
    ),
"")</f>
        <v/>
      </c>
      <c r="L781" s="324" t="str" cm="1">
        <f t="array" ref="L781">IFERROR(
IF(
    AND($H781="Zoning: Tree Points", NOT(ISNUMBER(SEARCH("sp.", $C781)))),
    _xlfn.IFS(
        (COUNTIFS('Tree List'!$C$3:$C$601,$C781,'Tree List'!$D$3:$D$601,"Coniferous")
        + COUNTIFS('Tree List'!$C$3:$C$601,$C781,'Tree List'!$D$3:$D$601,"Deciduous Conifer")) &gt; 0,
            _xlfn.IFS($K781="Small",0.5,$K781="Small/Medium",1,$K781="Medium/Large",1.4,$K781="Large",1.8),
        (COUNTIFS('Tree List'!$C$3:$C$601,$C781,'Tree List'!$D$3:$D$601,"Deciduous")
        + COUNTIFS('Tree List'!$C$3:$C$601,$C781,'Tree List'!$D$3:$D$601,"Broadleaf Evergreen")) &gt; 0,
            _xlfn.IFS($K781="Small",0.4,$K781="Small/Medium",0.8,$K781="Medium/Large",1.2,$K781="Large",1.6)
    ),
    ""
),
"")</f>
        <v/>
      </c>
      <c r="M781" s="475" t="str">
        <f t="shared" si="897"/>
        <v/>
      </c>
      <c r="N781" s="346" t="str" cm="1">
        <f t="array" aca="1" ref="N78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IF(AND(_xlpm.baseRow,ISNA(MATCH($C781,'Tree List'!$C$3:$C$601,0)),SUMPRODUCT(--ISNUMBER(SEARCH(Tables2!$C$677:$C$772,$O781)))&gt;0),
Error!$B$57,
IF(AND(_xlpm.hasDM,$F781="Remove",$H781&lt;&gt;"",OR($I781="On-site replacement",$I781="Off-site replacement",$I781="Payment In Lieu")),
Error!$B$56,
IF(AND(_xlpm.hasDM,$F781="Remove",$H781&lt;&gt;"",$I781="Relocation"),
Error!$B$66,
IF(AND(OR(_xlpm.hasCN,_xlpm.hasPH,_xlpm.hasGR),$H781&lt;&gt;"",COUNTIF(Tables!$B$132:$B$134,$H781)&gt;0,$I781="N/A (No replacement required)"),
Error!$B$62,
IF(AND(_xlpm.baseRow,$E781&lt;&gt;"",ISNA(MATCH($E781,Tables!$B$225:$B$232,0))),
Error!$B$2,
IF(AND(_xlpm.baseRow,$F781&lt;&gt;"",ISNA(MATCH($F781,Tables!$B$234:$B$235,0))),
Error!$B$24,
IF(AND(_xlpm.baseRow,_xlpm.ECA_H&gt;0,_xlpm.Shore_H&gt;0),
Error!$B$16,
IF(AND(_xlpm.baseRow,$E781&lt;&gt;"",$D781=""),
Error!$B$3,
IF(AND(_xlpm.baseRow,OR($E781="Tier 3",$E781="Tier 4"),$C781&lt;&gt;"",$D781&gt;=24,COUNTIF(Tables2!$B$166:$B$674,$C781)&gt;0),
Error!$B$44,
IF(AND(_xlpm.baseRow,OR($E781="Tier 3",$E781="Tier 4"),$C781&lt;&gt;"",$D781&lt;&gt;"",COUNTIF(Tables2!$B$73:$B$152,$C781)&gt;0,
$D781&gt;=IFERROR(INDEX(Tables2!$C$73:$C$152,MATCH($C781,Tables2!$B$73:$B$152,0)),-1)),
Error!$B$44,
IF(AND(_xlpm.baseRow,OR($E781="Tier 2",$E781="Tier 2 Grove"),$C781&lt;&gt;"",$D781&gt;=12,COUNTIF(Tables2!$B$153:$B$162,$C781)&gt;0),
Error!$B$45,
IF(AND(_xlpm.baseRow,$E781="Tier 2 Grove",$D781&lt;12),
Error!$B$41,
IF(AND(_xlpm.baseRow,$E781="Tier 2",$D781&lt;5.88),
Error!$B$40,
IF(AND(_xlpm.baseRow,OR($E781="Tier 2",$E781="Tier 2 Grove"),$C781&lt;&gt;"",$D781&lt;12,$D781&gt;=6,COUNTIF(Tables2!$B$153:$B$162,$C781)&gt;0),
Error!$B$54,
IF(AND(_xlpm.baseRow,$E781="Tier 2",COUNTIF(Tables2!$B$166:$B$674,$C781)&gt;0,$D781&lt;24),
Error!$B$54,
IF(AND(_xlpm.baseRow,$E781="Tier 3",ISNA(MATCH($C781,Tables2!$B$153:$B$162,0)),OR($D781&lt;12,$D781&gt;=24)),
Error!$B$9,
IF(AND(_xlpm.baseRow,$E781="Tier 3",COUNTIF(Tables2!$B$153:$B$162,$C781)&gt;0,$D781&lt;12),
Error!$B$46,
IF(AND(_xlpm.baseRow,$E781="Tier 4",OR($D781&lt;6,$D781&gt;=12)),
Error!$B$10,
IF(AND(_xlpm.baseRow,$E781="&lt;6in DSH for Tree Points",OR($D781&gt;=6,$D781="")),
Error!$B$8,
IF(AND(_xlpm.baseRow,$E781="Street Tree for Green Factor",$F781&lt;&gt;"",$F781&lt;&gt;"Retain"),
Error!$B$14,
IF(AND($E781="&lt;6in DSH for Tree Points",$F781="Retain",$H781&lt;&gt;"",ISNA(MATCH($H781,Tables!$B$174:$B$174,0))),
Error!$B$15,
IF(AND($E781="Street Tree for Green Factor",$F781="Retain",$H781&lt;&gt;"",$H781&lt;&gt;"Zoning: Green Factor"),
Error!$B$15,
IF(AND($E781="ECA / Shoreline Tree",$F781="Remove",$H781&lt;&gt;"",ISNA(MATCH($H781,Tables!$B$189:$B$190,0))),
Error!$B$15,
IF(AND($E781="ECA / Shoreline Tree",$F781="Retain",$H781&lt;&gt;"",ISNA(MATCH($H781,Tables!$B$184:$B$186,0))),
Error!$B$15,
IF(AND($E781="Tier 4",$F781="Remove",$H781&lt;&gt;"",ISNA(MATCH($H781,Tables!$B$171,0))),
Error!$B$15,
IF(AND($E781="Tier 4",$F781="Retain",$H781&lt;&gt;"",ISNA(MATCH($H781,Tables!$B$166:$B$168,0))),
Error!$B$15,
IF(AND($E781="Tier 3",$F781="Retain",$H781&lt;&gt;"",ISNA(MATCH($H781,Tables!$B$158:$B$160,0))),
Error!$B$15,
IF(AND($E781="Tier 3",$F781="Remove",$H781&lt;&gt;"",ISNA(MATCH($H781,Tables!$B$163,0))),
Error!$B$15,
IF(AND(OR($E781="Tier 2",$E781="Tier 2 Grove"),$F781="Remove",$H781&lt;&gt;"",ISNA(MATCH($H781,Tables!$B$153:$B$155,0))),
Error!$B$15,
IF(AND(OR($E781="Tier 2",$E781="Tier 2 Grove"),$F781="Retain",$H781&lt;&gt;"",ISNA(MATCH($H781,Tables!$B$147:$B$150,0))),
Error!$B$15,
IF(AND($E781="Tier 1",$F781="Remove",$H781&lt;&gt;"",ISNA(MATCH($H781,Tables!$B$143:$B$144,0))),
Error!$B$15,
IF(AND($E781="Tier 1",$F781="Retain",$H781&lt;&gt;"",ISNA(MATCH($H781,Tables!$B$137:$B$140,0))),
Error!$B$15,
IF(AND($E781&lt;&gt;"Tier 2",$E781&lt;&gt;"Tier 2 Grove",$E781&lt;&gt;"Tier 3",$E781&lt;&gt;"Tier 4",$H781="Zoning: Green Factor",OR($D781="",$D781&lt;6)),
Error!$B$11,
IF(AND(_xlpm.baseRow,$D781&lt;6,$E781="&lt;6in DSH for Tree Points",_xlpm.TreePoints_H=0),
Error!$B$21,
IF(AND(_xlpm.baseRow,$E781&lt;&gt;"",$D781&lt;&gt;"",$F781=""),
Error!$B$4,
IF(AND(_xlpm.baseRow,$F781="Remove",OR($E781="Tier 1",$E781="Tier 2",$E781="Tier 2 Grove"),COUNTBLANK(_xlpm.HRange)&lt;3,_xlpm.uniqueH&gt;=2),
Error!$B$48,
IF(AND(_xlpm.baseRow,$F781="Retain",OR($E781="Tier 1",$E781="Tier 2",$E781="Tier 2 Grove"),COUNTIF(_xlpm.HRange,"Tree Code: Required to Retain Tier 1-2 Tree")=0),
Error!$B$47,
IF(AND(_xlpm.baseRow,$E781&lt;&gt;"",$D781&lt;&gt;"",$F781&lt;&gt;"",COUNTBLANK(_xlpm.HRange)=4),
Error!$B$5,
IF(AND($F781="Remove",$H781&lt;&gt;"",$I781=""),
Error!$B$18,
IF(AND($E781="Tier 4",$F781="Remove",$H781="Tree Protection Code: Tier 3 or Tier 4 Allowance",$H781&lt;&gt;"",ISNA(MATCH($I781,Tables!$B$200,0))),
Error!$B$17,
IF(AND($E781="Tier 3",$F781="Remove",$H781&lt;&gt;"",$H781="Tree Protection Code: Tier 3 or Tier 4 Allowance",OR($I781="",ISNA(MATCH($I781,Tables!$B$193:$B$197,0)))),
Error!$B$17,
IF(AND(OR($E781="Tier 2",$E781="Tier 2 Grove"),$F781="Remove",$H781="Tree Protection Code: Other removal allowance or exemption",$I781&lt;&gt;"",ISNA(MATCH($I781,Tables!$B$215:$B$218,0))),
Error!$B$17,
IF(AND(OR($E781="Tier 2",$E781="Tier 2 Grove"),$F781="Remove",$H781="Tree Protection Code: Development Capacity",$I781&lt;&gt;"",ISNA(MATCH($I781,Tables!$B$193:$B$197,0))),
Error!$B$17,
IF(AND(OR($E781="Tier 2",$E781="Tier 2 Grove"),$F781="Remove",$H781="Tree Protection Code: Necessary for Construction",$I781&lt;&gt;"",ISNA(MATCH($I781,Tables!$B$193:$B$197,0))),
Error!$B$17,
IF(AND($E781="Tier 1",$F781="Remove",$H781="Tree Protection Code: Special Exception",$I781&lt;&gt;"",ISNA(MATCH($I781,Tables!$B$215:$B$218,0))),
Error!$B$17,
IF(AND($E781="Tier 1",$F781="Remove",$H781="Tree Protection Code: Other removal allowance or exemption",$I781&lt;&gt;"",ISNA(MATCH($I781,Tables!$B$215:$B$218,0))),
Error!$B$17,
IF(AND($E781="ECA / Shoreline Tree",$F781="Remove",$H781&lt;&gt;"",OR($H781="Shoreline",$H781="Environmental Critical Area (ECA)"),ISNA(MATCH($I781,Tables!$B$209:$B$212,0))),
Error!$B$17,
IF(AND(_xlpm.baseRow,$F781="Retain",$E781="ECA / Shoreline Tree",_xlpm.ECA_Short=0),
Error!$B$61,
IF(AND($F781="Remove",ISNUMBER(MATCH($E781,{"Tier 1","Tier 2","Tier 3","Tier 4","Tier 2 Grove"},0)),ISNUMBER(MATCH($I781,{"On-site replacement","Off-site replacement"},0)),$J781="",$H781&lt;&gt;""),
Error!$B$19,
IF(AND(_xlpm.baseRow,$E781&lt;&gt;"",$D781&lt;&gt;"",$F781&lt;&gt;"",COUNTBLANK($B781:$C781)&gt;0,COUNTBLANK(_xlpm.HRange)&lt;&gt;4),
Error!$B$22,
IF(AND($H781="Zoning: Tree Points",$K781&lt;&gt;"",ISNA(MATCH($K781,Tables!$B$242:$B$253,0))),
Error!$B$58,
IF(AND($H781="Zoning: Tree Points",$K781="Small",$L781&lt;&gt;"",ISNA(MATCH($L781,Tables!$C$243:$C$244,0))),
Error!$B$59,
IF(AND($H781="Zoning: Tree Points",$K781="Small/Medium",$L781&lt;&gt;"",ISNA(MATCH($L781,Tables!$C$246:$C$247,0))),
Error!$B$59,
IF(AND($H781="Zoning: Tree Points",$K781="Medium/Large",$L781&lt;&gt;"",ISNA(MATCH($L781,Tables!$C$249:$C$250,0))),
Error!$B$59,
IF(AND($H781="Zoning: Tree Points",$K781="Large",$L781&lt;&gt;"",ISNA(MATCH($L781,Tables!$C$252:$C$253,0))),
Error!$B$59,
IF(AND($F781="Retain",$H781="Zoning: Tree Points",$C781&lt;&gt;"",$D781&lt;&gt;"",OR($K781="",$L781="",$M781="")),
Error!$B$20,
""
)))))))))))))))))))))))))))))))))))))))))))))))))))))))),
Error!$B$23))</f>
        <v/>
      </c>
      <c r="O781" s="343" t="str" cm="1">
        <f t="array" aca="1" ref="O781" ca="1">IFERROR(_xlfn.LET(
    _xlpm.txt, $C781,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82" spans="1:15" ht="15" thickBot="1" x14ac:dyDescent="0.35">
      <c r="A782" s="331"/>
      <c r="B782" s="616" t="str">
        <f t="shared" si="928"/>
        <v/>
      </c>
      <c r="C782" s="617" t="str">
        <f t="shared" si="929"/>
        <v/>
      </c>
      <c r="D782" s="618" t="str">
        <f t="shared" si="930"/>
        <v/>
      </c>
      <c r="E782" s="616" t="str">
        <f t="shared" si="931"/>
        <v/>
      </c>
      <c r="F782" s="616" t="str">
        <f t="shared" si="932"/>
        <v/>
      </c>
      <c r="G782" s="619" t="str">
        <f>IF(Tree_Table1[[#This Row],[Tree Status  &amp;]]="Retain", Tables!$B$237, IF(Tree_Table1[[#This Row],[Tree Status  &amp;]]="Remove", Tables!$B$238, ""))</f>
        <v/>
      </c>
      <c r="H782" s="329"/>
      <c r="I782" s="330"/>
      <c r="J782" s="455"/>
      <c r="K782" s="327" t="str">
        <f>IFERROR(
    IF(
        AND($H782="Zoning: Tree Points", NOT(ISNUMBER(SEARCH("sp.", $C782)))),
        VLOOKUP($C782, 'Tree List'!$C$3:$F$601, 4, FALSE),
        ""
    ),
"")</f>
        <v/>
      </c>
      <c r="L782" s="328" t="str" cm="1">
        <f t="array" ref="L782">IFERROR(
IF(
    AND($H782="Zoning: Tree Points", NOT(ISNUMBER(SEARCH("sp.", $C782)))),
    _xlfn.IFS(
        (COUNTIFS('Tree List'!$C$3:$C$601,$C782,'Tree List'!$D$3:$D$601,"Coniferous")
        + COUNTIFS('Tree List'!$C$3:$C$601,$C782,'Tree List'!$D$3:$D$601,"Deciduous Conifer")) &gt; 0,
            _xlfn.IFS($K782="Small",0.5,$K782="Small/Medium",1,$K782="Medium/Large",1.4,$K782="Large",1.8),
        (COUNTIFS('Tree List'!$C$3:$C$601,$C782,'Tree List'!$D$3:$D$601,"Deciduous")
        + COUNTIFS('Tree List'!$C$3:$C$601,$C782,'Tree List'!$D$3:$D$601,"Broadleaf Evergreen")) &gt; 0,
            _xlfn.IFS($K782="Small",0.4,$K782="Small/Medium",0.8,$K782="Medium/Large",1.2,$K782="Large",1.6)
    ),
    ""
),
"")</f>
        <v/>
      </c>
      <c r="M782" s="476" t="str">
        <f t="shared" si="897"/>
        <v/>
      </c>
      <c r="N782" s="347" t="str" cm="1">
        <f t="array" aca="1" ref="N78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IF(AND(_xlpm.baseRow,ISNA(MATCH($C782,'Tree List'!$C$3:$C$601,0)),SUMPRODUCT(--ISNUMBER(SEARCH(Tables2!$C$677:$C$772,$O782)))&gt;0),
Error!$B$57,
IF(AND(_xlpm.hasDM,$F782="Remove",$H782&lt;&gt;"",OR($I782="On-site replacement",$I782="Off-site replacement",$I782="Payment In Lieu")),
Error!$B$56,
IF(AND(_xlpm.hasDM,$F782="Remove",$H782&lt;&gt;"",$I782="Relocation"),
Error!$B$66,
IF(AND(OR(_xlpm.hasCN,_xlpm.hasPH,_xlpm.hasGR),$H782&lt;&gt;"",COUNTIF(Tables!$B$132:$B$134,$H782)&gt;0,$I782="N/A (No replacement required)"),
Error!$B$62,
IF(AND(_xlpm.baseRow,$E782&lt;&gt;"",ISNA(MATCH($E782,Tables!$B$225:$B$232,0))),
Error!$B$2,
IF(AND(_xlpm.baseRow,$F782&lt;&gt;"",ISNA(MATCH($F782,Tables!$B$234:$B$235,0))),
Error!$B$24,
IF(AND(_xlpm.baseRow,_xlpm.ECA_H&gt;0,_xlpm.Shore_H&gt;0),
Error!$B$16,
IF(AND(_xlpm.baseRow,$E782&lt;&gt;"",$D782=""),
Error!$B$3,
IF(AND(_xlpm.baseRow,OR($E782="Tier 3",$E782="Tier 4"),$C782&lt;&gt;"",$D782&gt;=24,COUNTIF(Tables2!$B$166:$B$674,$C782)&gt;0),
Error!$B$44,
IF(AND(_xlpm.baseRow,OR($E782="Tier 3",$E782="Tier 4"),$C782&lt;&gt;"",$D782&lt;&gt;"",COUNTIF(Tables2!$B$73:$B$152,$C782)&gt;0,
$D782&gt;=IFERROR(INDEX(Tables2!$C$73:$C$152,MATCH($C782,Tables2!$B$73:$B$152,0)),-1)),
Error!$B$44,
IF(AND(_xlpm.baseRow,OR($E782="Tier 2",$E782="Tier 2 Grove"),$C782&lt;&gt;"",$D782&gt;=12,COUNTIF(Tables2!$B$153:$B$162,$C782)&gt;0),
Error!$B$45,
IF(AND(_xlpm.baseRow,$E782="Tier 2 Grove",$D782&lt;12),
Error!$B$41,
IF(AND(_xlpm.baseRow,$E782="Tier 2",$D782&lt;5.88),
Error!$B$40,
IF(AND(_xlpm.baseRow,OR($E782="Tier 2",$E782="Tier 2 Grove"),$C782&lt;&gt;"",$D782&lt;12,$D782&gt;=6,COUNTIF(Tables2!$B$153:$B$162,$C782)&gt;0),
Error!$B$54,
IF(AND(_xlpm.baseRow,$E782="Tier 2",COUNTIF(Tables2!$B$166:$B$674,$C782)&gt;0,$D782&lt;24),
Error!$B$54,
IF(AND(_xlpm.baseRow,$E782="Tier 3",ISNA(MATCH($C782,Tables2!$B$153:$B$162,0)),OR($D782&lt;12,$D782&gt;=24)),
Error!$B$9,
IF(AND(_xlpm.baseRow,$E782="Tier 3",COUNTIF(Tables2!$B$153:$B$162,$C782)&gt;0,$D782&lt;12),
Error!$B$46,
IF(AND(_xlpm.baseRow,$E782="Tier 4",OR($D782&lt;6,$D782&gt;=12)),
Error!$B$10,
IF(AND(_xlpm.baseRow,$E782="&lt;6in DSH for Tree Points",OR($D782&gt;=6,$D782="")),
Error!$B$8,
IF(AND(_xlpm.baseRow,$E782="Street Tree for Green Factor",$F782&lt;&gt;"",$F782&lt;&gt;"Retain"),
Error!$B$14,
IF(AND($E782="&lt;6in DSH for Tree Points",$F782="Retain",$H782&lt;&gt;"",ISNA(MATCH($H782,Tables!$B$174:$B$174,0))),
Error!$B$15,
IF(AND($E782="Street Tree for Green Factor",$F782="Retain",$H782&lt;&gt;"",$H782&lt;&gt;"Zoning: Green Factor"),
Error!$B$15,
IF(AND($E782="ECA / Shoreline Tree",$F782="Remove",$H782&lt;&gt;"",ISNA(MATCH($H782,Tables!$B$189:$B$190,0))),
Error!$B$15,
IF(AND($E782="ECA / Shoreline Tree",$F782="Retain",$H782&lt;&gt;"",ISNA(MATCH($H782,Tables!$B$184:$B$186,0))),
Error!$B$15,
IF(AND($E782="Tier 4",$F782="Remove",$H782&lt;&gt;"",ISNA(MATCH($H782,Tables!$B$171,0))),
Error!$B$15,
IF(AND($E782="Tier 4",$F782="Retain",$H782&lt;&gt;"",ISNA(MATCH($H782,Tables!$B$166:$B$168,0))),
Error!$B$15,
IF(AND($E782="Tier 3",$F782="Retain",$H782&lt;&gt;"",ISNA(MATCH($H782,Tables!$B$158:$B$160,0))),
Error!$B$15,
IF(AND($E782="Tier 3",$F782="Remove",$H782&lt;&gt;"",ISNA(MATCH($H782,Tables!$B$163,0))),
Error!$B$15,
IF(AND(OR($E782="Tier 2",$E782="Tier 2 Grove"),$F782="Remove",$H782&lt;&gt;"",ISNA(MATCH($H782,Tables!$B$153:$B$155,0))),
Error!$B$15,
IF(AND(OR($E782="Tier 2",$E782="Tier 2 Grove"),$F782="Retain",$H782&lt;&gt;"",ISNA(MATCH($H782,Tables!$B$147:$B$150,0))),
Error!$B$15,
IF(AND($E782="Tier 1",$F782="Remove",$H782&lt;&gt;"",ISNA(MATCH($H782,Tables!$B$143:$B$144,0))),
Error!$B$15,
IF(AND($E782="Tier 1",$F782="Retain",$H782&lt;&gt;"",ISNA(MATCH($H782,Tables!$B$137:$B$140,0))),
Error!$B$15,
IF(AND($E782&lt;&gt;"Tier 2",$E782&lt;&gt;"Tier 2 Grove",$E782&lt;&gt;"Tier 3",$E782&lt;&gt;"Tier 4",$H782="Zoning: Green Factor",OR($D782="",$D782&lt;6)),
Error!$B$11,
IF(AND(_xlpm.baseRow,$D782&lt;6,$E782="&lt;6in DSH for Tree Points",_xlpm.TreePoints_H=0),
Error!$B$21,
IF(AND(_xlpm.baseRow,$E782&lt;&gt;"",$D782&lt;&gt;"",$F782=""),
Error!$B$4,
IF(AND(_xlpm.baseRow,$F782="Remove",OR($E782="Tier 1",$E782="Tier 2",$E782="Tier 2 Grove"),COUNTBLANK(_xlpm.HRange)&lt;3,_xlpm.uniqueH&gt;=2),
Error!$B$48,
IF(AND(_xlpm.baseRow,$F782="Retain",OR($E782="Tier 1",$E782="Tier 2",$E782="Tier 2 Grove"),COUNTIF(_xlpm.HRange,"Tree Code: Required to Retain Tier 1-2 Tree")=0),
Error!$B$47,
IF(AND(_xlpm.baseRow,$E782&lt;&gt;"",$D782&lt;&gt;"",$F782&lt;&gt;"",COUNTBLANK(_xlpm.HRange)=4),
Error!$B$5,
IF(AND($F782="Remove",$H782&lt;&gt;"",$I782=""),
Error!$B$18,
IF(AND($E782="Tier 4",$F782="Remove",$H782="Tree Protection Code: Tier 3 or Tier 4 Allowance",$H782&lt;&gt;"",ISNA(MATCH($I782,Tables!$B$200,0))),
Error!$B$17,
IF(AND($E782="Tier 3",$F782="Remove",$H782&lt;&gt;"",$H782="Tree Protection Code: Tier 3 or Tier 4 Allowance",OR($I782="",ISNA(MATCH($I782,Tables!$B$193:$B$197,0)))),
Error!$B$17,
IF(AND(OR($E782="Tier 2",$E782="Tier 2 Grove"),$F782="Remove",$H782="Tree Protection Code: Other removal allowance or exemption",$I782&lt;&gt;"",ISNA(MATCH($I782,Tables!$B$215:$B$218,0))),
Error!$B$17,
IF(AND(OR($E782="Tier 2",$E782="Tier 2 Grove"),$F782="Remove",$H782="Tree Protection Code: Development Capacity",$I782&lt;&gt;"",ISNA(MATCH($I782,Tables!$B$193:$B$197,0))),
Error!$B$17,
IF(AND(OR($E782="Tier 2",$E782="Tier 2 Grove"),$F782="Remove",$H782="Tree Protection Code: Necessary for Construction",$I782&lt;&gt;"",ISNA(MATCH($I782,Tables!$B$193:$B$197,0))),
Error!$B$17,
IF(AND($E782="Tier 1",$F782="Remove",$H782="Tree Protection Code: Special Exception",$I782&lt;&gt;"",ISNA(MATCH($I782,Tables!$B$215:$B$218,0))),
Error!$B$17,
IF(AND($E782="Tier 1",$F782="Remove",$H782="Tree Protection Code: Other removal allowance or exemption",$I782&lt;&gt;"",ISNA(MATCH($I782,Tables!$B$215:$B$218,0))),
Error!$B$17,
IF(AND($E782="ECA / Shoreline Tree",$F782="Remove",$H782&lt;&gt;"",OR($H782="Shoreline",$H782="Environmental Critical Area (ECA)"),ISNA(MATCH($I782,Tables!$B$209:$B$212,0))),
Error!$B$17,
IF(AND(_xlpm.baseRow,$F782="Retain",$E782="ECA / Shoreline Tree",_xlpm.ECA_Short=0),
Error!$B$61,
IF(AND($F782="Remove",ISNUMBER(MATCH($E782,{"Tier 1","Tier 2","Tier 3","Tier 4","Tier 2 Grove"},0)),ISNUMBER(MATCH($I782,{"On-site replacement","Off-site replacement"},0)),$J782="",$H782&lt;&gt;""),
Error!$B$19,
IF(AND(_xlpm.baseRow,$E782&lt;&gt;"",$D782&lt;&gt;"",$F782&lt;&gt;"",COUNTBLANK($B782:$C782)&gt;0,COUNTBLANK(_xlpm.HRange)&lt;&gt;4),
Error!$B$22,
IF(AND($H782="Zoning: Tree Points",$K782&lt;&gt;"",ISNA(MATCH($K782,Tables!$B$242:$B$253,0))),
Error!$B$58,
IF(AND($H782="Zoning: Tree Points",$K782="Small",$L782&lt;&gt;"",ISNA(MATCH($L782,Tables!$C$243:$C$244,0))),
Error!$B$59,
IF(AND($H782="Zoning: Tree Points",$K782="Small/Medium",$L782&lt;&gt;"",ISNA(MATCH($L782,Tables!$C$246:$C$247,0))),
Error!$B$59,
IF(AND($H782="Zoning: Tree Points",$K782="Medium/Large",$L782&lt;&gt;"",ISNA(MATCH($L782,Tables!$C$249:$C$250,0))),
Error!$B$59,
IF(AND($H782="Zoning: Tree Points",$K782="Large",$L782&lt;&gt;"",ISNA(MATCH($L782,Tables!$C$252:$C$253,0))),
Error!$B$59,
IF(AND($F782="Retain",$H782="Zoning: Tree Points",$C782&lt;&gt;"",$D782&lt;&gt;"",OR($K782="",$L782="",$M782="")),
Error!$B$20,
""
)))))))))))))))))))))))))))))))))))))))))))))))))))))))),
Error!$B$23))</f>
        <v/>
      </c>
      <c r="O782" s="343" t="str" cm="1">
        <f t="array" aca="1" ref="O782" ca="1">IFERROR(_xlfn.LET(
    _xlpm.txt, $C782,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83" spans="1:15" ht="15" thickBot="1" x14ac:dyDescent="0.35">
      <c r="A783" s="311">
        <v>194</v>
      </c>
      <c r="B783" s="312"/>
      <c r="C783" s="313"/>
      <c r="D783" s="478"/>
      <c r="E783" s="314"/>
      <c r="F783" s="314"/>
      <c r="G783" s="315" t="str">
        <f>IF(Tree_Table1[[#This Row],[Tree Status  &amp;]]="Retain", Tables!$B$237, IF(Tree_Table1[[#This Row],[Tree Status  &amp;]]="Remove", Tables!$B$238, ""))</f>
        <v/>
      </c>
      <c r="H783" s="316"/>
      <c r="I783" s="317"/>
      <c r="J783" s="452"/>
      <c r="K783" s="318" t="str">
        <f>IFERROR(
    IF(
        AND($H783="Zoning: Tree Points", NOT(ISNUMBER(SEARCH("sp.", $C783)))),
        VLOOKUP($C783, 'Tree List'!$C$3:$F$601, 4, FALSE),
        ""
    ),
"")</f>
        <v/>
      </c>
      <c r="L783" s="319" t="str" cm="1">
        <f t="array" ref="L783">IFERROR(
IF(
    AND($H783="Zoning: Tree Points", NOT(ISNUMBER(SEARCH("sp.", $C783)))),
    _xlfn.IFS(
        (COUNTIFS('Tree List'!$C$3:$C$601,$C783,'Tree List'!$D$3:$D$601,"Coniferous")
        + COUNTIFS('Tree List'!$C$3:$C$601,$C783,'Tree List'!$D$3:$D$601,"Deciduous Conifer")) &gt; 0,
            _xlfn.IFS($K783="Small",0.5,$K783="Small/Medium",1,$K783="Medium/Large",1.4,$K783="Large",1.8),
        (COUNTIFS('Tree List'!$C$3:$C$601,$C783,'Tree List'!$D$3:$D$601,"Deciduous")
        + COUNTIFS('Tree List'!$C$3:$C$601,$C783,'Tree List'!$D$3:$D$601,"Broadleaf Evergreen")) &gt; 0,
            _xlfn.IFS($K783="Small",0.4,$K783="Small/Medium",0.8,$K783="Medium/Large",1.2,$K783="Large",1.6)
    ),
    ""
),
"")</f>
        <v/>
      </c>
      <c r="M783" s="474" t="str">
        <f t="shared" si="897"/>
        <v/>
      </c>
      <c r="N783" s="620" t="str" cm="1">
        <f t="array" aca="1" ref="N78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IF(AND(_xlpm.baseRow,ISNA(MATCH($C783,'Tree List'!$C$3:$C$601,0)),SUMPRODUCT(--ISNUMBER(SEARCH(Tables2!$C$677:$C$772,$O783)))&gt;0),
Error!$B$57,
IF(AND(_xlpm.hasDM,$F783="Remove",$H783&lt;&gt;"",OR($I783="On-site replacement",$I783="Off-site replacement",$I783="Payment In Lieu")),
Error!$B$56,
IF(AND(_xlpm.hasDM,$F783="Remove",$H783&lt;&gt;"",$I783="Relocation"),
Error!$B$66,
IF(AND(OR(_xlpm.hasCN,_xlpm.hasPH,_xlpm.hasGR),$H783&lt;&gt;"",COUNTIF(Tables!$B$132:$B$134,$H783)&gt;0,$I783="N/A (No replacement required)"),
Error!$B$62,
IF(AND(_xlpm.baseRow,$E783&lt;&gt;"",ISNA(MATCH($E783,Tables!$B$225:$B$232,0))),
Error!$B$2,
IF(AND(_xlpm.baseRow,$F783&lt;&gt;"",ISNA(MATCH($F783,Tables!$B$234:$B$235,0))),
Error!$B$24,
IF(AND(_xlpm.baseRow,_xlpm.ECA_H&gt;0,_xlpm.Shore_H&gt;0),
Error!$B$16,
IF(AND(_xlpm.baseRow,$E783&lt;&gt;"",$D783=""),
Error!$B$3,
IF(AND(_xlpm.baseRow,OR($E783="Tier 3",$E783="Tier 4"),$C783&lt;&gt;"",$D783&gt;=24,COUNTIF(Tables2!$B$166:$B$674,$C783)&gt;0),
Error!$B$44,
IF(AND(_xlpm.baseRow,OR($E783="Tier 3",$E783="Tier 4"),$C783&lt;&gt;"",$D783&lt;&gt;"",COUNTIF(Tables2!$B$73:$B$152,$C783)&gt;0,
$D783&gt;=IFERROR(INDEX(Tables2!$C$73:$C$152,MATCH($C783,Tables2!$B$73:$B$152,0)),-1)),
Error!$B$44,
IF(AND(_xlpm.baseRow,OR($E783="Tier 2",$E783="Tier 2 Grove"),$C783&lt;&gt;"",$D783&gt;=12,COUNTIF(Tables2!$B$153:$B$162,$C783)&gt;0),
Error!$B$45,
IF(AND(_xlpm.baseRow,$E783="Tier 2 Grove",$D783&lt;12),
Error!$B$41,
IF(AND(_xlpm.baseRow,$E783="Tier 2",$D783&lt;5.88),
Error!$B$40,
IF(AND(_xlpm.baseRow,OR($E783="Tier 2",$E783="Tier 2 Grove"),$C783&lt;&gt;"",$D783&lt;12,$D783&gt;=6,COUNTIF(Tables2!$B$153:$B$162,$C783)&gt;0),
Error!$B$54,
IF(AND(_xlpm.baseRow,$E783="Tier 2",COUNTIF(Tables2!$B$166:$B$674,$C783)&gt;0,$D783&lt;24),
Error!$B$54,
IF(AND(_xlpm.baseRow,$E783="Tier 3",ISNA(MATCH($C783,Tables2!$B$153:$B$162,0)),OR($D783&lt;12,$D783&gt;=24)),
Error!$B$9,
IF(AND(_xlpm.baseRow,$E783="Tier 3",COUNTIF(Tables2!$B$153:$B$162,$C783)&gt;0,$D783&lt;12),
Error!$B$46,
IF(AND(_xlpm.baseRow,$E783="Tier 4",OR($D783&lt;6,$D783&gt;=12)),
Error!$B$10,
IF(AND(_xlpm.baseRow,$E783="&lt;6in DSH for Tree Points",OR($D783&gt;=6,$D783="")),
Error!$B$8,
IF(AND(_xlpm.baseRow,$E783="Street Tree for Green Factor",$F783&lt;&gt;"",$F783&lt;&gt;"Retain"),
Error!$B$14,
IF(AND($E783="&lt;6in DSH for Tree Points",$F783="Retain",$H783&lt;&gt;"",ISNA(MATCH($H783,Tables!$B$174:$B$174,0))),
Error!$B$15,
IF(AND($E783="Street Tree for Green Factor",$F783="Retain",$H783&lt;&gt;"",$H783&lt;&gt;"Zoning: Green Factor"),
Error!$B$15,
IF(AND($E783="ECA / Shoreline Tree",$F783="Remove",$H783&lt;&gt;"",ISNA(MATCH($H783,Tables!$B$189:$B$190,0))),
Error!$B$15,
IF(AND($E783="ECA / Shoreline Tree",$F783="Retain",$H783&lt;&gt;"",ISNA(MATCH($H783,Tables!$B$184:$B$186,0))),
Error!$B$15,
IF(AND($E783="Tier 4",$F783="Remove",$H783&lt;&gt;"",ISNA(MATCH($H783,Tables!$B$171,0))),
Error!$B$15,
IF(AND($E783="Tier 4",$F783="Retain",$H783&lt;&gt;"",ISNA(MATCH($H783,Tables!$B$166:$B$168,0))),
Error!$B$15,
IF(AND($E783="Tier 3",$F783="Retain",$H783&lt;&gt;"",ISNA(MATCH($H783,Tables!$B$158:$B$160,0))),
Error!$B$15,
IF(AND($E783="Tier 3",$F783="Remove",$H783&lt;&gt;"",ISNA(MATCH($H783,Tables!$B$163,0))),
Error!$B$15,
IF(AND(OR($E783="Tier 2",$E783="Tier 2 Grove"),$F783="Remove",$H783&lt;&gt;"",ISNA(MATCH($H783,Tables!$B$153:$B$155,0))),
Error!$B$15,
IF(AND(OR($E783="Tier 2",$E783="Tier 2 Grove"),$F783="Retain",$H783&lt;&gt;"",ISNA(MATCH($H783,Tables!$B$147:$B$150,0))),
Error!$B$15,
IF(AND($E783="Tier 1",$F783="Remove",$H783&lt;&gt;"",ISNA(MATCH($H783,Tables!$B$143:$B$144,0))),
Error!$B$15,
IF(AND($E783="Tier 1",$F783="Retain",$H783&lt;&gt;"",ISNA(MATCH($H783,Tables!$B$137:$B$140,0))),
Error!$B$15,
IF(AND($E783&lt;&gt;"Tier 2",$E783&lt;&gt;"Tier 2 Grove",$E783&lt;&gt;"Tier 3",$E783&lt;&gt;"Tier 4",$H783="Zoning: Green Factor",OR($D783="",$D783&lt;6)),
Error!$B$11,
IF(AND(_xlpm.baseRow,$D783&lt;6,$E783="&lt;6in DSH for Tree Points",_xlpm.TreePoints_H=0),
Error!$B$21,
IF(AND(_xlpm.baseRow,$E783&lt;&gt;"",$D783&lt;&gt;"",$F783=""),
Error!$B$4,
IF(AND(_xlpm.baseRow,$F783="Remove",OR($E783="Tier 1",$E783="Tier 2",$E783="Tier 2 Grove"),COUNTBLANK(_xlpm.HRange)&lt;3,_xlpm.uniqueH&gt;=2),
Error!$B$48,
IF(AND(_xlpm.baseRow,$F783="Retain",OR($E783="Tier 1",$E783="Tier 2",$E783="Tier 2 Grove"),COUNTIF(_xlpm.HRange,"Tree Code: Required to Retain Tier 1-2 Tree")=0),
Error!$B$47,
IF(AND(_xlpm.baseRow,$E783&lt;&gt;"",$D783&lt;&gt;"",$F783&lt;&gt;"",COUNTBLANK(_xlpm.HRange)=4),
Error!$B$5,
IF(AND($F783="Remove",$H783&lt;&gt;"",$I783=""),
Error!$B$18,
IF(AND($E783="Tier 4",$F783="Remove",$H783="Tree Protection Code: Tier 3 or Tier 4 Allowance",$H783&lt;&gt;"",ISNA(MATCH($I783,Tables!$B$200,0))),
Error!$B$17,
IF(AND($E783="Tier 3",$F783="Remove",$H783&lt;&gt;"",$H783="Tree Protection Code: Tier 3 or Tier 4 Allowance",OR($I783="",ISNA(MATCH($I783,Tables!$B$193:$B$197,0)))),
Error!$B$17,
IF(AND(OR($E783="Tier 2",$E783="Tier 2 Grove"),$F783="Remove",$H783="Tree Protection Code: Other removal allowance or exemption",$I783&lt;&gt;"",ISNA(MATCH($I783,Tables!$B$215:$B$218,0))),
Error!$B$17,
IF(AND(OR($E783="Tier 2",$E783="Tier 2 Grove"),$F783="Remove",$H783="Tree Protection Code: Development Capacity",$I783&lt;&gt;"",ISNA(MATCH($I783,Tables!$B$193:$B$197,0))),
Error!$B$17,
IF(AND(OR($E783="Tier 2",$E783="Tier 2 Grove"),$F783="Remove",$H783="Tree Protection Code: Necessary for Construction",$I783&lt;&gt;"",ISNA(MATCH($I783,Tables!$B$193:$B$197,0))),
Error!$B$17,
IF(AND($E783="Tier 1",$F783="Remove",$H783="Tree Protection Code: Special Exception",$I783&lt;&gt;"",ISNA(MATCH($I783,Tables!$B$215:$B$218,0))),
Error!$B$17,
IF(AND($E783="Tier 1",$F783="Remove",$H783="Tree Protection Code: Other removal allowance or exemption",$I783&lt;&gt;"",ISNA(MATCH($I783,Tables!$B$215:$B$218,0))),
Error!$B$17,
IF(AND($E783="ECA / Shoreline Tree",$F783="Remove",$H783&lt;&gt;"",OR($H783="Shoreline",$H783="Environmental Critical Area (ECA)"),ISNA(MATCH($I783,Tables!$B$209:$B$212,0))),
Error!$B$17,
IF(AND(_xlpm.baseRow,$F783="Retain",$E783="ECA / Shoreline Tree",_xlpm.ECA_Short=0),
Error!$B$61,
IF(AND($F783="Remove",ISNUMBER(MATCH($E783,{"Tier 1","Tier 2","Tier 3","Tier 4","Tier 2 Grove"},0)),ISNUMBER(MATCH($I783,{"On-site replacement","Off-site replacement"},0)),$J783="",$H783&lt;&gt;""),
Error!$B$19,
IF(AND(_xlpm.baseRow,$E783&lt;&gt;"",$D783&lt;&gt;"",$F783&lt;&gt;"",COUNTBLANK($B783:$C783)&gt;0,COUNTBLANK(_xlpm.HRange)&lt;&gt;4),
Error!$B$22,
IF(AND($H783="Zoning: Tree Points",$K783&lt;&gt;"",ISNA(MATCH($K783,Tables!$B$242:$B$253,0))),
Error!$B$58,
IF(AND($H783="Zoning: Tree Points",$K783="Small",$L783&lt;&gt;"",ISNA(MATCH($L783,Tables!$C$243:$C$244,0))),
Error!$B$59,
IF(AND($H783="Zoning: Tree Points",$K783="Small/Medium",$L783&lt;&gt;"",ISNA(MATCH($L783,Tables!$C$246:$C$247,0))),
Error!$B$59,
IF(AND($H783="Zoning: Tree Points",$K783="Medium/Large",$L783&lt;&gt;"",ISNA(MATCH($L783,Tables!$C$249:$C$250,0))),
Error!$B$59,
IF(AND($H783="Zoning: Tree Points",$K783="Large",$L783&lt;&gt;"",ISNA(MATCH($L783,Tables!$C$252:$C$253,0))),
Error!$B$59,
IF(AND($F783="Retain",$H783="Zoning: Tree Points",$C783&lt;&gt;"",$D783&lt;&gt;"",OR($K783="",$L783="",$M783="")),
Error!$B$20,
""
)))))))))))))))))))))))))))))))))))))))))))))))))))))))),
Error!$B$23))</f>
        <v/>
      </c>
      <c r="O783" s="343" t="str" cm="1">
        <f t="array" aca="1" ref="O783" ca="1">IFERROR(_xlfn.LET(
    _xlpm.txt, $C783,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84" spans="1:15" x14ac:dyDescent="0.3">
      <c r="A784" s="320"/>
      <c r="B784" s="616" t="str">
        <f t="shared" ref="B784:B786" si="933">IF($B783="", "", $B783)</f>
        <v/>
      </c>
      <c r="C784" s="617" t="str">
        <f t="shared" ref="C784:C786" si="934">IF($C783="", "", $C783)</f>
        <v/>
      </c>
      <c r="D784" s="618" t="str">
        <f t="shared" ref="D784:D786" si="935">IF($D783="", "", $D783)</f>
        <v/>
      </c>
      <c r="E784" s="616" t="str">
        <f t="shared" ref="E784:E786" si="936">IF($E783="", "", $E783)</f>
        <v/>
      </c>
      <c r="F784" s="616" t="str">
        <f t="shared" ref="F784:F786" si="937">IF($F783="", "", $F783)</f>
        <v/>
      </c>
      <c r="G784" s="619" t="str">
        <f>IF(Tree_Table1[[#This Row],[Tree Status  &amp;]]="Retain", Tables!$B$237, IF(Tree_Table1[[#This Row],[Tree Status  &amp;]]="Remove", Tables!$B$238, ""))</f>
        <v/>
      </c>
      <c r="H784" s="321"/>
      <c r="I784" s="322"/>
      <c r="J784" s="453"/>
      <c r="K784" s="323" t="str">
        <f>IFERROR(
    IF(
        AND($H784="Zoning: Tree Points", NOT(ISNUMBER(SEARCH("sp.", $C784)))),
        VLOOKUP($C784, 'Tree List'!$C$3:$F$601, 4, FALSE),
        ""
    ),
"")</f>
        <v/>
      </c>
      <c r="L784" s="324" t="str" cm="1">
        <f t="array" ref="L784">IFERROR(
IF(
    AND($H784="Zoning: Tree Points", NOT(ISNUMBER(SEARCH("sp.", $C784)))),
    _xlfn.IFS(
        (COUNTIFS('Tree List'!$C$3:$C$601,$C784,'Tree List'!$D$3:$D$601,"Coniferous")
        + COUNTIFS('Tree List'!$C$3:$C$601,$C784,'Tree List'!$D$3:$D$601,"Deciduous Conifer")) &gt; 0,
            _xlfn.IFS($K784="Small",0.5,$K784="Small/Medium",1,$K784="Medium/Large",1.4,$K784="Large",1.8),
        (COUNTIFS('Tree List'!$C$3:$C$601,$C784,'Tree List'!$D$3:$D$601,"Deciduous")
        + COUNTIFS('Tree List'!$C$3:$C$601,$C784,'Tree List'!$D$3:$D$601,"Broadleaf Evergreen")) &gt; 0,
            _xlfn.IFS($K784="Small",0.4,$K784="Small/Medium",0.8,$K784="Medium/Large",1.2,$K784="Large",1.6)
    ),
    ""
),
"")</f>
        <v/>
      </c>
      <c r="M784" s="475" t="str">
        <f t="shared" si="897"/>
        <v/>
      </c>
      <c r="N784" s="346" t="str" cm="1">
        <f t="array" aca="1" ref="N78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IF(AND(_xlpm.baseRow,ISNA(MATCH($C784,'Tree List'!$C$3:$C$601,0)),SUMPRODUCT(--ISNUMBER(SEARCH(Tables2!$C$677:$C$772,$O784)))&gt;0),
Error!$B$57,
IF(AND(_xlpm.hasDM,$F784="Remove",$H784&lt;&gt;"",OR($I784="On-site replacement",$I784="Off-site replacement",$I784="Payment In Lieu")),
Error!$B$56,
IF(AND(_xlpm.hasDM,$F784="Remove",$H784&lt;&gt;"",$I784="Relocation"),
Error!$B$66,
IF(AND(OR(_xlpm.hasCN,_xlpm.hasPH,_xlpm.hasGR),$H784&lt;&gt;"",COUNTIF(Tables!$B$132:$B$134,$H784)&gt;0,$I784="N/A (No replacement required)"),
Error!$B$62,
IF(AND(_xlpm.baseRow,$E784&lt;&gt;"",ISNA(MATCH($E784,Tables!$B$225:$B$232,0))),
Error!$B$2,
IF(AND(_xlpm.baseRow,$F784&lt;&gt;"",ISNA(MATCH($F784,Tables!$B$234:$B$235,0))),
Error!$B$24,
IF(AND(_xlpm.baseRow,_xlpm.ECA_H&gt;0,_xlpm.Shore_H&gt;0),
Error!$B$16,
IF(AND(_xlpm.baseRow,$E784&lt;&gt;"",$D784=""),
Error!$B$3,
IF(AND(_xlpm.baseRow,OR($E784="Tier 3",$E784="Tier 4"),$C784&lt;&gt;"",$D784&gt;=24,COUNTIF(Tables2!$B$166:$B$674,$C784)&gt;0),
Error!$B$44,
IF(AND(_xlpm.baseRow,OR($E784="Tier 3",$E784="Tier 4"),$C784&lt;&gt;"",$D784&lt;&gt;"",COUNTIF(Tables2!$B$73:$B$152,$C784)&gt;0,
$D784&gt;=IFERROR(INDEX(Tables2!$C$73:$C$152,MATCH($C784,Tables2!$B$73:$B$152,0)),-1)),
Error!$B$44,
IF(AND(_xlpm.baseRow,OR($E784="Tier 2",$E784="Tier 2 Grove"),$C784&lt;&gt;"",$D784&gt;=12,COUNTIF(Tables2!$B$153:$B$162,$C784)&gt;0),
Error!$B$45,
IF(AND(_xlpm.baseRow,$E784="Tier 2 Grove",$D784&lt;12),
Error!$B$41,
IF(AND(_xlpm.baseRow,$E784="Tier 2",$D784&lt;5.88),
Error!$B$40,
IF(AND(_xlpm.baseRow,OR($E784="Tier 2",$E784="Tier 2 Grove"),$C784&lt;&gt;"",$D784&lt;12,$D784&gt;=6,COUNTIF(Tables2!$B$153:$B$162,$C784)&gt;0),
Error!$B$54,
IF(AND(_xlpm.baseRow,$E784="Tier 2",COUNTIF(Tables2!$B$166:$B$674,$C784)&gt;0,$D784&lt;24),
Error!$B$54,
IF(AND(_xlpm.baseRow,$E784="Tier 3",ISNA(MATCH($C784,Tables2!$B$153:$B$162,0)),OR($D784&lt;12,$D784&gt;=24)),
Error!$B$9,
IF(AND(_xlpm.baseRow,$E784="Tier 3",COUNTIF(Tables2!$B$153:$B$162,$C784)&gt;0,$D784&lt;12),
Error!$B$46,
IF(AND(_xlpm.baseRow,$E784="Tier 4",OR($D784&lt;6,$D784&gt;=12)),
Error!$B$10,
IF(AND(_xlpm.baseRow,$E784="&lt;6in DSH for Tree Points",OR($D784&gt;=6,$D784="")),
Error!$B$8,
IF(AND(_xlpm.baseRow,$E784="Street Tree for Green Factor",$F784&lt;&gt;"",$F784&lt;&gt;"Retain"),
Error!$B$14,
IF(AND($E784="&lt;6in DSH for Tree Points",$F784="Retain",$H784&lt;&gt;"",ISNA(MATCH($H784,Tables!$B$174:$B$174,0))),
Error!$B$15,
IF(AND($E784="Street Tree for Green Factor",$F784="Retain",$H784&lt;&gt;"",$H784&lt;&gt;"Zoning: Green Factor"),
Error!$B$15,
IF(AND($E784="ECA / Shoreline Tree",$F784="Remove",$H784&lt;&gt;"",ISNA(MATCH($H784,Tables!$B$189:$B$190,0))),
Error!$B$15,
IF(AND($E784="ECA / Shoreline Tree",$F784="Retain",$H784&lt;&gt;"",ISNA(MATCH($H784,Tables!$B$184:$B$186,0))),
Error!$B$15,
IF(AND($E784="Tier 4",$F784="Remove",$H784&lt;&gt;"",ISNA(MATCH($H784,Tables!$B$171,0))),
Error!$B$15,
IF(AND($E784="Tier 4",$F784="Retain",$H784&lt;&gt;"",ISNA(MATCH($H784,Tables!$B$166:$B$168,0))),
Error!$B$15,
IF(AND($E784="Tier 3",$F784="Retain",$H784&lt;&gt;"",ISNA(MATCH($H784,Tables!$B$158:$B$160,0))),
Error!$B$15,
IF(AND($E784="Tier 3",$F784="Remove",$H784&lt;&gt;"",ISNA(MATCH($H784,Tables!$B$163,0))),
Error!$B$15,
IF(AND(OR($E784="Tier 2",$E784="Tier 2 Grove"),$F784="Remove",$H784&lt;&gt;"",ISNA(MATCH($H784,Tables!$B$153:$B$155,0))),
Error!$B$15,
IF(AND(OR($E784="Tier 2",$E784="Tier 2 Grove"),$F784="Retain",$H784&lt;&gt;"",ISNA(MATCH($H784,Tables!$B$147:$B$150,0))),
Error!$B$15,
IF(AND($E784="Tier 1",$F784="Remove",$H784&lt;&gt;"",ISNA(MATCH($H784,Tables!$B$143:$B$144,0))),
Error!$B$15,
IF(AND($E784="Tier 1",$F784="Retain",$H784&lt;&gt;"",ISNA(MATCH($H784,Tables!$B$137:$B$140,0))),
Error!$B$15,
IF(AND($E784&lt;&gt;"Tier 2",$E784&lt;&gt;"Tier 2 Grove",$E784&lt;&gt;"Tier 3",$E784&lt;&gt;"Tier 4",$H784="Zoning: Green Factor",OR($D784="",$D784&lt;6)),
Error!$B$11,
IF(AND(_xlpm.baseRow,$D784&lt;6,$E784="&lt;6in DSH for Tree Points",_xlpm.TreePoints_H=0),
Error!$B$21,
IF(AND(_xlpm.baseRow,$E784&lt;&gt;"",$D784&lt;&gt;"",$F784=""),
Error!$B$4,
IF(AND(_xlpm.baseRow,$F784="Remove",OR($E784="Tier 1",$E784="Tier 2",$E784="Tier 2 Grove"),COUNTBLANK(_xlpm.HRange)&lt;3,_xlpm.uniqueH&gt;=2),
Error!$B$48,
IF(AND(_xlpm.baseRow,$F784="Retain",OR($E784="Tier 1",$E784="Tier 2",$E784="Tier 2 Grove"),COUNTIF(_xlpm.HRange,"Tree Code: Required to Retain Tier 1-2 Tree")=0),
Error!$B$47,
IF(AND(_xlpm.baseRow,$E784&lt;&gt;"",$D784&lt;&gt;"",$F784&lt;&gt;"",COUNTBLANK(_xlpm.HRange)=4),
Error!$B$5,
IF(AND($F784="Remove",$H784&lt;&gt;"",$I784=""),
Error!$B$18,
IF(AND($E784="Tier 4",$F784="Remove",$H784="Tree Protection Code: Tier 3 or Tier 4 Allowance",$H784&lt;&gt;"",ISNA(MATCH($I784,Tables!$B$200,0))),
Error!$B$17,
IF(AND($E784="Tier 3",$F784="Remove",$H784&lt;&gt;"",$H784="Tree Protection Code: Tier 3 or Tier 4 Allowance",OR($I784="",ISNA(MATCH($I784,Tables!$B$193:$B$197,0)))),
Error!$B$17,
IF(AND(OR($E784="Tier 2",$E784="Tier 2 Grove"),$F784="Remove",$H784="Tree Protection Code: Other removal allowance or exemption",$I784&lt;&gt;"",ISNA(MATCH($I784,Tables!$B$215:$B$218,0))),
Error!$B$17,
IF(AND(OR($E784="Tier 2",$E784="Tier 2 Grove"),$F784="Remove",$H784="Tree Protection Code: Development Capacity",$I784&lt;&gt;"",ISNA(MATCH($I784,Tables!$B$193:$B$197,0))),
Error!$B$17,
IF(AND(OR($E784="Tier 2",$E784="Tier 2 Grove"),$F784="Remove",$H784="Tree Protection Code: Necessary for Construction",$I784&lt;&gt;"",ISNA(MATCH($I784,Tables!$B$193:$B$197,0))),
Error!$B$17,
IF(AND($E784="Tier 1",$F784="Remove",$H784="Tree Protection Code: Special Exception",$I784&lt;&gt;"",ISNA(MATCH($I784,Tables!$B$215:$B$218,0))),
Error!$B$17,
IF(AND($E784="Tier 1",$F784="Remove",$H784="Tree Protection Code: Other removal allowance or exemption",$I784&lt;&gt;"",ISNA(MATCH($I784,Tables!$B$215:$B$218,0))),
Error!$B$17,
IF(AND($E784="ECA / Shoreline Tree",$F784="Remove",$H784&lt;&gt;"",OR($H784="Shoreline",$H784="Environmental Critical Area (ECA)"),ISNA(MATCH($I784,Tables!$B$209:$B$212,0))),
Error!$B$17,
IF(AND(_xlpm.baseRow,$F784="Retain",$E784="ECA / Shoreline Tree",_xlpm.ECA_Short=0),
Error!$B$61,
IF(AND($F784="Remove",ISNUMBER(MATCH($E784,{"Tier 1","Tier 2","Tier 3","Tier 4","Tier 2 Grove"},0)),ISNUMBER(MATCH($I784,{"On-site replacement","Off-site replacement"},0)),$J784="",$H784&lt;&gt;""),
Error!$B$19,
IF(AND(_xlpm.baseRow,$E784&lt;&gt;"",$D784&lt;&gt;"",$F784&lt;&gt;"",COUNTBLANK($B784:$C784)&gt;0,COUNTBLANK(_xlpm.HRange)&lt;&gt;4),
Error!$B$22,
IF(AND($H784="Zoning: Tree Points",$K784&lt;&gt;"",ISNA(MATCH($K784,Tables!$B$242:$B$253,0))),
Error!$B$58,
IF(AND($H784="Zoning: Tree Points",$K784="Small",$L784&lt;&gt;"",ISNA(MATCH($L784,Tables!$C$243:$C$244,0))),
Error!$B$59,
IF(AND($H784="Zoning: Tree Points",$K784="Small/Medium",$L784&lt;&gt;"",ISNA(MATCH($L784,Tables!$C$246:$C$247,0))),
Error!$B$59,
IF(AND($H784="Zoning: Tree Points",$K784="Medium/Large",$L784&lt;&gt;"",ISNA(MATCH($L784,Tables!$C$249:$C$250,0))),
Error!$B$59,
IF(AND($H784="Zoning: Tree Points",$K784="Large",$L784&lt;&gt;"",ISNA(MATCH($L784,Tables!$C$252:$C$253,0))),
Error!$B$59,
IF(AND($F784="Retain",$H784="Zoning: Tree Points",$C784&lt;&gt;"",$D784&lt;&gt;"",OR($K784="",$L784="",$M784="")),
Error!$B$20,
""
)))))))))))))))))))))))))))))))))))))))))))))))))))))))),
Error!$B$23))</f>
        <v/>
      </c>
      <c r="O784" s="343" t="str" cm="1">
        <f t="array" aca="1" ref="O784" ca="1">IFERROR(_xlfn.LET(
    _xlpm.txt, $C784,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85" spans="1:15" x14ac:dyDescent="0.3">
      <c r="A785" s="320"/>
      <c r="B785" s="616" t="str">
        <f t="shared" si="933"/>
        <v/>
      </c>
      <c r="C785" s="617" t="str">
        <f t="shared" si="934"/>
        <v/>
      </c>
      <c r="D785" s="618" t="str">
        <f t="shared" si="935"/>
        <v/>
      </c>
      <c r="E785" s="616" t="str">
        <f t="shared" si="936"/>
        <v/>
      </c>
      <c r="F785" s="616" t="str">
        <f t="shared" si="937"/>
        <v/>
      </c>
      <c r="G785" s="619" t="str">
        <f>IF(Tree_Table1[[#This Row],[Tree Status  &amp;]]="Retain", Tables!$B$237, IF(Tree_Table1[[#This Row],[Tree Status  &amp;]]="Remove", Tables!$B$238, ""))</f>
        <v/>
      </c>
      <c r="H785" s="321"/>
      <c r="I785" s="322"/>
      <c r="J785" s="453"/>
      <c r="K785" s="323" t="str">
        <f>IFERROR(
    IF(
        AND($H785="Zoning: Tree Points", NOT(ISNUMBER(SEARCH("sp.", $C785)))),
        VLOOKUP($C785, 'Tree List'!$C$3:$F$601, 4, FALSE),
        ""
    ),
"")</f>
        <v/>
      </c>
      <c r="L785" s="324" t="str" cm="1">
        <f t="array" ref="L785">IFERROR(
IF(
    AND($H785="Zoning: Tree Points", NOT(ISNUMBER(SEARCH("sp.", $C785)))),
    _xlfn.IFS(
        (COUNTIFS('Tree List'!$C$3:$C$601,$C785,'Tree List'!$D$3:$D$601,"Coniferous")
        + COUNTIFS('Tree List'!$C$3:$C$601,$C785,'Tree List'!$D$3:$D$601,"Deciduous Conifer")) &gt; 0,
            _xlfn.IFS($K785="Small",0.5,$K785="Small/Medium",1,$K785="Medium/Large",1.4,$K785="Large",1.8),
        (COUNTIFS('Tree List'!$C$3:$C$601,$C785,'Tree List'!$D$3:$D$601,"Deciduous")
        + COUNTIFS('Tree List'!$C$3:$C$601,$C785,'Tree List'!$D$3:$D$601,"Broadleaf Evergreen")) &gt; 0,
            _xlfn.IFS($K785="Small",0.4,$K785="Small/Medium",0.8,$K785="Medium/Large",1.2,$K785="Large",1.6)
    ),
    ""
),
"")</f>
        <v/>
      </c>
      <c r="M785" s="475" t="str">
        <f t="shared" si="897"/>
        <v/>
      </c>
      <c r="N785" s="346" t="str" cm="1">
        <f t="array" aca="1" ref="N78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IF(AND(_xlpm.baseRow,ISNA(MATCH($C785,'Tree List'!$C$3:$C$601,0)),SUMPRODUCT(--ISNUMBER(SEARCH(Tables2!$C$677:$C$772,$O785)))&gt;0),
Error!$B$57,
IF(AND(_xlpm.hasDM,$F785="Remove",$H785&lt;&gt;"",OR($I785="On-site replacement",$I785="Off-site replacement",$I785="Payment In Lieu")),
Error!$B$56,
IF(AND(_xlpm.hasDM,$F785="Remove",$H785&lt;&gt;"",$I785="Relocation"),
Error!$B$66,
IF(AND(OR(_xlpm.hasCN,_xlpm.hasPH,_xlpm.hasGR),$H785&lt;&gt;"",COUNTIF(Tables!$B$132:$B$134,$H785)&gt;0,$I785="N/A (No replacement required)"),
Error!$B$62,
IF(AND(_xlpm.baseRow,$E785&lt;&gt;"",ISNA(MATCH($E785,Tables!$B$225:$B$232,0))),
Error!$B$2,
IF(AND(_xlpm.baseRow,$F785&lt;&gt;"",ISNA(MATCH($F785,Tables!$B$234:$B$235,0))),
Error!$B$24,
IF(AND(_xlpm.baseRow,_xlpm.ECA_H&gt;0,_xlpm.Shore_H&gt;0),
Error!$B$16,
IF(AND(_xlpm.baseRow,$E785&lt;&gt;"",$D785=""),
Error!$B$3,
IF(AND(_xlpm.baseRow,OR($E785="Tier 3",$E785="Tier 4"),$C785&lt;&gt;"",$D785&gt;=24,COUNTIF(Tables2!$B$166:$B$674,$C785)&gt;0),
Error!$B$44,
IF(AND(_xlpm.baseRow,OR($E785="Tier 3",$E785="Tier 4"),$C785&lt;&gt;"",$D785&lt;&gt;"",COUNTIF(Tables2!$B$73:$B$152,$C785)&gt;0,
$D785&gt;=IFERROR(INDEX(Tables2!$C$73:$C$152,MATCH($C785,Tables2!$B$73:$B$152,0)),-1)),
Error!$B$44,
IF(AND(_xlpm.baseRow,OR($E785="Tier 2",$E785="Tier 2 Grove"),$C785&lt;&gt;"",$D785&gt;=12,COUNTIF(Tables2!$B$153:$B$162,$C785)&gt;0),
Error!$B$45,
IF(AND(_xlpm.baseRow,$E785="Tier 2 Grove",$D785&lt;12),
Error!$B$41,
IF(AND(_xlpm.baseRow,$E785="Tier 2",$D785&lt;5.88),
Error!$B$40,
IF(AND(_xlpm.baseRow,OR($E785="Tier 2",$E785="Tier 2 Grove"),$C785&lt;&gt;"",$D785&lt;12,$D785&gt;=6,COUNTIF(Tables2!$B$153:$B$162,$C785)&gt;0),
Error!$B$54,
IF(AND(_xlpm.baseRow,$E785="Tier 2",COUNTIF(Tables2!$B$166:$B$674,$C785)&gt;0,$D785&lt;24),
Error!$B$54,
IF(AND(_xlpm.baseRow,$E785="Tier 3",ISNA(MATCH($C785,Tables2!$B$153:$B$162,0)),OR($D785&lt;12,$D785&gt;=24)),
Error!$B$9,
IF(AND(_xlpm.baseRow,$E785="Tier 3",COUNTIF(Tables2!$B$153:$B$162,$C785)&gt;0,$D785&lt;12),
Error!$B$46,
IF(AND(_xlpm.baseRow,$E785="Tier 4",OR($D785&lt;6,$D785&gt;=12)),
Error!$B$10,
IF(AND(_xlpm.baseRow,$E785="&lt;6in DSH for Tree Points",OR($D785&gt;=6,$D785="")),
Error!$B$8,
IF(AND(_xlpm.baseRow,$E785="Street Tree for Green Factor",$F785&lt;&gt;"",$F785&lt;&gt;"Retain"),
Error!$B$14,
IF(AND($E785="&lt;6in DSH for Tree Points",$F785="Retain",$H785&lt;&gt;"",ISNA(MATCH($H785,Tables!$B$174:$B$174,0))),
Error!$B$15,
IF(AND($E785="Street Tree for Green Factor",$F785="Retain",$H785&lt;&gt;"",$H785&lt;&gt;"Zoning: Green Factor"),
Error!$B$15,
IF(AND($E785="ECA / Shoreline Tree",$F785="Remove",$H785&lt;&gt;"",ISNA(MATCH($H785,Tables!$B$189:$B$190,0))),
Error!$B$15,
IF(AND($E785="ECA / Shoreline Tree",$F785="Retain",$H785&lt;&gt;"",ISNA(MATCH($H785,Tables!$B$184:$B$186,0))),
Error!$B$15,
IF(AND($E785="Tier 4",$F785="Remove",$H785&lt;&gt;"",ISNA(MATCH($H785,Tables!$B$171,0))),
Error!$B$15,
IF(AND($E785="Tier 4",$F785="Retain",$H785&lt;&gt;"",ISNA(MATCH($H785,Tables!$B$166:$B$168,0))),
Error!$B$15,
IF(AND($E785="Tier 3",$F785="Retain",$H785&lt;&gt;"",ISNA(MATCH($H785,Tables!$B$158:$B$160,0))),
Error!$B$15,
IF(AND($E785="Tier 3",$F785="Remove",$H785&lt;&gt;"",ISNA(MATCH($H785,Tables!$B$163,0))),
Error!$B$15,
IF(AND(OR($E785="Tier 2",$E785="Tier 2 Grove"),$F785="Remove",$H785&lt;&gt;"",ISNA(MATCH($H785,Tables!$B$153:$B$155,0))),
Error!$B$15,
IF(AND(OR($E785="Tier 2",$E785="Tier 2 Grove"),$F785="Retain",$H785&lt;&gt;"",ISNA(MATCH($H785,Tables!$B$147:$B$150,0))),
Error!$B$15,
IF(AND($E785="Tier 1",$F785="Remove",$H785&lt;&gt;"",ISNA(MATCH($H785,Tables!$B$143:$B$144,0))),
Error!$B$15,
IF(AND($E785="Tier 1",$F785="Retain",$H785&lt;&gt;"",ISNA(MATCH($H785,Tables!$B$137:$B$140,0))),
Error!$B$15,
IF(AND($E785&lt;&gt;"Tier 2",$E785&lt;&gt;"Tier 2 Grove",$E785&lt;&gt;"Tier 3",$E785&lt;&gt;"Tier 4",$H785="Zoning: Green Factor",OR($D785="",$D785&lt;6)),
Error!$B$11,
IF(AND(_xlpm.baseRow,$D785&lt;6,$E785="&lt;6in DSH for Tree Points",_xlpm.TreePoints_H=0),
Error!$B$21,
IF(AND(_xlpm.baseRow,$E785&lt;&gt;"",$D785&lt;&gt;"",$F785=""),
Error!$B$4,
IF(AND(_xlpm.baseRow,$F785="Remove",OR($E785="Tier 1",$E785="Tier 2",$E785="Tier 2 Grove"),COUNTBLANK(_xlpm.HRange)&lt;3,_xlpm.uniqueH&gt;=2),
Error!$B$48,
IF(AND(_xlpm.baseRow,$F785="Retain",OR($E785="Tier 1",$E785="Tier 2",$E785="Tier 2 Grove"),COUNTIF(_xlpm.HRange,"Tree Code: Required to Retain Tier 1-2 Tree")=0),
Error!$B$47,
IF(AND(_xlpm.baseRow,$E785&lt;&gt;"",$D785&lt;&gt;"",$F785&lt;&gt;"",COUNTBLANK(_xlpm.HRange)=4),
Error!$B$5,
IF(AND($F785="Remove",$H785&lt;&gt;"",$I785=""),
Error!$B$18,
IF(AND($E785="Tier 4",$F785="Remove",$H785="Tree Protection Code: Tier 3 or Tier 4 Allowance",$H785&lt;&gt;"",ISNA(MATCH($I785,Tables!$B$200,0))),
Error!$B$17,
IF(AND($E785="Tier 3",$F785="Remove",$H785&lt;&gt;"",$H785="Tree Protection Code: Tier 3 or Tier 4 Allowance",OR($I785="",ISNA(MATCH($I785,Tables!$B$193:$B$197,0)))),
Error!$B$17,
IF(AND(OR($E785="Tier 2",$E785="Tier 2 Grove"),$F785="Remove",$H785="Tree Protection Code: Other removal allowance or exemption",$I785&lt;&gt;"",ISNA(MATCH($I785,Tables!$B$215:$B$218,0))),
Error!$B$17,
IF(AND(OR($E785="Tier 2",$E785="Tier 2 Grove"),$F785="Remove",$H785="Tree Protection Code: Development Capacity",$I785&lt;&gt;"",ISNA(MATCH($I785,Tables!$B$193:$B$197,0))),
Error!$B$17,
IF(AND(OR($E785="Tier 2",$E785="Tier 2 Grove"),$F785="Remove",$H785="Tree Protection Code: Necessary for Construction",$I785&lt;&gt;"",ISNA(MATCH($I785,Tables!$B$193:$B$197,0))),
Error!$B$17,
IF(AND($E785="Tier 1",$F785="Remove",$H785="Tree Protection Code: Special Exception",$I785&lt;&gt;"",ISNA(MATCH($I785,Tables!$B$215:$B$218,0))),
Error!$B$17,
IF(AND($E785="Tier 1",$F785="Remove",$H785="Tree Protection Code: Other removal allowance or exemption",$I785&lt;&gt;"",ISNA(MATCH($I785,Tables!$B$215:$B$218,0))),
Error!$B$17,
IF(AND($E785="ECA / Shoreline Tree",$F785="Remove",$H785&lt;&gt;"",OR($H785="Shoreline",$H785="Environmental Critical Area (ECA)"),ISNA(MATCH($I785,Tables!$B$209:$B$212,0))),
Error!$B$17,
IF(AND(_xlpm.baseRow,$F785="Retain",$E785="ECA / Shoreline Tree",_xlpm.ECA_Short=0),
Error!$B$61,
IF(AND($F785="Remove",ISNUMBER(MATCH($E785,{"Tier 1","Tier 2","Tier 3","Tier 4","Tier 2 Grove"},0)),ISNUMBER(MATCH($I785,{"On-site replacement","Off-site replacement"},0)),$J785="",$H785&lt;&gt;""),
Error!$B$19,
IF(AND(_xlpm.baseRow,$E785&lt;&gt;"",$D785&lt;&gt;"",$F785&lt;&gt;"",COUNTBLANK($B785:$C785)&gt;0,COUNTBLANK(_xlpm.HRange)&lt;&gt;4),
Error!$B$22,
IF(AND($H785="Zoning: Tree Points",$K785&lt;&gt;"",ISNA(MATCH($K785,Tables!$B$242:$B$253,0))),
Error!$B$58,
IF(AND($H785="Zoning: Tree Points",$K785="Small",$L785&lt;&gt;"",ISNA(MATCH($L785,Tables!$C$243:$C$244,0))),
Error!$B$59,
IF(AND($H785="Zoning: Tree Points",$K785="Small/Medium",$L785&lt;&gt;"",ISNA(MATCH($L785,Tables!$C$246:$C$247,0))),
Error!$B$59,
IF(AND($H785="Zoning: Tree Points",$K785="Medium/Large",$L785&lt;&gt;"",ISNA(MATCH($L785,Tables!$C$249:$C$250,0))),
Error!$B$59,
IF(AND($H785="Zoning: Tree Points",$K785="Large",$L785&lt;&gt;"",ISNA(MATCH($L785,Tables!$C$252:$C$253,0))),
Error!$B$59,
IF(AND($F785="Retain",$H785="Zoning: Tree Points",$C785&lt;&gt;"",$D785&lt;&gt;"",OR($K785="",$L785="",$M785="")),
Error!$B$20,
""
)))))))))))))))))))))))))))))))))))))))))))))))))))))))),
Error!$B$23))</f>
        <v/>
      </c>
      <c r="O785" s="343" t="str" cm="1">
        <f t="array" aca="1" ref="O785" ca="1">IFERROR(_xlfn.LET(
    _xlpm.txt, $C785,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86" spans="1:15" ht="15" thickBot="1" x14ac:dyDescent="0.35">
      <c r="A786" s="331"/>
      <c r="B786" s="616" t="str">
        <f t="shared" si="933"/>
        <v/>
      </c>
      <c r="C786" s="617" t="str">
        <f t="shared" si="934"/>
        <v/>
      </c>
      <c r="D786" s="618" t="str">
        <f t="shared" si="935"/>
        <v/>
      </c>
      <c r="E786" s="616" t="str">
        <f t="shared" si="936"/>
        <v/>
      </c>
      <c r="F786" s="616" t="str">
        <f t="shared" si="937"/>
        <v/>
      </c>
      <c r="G786" s="619" t="str">
        <f>IF(Tree_Table1[[#This Row],[Tree Status  &amp;]]="Retain", Tables!$B$237, IF(Tree_Table1[[#This Row],[Tree Status  &amp;]]="Remove", Tables!$B$238, ""))</f>
        <v/>
      </c>
      <c r="H786" s="329"/>
      <c r="I786" s="330"/>
      <c r="J786" s="455"/>
      <c r="K786" s="327" t="str">
        <f>IFERROR(
    IF(
        AND($H786="Zoning: Tree Points", NOT(ISNUMBER(SEARCH("sp.", $C786)))),
        VLOOKUP($C786, 'Tree List'!$C$3:$F$601, 4, FALSE),
        ""
    ),
"")</f>
        <v/>
      </c>
      <c r="L786" s="328" t="str" cm="1">
        <f t="array" ref="L786">IFERROR(
IF(
    AND($H786="Zoning: Tree Points", NOT(ISNUMBER(SEARCH("sp.", $C786)))),
    _xlfn.IFS(
        (COUNTIFS('Tree List'!$C$3:$C$601,$C786,'Tree List'!$D$3:$D$601,"Coniferous")
        + COUNTIFS('Tree List'!$C$3:$C$601,$C786,'Tree List'!$D$3:$D$601,"Deciduous Conifer")) &gt; 0,
            _xlfn.IFS($K786="Small",0.5,$K786="Small/Medium",1,$K786="Medium/Large",1.4,$K786="Large",1.8),
        (COUNTIFS('Tree List'!$C$3:$C$601,$C786,'Tree List'!$D$3:$D$601,"Deciduous")
        + COUNTIFS('Tree List'!$C$3:$C$601,$C786,'Tree List'!$D$3:$D$601,"Broadleaf Evergreen")) &gt; 0,
            _xlfn.IFS($K786="Small",0.4,$K786="Small/Medium",0.8,$K786="Medium/Large",1.2,$K786="Large",1.6)
    ),
    ""
),
"")</f>
        <v/>
      </c>
      <c r="M786" s="476" t="str">
        <f t="shared" si="897"/>
        <v/>
      </c>
      <c r="N786" s="347" t="str" cm="1">
        <f t="array" aca="1" ref="N78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IF(AND(_xlpm.baseRow,ISNA(MATCH($C786,'Tree List'!$C$3:$C$601,0)),SUMPRODUCT(--ISNUMBER(SEARCH(Tables2!$C$677:$C$772,$O786)))&gt;0),
Error!$B$57,
IF(AND(_xlpm.hasDM,$F786="Remove",$H786&lt;&gt;"",OR($I786="On-site replacement",$I786="Off-site replacement",$I786="Payment In Lieu")),
Error!$B$56,
IF(AND(_xlpm.hasDM,$F786="Remove",$H786&lt;&gt;"",$I786="Relocation"),
Error!$B$66,
IF(AND(OR(_xlpm.hasCN,_xlpm.hasPH,_xlpm.hasGR),$H786&lt;&gt;"",COUNTIF(Tables!$B$132:$B$134,$H786)&gt;0,$I786="N/A (No replacement required)"),
Error!$B$62,
IF(AND(_xlpm.baseRow,$E786&lt;&gt;"",ISNA(MATCH($E786,Tables!$B$225:$B$232,0))),
Error!$B$2,
IF(AND(_xlpm.baseRow,$F786&lt;&gt;"",ISNA(MATCH($F786,Tables!$B$234:$B$235,0))),
Error!$B$24,
IF(AND(_xlpm.baseRow,_xlpm.ECA_H&gt;0,_xlpm.Shore_H&gt;0),
Error!$B$16,
IF(AND(_xlpm.baseRow,$E786&lt;&gt;"",$D786=""),
Error!$B$3,
IF(AND(_xlpm.baseRow,OR($E786="Tier 3",$E786="Tier 4"),$C786&lt;&gt;"",$D786&gt;=24,COUNTIF(Tables2!$B$166:$B$674,$C786)&gt;0),
Error!$B$44,
IF(AND(_xlpm.baseRow,OR($E786="Tier 3",$E786="Tier 4"),$C786&lt;&gt;"",$D786&lt;&gt;"",COUNTIF(Tables2!$B$73:$B$152,$C786)&gt;0,
$D786&gt;=IFERROR(INDEX(Tables2!$C$73:$C$152,MATCH($C786,Tables2!$B$73:$B$152,0)),-1)),
Error!$B$44,
IF(AND(_xlpm.baseRow,OR($E786="Tier 2",$E786="Tier 2 Grove"),$C786&lt;&gt;"",$D786&gt;=12,COUNTIF(Tables2!$B$153:$B$162,$C786)&gt;0),
Error!$B$45,
IF(AND(_xlpm.baseRow,$E786="Tier 2 Grove",$D786&lt;12),
Error!$B$41,
IF(AND(_xlpm.baseRow,$E786="Tier 2",$D786&lt;5.88),
Error!$B$40,
IF(AND(_xlpm.baseRow,OR($E786="Tier 2",$E786="Tier 2 Grove"),$C786&lt;&gt;"",$D786&lt;12,$D786&gt;=6,COUNTIF(Tables2!$B$153:$B$162,$C786)&gt;0),
Error!$B$54,
IF(AND(_xlpm.baseRow,$E786="Tier 2",COUNTIF(Tables2!$B$166:$B$674,$C786)&gt;0,$D786&lt;24),
Error!$B$54,
IF(AND(_xlpm.baseRow,$E786="Tier 3",ISNA(MATCH($C786,Tables2!$B$153:$B$162,0)),OR($D786&lt;12,$D786&gt;=24)),
Error!$B$9,
IF(AND(_xlpm.baseRow,$E786="Tier 3",COUNTIF(Tables2!$B$153:$B$162,$C786)&gt;0,$D786&lt;12),
Error!$B$46,
IF(AND(_xlpm.baseRow,$E786="Tier 4",OR($D786&lt;6,$D786&gt;=12)),
Error!$B$10,
IF(AND(_xlpm.baseRow,$E786="&lt;6in DSH for Tree Points",OR($D786&gt;=6,$D786="")),
Error!$B$8,
IF(AND(_xlpm.baseRow,$E786="Street Tree for Green Factor",$F786&lt;&gt;"",$F786&lt;&gt;"Retain"),
Error!$B$14,
IF(AND($E786="&lt;6in DSH for Tree Points",$F786="Retain",$H786&lt;&gt;"",ISNA(MATCH($H786,Tables!$B$174:$B$174,0))),
Error!$B$15,
IF(AND($E786="Street Tree for Green Factor",$F786="Retain",$H786&lt;&gt;"",$H786&lt;&gt;"Zoning: Green Factor"),
Error!$B$15,
IF(AND($E786="ECA / Shoreline Tree",$F786="Remove",$H786&lt;&gt;"",ISNA(MATCH($H786,Tables!$B$189:$B$190,0))),
Error!$B$15,
IF(AND($E786="ECA / Shoreline Tree",$F786="Retain",$H786&lt;&gt;"",ISNA(MATCH($H786,Tables!$B$184:$B$186,0))),
Error!$B$15,
IF(AND($E786="Tier 4",$F786="Remove",$H786&lt;&gt;"",ISNA(MATCH($H786,Tables!$B$171,0))),
Error!$B$15,
IF(AND($E786="Tier 4",$F786="Retain",$H786&lt;&gt;"",ISNA(MATCH($H786,Tables!$B$166:$B$168,0))),
Error!$B$15,
IF(AND($E786="Tier 3",$F786="Retain",$H786&lt;&gt;"",ISNA(MATCH($H786,Tables!$B$158:$B$160,0))),
Error!$B$15,
IF(AND($E786="Tier 3",$F786="Remove",$H786&lt;&gt;"",ISNA(MATCH($H786,Tables!$B$163,0))),
Error!$B$15,
IF(AND(OR($E786="Tier 2",$E786="Tier 2 Grove"),$F786="Remove",$H786&lt;&gt;"",ISNA(MATCH($H786,Tables!$B$153:$B$155,0))),
Error!$B$15,
IF(AND(OR($E786="Tier 2",$E786="Tier 2 Grove"),$F786="Retain",$H786&lt;&gt;"",ISNA(MATCH($H786,Tables!$B$147:$B$150,0))),
Error!$B$15,
IF(AND($E786="Tier 1",$F786="Remove",$H786&lt;&gt;"",ISNA(MATCH($H786,Tables!$B$143:$B$144,0))),
Error!$B$15,
IF(AND($E786="Tier 1",$F786="Retain",$H786&lt;&gt;"",ISNA(MATCH($H786,Tables!$B$137:$B$140,0))),
Error!$B$15,
IF(AND($E786&lt;&gt;"Tier 2",$E786&lt;&gt;"Tier 2 Grove",$E786&lt;&gt;"Tier 3",$E786&lt;&gt;"Tier 4",$H786="Zoning: Green Factor",OR($D786="",$D786&lt;6)),
Error!$B$11,
IF(AND(_xlpm.baseRow,$D786&lt;6,$E786="&lt;6in DSH for Tree Points",_xlpm.TreePoints_H=0),
Error!$B$21,
IF(AND(_xlpm.baseRow,$E786&lt;&gt;"",$D786&lt;&gt;"",$F786=""),
Error!$B$4,
IF(AND(_xlpm.baseRow,$F786="Remove",OR($E786="Tier 1",$E786="Tier 2",$E786="Tier 2 Grove"),COUNTBLANK(_xlpm.HRange)&lt;3,_xlpm.uniqueH&gt;=2),
Error!$B$48,
IF(AND(_xlpm.baseRow,$F786="Retain",OR($E786="Tier 1",$E786="Tier 2",$E786="Tier 2 Grove"),COUNTIF(_xlpm.HRange,"Tree Code: Required to Retain Tier 1-2 Tree")=0),
Error!$B$47,
IF(AND(_xlpm.baseRow,$E786&lt;&gt;"",$D786&lt;&gt;"",$F786&lt;&gt;"",COUNTBLANK(_xlpm.HRange)=4),
Error!$B$5,
IF(AND($F786="Remove",$H786&lt;&gt;"",$I786=""),
Error!$B$18,
IF(AND($E786="Tier 4",$F786="Remove",$H786="Tree Protection Code: Tier 3 or Tier 4 Allowance",$H786&lt;&gt;"",ISNA(MATCH($I786,Tables!$B$200,0))),
Error!$B$17,
IF(AND($E786="Tier 3",$F786="Remove",$H786&lt;&gt;"",$H786="Tree Protection Code: Tier 3 or Tier 4 Allowance",OR($I786="",ISNA(MATCH($I786,Tables!$B$193:$B$197,0)))),
Error!$B$17,
IF(AND(OR($E786="Tier 2",$E786="Tier 2 Grove"),$F786="Remove",$H786="Tree Protection Code: Other removal allowance or exemption",$I786&lt;&gt;"",ISNA(MATCH($I786,Tables!$B$215:$B$218,0))),
Error!$B$17,
IF(AND(OR($E786="Tier 2",$E786="Tier 2 Grove"),$F786="Remove",$H786="Tree Protection Code: Development Capacity",$I786&lt;&gt;"",ISNA(MATCH($I786,Tables!$B$193:$B$197,0))),
Error!$B$17,
IF(AND(OR($E786="Tier 2",$E786="Tier 2 Grove"),$F786="Remove",$H786="Tree Protection Code: Necessary for Construction",$I786&lt;&gt;"",ISNA(MATCH($I786,Tables!$B$193:$B$197,0))),
Error!$B$17,
IF(AND($E786="Tier 1",$F786="Remove",$H786="Tree Protection Code: Special Exception",$I786&lt;&gt;"",ISNA(MATCH($I786,Tables!$B$215:$B$218,0))),
Error!$B$17,
IF(AND($E786="Tier 1",$F786="Remove",$H786="Tree Protection Code: Other removal allowance or exemption",$I786&lt;&gt;"",ISNA(MATCH($I786,Tables!$B$215:$B$218,0))),
Error!$B$17,
IF(AND($E786="ECA / Shoreline Tree",$F786="Remove",$H786&lt;&gt;"",OR($H786="Shoreline",$H786="Environmental Critical Area (ECA)"),ISNA(MATCH($I786,Tables!$B$209:$B$212,0))),
Error!$B$17,
IF(AND(_xlpm.baseRow,$F786="Retain",$E786="ECA / Shoreline Tree",_xlpm.ECA_Short=0),
Error!$B$61,
IF(AND($F786="Remove",ISNUMBER(MATCH($E786,{"Tier 1","Tier 2","Tier 3","Tier 4","Tier 2 Grove"},0)),ISNUMBER(MATCH($I786,{"On-site replacement","Off-site replacement"},0)),$J786="",$H786&lt;&gt;""),
Error!$B$19,
IF(AND(_xlpm.baseRow,$E786&lt;&gt;"",$D786&lt;&gt;"",$F786&lt;&gt;"",COUNTBLANK($B786:$C786)&gt;0,COUNTBLANK(_xlpm.HRange)&lt;&gt;4),
Error!$B$22,
IF(AND($H786="Zoning: Tree Points",$K786&lt;&gt;"",ISNA(MATCH($K786,Tables!$B$242:$B$253,0))),
Error!$B$58,
IF(AND($H786="Zoning: Tree Points",$K786="Small",$L786&lt;&gt;"",ISNA(MATCH($L786,Tables!$C$243:$C$244,0))),
Error!$B$59,
IF(AND($H786="Zoning: Tree Points",$K786="Small/Medium",$L786&lt;&gt;"",ISNA(MATCH($L786,Tables!$C$246:$C$247,0))),
Error!$B$59,
IF(AND($H786="Zoning: Tree Points",$K786="Medium/Large",$L786&lt;&gt;"",ISNA(MATCH($L786,Tables!$C$249:$C$250,0))),
Error!$B$59,
IF(AND($H786="Zoning: Tree Points",$K786="Large",$L786&lt;&gt;"",ISNA(MATCH($L786,Tables!$C$252:$C$253,0))),
Error!$B$59,
IF(AND($F786="Retain",$H786="Zoning: Tree Points",$C786&lt;&gt;"",$D786&lt;&gt;"",OR($K786="",$L786="",$M786="")),
Error!$B$20,
""
)))))))))))))))))))))))))))))))))))))))))))))))))))))))),
Error!$B$23))</f>
        <v/>
      </c>
      <c r="O786" s="343" t="str" cm="1">
        <f t="array" aca="1" ref="O786" ca="1">IFERROR(_xlfn.LET(
    _xlpm.txt, $C786,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87" spans="1:15" ht="15" thickBot="1" x14ac:dyDescent="0.35">
      <c r="A787" s="311">
        <v>195</v>
      </c>
      <c r="B787" s="312"/>
      <c r="C787" s="313"/>
      <c r="D787" s="478"/>
      <c r="E787" s="314"/>
      <c r="F787" s="314"/>
      <c r="G787" s="315" t="str">
        <f>IF(Tree_Table1[[#This Row],[Tree Status  &amp;]]="Retain", Tables!$B$237, IF(Tree_Table1[[#This Row],[Tree Status  &amp;]]="Remove", Tables!$B$238, ""))</f>
        <v/>
      </c>
      <c r="H787" s="316"/>
      <c r="I787" s="317"/>
      <c r="J787" s="452"/>
      <c r="K787" s="318" t="str">
        <f>IFERROR(
    IF(
        AND($H787="Zoning: Tree Points", NOT(ISNUMBER(SEARCH("sp.", $C787)))),
        VLOOKUP($C787, 'Tree List'!$C$3:$F$601, 4, FALSE),
        ""
    ),
"")</f>
        <v/>
      </c>
      <c r="L787" s="319" t="str" cm="1">
        <f t="array" ref="L787">IFERROR(
IF(
    AND($H787="Zoning: Tree Points", NOT(ISNUMBER(SEARCH("sp.", $C787)))),
    _xlfn.IFS(
        (COUNTIFS('Tree List'!$C$3:$C$601,$C787,'Tree List'!$D$3:$D$601,"Coniferous")
        + COUNTIFS('Tree List'!$C$3:$C$601,$C787,'Tree List'!$D$3:$D$601,"Deciduous Conifer")) &gt; 0,
            _xlfn.IFS($K787="Small",0.5,$K787="Small/Medium",1,$K787="Medium/Large",1.4,$K787="Large",1.8),
        (COUNTIFS('Tree List'!$C$3:$C$601,$C787,'Tree List'!$D$3:$D$601,"Deciduous")
        + COUNTIFS('Tree List'!$C$3:$C$601,$C787,'Tree List'!$D$3:$D$601,"Broadleaf Evergreen")) &gt; 0,
            _xlfn.IFS($K787="Small",0.4,$K787="Small/Medium",0.8,$K787="Medium/Large",1.2,$K787="Large",1.6)
    ),
    ""
),
"")</f>
        <v/>
      </c>
      <c r="M787" s="474" t="str">
        <f t="shared" si="897"/>
        <v/>
      </c>
      <c r="N787" s="620" t="str" cm="1">
        <f t="array" aca="1" ref="N78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IF(AND(_xlpm.baseRow,ISNA(MATCH($C787,'Tree List'!$C$3:$C$601,0)),SUMPRODUCT(--ISNUMBER(SEARCH(Tables2!$C$677:$C$772,$O787)))&gt;0),
Error!$B$57,
IF(AND(_xlpm.hasDM,$F787="Remove",$H787&lt;&gt;"",OR($I787="On-site replacement",$I787="Off-site replacement",$I787="Payment In Lieu")),
Error!$B$56,
IF(AND(_xlpm.hasDM,$F787="Remove",$H787&lt;&gt;"",$I787="Relocation"),
Error!$B$66,
IF(AND(OR(_xlpm.hasCN,_xlpm.hasPH,_xlpm.hasGR),$H787&lt;&gt;"",COUNTIF(Tables!$B$132:$B$134,$H787)&gt;0,$I787="N/A (No replacement required)"),
Error!$B$62,
IF(AND(_xlpm.baseRow,$E787&lt;&gt;"",ISNA(MATCH($E787,Tables!$B$225:$B$232,0))),
Error!$B$2,
IF(AND(_xlpm.baseRow,$F787&lt;&gt;"",ISNA(MATCH($F787,Tables!$B$234:$B$235,0))),
Error!$B$24,
IF(AND(_xlpm.baseRow,_xlpm.ECA_H&gt;0,_xlpm.Shore_H&gt;0),
Error!$B$16,
IF(AND(_xlpm.baseRow,$E787&lt;&gt;"",$D787=""),
Error!$B$3,
IF(AND(_xlpm.baseRow,OR($E787="Tier 3",$E787="Tier 4"),$C787&lt;&gt;"",$D787&gt;=24,COUNTIF(Tables2!$B$166:$B$674,$C787)&gt;0),
Error!$B$44,
IF(AND(_xlpm.baseRow,OR($E787="Tier 3",$E787="Tier 4"),$C787&lt;&gt;"",$D787&lt;&gt;"",COUNTIF(Tables2!$B$73:$B$152,$C787)&gt;0,
$D787&gt;=IFERROR(INDEX(Tables2!$C$73:$C$152,MATCH($C787,Tables2!$B$73:$B$152,0)),-1)),
Error!$B$44,
IF(AND(_xlpm.baseRow,OR($E787="Tier 2",$E787="Tier 2 Grove"),$C787&lt;&gt;"",$D787&gt;=12,COUNTIF(Tables2!$B$153:$B$162,$C787)&gt;0),
Error!$B$45,
IF(AND(_xlpm.baseRow,$E787="Tier 2 Grove",$D787&lt;12),
Error!$B$41,
IF(AND(_xlpm.baseRow,$E787="Tier 2",$D787&lt;5.88),
Error!$B$40,
IF(AND(_xlpm.baseRow,OR($E787="Tier 2",$E787="Tier 2 Grove"),$C787&lt;&gt;"",$D787&lt;12,$D787&gt;=6,COUNTIF(Tables2!$B$153:$B$162,$C787)&gt;0),
Error!$B$54,
IF(AND(_xlpm.baseRow,$E787="Tier 2",COUNTIF(Tables2!$B$166:$B$674,$C787)&gt;0,$D787&lt;24),
Error!$B$54,
IF(AND(_xlpm.baseRow,$E787="Tier 3",ISNA(MATCH($C787,Tables2!$B$153:$B$162,0)),OR($D787&lt;12,$D787&gt;=24)),
Error!$B$9,
IF(AND(_xlpm.baseRow,$E787="Tier 3",COUNTIF(Tables2!$B$153:$B$162,$C787)&gt;0,$D787&lt;12),
Error!$B$46,
IF(AND(_xlpm.baseRow,$E787="Tier 4",OR($D787&lt;6,$D787&gt;=12)),
Error!$B$10,
IF(AND(_xlpm.baseRow,$E787="&lt;6in DSH for Tree Points",OR($D787&gt;=6,$D787="")),
Error!$B$8,
IF(AND(_xlpm.baseRow,$E787="Street Tree for Green Factor",$F787&lt;&gt;"",$F787&lt;&gt;"Retain"),
Error!$B$14,
IF(AND($E787="&lt;6in DSH for Tree Points",$F787="Retain",$H787&lt;&gt;"",ISNA(MATCH($H787,Tables!$B$174:$B$174,0))),
Error!$B$15,
IF(AND($E787="Street Tree for Green Factor",$F787="Retain",$H787&lt;&gt;"",$H787&lt;&gt;"Zoning: Green Factor"),
Error!$B$15,
IF(AND($E787="ECA / Shoreline Tree",$F787="Remove",$H787&lt;&gt;"",ISNA(MATCH($H787,Tables!$B$189:$B$190,0))),
Error!$B$15,
IF(AND($E787="ECA / Shoreline Tree",$F787="Retain",$H787&lt;&gt;"",ISNA(MATCH($H787,Tables!$B$184:$B$186,0))),
Error!$B$15,
IF(AND($E787="Tier 4",$F787="Remove",$H787&lt;&gt;"",ISNA(MATCH($H787,Tables!$B$171,0))),
Error!$B$15,
IF(AND($E787="Tier 4",$F787="Retain",$H787&lt;&gt;"",ISNA(MATCH($H787,Tables!$B$166:$B$168,0))),
Error!$B$15,
IF(AND($E787="Tier 3",$F787="Retain",$H787&lt;&gt;"",ISNA(MATCH($H787,Tables!$B$158:$B$160,0))),
Error!$B$15,
IF(AND($E787="Tier 3",$F787="Remove",$H787&lt;&gt;"",ISNA(MATCH($H787,Tables!$B$163,0))),
Error!$B$15,
IF(AND(OR($E787="Tier 2",$E787="Tier 2 Grove"),$F787="Remove",$H787&lt;&gt;"",ISNA(MATCH($H787,Tables!$B$153:$B$155,0))),
Error!$B$15,
IF(AND(OR($E787="Tier 2",$E787="Tier 2 Grove"),$F787="Retain",$H787&lt;&gt;"",ISNA(MATCH($H787,Tables!$B$147:$B$150,0))),
Error!$B$15,
IF(AND($E787="Tier 1",$F787="Remove",$H787&lt;&gt;"",ISNA(MATCH($H787,Tables!$B$143:$B$144,0))),
Error!$B$15,
IF(AND($E787="Tier 1",$F787="Retain",$H787&lt;&gt;"",ISNA(MATCH($H787,Tables!$B$137:$B$140,0))),
Error!$B$15,
IF(AND($E787&lt;&gt;"Tier 2",$E787&lt;&gt;"Tier 2 Grove",$E787&lt;&gt;"Tier 3",$E787&lt;&gt;"Tier 4",$H787="Zoning: Green Factor",OR($D787="",$D787&lt;6)),
Error!$B$11,
IF(AND(_xlpm.baseRow,$D787&lt;6,$E787="&lt;6in DSH for Tree Points",_xlpm.TreePoints_H=0),
Error!$B$21,
IF(AND(_xlpm.baseRow,$E787&lt;&gt;"",$D787&lt;&gt;"",$F787=""),
Error!$B$4,
IF(AND(_xlpm.baseRow,$F787="Remove",OR($E787="Tier 1",$E787="Tier 2",$E787="Tier 2 Grove"),COUNTBLANK(_xlpm.HRange)&lt;3,_xlpm.uniqueH&gt;=2),
Error!$B$48,
IF(AND(_xlpm.baseRow,$F787="Retain",OR($E787="Tier 1",$E787="Tier 2",$E787="Tier 2 Grove"),COUNTIF(_xlpm.HRange,"Tree Code: Required to Retain Tier 1-2 Tree")=0),
Error!$B$47,
IF(AND(_xlpm.baseRow,$E787&lt;&gt;"",$D787&lt;&gt;"",$F787&lt;&gt;"",COUNTBLANK(_xlpm.HRange)=4),
Error!$B$5,
IF(AND($F787="Remove",$H787&lt;&gt;"",$I787=""),
Error!$B$18,
IF(AND($E787="Tier 4",$F787="Remove",$H787="Tree Protection Code: Tier 3 or Tier 4 Allowance",$H787&lt;&gt;"",ISNA(MATCH($I787,Tables!$B$200,0))),
Error!$B$17,
IF(AND($E787="Tier 3",$F787="Remove",$H787&lt;&gt;"",$H787="Tree Protection Code: Tier 3 or Tier 4 Allowance",OR($I787="",ISNA(MATCH($I787,Tables!$B$193:$B$197,0)))),
Error!$B$17,
IF(AND(OR($E787="Tier 2",$E787="Tier 2 Grove"),$F787="Remove",$H787="Tree Protection Code: Other removal allowance or exemption",$I787&lt;&gt;"",ISNA(MATCH($I787,Tables!$B$215:$B$218,0))),
Error!$B$17,
IF(AND(OR($E787="Tier 2",$E787="Tier 2 Grove"),$F787="Remove",$H787="Tree Protection Code: Development Capacity",$I787&lt;&gt;"",ISNA(MATCH($I787,Tables!$B$193:$B$197,0))),
Error!$B$17,
IF(AND(OR($E787="Tier 2",$E787="Tier 2 Grove"),$F787="Remove",$H787="Tree Protection Code: Necessary for Construction",$I787&lt;&gt;"",ISNA(MATCH($I787,Tables!$B$193:$B$197,0))),
Error!$B$17,
IF(AND($E787="Tier 1",$F787="Remove",$H787="Tree Protection Code: Special Exception",$I787&lt;&gt;"",ISNA(MATCH($I787,Tables!$B$215:$B$218,0))),
Error!$B$17,
IF(AND($E787="Tier 1",$F787="Remove",$H787="Tree Protection Code: Other removal allowance or exemption",$I787&lt;&gt;"",ISNA(MATCH($I787,Tables!$B$215:$B$218,0))),
Error!$B$17,
IF(AND($E787="ECA / Shoreline Tree",$F787="Remove",$H787&lt;&gt;"",OR($H787="Shoreline",$H787="Environmental Critical Area (ECA)"),ISNA(MATCH($I787,Tables!$B$209:$B$212,0))),
Error!$B$17,
IF(AND(_xlpm.baseRow,$F787="Retain",$E787="ECA / Shoreline Tree",_xlpm.ECA_Short=0),
Error!$B$61,
IF(AND($F787="Remove",ISNUMBER(MATCH($E787,{"Tier 1","Tier 2","Tier 3","Tier 4","Tier 2 Grove"},0)),ISNUMBER(MATCH($I787,{"On-site replacement","Off-site replacement"},0)),$J787="",$H787&lt;&gt;""),
Error!$B$19,
IF(AND(_xlpm.baseRow,$E787&lt;&gt;"",$D787&lt;&gt;"",$F787&lt;&gt;"",COUNTBLANK($B787:$C787)&gt;0,COUNTBLANK(_xlpm.HRange)&lt;&gt;4),
Error!$B$22,
IF(AND($H787="Zoning: Tree Points",$K787&lt;&gt;"",ISNA(MATCH($K787,Tables!$B$242:$B$253,0))),
Error!$B$58,
IF(AND($H787="Zoning: Tree Points",$K787="Small",$L787&lt;&gt;"",ISNA(MATCH($L787,Tables!$C$243:$C$244,0))),
Error!$B$59,
IF(AND($H787="Zoning: Tree Points",$K787="Small/Medium",$L787&lt;&gt;"",ISNA(MATCH($L787,Tables!$C$246:$C$247,0))),
Error!$B$59,
IF(AND($H787="Zoning: Tree Points",$K787="Medium/Large",$L787&lt;&gt;"",ISNA(MATCH($L787,Tables!$C$249:$C$250,0))),
Error!$B$59,
IF(AND($H787="Zoning: Tree Points",$K787="Large",$L787&lt;&gt;"",ISNA(MATCH($L787,Tables!$C$252:$C$253,0))),
Error!$B$59,
IF(AND($F787="Retain",$H787="Zoning: Tree Points",$C787&lt;&gt;"",$D787&lt;&gt;"",OR($K787="",$L787="",$M787="")),
Error!$B$20,
""
)))))))))))))))))))))))))))))))))))))))))))))))))))))))),
Error!$B$23))</f>
        <v/>
      </c>
      <c r="O787" s="343" t="str" cm="1">
        <f t="array" aca="1" ref="O787" ca="1">IFERROR(_xlfn.LET(
    _xlpm.txt, $C787,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88" spans="1:15" x14ac:dyDescent="0.3">
      <c r="A788" s="320"/>
      <c r="B788" s="616" t="str">
        <f t="shared" ref="B788:B790" si="938">IF($B787="", "", $B787)</f>
        <v/>
      </c>
      <c r="C788" s="617" t="str">
        <f t="shared" ref="C788:C790" si="939">IF($C787="", "", $C787)</f>
        <v/>
      </c>
      <c r="D788" s="618" t="str">
        <f t="shared" ref="D788:D790" si="940">IF($D787="", "", $D787)</f>
        <v/>
      </c>
      <c r="E788" s="616" t="str">
        <f t="shared" ref="E788:E790" si="941">IF($E787="", "", $E787)</f>
        <v/>
      </c>
      <c r="F788" s="616" t="str">
        <f t="shared" ref="F788:F790" si="942">IF($F787="", "", $F787)</f>
        <v/>
      </c>
      <c r="G788" s="619" t="str">
        <f>IF(Tree_Table1[[#This Row],[Tree Status  &amp;]]="Retain", Tables!$B$237, IF(Tree_Table1[[#This Row],[Tree Status  &amp;]]="Remove", Tables!$B$238, ""))</f>
        <v/>
      </c>
      <c r="H788" s="321"/>
      <c r="I788" s="322"/>
      <c r="J788" s="453"/>
      <c r="K788" s="323" t="str">
        <f>IFERROR(
    IF(
        AND($H788="Zoning: Tree Points", NOT(ISNUMBER(SEARCH("sp.", $C788)))),
        VLOOKUP($C788, 'Tree List'!$C$3:$F$601, 4, FALSE),
        ""
    ),
"")</f>
        <v/>
      </c>
      <c r="L788" s="324" t="str" cm="1">
        <f t="array" ref="L788">IFERROR(
IF(
    AND($H788="Zoning: Tree Points", NOT(ISNUMBER(SEARCH("sp.", $C788)))),
    _xlfn.IFS(
        (COUNTIFS('Tree List'!$C$3:$C$601,$C788,'Tree List'!$D$3:$D$601,"Coniferous")
        + COUNTIFS('Tree List'!$C$3:$C$601,$C788,'Tree List'!$D$3:$D$601,"Deciduous Conifer")) &gt; 0,
            _xlfn.IFS($K788="Small",0.5,$K788="Small/Medium",1,$K788="Medium/Large",1.4,$K788="Large",1.8),
        (COUNTIFS('Tree List'!$C$3:$C$601,$C788,'Tree List'!$D$3:$D$601,"Deciduous")
        + COUNTIFS('Tree List'!$C$3:$C$601,$C788,'Tree List'!$D$3:$D$601,"Broadleaf Evergreen")) &gt; 0,
            _xlfn.IFS($K788="Small",0.4,$K788="Small/Medium",0.8,$K788="Medium/Large",1.2,$K788="Large",1.6)
    ),
    ""
),
"")</f>
        <v/>
      </c>
      <c r="M788" s="475" t="str">
        <f t="shared" si="897"/>
        <v/>
      </c>
      <c r="N788" s="346" t="str" cm="1">
        <f t="array" aca="1" ref="N78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IF(AND(_xlpm.baseRow,ISNA(MATCH($C788,'Tree List'!$C$3:$C$601,0)),SUMPRODUCT(--ISNUMBER(SEARCH(Tables2!$C$677:$C$772,$O788)))&gt;0),
Error!$B$57,
IF(AND(_xlpm.hasDM,$F788="Remove",$H788&lt;&gt;"",OR($I788="On-site replacement",$I788="Off-site replacement",$I788="Payment In Lieu")),
Error!$B$56,
IF(AND(_xlpm.hasDM,$F788="Remove",$H788&lt;&gt;"",$I788="Relocation"),
Error!$B$66,
IF(AND(OR(_xlpm.hasCN,_xlpm.hasPH,_xlpm.hasGR),$H788&lt;&gt;"",COUNTIF(Tables!$B$132:$B$134,$H788)&gt;0,$I788="N/A (No replacement required)"),
Error!$B$62,
IF(AND(_xlpm.baseRow,$E788&lt;&gt;"",ISNA(MATCH($E788,Tables!$B$225:$B$232,0))),
Error!$B$2,
IF(AND(_xlpm.baseRow,$F788&lt;&gt;"",ISNA(MATCH($F788,Tables!$B$234:$B$235,0))),
Error!$B$24,
IF(AND(_xlpm.baseRow,_xlpm.ECA_H&gt;0,_xlpm.Shore_H&gt;0),
Error!$B$16,
IF(AND(_xlpm.baseRow,$E788&lt;&gt;"",$D788=""),
Error!$B$3,
IF(AND(_xlpm.baseRow,OR($E788="Tier 3",$E788="Tier 4"),$C788&lt;&gt;"",$D788&gt;=24,COUNTIF(Tables2!$B$166:$B$674,$C788)&gt;0),
Error!$B$44,
IF(AND(_xlpm.baseRow,OR($E788="Tier 3",$E788="Tier 4"),$C788&lt;&gt;"",$D788&lt;&gt;"",COUNTIF(Tables2!$B$73:$B$152,$C788)&gt;0,
$D788&gt;=IFERROR(INDEX(Tables2!$C$73:$C$152,MATCH($C788,Tables2!$B$73:$B$152,0)),-1)),
Error!$B$44,
IF(AND(_xlpm.baseRow,OR($E788="Tier 2",$E788="Tier 2 Grove"),$C788&lt;&gt;"",$D788&gt;=12,COUNTIF(Tables2!$B$153:$B$162,$C788)&gt;0),
Error!$B$45,
IF(AND(_xlpm.baseRow,$E788="Tier 2 Grove",$D788&lt;12),
Error!$B$41,
IF(AND(_xlpm.baseRow,$E788="Tier 2",$D788&lt;5.88),
Error!$B$40,
IF(AND(_xlpm.baseRow,OR($E788="Tier 2",$E788="Tier 2 Grove"),$C788&lt;&gt;"",$D788&lt;12,$D788&gt;=6,COUNTIF(Tables2!$B$153:$B$162,$C788)&gt;0),
Error!$B$54,
IF(AND(_xlpm.baseRow,$E788="Tier 2",COUNTIF(Tables2!$B$166:$B$674,$C788)&gt;0,$D788&lt;24),
Error!$B$54,
IF(AND(_xlpm.baseRow,$E788="Tier 3",ISNA(MATCH($C788,Tables2!$B$153:$B$162,0)),OR($D788&lt;12,$D788&gt;=24)),
Error!$B$9,
IF(AND(_xlpm.baseRow,$E788="Tier 3",COUNTIF(Tables2!$B$153:$B$162,$C788)&gt;0,$D788&lt;12),
Error!$B$46,
IF(AND(_xlpm.baseRow,$E788="Tier 4",OR($D788&lt;6,$D788&gt;=12)),
Error!$B$10,
IF(AND(_xlpm.baseRow,$E788="&lt;6in DSH for Tree Points",OR($D788&gt;=6,$D788="")),
Error!$B$8,
IF(AND(_xlpm.baseRow,$E788="Street Tree for Green Factor",$F788&lt;&gt;"",$F788&lt;&gt;"Retain"),
Error!$B$14,
IF(AND($E788="&lt;6in DSH for Tree Points",$F788="Retain",$H788&lt;&gt;"",ISNA(MATCH($H788,Tables!$B$174:$B$174,0))),
Error!$B$15,
IF(AND($E788="Street Tree for Green Factor",$F788="Retain",$H788&lt;&gt;"",$H788&lt;&gt;"Zoning: Green Factor"),
Error!$B$15,
IF(AND($E788="ECA / Shoreline Tree",$F788="Remove",$H788&lt;&gt;"",ISNA(MATCH($H788,Tables!$B$189:$B$190,0))),
Error!$B$15,
IF(AND($E788="ECA / Shoreline Tree",$F788="Retain",$H788&lt;&gt;"",ISNA(MATCH($H788,Tables!$B$184:$B$186,0))),
Error!$B$15,
IF(AND($E788="Tier 4",$F788="Remove",$H788&lt;&gt;"",ISNA(MATCH($H788,Tables!$B$171,0))),
Error!$B$15,
IF(AND($E788="Tier 4",$F788="Retain",$H788&lt;&gt;"",ISNA(MATCH($H788,Tables!$B$166:$B$168,0))),
Error!$B$15,
IF(AND($E788="Tier 3",$F788="Retain",$H788&lt;&gt;"",ISNA(MATCH($H788,Tables!$B$158:$B$160,0))),
Error!$B$15,
IF(AND($E788="Tier 3",$F788="Remove",$H788&lt;&gt;"",ISNA(MATCH($H788,Tables!$B$163,0))),
Error!$B$15,
IF(AND(OR($E788="Tier 2",$E788="Tier 2 Grove"),$F788="Remove",$H788&lt;&gt;"",ISNA(MATCH($H788,Tables!$B$153:$B$155,0))),
Error!$B$15,
IF(AND(OR($E788="Tier 2",$E788="Tier 2 Grove"),$F788="Retain",$H788&lt;&gt;"",ISNA(MATCH($H788,Tables!$B$147:$B$150,0))),
Error!$B$15,
IF(AND($E788="Tier 1",$F788="Remove",$H788&lt;&gt;"",ISNA(MATCH($H788,Tables!$B$143:$B$144,0))),
Error!$B$15,
IF(AND($E788="Tier 1",$F788="Retain",$H788&lt;&gt;"",ISNA(MATCH($H788,Tables!$B$137:$B$140,0))),
Error!$B$15,
IF(AND($E788&lt;&gt;"Tier 2",$E788&lt;&gt;"Tier 2 Grove",$E788&lt;&gt;"Tier 3",$E788&lt;&gt;"Tier 4",$H788="Zoning: Green Factor",OR($D788="",$D788&lt;6)),
Error!$B$11,
IF(AND(_xlpm.baseRow,$D788&lt;6,$E788="&lt;6in DSH for Tree Points",_xlpm.TreePoints_H=0),
Error!$B$21,
IF(AND(_xlpm.baseRow,$E788&lt;&gt;"",$D788&lt;&gt;"",$F788=""),
Error!$B$4,
IF(AND(_xlpm.baseRow,$F788="Remove",OR($E788="Tier 1",$E788="Tier 2",$E788="Tier 2 Grove"),COUNTBLANK(_xlpm.HRange)&lt;3,_xlpm.uniqueH&gt;=2),
Error!$B$48,
IF(AND(_xlpm.baseRow,$F788="Retain",OR($E788="Tier 1",$E788="Tier 2",$E788="Tier 2 Grove"),COUNTIF(_xlpm.HRange,"Tree Code: Required to Retain Tier 1-2 Tree")=0),
Error!$B$47,
IF(AND(_xlpm.baseRow,$E788&lt;&gt;"",$D788&lt;&gt;"",$F788&lt;&gt;"",COUNTBLANK(_xlpm.HRange)=4),
Error!$B$5,
IF(AND($F788="Remove",$H788&lt;&gt;"",$I788=""),
Error!$B$18,
IF(AND($E788="Tier 4",$F788="Remove",$H788="Tree Protection Code: Tier 3 or Tier 4 Allowance",$H788&lt;&gt;"",ISNA(MATCH($I788,Tables!$B$200,0))),
Error!$B$17,
IF(AND($E788="Tier 3",$F788="Remove",$H788&lt;&gt;"",$H788="Tree Protection Code: Tier 3 or Tier 4 Allowance",OR($I788="",ISNA(MATCH($I788,Tables!$B$193:$B$197,0)))),
Error!$B$17,
IF(AND(OR($E788="Tier 2",$E788="Tier 2 Grove"),$F788="Remove",$H788="Tree Protection Code: Other removal allowance or exemption",$I788&lt;&gt;"",ISNA(MATCH($I788,Tables!$B$215:$B$218,0))),
Error!$B$17,
IF(AND(OR($E788="Tier 2",$E788="Tier 2 Grove"),$F788="Remove",$H788="Tree Protection Code: Development Capacity",$I788&lt;&gt;"",ISNA(MATCH($I788,Tables!$B$193:$B$197,0))),
Error!$B$17,
IF(AND(OR($E788="Tier 2",$E788="Tier 2 Grove"),$F788="Remove",$H788="Tree Protection Code: Necessary for Construction",$I788&lt;&gt;"",ISNA(MATCH($I788,Tables!$B$193:$B$197,0))),
Error!$B$17,
IF(AND($E788="Tier 1",$F788="Remove",$H788="Tree Protection Code: Special Exception",$I788&lt;&gt;"",ISNA(MATCH($I788,Tables!$B$215:$B$218,0))),
Error!$B$17,
IF(AND($E788="Tier 1",$F788="Remove",$H788="Tree Protection Code: Other removal allowance or exemption",$I788&lt;&gt;"",ISNA(MATCH($I788,Tables!$B$215:$B$218,0))),
Error!$B$17,
IF(AND($E788="ECA / Shoreline Tree",$F788="Remove",$H788&lt;&gt;"",OR($H788="Shoreline",$H788="Environmental Critical Area (ECA)"),ISNA(MATCH($I788,Tables!$B$209:$B$212,0))),
Error!$B$17,
IF(AND(_xlpm.baseRow,$F788="Retain",$E788="ECA / Shoreline Tree",_xlpm.ECA_Short=0),
Error!$B$61,
IF(AND($F788="Remove",ISNUMBER(MATCH($E788,{"Tier 1","Tier 2","Tier 3","Tier 4","Tier 2 Grove"},0)),ISNUMBER(MATCH($I788,{"On-site replacement","Off-site replacement"},0)),$J788="",$H788&lt;&gt;""),
Error!$B$19,
IF(AND(_xlpm.baseRow,$E788&lt;&gt;"",$D788&lt;&gt;"",$F788&lt;&gt;"",COUNTBLANK($B788:$C788)&gt;0,COUNTBLANK(_xlpm.HRange)&lt;&gt;4),
Error!$B$22,
IF(AND($H788="Zoning: Tree Points",$K788&lt;&gt;"",ISNA(MATCH($K788,Tables!$B$242:$B$253,0))),
Error!$B$58,
IF(AND($H788="Zoning: Tree Points",$K788="Small",$L788&lt;&gt;"",ISNA(MATCH($L788,Tables!$C$243:$C$244,0))),
Error!$B$59,
IF(AND($H788="Zoning: Tree Points",$K788="Small/Medium",$L788&lt;&gt;"",ISNA(MATCH($L788,Tables!$C$246:$C$247,0))),
Error!$B$59,
IF(AND($H788="Zoning: Tree Points",$K788="Medium/Large",$L788&lt;&gt;"",ISNA(MATCH($L788,Tables!$C$249:$C$250,0))),
Error!$B$59,
IF(AND($H788="Zoning: Tree Points",$K788="Large",$L788&lt;&gt;"",ISNA(MATCH($L788,Tables!$C$252:$C$253,0))),
Error!$B$59,
IF(AND($F788="Retain",$H788="Zoning: Tree Points",$C788&lt;&gt;"",$D788&lt;&gt;"",OR($K788="",$L788="",$M788="")),
Error!$B$20,
""
)))))))))))))))))))))))))))))))))))))))))))))))))))))))),
Error!$B$23))</f>
        <v/>
      </c>
      <c r="O788" s="343" t="str" cm="1">
        <f t="array" aca="1" ref="O788" ca="1">IFERROR(_xlfn.LET(
    _xlpm.txt, $C788,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89" spans="1:15" x14ac:dyDescent="0.3">
      <c r="A789" s="320"/>
      <c r="B789" s="616" t="str">
        <f t="shared" si="938"/>
        <v/>
      </c>
      <c r="C789" s="617" t="str">
        <f t="shared" si="939"/>
        <v/>
      </c>
      <c r="D789" s="618" t="str">
        <f t="shared" si="940"/>
        <v/>
      </c>
      <c r="E789" s="616" t="str">
        <f t="shared" si="941"/>
        <v/>
      </c>
      <c r="F789" s="616" t="str">
        <f t="shared" si="942"/>
        <v/>
      </c>
      <c r="G789" s="619" t="str">
        <f>IF(Tree_Table1[[#This Row],[Tree Status  &amp;]]="Retain", Tables!$B$237, IF(Tree_Table1[[#This Row],[Tree Status  &amp;]]="Remove", Tables!$B$238, ""))</f>
        <v/>
      </c>
      <c r="H789" s="321"/>
      <c r="I789" s="322"/>
      <c r="J789" s="453"/>
      <c r="K789" s="323" t="str">
        <f>IFERROR(
    IF(
        AND($H789="Zoning: Tree Points", NOT(ISNUMBER(SEARCH("sp.", $C789)))),
        VLOOKUP($C789, 'Tree List'!$C$3:$F$601, 4, FALSE),
        ""
    ),
"")</f>
        <v/>
      </c>
      <c r="L789" s="324" t="str" cm="1">
        <f t="array" ref="L789">IFERROR(
IF(
    AND($H789="Zoning: Tree Points", NOT(ISNUMBER(SEARCH("sp.", $C789)))),
    _xlfn.IFS(
        (COUNTIFS('Tree List'!$C$3:$C$601,$C789,'Tree List'!$D$3:$D$601,"Coniferous")
        + COUNTIFS('Tree List'!$C$3:$C$601,$C789,'Tree List'!$D$3:$D$601,"Deciduous Conifer")) &gt; 0,
            _xlfn.IFS($K789="Small",0.5,$K789="Small/Medium",1,$K789="Medium/Large",1.4,$K789="Large",1.8),
        (COUNTIFS('Tree List'!$C$3:$C$601,$C789,'Tree List'!$D$3:$D$601,"Deciduous")
        + COUNTIFS('Tree List'!$C$3:$C$601,$C789,'Tree List'!$D$3:$D$601,"Broadleaf Evergreen")) &gt; 0,
            _xlfn.IFS($K789="Small",0.4,$K789="Small/Medium",0.8,$K789="Medium/Large",1.2,$K789="Large",1.6)
    ),
    ""
),
"")</f>
        <v/>
      </c>
      <c r="M789" s="475" t="str">
        <f t="shared" si="897"/>
        <v/>
      </c>
      <c r="N789" s="346" t="str" cm="1">
        <f t="array" aca="1" ref="N78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IF(AND(_xlpm.baseRow,ISNA(MATCH($C789,'Tree List'!$C$3:$C$601,0)),SUMPRODUCT(--ISNUMBER(SEARCH(Tables2!$C$677:$C$772,$O789)))&gt;0),
Error!$B$57,
IF(AND(_xlpm.hasDM,$F789="Remove",$H789&lt;&gt;"",OR($I789="On-site replacement",$I789="Off-site replacement",$I789="Payment In Lieu")),
Error!$B$56,
IF(AND(_xlpm.hasDM,$F789="Remove",$H789&lt;&gt;"",$I789="Relocation"),
Error!$B$66,
IF(AND(OR(_xlpm.hasCN,_xlpm.hasPH,_xlpm.hasGR),$H789&lt;&gt;"",COUNTIF(Tables!$B$132:$B$134,$H789)&gt;0,$I789="N/A (No replacement required)"),
Error!$B$62,
IF(AND(_xlpm.baseRow,$E789&lt;&gt;"",ISNA(MATCH($E789,Tables!$B$225:$B$232,0))),
Error!$B$2,
IF(AND(_xlpm.baseRow,$F789&lt;&gt;"",ISNA(MATCH($F789,Tables!$B$234:$B$235,0))),
Error!$B$24,
IF(AND(_xlpm.baseRow,_xlpm.ECA_H&gt;0,_xlpm.Shore_H&gt;0),
Error!$B$16,
IF(AND(_xlpm.baseRow,$E789&lt;&gt;"",$D789=""),
Error!$B$3,
IF(AND(_xlpm.baseRow,OR($E789="Tier 3",$E789="Tier 4"),$C789&lt;&gt;"",$D789&gt;=24,COUNTIF(Tables2!$B$166:$B$674,$C789)&gt;0),
Error!$B$44,
IF(AND(_xlpm.baseRow,OR($E789="Tier 3",$E789="Tier 4"),$C789&lt;&gt;"",$D789&lt;&gt;"",COUNTIF(Tables2!$B$73:$B$152,$C789)&gt;0,
$D789&gt;=IFERROR(INDEX(Tables2!$C$73:$C$152,MATCH($C789,Tables2!$B$73:$B$152,0)),-1)),
Error!$B$44,
IF(AND(_xlpm.baseRow,OR($E789="Tier 2",$E789="Tier 2 Grove"),$C789&lt;&gt;"",$D789&gt;=12,COUNTIF(Tables2!$B$153:$B$162,$C789)&gt;0),
Error!$B$45,
IF(AND(_xlpm.baseRow,$E789="Tier 2 Grove",$D789&lt;12),
Error!$B$41,
IF(AND(_xlpm.baseRow,$E789="Tier 2",$D789&lt;5.88),
Error!$B$40,
IF(AND(_xlpm.baseRow,OR($E789="Tier 2",$E789="Tier 2 Grove"),$C789&lt;&gt;"",$D789&lt;12,$D789&gt;=6,COUNTIF(Tables2!$B$153:$B$162,$C789)&gt;0),
Error!$B$54,
IF(AND(_xlpm.baseRow,$E789="Tier 2",COUNTIF(Tables2!$B$166:$B$674,$C789)&gt;0,$D789&lt;24),
Error!$B$54,
IF(AND(_xlpm.baseRow,$E789="Tier 3",ISNA(MATCH($C789,Tables2!$B$153:$B$162,0)),OR($D789&lt;12,$D789&gt;=24)),
Error!$B$9,
IF(AND(_xlpm.baseRow,$E789="Tier 3",COUNTIF(Tables2!$B$153:$B$162,$C789)&gt;0,$D789&lt;12),
Error!$B$46,
IF(AND(_xlpm.baseRow,$E789="Tier 4",OR($D789&lt;6,$D789&gt;=12)),
Error!$B$10,
IF(AND(_xlpm.baseRow,$E789="&lt;6in DSH for Tree Points",OR($D789&gt;=6,$D789="")),
Error!$B$8,
IF(AND(_xlpm.baseRow,$E789="Street Tree for Green Factor",$F789&lt;&gt;"",$F789&lt;&gt;"Retain"),
Error!$B$14,
IF(AND($E789="&lt;6in DSH for Tree Points",$F789="Retain",$H789&lt;&gt;"",ISNA(MATCH($H789,Tables!$B$174:$B$174,0))),
Error!$B$15,
IF(AND($E789="Street Tree for Green Factor",$F789="Retain",$H789&lt;&gt;"",$H789&lt;&gt;"Zoning: Green Factor"),
Error!$B$15,
IF(AND($E789="ECA / Shoreline Tree",$F789="Remove",$H789&lt;&gt;"",ISNA(MATCH($H789,Tables!$B$189:$B$190,0))),
Error!$B$15,
IF(AND($E789="ECA / Shoreline Tree",$F789="Retain",$H789&lt;&gt;"",ISNA(MATCH($H789,Tables!$B$184:$B$186,0))),
Error!$B$15,
IF(AND($E789="Tier 4",$F789="Remove",$H789&lt;&gt;"",ISNA(MATCH($H789,Tables!$B$171,0))),
Error!$B$15,
IF(AND($E789="Tier 4",$F789="Retain",$H789&lt;&gt;"",ISNA(MATCH($H789,Tables!$B$166:$B$168,0))),
Error!$B$15,
IF(AND($E789="Tier 3",$F789="Retain",$H789&lt;&gt;"",ISNA(MATCH($H789,Tables!$B$158:$B$160,0))),
Error!$B$15,
IF(AND($E789="Tier 3",$F789="Remove",$H789&lt;&gt;"",ISNA(MATCH($H789,Tables!$B$163,0))),
Error!$B$15,
IF(AND(OR($E789="Tier 2",$E789="Tier 2 Grove"),$F789="Remove",$H789&lt;&gt;"",ISNA(MATCH($H789,Tables!$B$153:$B$155,0))),
Error!$B$15,
IF(AND(OR($E789="Tier 2",$E789="Tier 2 Grove"),$F789="Retain",$H789&lt;&gt;"",ISNA(MATCH($H789,Tables!$B$147:$B$150,0))),
Error!$B$15,
IF(AND($E789="Tier 1",$F789="Remove",$H789&lt;&gt;"",ISNA(MATCH($H789,Tables!$B$143:$B$144,0))),
Error!$B$15,
IF(AND($E789="Tier 1",$F789="Retain",$H789&lt;&gt;"",ISNA(MATCH($H789,Tables!$B$137:$B$140,0))),
Error!$B$15,
IF(AND($E789&lt;&gt;"Tier 2",$E789&lt;&gt;"Tier 2 Grove",$E789&lt;&gt;"Tier 3",$E789&lt;&gt;"Tier 4",$H789="Zoning: Green Factor",OR($D789="",$D789&lt;6)),
Error!$B$11,
IF(AND(_xlpm.baseRow,$D789&lt;6,$E789="&lt;6in DSH for Tree Points",_xlpm.TreePoints_H=0),
Error!$B$21,
IF(AND(_xlpm.baseRow,$E789&lt;&gt;"",$D789&lt;&gt;"",$F789=""),
Error!$B$4,
IF(AND(_xlpm.baseRow,$F789="Remove",OR($E789="Tier 1",$E789="Tier 2",$E789="Tier 2 Grove"),COUNTBLANK(_xlpm.HRange)&lt;3,_xlpm.uniqueH&gt;=2),
Error!$B$48,
IF(AND(_xlpm.baseRow,$F789="Retain",OR($E789="Tier 1",$E789="Tier 2",$E789="Tier 2 Grove"),COUNTIF(_xlpm.HRange,"Tree Code: Required to Retain Tier 1-2 Tree")=0),
Error!$B$47,
IF(AND(_xlpm.baseRow,$E789&lt;&gt;"",$D789&lt;&gt;"",$F789&lt;&gt;"",COUNTBLANK(_xlpm.HRange)=4),
Error!$B$5,
IF(AND($F789="Remove",$H789&lt;&gt;"",$I789=""),
Error!$B$18,
IF(AND($E789="Tier 4",$F789="Remove",$H789="Tree Protection Code: Tier 3 or Tier 4 Allowance",$H789&lt;&gt;"",ISNA(MATCH($I789,Tables!$B$200,0))),
Error!$B$17,
IF(AND($E789="Tier 3",$F789="Remove",$H789&lt;&gt;"",$H789="Tree Protection Code: Tier 3 or Tier 4 Allowance",OR($I789="",ISNA(MATCH($I789,Tables!$B$193:$B$197,0)))),
Error!$B$17,
IF(AND(OR($E789="Tier 2",$E789="Tier 2 Grove"),$F789="Remove",$H789="Tree Protection Code: Other removal allowance or exemption",$I789&lt;&gt;"",ISNA(MATCH($I789,Tables!$B$215:$B$218,0))),
Error!$B$17,
IF(AND(OR($E789="Tier 2",$E789="Tier 2 Grove"),$F789="Remove",$H789="Tree Protection Code: Development Capacity",$I789&lt;&gt;"",ISNA(MATCH($I789,Tables!$B$193:$B$197,0))),
Error!$B$17,
IF(AND(OR($E789="Tier 2",$E789="Tier 2 Grove"),$F789="Remove",$H789="Tree Protection Code: Necessary for Construction",$I789&lt;&gt;"",ISNA(MATCH($I789,Tables!$B$193:$B$197,0))),
Error!$B$17,
IF(AND($E789="Tier 1",$F789="Remove",$H789="Tree Protection Code: Special Exception",$I789&lt;&gt;"",ISNA(MATCH($I789,Tables!$B$215:$B$218,0))),
Error!$B$17,
IF(AND($E789="Tier 1",$F789="Remove",$H789="Tree Protection Code: Other removal allowance or exemption",$I789&lt;&gt;"",ISNA(MATCH($I789,Tables!$B$215:$B$218,0))),
Error!$B$17,
IF(AND($E789="ECA / Shoreline Tree",$F789="Remove",$H789&lt;&gt;"",OR($H789="Shoreline",$H789="Environmental Critical Area (ECA)"),ISNA(MATCH($I789,Tables!$B$209:$B$212,0))),
Error!$B$17,
IF(AND(_xlpm.baseRow,$F789="Retain",$E789="ECA / Shoreline Tree",_xlpm.ECA_Short=0),
Error!$B$61,
IF(AND($F789="Remove",ISNUMBER(MATCH($E789,{"Tier 1","Tier 2","Tier 3","Tier 4","Tier 2 Grove"},0)),ISNUMBER(MATCH($I789,{"On-site replacement","Off-site replacement"},0)),$J789="",$H789&lt;&gt;""),
Error!$B$19,
IF(AND(_xlpm.baseRow,$E789&lt;&gt;"",$D789&lt;&gt;"",$F789&lt;&gt;"",COUNTBLANK($B789:$C789)&gt;0,COUNTBLANK(_xlpm.HRange)&lt;&gt;4),
Error!$B$22,
IF(AND($H789="Zoning: Tree Points",$K789&lt;&gt;"",ISNA(MATCH($K789,Tables!$B$242:$B$253,0))),
Error!$B$58,
IF(AND($H789="Zoning: Tree Points",$K789="Small",$L789&lt;&gt;"",ISNA(MATCH($L789,Tables!$C$243:$C$244,0))),
Error!$B$59,
IF(AND($H789="Zoning: Tree Points",$K789="Small/Medium",$L789&lt;&gt;"",ISNA(MATCH($L789,Tables!$C$246:$C$247,0))),
Error!$B$59,
IF(AND($H789="Zoning: Tree Points",$K789="Medium/Large",$L789&lt;&gt;"",ISNA(MATCH($L789,Tables!$C$249:$C$250,0))),
Error!$B$59,
IF(AND($H789="Zoning: Tree Points",$K789="Large",$L789&lt;&gt;"",ISNA(MATCH($L789,Tables!$C$252:$C$253,0))),
Error!$B$59,
IF(AND($F789="Retain",$H789="Zoning: Tree Points",$C789&lt;&gt;"",$D789&lt;&gt;"",OR($K789="",$L789="",$M789="")),
Error!$B$20,
""
)))))))))))))))))))))))))))))))))))))))))))))))))))))))),
Error!$B$23))</f>
        <v/>
      </c>
      <c r="O789" s="343" t="str" cm="1">
        <f t="array" aca="1" ref="O789" ca="1">IFERROR(_xlfn.LET(
    _xlpm.txt, $C789,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90" spans="1:15" ht="15" thickBot="1" x14ac:dyDescent="0.35">
      <c r="A790" s="331"/>
      <c r="B790" s="616" t="str">
        <f t="shared" si="938"/>
        <v/>
      </c>
      <c r="C790" s="617" t="str">
        <f t="shared" si="939"/>
        <v/>
      </c>
      <c r="D790" s="618" t="str">
        <f t="shared" si="940"/>
        <v/>
      </c>
      <c r="E790" s="616" t="str">
        <f t="shared" si="941"/>
        <v/>
      </c>
      <c r="F790" s="616" t="str">
        <f t="shared" si="942"/>
        <v/>
      </c>
      <c r="G790" s="619" t="str">
        <f>IF(Tree_Table1[[#This Row],[Tree Status  &amp;]]="Retain", Tables!$B$237, IF(Tree_Table1[[#This Row],[Tree Status  &amp;]]="Remove", Tables!$B$238, ""))</f>
        <v/>
      </c>
      <c r="H790" s="329"/>
      <c r="I790" s="330"/>
      <c r="J790" s="455"/>
      <c r="K790" s="327" t="str">
        <f>IFERROR(
    IF(
        AND($H790="Zoning: Tree Points", NOT(ISNUMBER(SEARCH("sp.", $C790)))),
        VLOOKUP($C790, 'Tree List'!$C$3:$F$601, 4, FALSE),
        ""
    ),
"")</f>
        <v/>
      </c>
      <c r="L790" s="328" t="str" cm="1">
        <f t="array" ref="L790">IFERROR(
IF(
    AND($H790="Zoning: Tree Points", NOT(ISNUMBER(SEARCH("sp.", $C790)))),
    _xlfn.IFS(
        (COUNTIFS('Tree List'!$C$3:$C$601,$C790,'Tree List'!$D$3:$D$601,"Coniferous")
        + COUNTIFS('Tree List'!$C$3:$C$601,$C790,'Tree List'!$D$3:$D$601,"Deciduous Conifer")) &gt; 0,
            _xlfn.IFS($K790="Small",0.5,$K790="Small/Medium",1,$K790="Medium/Large",1.4,$K790="Large",1.8),
        (COUNTIFS('Tree List'!$C$3:$C$601,$C790,'Tree List'!$D$3:$D$601,"Deciduous")
        + COUNTIFS('Tree List'!$C$3:$C$601,$C790,'Tree List'!$D$3:$D$601,"Broadleaf Evergreen")) &gt; 0,
            _xlfn.IFS($K790="Small",0.4,$K790="Small/Medium",0.8,$K790="Medium/Large",1.2,$K790="Large",1.6)
    ),
    ""
),
"")</f>
        <v/>
      </c>
      <c r="M790" s="476" t="str">
        <f t="shared" si="897"/>
        <v/>
      </c>
      <c r="N790" s="347" t="str" cm="1">
        <f t="array" aca="1" ref="N79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IF(AND(_xlpm.baseRow,ISNA(MATCH($C790,'Tree List'!$C$3:$C$601,0)),SUMPRODUCT(--ISNUMBER(SEARCH(Tables2!$C$677:$C$772,$O790)))&gt;0),
Error!$B$57,
IF(AND(_xlpm.hasDM,$F790="Remove",$H790&lt;&gt;"",OR($I790="On-site replacement",$I790="Off-site replacement",$I790="Payment In Lieu")),
Error!$B$56,
IF(AND(_xlpm.hasDM,$F790="Remove",$H790&lt;&gt;"",$I790="Relocation"),
Error!$B$66,
IF(AND(OR(_xlpm.hasCN,_xlpm.hasPH,_xlpm.hasGR),$H790&lt;&gt;"",COUNTIF(Tables!$B$132:$B$134,$H790)&gt;0,$I790="N/A (No replacement required)"),
Error!$B$62,
IF(AND(_xlpm.baseRow,$E790&lt;&gt;"",ISNA(MATCH($E790,Tables!$B$225:$B$232,0))),
Error!$B$2,
IF(AND(_xlpm.baseRow,$F790&lt;&gt;"",ISNA(MATCH($F790,Tables!$B$234:$B$235,0))),
Error!$B$24,
IF(AND(_xlpm.baseRow,_xlpm.ECA_H&gt;0,_xlpm.Shore_H&gt;0),
Error!$B$16,
IF(AND(_xlpm.baseRow,$E790&lt;&gt;"",$D790=""),
Error!$B$3,
IF(AND(_xlpm.baseRow,OR($E790="Tier 3",$E790="Tier 4"),$C790&lt;&gt;"",$D790&gt;=24,COUNTIF(Tables2!$B$166:$B$674,$C790)&gt;0),
Error!$B$44,
IF(AND(_xlpm.baseRow,OR($E790="Tier 3",$E790="Tier 4"),$C790&lt;&gt;"",$D790&lt;&gt;"",COUNTIF(Tables2!$B$73:$B$152,$C790)&gt;0,
$D790&gt;=IFERROR(INDEX(Tables2!$C$73:$C$152,MATCH($C790,Tables2!$B$73:$B$152,0)),-1)),
Error!$B$44,
IF(AND(_xlpm.baseRow,OR($E790="Tier 2",$E790="Tier 2 Grove"),$C790&lt;&gt;"",$D790&gt;=12,COUNTIF(Tables2!$B$153:$B$162,$C790)&gt;0),
Error!$B$45,
IF(AND(_xlpm.baseRow,$E790="Tier 2 Grove",$D790&lt;12),
Error!$B$41,
IF(AND(_xlpm.baseRow,$E790="Tier 2",$D790&lt;5.88),
Error!$B$40,
IF(AND(_xlpm.baseRow,OR($E790="Tier 2",$E790="Tier 2 Grove"),$C790&lt;&gt;"",$D790&lt;12,$D790&gt;=6,COUNTIF(Tables2!$B$153:$B$162,$C790)&gt;0),
Error!$B$54,
IF(AND(_xlpm.baseRow,$E790="Tier 2",COUNTIF(Tables2!$B$166:$B$674,$C790)&gt;0,$D790&lt;24),
Error!$B$54,
IF(AND(_xlpm.baseRow,$E790="Tier 3",ISNA(MATCH($C790,Tables2!$B$153:$B$162,0)),OR($D790&lt;12,$D790&gt;=24)),
Error!$B$9,
IF(AND(_xlpm.baseRow,$E790="Tier 3",COUNTIF(Tables2!$B$153:$B$162,$C790)&gt;0,$D790&lt;12),
Error!$B$46,
IF(AND(_xlpm.baseRow,$E790="Tier 4",OR($D790&lt;6,$D790&gt;=12)),
Error!$B$10,
IF(AND(_xlpm.baseRow,$E790="&lt;6in DSH for Tree Points",OR($D790&gt;=6,$D790="")),
Error!$B$8,
IF(AND(_xlpm.baseRow,$E790="Street Tree for Green Factor",$F790&lt;&gt;"",$F790&lt;&gt;"Retain"),
Error!$B$14,
IF(AND($E790="&lt;6in DSH for Tree Points",$F790="Retain",$H790&lt;&gt;"",ISNA(MATCH($H790,Tables!$B$174:$B$174,0))),
Error!$B$15,
IF(AND($E790="Street Tree for Green Factor",$F790="Retain",$H790&lt;&gt;"",$H790&lt;&gt;"Zoning: Green Factor"),
Error!$B$15,
IF(AND($E790="ECA / Shoreline Tree",$F790="Remove",$H790&lt;&gt;"",ISNA(MATCH($H790,Tables!$B$189:$B$190,0))),
Error!$B$15,
IF(AND($E790="ECA / Shoreline Tree",$F790="Retain",$H790&lt;&gt;"",ISNA(MATCH($H790,Tables!$B$184:$B$186,0))),
Error!$B$15,
IF(AND($E790="Tier 4",$F790="Remove",$H790&lt;&gt;"",ISNA(MATCH($H790,Tables!$B$171,0))),
Error!$B$15,
IF(AND($E790="Tier 4",$F790="Retain",$H790&lt;&gt;"",ISNA(MATCH($H790,Tables!$B$166:$B$168,0))),
Error!$B$15,
IF(AND($E790="Tier 3",$F790="Retain",$H790&lt;&gt;"",ISNA(MATCH($H790,Tables!$B$158:$B$160,0))),
Error!$B$15,
IF(AND($E790="Tier 3",$F790="Remove",$H790&lt;&gt;"",ISNA(MATCH($H790,Tables!$B$163,0))),
Error!$B$15,
IF(AND(OR($E790="Tier 2",$E790="Tier 2 Grove"),$F790="Remove",$H790&lt;&gt;"",ISNA(MATCH($H790,Tables!$B$153:$B$155,0))),
Error!$B$15,
IF(AND(OR($E790="Tier 2",$E790="Tier 2 Grove"),$F790="Retain",$H790&lt;&gt;"",ISNA(MATCH($H790,Tables!$B$147:$B$150,0))),
Error!$B$15,
IF(AND($E790="Tier 1",$F790="Remove",$H790&lt;&gt;"",ISNA(MATCH($H790,Tables!$B$143:$B$144,0))),
Error!$B$15,
IF(AND($E790="Tier 1",$F790="Retain",$H790&lt;&gt;"",ISNA(MATCH($H790,Tables!$B$137:$B$140,0))),
Error!$B$15,
IF(AND($E790&lt;&gt;"Tier 2",$E790&lt;&gt;"Tier 2 Grove",$E790&lt;&gt;"Tier 3",$E790&lt;&gt;"Tier 4",$H790="Zoning: Green Factor",OR($D790="",$D790&lt;6)),
Error!$B$11,
IF(AND(_xlpm.baseRow,$D790&lt;6,$E790="&lt;6in DSH for Tree Points",_xlpm.TreePoints_H=0),
Error!$B$21,
IF(AND(_xlpm.baseRow,$E790&lt;&gt;"",$D790&lt;&gt;"",$F790=""),
Error!$B$4,
IF(AND(_xlpm.baseRow,$F790="Remove",OR($E790="Tier 1",$E790="Tier 2",$E790="Tier 2 Grove"),COUNTBLANK(_xlpm.HRange)&lt;3,_xlpm.uniqueH&gt;=2),
Error!$B$48,
IF(AND(_xlpm.baseRow,$F790="Retain",OR($E790="Tier 1",$E790="Tier 2",$E790="Tier 2 Grove"),COUNTIF(_xlpm.HRange,"Tree Code: Required to Retain Tier 1-2 Tree")=0),
Error!$B$47,
IF(AND(_xlpm.baseRow,$E790&lt;&gt;"",$D790&lt;&gt;"",$F790&lt;&gt;"",COUNTBLANK(_xlpm.HRange)=4),
Error!$B$5,
IF(AND($F790="Remove",$H790&lt;&gt;"",$I790=""),
Error!$B$18,
IF(AND($E790="Tier 4",$F790="Remove",$H790="Tree Protection Code: Tier 3 or Tier 4 Allowance",$H790&lt;&gt;"",ISNA(MATCH($I790,Tables!$B$200,0))),
Error!$B$17,
IF(AND($E790="Tier 3",$F790="Remove",$H790&lt;&gt;"",$H790="Tree Protection Code: Tier 3 or Tier 4 Allowance",OR($I790="",ISNA(MATCH($I790,Tables!$B$193:$B$197,0)))),
Error!$B$17,
IF(AND(OR($E790="Tier 2",$E790="Tier 2 Grove"),$F790="Remove",$H790="Tree Protection Code: Other removal allowance or exemption",$I790&lt;&gt;"",ISNA(MATCH($I790,Tables!$B$215:$B$218,0))),
Error!$B$17,
IF(AND(OR($E790="Tier 2",$E790="Tier 2 Grove"),$F790="Remove",$H790="Tree Protection Code: Development Capacity",$I790&lt;&gt;"",ISNA(MATCH($I790,Tables!$B$193:$B$197,0))),
Error!$B$17,
IF(AND(OR($E790="Tier 2",$E790="Tier 2 Grove"),$F790="Remove",$H790="Tree Protection Code: Necessary for Construction",$I790&lt;&gt;"",ISNA(MATCH($I790,Tables!$B$193:$B$197,0))),
Error!$B$17,
IF(AND($E790="Tier 1",$F790="Remove",$H790="Tree Protection Code: Special Exception",$I790&lt;&gt;"",ISNA(MATCH($I790,Tables!$B$215:$B$218,0))),
Error!$B$17,
IF(AND($E790="Tier 1",$F790="Remove",$H790="Tree Protection Code: Other removal allowance or exemption",$I790&lt;&gt;"",ISNA(MATCH($I790,Tables!$B$215:$B$218,0))),
Error!$B$17,
IF(AND($E790="ECA / Shoreline Tree",$F790="Remove",$H790&lt;&gt;"",OR($H790="Shoreline",$H790="Environmental Critical Area (ECA)"),ISNA(MATCH($I790,Tables!$B$209:$B$212,0))),
Error!$B$17,
IF(AND(_xlpm.baseRow,$F790="Retain",$E790="ECA / Shoreline Tree",_xlpm.ECA_Short=0),
Error!$B$61,
IF(AND($F790="Remove",ISNUMBER(MATCH($E790,{"Tier 1","Tier 2","Tier 3","Tier 4","Tier 2 Grove"},0)),ISNUMBER(MATCH($I790,{"On-site replacement","Off-site replacement"},0)),$J790="",$H790&lt;&gt;""),
Error!$B$19,
IF(AND(_xlpm.baseRow,$E790&lt;&gt;"",$D790&lt;&gt;"",$F790&lt;&gt;"",COUNTBLANK($B790:$C790)&gt;0,COUNTBLANK(_xlpm.HRange)&lt;&gt;4),
Error!$B$22,
IF(AND($H790="Zoning: Tree Points",$K790&lt;&gt;"",ISNA(MATCH($K790,Tables!$B$242:$B$253,0))),
Error!$B$58,
IF(AND($H790="Zoning: Tree Points",$K790="Small",$L790&lt;&gt;"",ISNA(MATCH($L790,Tables!$C$243:$C$244,0))),
Error!$B$59,
IF(AND($H790="Zoning: Tree Points",$K790="Small/Medium",$L790&lt;&gt;"",ISNA(MATCH($L790,Tables!$C$246:$C$247,0))),
Error!$B$59,
IF(AND($H790="Zoning: Tree Points",$K790="Medium/Large",$L790&lt;&gt;"",ISNA(MATCH($L790,Tables!$C$249:$C$250,0))),
Error!$B$59,
IF(AND($H790="Zoning: Tree Points",$K790="Large",$L790&lt;&gt;"",ISNA(MATCH($L790,Tables!$C$252:$C$253,0))),
Error!$B$59,
IF(AND($F790="Retain",$H790="Zoning: Tree Points",$C790&lt;&gt;"",$D790&lt;&gt;"",OR($K790="",$L790="",$M790="")),
Error!$B$20,
""
)))))))))))))))))))))))))))))))))))))))))))))))))))))))),
Error!$B$23))</f>
        <v/>
      </c>
      <c r="O790" s="343" t="str" cm="1">
        <f t="array" aca="1" ref="O790" ca="1">IFERROR(_xlfn.LET(
    _xlpm.txt, $C790,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91" spans="1:15" ht="15" thickBot="1" x14ac:dyDescent="0.35">
      <c r="A791" s="311">
        <v>196</v>
      </c>
      <c r="B791" s="312"/>
      <c r="C791" s="313"/>
      <c r="D791" s="478"/>
      <c r="E791" s="314"/>
      <c r="F791" s="314"/>
      <c r="G791" s="315" t="str">
        <f>IF(Tree_Table1[[#This Row],[Tree Status  &amp;]]="Retain", Tables!$B$237, IF(Tree_Table1[[#This Row],[Tree Status  &amp;]]="Remove", Tables!$B$238, ""))</f>
        <v/>
      </c>
      <c r="H791" s="316"/>
      <c r="I791" s="317"/>
      <c r="J791" s="452"/>
      <c r="K791" s="318" t="str">
        <f>IFERROR(
    IF(
        AND($H791="Zoning: Tree Points", NOT(ISNUMBER(SEARCH("sp.", $C791)))),
        VLOOKUP($C791, 'Tree List'!$C$3:$F$601, 4, FALSE),
        ""
    ),
"")</f>
        <v/>
      </c>
      <c r="L791" s="319" t="str" cm="1">
        <f t="array" ref="L791">IFERROR(
IF(
    AND($H791="Zoning: Tree Points", NOT(ISNUMBER(SEARCH("sp.", $C791)))),
    _xlfn.IFS(
        (COUNTIFS('Tree List'!$C$3:$C$601,$C791,'Tree List'!$D$3:$D$601,"Coniferous")
        + COUNTIFS('Tree List'!$C$3:$C$601,$C791,'Tree List'!$D$3:$D$601,"Deciduous Conifer")) &gt; 0,
            _xlfn.IFS($K791="Small",0.5,$K791="Small/Medium",1,$K791="Medium/Large",1.4,$K791="Large",1.8),
        (COUNTIFS('Tree List'!$C$3:$C$601,$C791,'Tree List'!$D$3:$D$601,"Deciduous")
        + COUNTIFS('Tree List'!$C$3:$C$601,$C791,'Tree List'!$D$3:$D$601,"Broadleaf Evergreen")) &gt; 0,
            _xlfn.IFS($K791="Small",0.4,$K791="Small/Medium",0.8,$K791="Medium/Large",1.2,$K791="Large",1.6)
    ),
    ""
),
"")</f>
        <v/>
      </c>
      <c r="M791" s="474" t="str">
        <f t="shared" si="897"/>
        <v/>
      </c>
      <c r="N791" s="620" t="str" cm="1">
        <f t="array" aca="1" ref="N79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IF(AND(_xlpm.baseRow,ISNA(MATCH($C791,'Tree List'!$C$3:$C$601,0)),SUMPRODUCT(--ISNUMBER(SEARCH(Tables2!$C$677:$C$772,$O791)))&gt;0),
Error!$B$57,
IF(AND(_xlpm.hasDM,$F791="Remove",$H791&lt;&gt;"",OR($I791="On-site replacement",$I791="Off-site replacement",$I791="Payment In Lieu")),
Error!$B$56,
IF(AND(_xlpm.hasDM,$F791="Remove",$H791&lt;&gt;"",$I791="Relocation"),
Error!$B$66,
IF(AND(OR(_xlpm.hasCN,_xlpm.hasPH,_xlpm.hasGR),$H791&lt;&gt;"",COUNTIF(Tables!$B$132:$B$134,$H791)&gt;0,$I791="N/A (No replacement required)"),
Error!$B$62,
IF(AND(_xlpm.baseRow,$E791&lt;&gt;"",ISNA(MATCH($E791,Tables!$B$225:$B$232,0))),
Error!$B$2,
IF(AND(_xlpm.baseRow,$F791&lt;&gt;"",ISNA(MATCH($F791,Tables!$B$234:$B$235,0))),
Error!$B$24,
IF(AND(_xlpm.baseRow,_xlpm.ECA_H&gt;0,_xlpm.Shore_H&gt;0),
Error!$B$16,
IF(AND(_xlpm.baseRow,$E791&lt;&gt;"",$D791=""),
Error!$B$3,
IF(AND(_xlpm.baseRow,OR($E791="Tier 3",$E791="Tier 4"),$C791&lt;&gt;"",$D791&gt;=24,COUNTIF(Tables2!$B$166:$B$674,$C791)&gt;0),
Error!$B$44,
IF(AND(_xlpm.baseRow,OR($E791="Tier 3",$E791="Tier 4"),$C791&lt;&gt;"",$D791&lt;&gt;"",COUNTIF(Tables2!$B$73:$B$152,$C791)&gt;0,
$D791&gt;=IFERROR(INDEX(Tables2!$C$73:$C$152,MATCH($C791,Tables2!$B$73:$B$152,0)),-1)),
Error!$B$44,
IF(AND(_xlpm.baseRow,OR($E791="Tier 2",$E791="Tier 2 Grove"),$C791&lt;&gt;"",$D791&gt;=12,COUNTIF(Tables2!$B$153:$B$162,$C791)&gt;0),
Error!$B$45,
IF(AND(_xlpm.baseRow,$E791="Tier 2 Grove",$D791&lt;12),
Error!$B$41,
IF(AND(_xlpm.baseRow,$E791="Tier 2",$D791&lt;5.88),
Error!$B$40,
IF(AND(_xlpm.baseRow,OR($E791="Tier 2",$E791="Tier 2 Grove"),$C791&lt;&gt;"",$D791&lt;12,$D791&gt;=6,COUNTIF(Tables2!$B$153:$B$162,$C791)&gt;0),
Error!$B$54,
IF(AND(_xlpm.baseRow,$E791="Tier 2",COUNTIF(Tables2!$B$166:$B$674,$C791)&gt;0,$D791&lt;24),
Error!$B$54,
IF(AND(_xlpm.baseRow,$E791="Tier 3",ISNA(MATCH($C791,Tables2!$B$153:$B$162,0)),OR($D791&lt;12,$D791&gt;=24)),
Error!$B$9,
IF(AND(_xlpm.baseRow,$E791="Tier 3",COUNTIF(Tables2!$B$153:$B$162,$C791)&gt;0,$D791&lt;12),
Error!$B$46,
IF(AND(_xlpm.baseRow,$E791="Tier 4",OR($D791&lt;6,$D791&gt;=12)),
Error!$B$10,
IF(AND(_xlpm.baseRow,$E791="&lt;6in DSH for Tree Points",OR($D791&gt;=6,$D791="")),
Error!$B$8,
IF(AND(_xlpm.baseRow,$E791="Street Tree for Green Factor",$F791&lt;&gt;"",$F791&lt;&gt;"Retain"),
Error!$B$14,
IF(AND($E791="&lt;6in DSH for Tree Points",$F791="Retain",$H791&lt;&gt;"",ISNA(MATCH($H791,Tables!$B$174:$B$174,0))),
Error!$B$15,
IF(AND($E791="Street Tree for Green Factor",$F791="Retain",$H791&lt;&gt;"",$H791&lt;&gt;"Zoning: Green Factor"),
Error!$B$15,
IF(AND($E791="ECA / Shoreline Tree",$F791="Remove",$H791&lt;&gt;"",ISNA(MATCH($H791,Tables!$B$189:$B$190,0))),
Error!$B$15,
IF(AND($E791="ECA / Shoreline Tree",$F791="Retain",$H791&lt;&gt;"",ISNA(MATCH($H791,Tables!$B$184:$B$186,0))),
Error!$B$15,
IF(AND($E791="Tier 4",$F791="Remove",$H791&lt;&gt;"",ISNA(MATCH($H791,Tables!$B$171,0))),
Error!$B$15,
IF(AND($E791="Tier 4",$F791="Retain",$H791&lt;&gt;"",ISNA(MATCH($H791,Tables!$B$166:$B$168,0))),
Error!$B$15,
IF(AND($E791="Tier 3",$F791="Retain",$H791&lt;&gt;"",ISNA(MATCH($H791,Tables!$B$158:$B$160,0))),
Error!$B$15,
IF(AND($E791="Tier 3",$F791="Remove",$H791&lt;&gt;"",ISNA(MATCH($H791,Tables!$B$163,0))),
Error!$B$15,
IF(AND(OR($E791="Tier 2",$E791="Tier 2 Grove"),$F791="Remove",$H791&lt;&gt;"",ISNA(MATCH($H791,Tables!$B$153:$B$155,0))),
Error!$B$15,
IF(AND(OR($E791="Tier 2",$E791="Tier 2 Grove"),$F791="Retain",$H791&lt;&gt;"",ISNA(MATCH($H791,Tables!$B$147:$B$150,0))),
Error!$B$15,
IF(AND($E791="Tier 1",$F791="Remove",$H791&lt;&gt;"",ISNA(MATCH($H791,Tables!$B$143:$B$144,0))),
Error!$B$15,
IF(AND($E791="Tier 1",$F791="Retain",$H791&lt;&gt;"",ISNA(MATCH($H791,Tables!$B$137:$B$140,0))),
Error!$B$15,
IF(AND($E791&lt;&gt;"Tier 2",$E791&lt;&gt;"Tier 2 Grove",$E791&lt;&gt;"Tier 3",$E791&lt;&gt;"Tier 4",$H791="Zoning: Green Factor",OR($D791="",$D791&lt;6)),
Error!$B$11,
IF(AND(_xlpm.baseRow,$D791&lt;6,$E791="&lt;6in DSH for Tree Points",_xlpm.TreePoints_H=0),
Error!$B$21,
IF(AND(_xlpm.baseRow,$E791&lt;&gt;"",$D791&lt;&gt;"",$F791=""),
Error!$B$4,
IF(AND(_xlpm.baseRow,$F791="Remove",OR($E791="Tier 1",$E791="Tier 2",$E791="Tier 2 Grove"),COUNTBLANK(_xlpm.HRange)&lt;3,_xlpm.uniqueH&gt;=2),
Error!$B$48,
IF(AND(_xlpm.baseRow,$F791="Retain",OR($E791="Tier 1",$E791="Tier 2",$E791="Tier 2 Grove"),COUNTIF(_xlpm.HRange,"Tree Code: Required to Retain Tier 1-2 Tree")=0),
Error!$B$47,
IF(AND(_xlpm.baseRow,$E791&lt;&gt;"",$D791&lt;&gt;"",$F791&lt;&gt;"",COUNTBLANK(_xlpm.HRange)=4),
Error!$B$5,
IF(AND($F791="Remove",$H791&lt;&gt;"",$I791=""),
Error!$B$18,
IF(AND($E791="Tier 4",$F791="Remove",$H791="Tree Protection Code: Tier 3 or Tier 4 Allowance",$H791&lt;&gt;"",ISNA(MATCH($I791,Tables!$B$200,0))),
Error!$B$17,
IF(AND($E791="Tier 3",$F791="Remove",$H791&lt;&gt;"",$H791="Tree Protection Code: Tier 3 or Tier 4 Allowance",OR($I791="",ISNA(MATCH($I791,Tables!$B$193:$B$197,0)))),
Error!$B$17,
IF(AND(OR($E791="Tier 2",$E791="Tier 2 Grove"),$F791="Remove",$H791="Tree Protection Code: Other removal allowance or exemption",$I791&lt;&gt;"",ISNA(MATCH($I791,Tables!$B$215:$B$218,0))),
Error!$B$17,
IF(AND(OR($E791="Tier 2",$E791="Tier 2 Grove"),$F791="Remove",$H791="Tree Protection Code: Development Capacity",$I791&lt;&gt;"",ISNA(MATCH($I791,Tables!$B$193:$B$197,0))),
Error!$B$17,
IF(AND(OR($E791="Tier 2",$E791="Tier 2 Grove"),$F791="Remove",$H791="Tree Protection Code: Necessary for Construction",$I791&lt;&gt;"",ISNA(MATCH($I791,Tables!$B$193:$B$197,0))),
Error!$B$17,
IF(AND($E791="Tier 1",$F791="Remove",$H791="Tree Protection Code: Special Exception",$I791&lt;&gt;"",ISNA(MATCH($I791,Tables!$B$215:$B$218,0))),
Error!$B$17,
IF(AND($E791="Tier 1",$F791="Remove",$H791="Tree Protection Code: Other removal allowance or exemption",$I791&lt;&gt;"",ISNA(MATCH($I791,Tables!$B$215:$B$218,0))),
Error!$B$17,
IF(AND($E791="ECA / Shoreline Tree",$F791="Remove",$H791&lt;&gt;"",OR($H791="Shoreline",$H791="Environmental Critical Area (ECA)"),ISNA(MATCH($I791,Tables!$B$209:$B$212,0))),
Error!$B$17,
IF(AND(_xlpm.baseRow,$F791="Retain",$E791="ECA / Shoreline Tree",_xlpm.ECA_Short=0),
Error!$B$61,
IF(AND($F791="Remove",ISNUMBER(MATCH($E791,{"Tier 1","Tier 2","Tier 3","Tier 4","Tier 2 Grove"},0)),ISNUMBER(MATCH($I791,{"On-site replacement","Off-site replacement"},0)),$J791="",$H791&lt;&gt;""),
Error!$B$19,
IF(AND(_xlpm.baseRow,$E791&lt;&gt;"",$D791&lt;&gt;"",$F791&lt;&gt;"",COUNTBLANK($B791:$C791)&gt;0,COUNTBLANK(_xlpm.HRange)&lt;&gt;4),
Error!$B$22,
IF(AND($H791="Zoning: Tree Points",$K791&lt;&gt;"",ISNA(MATCH($K791,Tables!$B$242:$B$253,0))),
Error!$B$58,
IF(AND($H791="Zoning: Tree Points",$K791="Small",$L791&lt;&gt;"",ISNA(MATCH($L791,Tables!$C$243:$C$244,0))),
Error!$B$59,
IF(AND($H791="Zoning: Tree Points",$K791="Small/Medium",$L791&lt;&gt;"",ISNA(MATCH($L791,Tables!$C$246:$C$247,0))),
Error!$B$59,
IF(AND($H791="Zoning: Tree Points",$K791="Medium/Large",$L791&lt;&gt;"",ISNA(MATCH($L791,Tables!$C$249:$C$250,0))),
Error!$B$59,
IF(AND($H791="Zoning: Tree Points",$K791="Large",$L791&lt;&gt;"",ISNA(MATCH($L791,Tables!$C$252:$C$253,0))),
Error!$B$59,
IF(AND($F791="Retain",$H791="Zoning: Tree Points",$C791&lt;&gt;"",$D791&lt;&gt;"",OR($K791="",$L791="",$M791="")),
Error!$B$20,
""
)))))))))))))))))))))))))))))))))))))))))))))))))))))))),
Error!$B$23))</f>
        <v/>
      </c>
      <c r="O791" s="343" t="str" cm="1">
        <f t="array" aca="1" ref="O791" ca="1">IFERROR(_xlfn.LET(
    _xlpm.txt, $C791,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92" spans="1:15" x14ac:dyDescent="0.3">
      <c r="A792" s="320"/>
      <c r="B792" s="616" t="str">
        <f t="shared" ref="B792:B794" si="943">IF($B791="", "", $B791)</f>
        <v/>
      </c>
      <c r="C792" s="617" t="str">
        <f t="shared" ref="C792:C794" si="944">IF($C791="", "", $C791)</f>
        <v/>
      </c>
      <c r="D792" s="618" t="str">
        <f t="shared" ref="D792:D794" si="945">IF($D791="", "", $D791)</f>
        <v/>
      </c>
      <c r="E792" s="616" t="str">
        <f t="shared" ref="E792:E794" si="946">IF($E791="", "", $E791)</f>
        <v/>
      </c>
      <c r="F792" s="616" t="str">
        <f t="shared" ref="F792:F794" si="947">IF($F791="", "", $F791)</f>
        <v/>
      </c>
      <c r="G792" s="619" t="str">
        <f>IF(Tree_Table1[[#This Row],[Tree Status  &amp;]]="Retain", Tables!$B$237, IF(Tree_Table1[[#This Row],[Tree Status  &amp;]]="Remove", Tables!$B$238, ""))</f>
        <v/>
      </c>
      <c r="H792" s="321"/>
      <c r="I792" s="322"/>
      <c r="J792" s="453"/>
      <c r="K792" s="323" t="str">
        <f>IFERROR(
    IF(
        AND($H792="Zoning: Tree Points", NOT(ISNUMBER(SEARCH("sp.", $C792)))),
        VLOOKUP($C792, 'Tree List'!$C$3:$F$601, 4, FALSE),
        ""
    ),
"")</f>
        <v/>
      </c>
      <c r="L792" s="324" t="str" cm="1">
        <f t="array" ref="L792">IFERROR(
IF(
    AND($H792="Zoning: Tree Points", NOT(ISNUMBER(SEARCH("sp.", $C792)))),
    _xlfn.IFS(
        (COUNTIFS('Tree List'!$C$3:$C$601,$C792,'Tree List'!$D$3:$D$601,"Coniferous")
        + COUNTIFS('Tree List'!$C$3:$C$601,$C792,'Tree List'!$D$3:$D$601,"Deciduous Conifer")) &gt; 0,
            _xlfn.IFS($K792="Small",0.5,$K792="Small/Medium",1,$K792="Medium/Large",1.4,$K792="Large",1.8),
        (COUNTIFS('Tree List'!$C$3:$C$601,$C792,'Tree List'!$D$3:$D$601,"Deciduous")
        + COUNTIFS('Tree List'!$C$3:$C$601,$C792,'Tree List'!$D$3:$D$601,"Broadleaf Evergreen")) &gt; 0,
            _xlfn.IFS($K792="Small",0.4,$K792="Small/Medium",0.8,$K792="Medium/Large",1.2,$K792="Large",1.6)
    ),
    ""
),
"")</f>
        <v/>
      </c>
      <c r="M792" s="475" t="str">
        <f t="shared" si="897"/>
        <v/>
      </c>
      <c r="N792" s="346" t="str" cm="1">
        <f t="array" aca="1" ref="N79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IF(AND(_xlpm.baseRow,ISNA(MATCH($C792,'Tree List'!$C$3:$C$601,0)),SUMPRODUCT(--ISNUMBER(SEARCH(Tables2!$C$677:$C$772,$O792)))&gt;0),
Error!$B$57,
IF(AND(_xlpm.hasDM,$F792="Remove",$H792&lt;&gt;"",OR($I792="On-site replacement",$I792="Off-site replacement",$I792="Payment In Lieu")),
Error!$B$56,
IF(AND(_xlpm.hasDM,$F792="Remove",$H792&lt;&gt;"",$I792="Relocation"),
Error!$B$66,
IF(AND(OR(_xlpm.hasCN,_xlpm.hasPH,_xlpm.hasGR),$H792&lt;&gt;"",COUNTIF(Tables!$B$132:$B$134,$H792)&gt;0,$I792="N/A (No replacement required)"),
Error!$B$62,
IF(AND(_xlpm.baseRow,$E792&lt;&gt;"",ISNA(MATCH($E792,Tables!$B$225:$B$232,0))),
Error!$B$2,
IF(AND(_xlpm.baseRow,$F792&lt;&gt;"",ISNA(MATCH($F792,Tables!$B$234:$B$235,0))),
Error!$B$24,
IF(AND(_xlpm.baseRow,_xlpm.ECA_H&gt;0,_xlpm.Shore_H&gt;0),
Error!$B$16,
IF(AND(_xlpm.baseRow,$E792&lt;&gt;"",$D792=""),
Error!$B$3,
IF(AND(_xlpm.baseRow,OR($E792="Tier 3",$E792="Tier 4"),$C792&lt;&gt;"",$D792&gt;=24,COUNTIF(Tables2!$B$166:$B$674,$C792)&gt;0),
Error!$B$44,
IF(AND(_xlpm.baseRow,OR($E792="Tier 3",$E792="Tier 4"),$C792&lt;&gt;"",$D792&lt;&gt;"",COUNTIF(Tables2!$B$73:$B$152,$C792)&gt;0,
$D792&gt;=IFERROR(INDEX(Tables2!$C$73:$C$152,MATCH($C792,Tables2!$B$73:$B$152,0)),-1)),
Error!$B$44,
IF(AND(_xlpm.baseRow,OR($E792="Tier 2",$E792="Tier 2 Grove"),$C792&lt;&gt;"",$D792&gt;=12,COUNTIF(Tables2!$B$153:$B$162,$C792)&gt;0),
Error!$B$45,
IF(AND(_xlpm.baseRow,$E792="Tier 2 Grove",$D792&lt;12),
Error!$B$41,
IF(AND(_xlpm.baseRow,$E792="Tier 2",$D792&lt;5.88),
Error!$B$40,
IF(AND(_xlpm.baseRow,OR($E792="Tier 2",$E792="Tier 2 Grove"),$C792&lt;&gt;"",$D792&lt;12,$D792&gt;=6,COUNTIF(Tables2!$B$153:$B$162,$C792)&gt;0),
Error!$B$54,
IF(AND(_xlpm.baseRow,$E792="Tier 2",COUNTIF(Tables2!$B$166:$B$674,$C792)&gt;0,$D792&lt;24),
Error!$B$54,
IF(AND(_xlpm.baseRow,$E792="Tier 3",ISNA(MATCH($C792,Tables2!$B$153:$B$162,0)),OR($D792&lt;12,$D792&gt;=24)),
Error!$B$9,
IF(AND(_xlpm.baseRow,$E792="Tier 3",COUNTIF(Tables2!$B$153:$B$162,$C792)&gt;0,$D792&lt;12),
Error!$B$46,
IF(AND(_xlpm.baseRow,$E792="Tier 4",OR($D792&lt;6,$D792&gt;=12)),
Error!$B$10,
IF(AND(_xlpm.baseRow,$E792="&lt;6in DSH for Tree Points",OR($D792&gt;=6,$D792="")),
Error!$B$8,
IF(AND(_xlpm.baseRow,$E792="Street Tree for Green Factor",$F792&lt;&gt;"",$F792&lt;&gt;"Retain"),
Error!$B$14,
IF(AND($E792="&lt;6in DSH for Tree Points",$F792="Retain",$H792&lt;&gt;"",ISNA(MATCH($H792,Tables!$B$174:$B$174,0))),
Error!$B$15,
IF(AND($E792="Street Tree for Green Factor",$F792="Retain",$H792&lt;&gt;"",$H792&lt;&gt;"Zoning: Green Factor"),
Error!$B$15,
IF(AND($E792="ECA / Shoreline Tree",$F792="Remove",$H792&lt;&gt;"",ISNA(MATCH($H792,Tables!$B$189:$B$190,0))),
Error!$B$15,
IF(AND($E792="ECA / Shoreline Tree",$F792="Retain",$H792&lt;&gt;"",ISNA(MATCH($H792,Tables!$B$184:$B$186,0))),
Error!$B$15,
IF(AND($E792="Tier 4",$F792="Remove",$H792&lt;&gt;"",ISNA(MATCH($H792,Tables!$B$171,0))),
Error!$B$15,
IF(AND($E792="Tier 4",$F792="Retain",$H792&lt;&gt;"",ISNA(MATCH($H792,Tables!$B$166:$B$168,0))),
Error!$B$15,
IF(AND($E792="Tier 3",$F792="Retain",$H792&lt;&gt;"",ISNA(MATCH($H792,Tables!$B$158:$B$160,0))),
Error!$B$15,
IF(AND($E792="Tier 3",$F792="Remove",$H792&lt;&gt;"",ISNA(MATCH($H792,Tables!$B$163,0))),
Error!$B$15,
IF(AND(OR($E792="Tier 2",$E792="Tier 2 Grove"),$F792="Remove",$H792&lt;&gt;"",ISNA(MATCH($H792,Tables!$B$153:$B$155,0))),
Error!$B$15,
IF(AND(OR($E792="Tier 2",$E792="Tier 2 Grove"),$F792="Retain",$H792&lt;&gt;"",ISNA(MATCH($H792,Tables!$B$147:$B$150,0))),
Error!$B$15,
IF(AND($E792="Tier 1",$F792="Remove",$H792&lt;&gt;"",ISNA(MATCH($H792,Tables!$B$143:$B$144,0))),
Error!$B$15,
IF(AND($E792="Tier 1",$F792="Retain",$H792&lt;&gt;"",ISNA(MATCH($H792,Tables!$B$137:$B$140,0))),
Error!$B$15,
IF(AND($E792&lt;&gt;"Tier 2",$E792&lt;&gt;"Tier 2 Grove",$E792&lt;&gt;"Tier 3",$E792&lt;&gt;"Tier 4",$H792="Zoning: Green Factor",OR($D792="",$D792&lt;6)),
Error!$B$11,
IF(AND(_xlpm.baseRow,$D792&lt;6,$E792="&lt;6in DSH for Tree Points",_xlpm.TreePoints_H=0),
Error!$B$21,
IF(AND(_xlpm.baseRow,$E792&lt;&gt;"",$D792&lt;&gt;"",$F792=""),
Error!$B$4,
IF(AND(_xlpm.baseRow,$F792="Remove",OR($E792="Tier 1",$E792="Tier 2",$E792="Tier 2 Grove"),COUNTBLANK(_xlpm.HRange)&lt;3,_xlpm.uniqueH&gt;=2),
Error!$B$48,
IF(AND(_xlpm.baseRow,$F792="Retain",OR($E792="Tier 1",$E792="Tier 2",$E792="Tier 2 Grove"),COUNTIF(_xlpm.HRange,"Tree Code: Required to Retain Tier 1-2 Tree")=0),
Error!$B$47,
IF(AND(_xlpm.baseRow,$E792&lt;&gt;"",$D792&lt;&gt;"",$F792&lt;&gt;"",COUNTBLANK(_xlpm.HRange)=4),
Error!$B$5,
IF(AND($F792="Remove",$H792&lt;&gt;"",$I792=""),
Error!$B$18,
IF(AND($E792="Tier 4",$F792="Remove",$H792="Tree Protection Code: Tier 3 or Tier 4 Allowance",$H792&lt;&gt;"",ISNA(MATCH($I792,Tables!$B$200,0))),
Error!$B$17,
IF(AND($E792="Tier 3",$F792="Remove",$H792&lt;&gt;"",$H792="Tree Protection Code: Tier 3 or Tier 4 Allowance",OR($I792="",ISNA(MATCH($I792,Tables!$B$193:$B$197,0)))),
Error!$B$17,
IF(AND(OR($E792="Tier 2",$E792="Tier 2 Grove"),$F792="Remove",$H792="Tree Protection Code: Other removal allowance or exemption",$I792&lt;&gt;"",ISNA(MATCH($I792,Tables!$B$215:$B$218,0))),
Error!$B$17,
IF(AND(OR($E792="Tier 2",$E792="Tier 2 Grove"),$F792="Remove",$H792="Tree Protection Code: Development Capacity",$I792&lt;&gt;"",ISNA(MATCH($I792,Tables!$B$193:$B$197,0))),
Error!$B$17,
IF(AND(OR($E792="Tier 2",$E792="Tier 2 Grove"),$F792="Remove",$H792="Tree Protection Code: Necessary for Construction",$I792&lt;&gt;"",ISNA(MATCH($I792,Tables!$B$193:$B$197,0))),
Error!$B$17,
IF(AND($E792="Tier 1",$F792="Remove",$H792="Tree Protection Code: Special Exception",$I792&lt;&gt;"",ISNA(MATCH($I792,Tables!$B$215:$B$218,0))),
Error!$B$17,
IF(AND($E792="Tier 1",$F792="Remove",$H792="Tree Protection Code: Other removal allowance or exemption",$I792&lt;&gt;"",ISNA(MATCH($I792,Tables!$B$215:$B$218,0))),
Error!$B$17,
IF(AND($E792="ECA / Shoreline Tree",$F792="Remove",$H792&lt;&gt;"",OR($H792="Shoreline",$H792="Environmental Critical Area (ECA)"),ISNA(MATCH($I792,Tables!$B$209:$B$212,0))),
Error!$B$17,
IF(AND(_xlpm.baseRow,$F792="Retain",$E792="ECA / Shoreline Tree",_xlpm.ECA_Short=0),
Error!$B$61,
IF(AND($F792="Remove",ISNUMBER(MATCH($E792,{"Tier 1","Tier 2","Tier 3","Tier 4","Tier 2 Grove"},0)),ISNUMBER(MATCH($I792,{"On-site replacement","Off-site replacement"},0)),$J792="",$H792&lt;&gt;""),
Error!$B$19,
IF(AND(_xlpm.baseRow,$E792&lt;&gt;"",$D792&lt;&gt;"",$F792&lt;&gt;"",COUNTBLANK($B792:$C792)&gt;0,COUNTBLANK(_xlpm.HRange)&lt;&gt;4),
Error!$B$22,
IF(AND($H792="Zoning: Tree Points",$K792&lt;&gt;"",ISNA(MATCH($K792,Tables!$B$242:$B$253,0))),
Error!$B$58,
IF(AND($H792="Zoning: Tree Points",$K792="Small",$L792&lt;&gt;"",ISNA(MATCH($L792,Tables!$C$243:$C$244,0))),
Error!$B$59,
IF(AND($H792="Zoning: Tree Points",$K792="Small/Medium",$L792&lt;&gt;"",ISNA(MATCH($L792,Tables!$C$246:$C$247,0))),
Error!$B$59,
IF(AND($H792="Zoning: Tree Points",$K792="Medium/Large",$L792&lt;&gt;"",ISNA(MATCH($L792,Tables!$C$249:$C$250,0))),
Error!$B$59,
IF(AND($H792="Zoning: Tree Points",$K792="Large",$L792&lt;&gt;"",ISNA(MATCH($L792,Tables!$C$252:$C$253,0))),
Error!$B$59,
IF(AND($F792="Retain",$H792="Zoning: Tree Points",$C792&lt;&gt;"",$D792&lt;&gt;"",OR($K792="",$L792="",$M792="")),
Error!$B$20,
""
)))))))))))))))))))))))))))))))))))))))))))))))))))))))),
Error!$B$23))</f>
        <v/>
      </c>
      <c r="O792" s="343" t="str" cm="1">
        <f t="array" aca="1" ref="O792" ca="1">IFERROR(_xlfn.LET(
    _xlpm.txt, $C792,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93" spans="1:15" x14ac:dyDescent="0.3">
      <c r="A793" s="320"/>
      <c r="B793" s="616" t="str">
        <f t="shared" si="943"/>
        <v/>
      </c>
      <c r="C793" s="617" t="str">
        <f t="shared" si="944"/>
        <v/>
      </c>
      <c r="D793" s="618" t="str">
        <f t="shared" si="945"/>
        <v/>
      </c>
      <c r="E793" s="616" t="str">
        <f t="shared" si="946"/>
        <v/>
      </c>
      <c r="F793" s="616" t="str">
        <f t="shared" si="947"/>
        <v/>
      </c>
      <c r="G793" s="619" t="str">
        <f>IF(Tree_Table1[[#This Row],[Tree Status  &amp;]]="Retain", Tables!$B$237, IF(Tree_Table1[[#This Row],[Tree Status  &amp;]]="Remove", Tables!$B$238, ""))</f>
        <v/>
      </c>
      <c r="H793" s="321"/>
      <c r="I793" s="322"/>
      <c r="J793" s="453"/>
      <c r="K793" s="323" t="str">
        <f>IFERROR(
    IF(
        AND($H793="Zoning: Tree Points", NOT(ISNUMBER(SEARCH("sp.", $C793)))),
        VLOOKUP($C793, 'Tree List'!$C$3:$F$601, 4, FALSE),
        ""
    ),
"")</f>
        <v/>
      </c>
      <c r="L793" s="324" t="str" cm="1">
        <f t="array" ref="L793">IFERROR(
IF(
    AND($H793="Zoning: Tree Points", NOT(ISNUMBER(SEARCH("sp.", $C793)))),
    _xlfn.IFS(
        (COUNTIFS('Tree List'!$C$3:$C$601,$C793,'Tree List'!$D$3:$D$601,"Coniferous")
        + COUNTIFS('Tree List'!$C$3:$C$601,$C793,'Tree List'!$D$3:$D$601,"Deciduous Conifer")) &gt; 0,
            _xlfn.IFS($K793="Small",0.5,$K793="Small/Medium",1,$K793="Medium/Large",1.4,$K793="Large",1.8),
        (COUNTIFS('Tree List'!$C$3:$C$601,$C793,'Tree List'!$D$3:$D$601,"Deciduous")
        + COUNTIFS('Tree List'!$C$3:$C$601,$C793,'Tree List'!$D$3:$D$601,"Broadleaf Evergreen")) &gt; 0,
            _xlfn.IFS($K793="Small",0.4,$K793="Small/Medium",0.8,$K793="Medium/Large",1.2,$K793="Large",1.6)
    ),
    ""
),
"")</f>
        <v/>
      </c>
      <c r="M793" s="475" t="str">
        <f t="shared" si="897"/>
        <v/>
      </c>
      <c r="N793" s="346" t="str" cm="1">
        <f t="array" aca="1" ref="N79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IF(AND(_xlpm.baseRow,ISNA(MATCH($C793,'Tree List'!$C$3:$C$601,0)),SUMPRODUCT(--ISNUMBER(SEARCH(Tables2!$C$677:$C$772,$O793)))&gt;0),
Error!$B$57,
IF(AND(_xlpm.hasDM,$F793="Remove",$H793&lt;&gt;"",OR($I793="On-site replacement",$I793="Off-site replacement",$I793="Payment In Lieu")),
Error!$B$56,
IF(AND(_xlpm.hasDM,$F793="Remove",$H793&lt;&gt;"",$I793="Relocation"),
Error!$B$66,
IF(AND(OR(_xlpm.hasCN,_xlpm.hasPH,_xlpm.hasGR),$H793&lt;&gt;"",COUNTIF(Tables!$B$132:$B$134,$H793)&gt;0,$I793="N/A (No replacement required)"),
Error!$B$62,
IF(AND(_xlpm.baseRow,$E793&lt;&gt;"",ISNA(MATCH($E793,Tables!$B$225:$B$232,0))),
Error!$B$2,
IF(AND(_xlpm.baseRow,$F793&lt;&gt;"",ISNA(MATCH($F793,Tables!$B$234:$B$235,0))),
Error!$B$24,
IF(AND(_xlpm.baseRow,_xlpm.ECA_H&gt;0,_xlpm.Shore_H&gt;0),
Error!$B$16,
IF(AND(_xlpm.baseRow,$E793&lt;&gt;"",$D793=""),
Error!$B$3,
IF(AND(_xlpm.baseRow,OR($E793="Tier 3",$E793="Tier 4"),$C793&lt;&gt;"",$D793&gt;=24,COUNTIF(Tables2!$B$166:$B$674,$C793)&gt;0),
Error!$B$44,
IF(AND(_xlpm.baseRow,OR($E793="Tier 3",$E793="Tier 4"),$C793&lt;&gt;"",$D793&lt;&gt;"",COUNTIF(Tables2!$B$73:$B$152,$C793)&gt;0,
$D793&gt;=IFERROR(INDEX(Tables2!$C$73:$C$152,MATCH($C793,Tables2!$B$73:$B$152,0)),-1)),
Error!$B$44,
IF(AND(_xlpm.baseRow,OR($E793="Tier 2",$E793="Tier 2 Grove"),$C793&lt;&gt;"",$D793&gt;=12,COUNTIF(Tables2!$B$153:$B$162,$C793)&gt;0),
Error!$B$45,
IF(AND(_xlpm.baseRow,$E793="Tier 2 Grove",$D793&lt;12),
Error!$B$41,
IF(AND(_xlpm.baseRow,$E793="Tier 2",$D793&lt;5.88),
Error!$B$40,
IF(AND(_xlpm.baseRow,OR($E793="Tier 2",$E793="Tier 2 Grove"),$C793&lt;&gt;"",$D793&lt;12,$D793&gt;=6,COUNTIF(Tables2!$B$153:$B$162,$C793)&gt;0),
Error!$B$54,
IF(AND(_xlpm.baseRow,$E793="Tier 2",COUNTIF(Tables2!$B$166:$B$674,$C793)&gt;0,$D793&lt;24),
Error!$B$54,
IF(AND(_xlpm.baseRow,$E793="Tier 3",ISNA(MATCH($C793,Tables2!$B$153:$B$162,0)),OR($D793&lt;12,$D793&gt;=24)),
Error!$B$9,
IF(AND(_xlpm.baseRow,$E793="Tier 3",COUNTIF(Tables2!$B$153:$B$162,$C793)&gt;0,$D793&lt;12),
Error!$B$46,
IF(AND(_xlpm.baseRow,$E793="Tier 4",OR($D793&lt;6,$D793&gt;=12)),
Error!$B$10,
IF(AND(_xlpm.baseRow,$E793="&lt;6in DSH for Tree Points",OR($D793&gt;=6,$D793="")),
Error!$B$8,
IF(AND(_xlpm.baseRow,$E793="Street Tree for Green Factor",$F793&lt;&gt;"",$F793&lt;&gt;"Retain"),
Error!$B$14,
IF(AND($E793="&lt;6in DSH for Tree Points",$F793="Retain",$H793&lt;&gt;"",ISNA(MATCH($H793,Tables!$B$174:$B$174,0))),
Error!$B$15,
IF(AND($E793="Street Tree for Green Factor",$F793="Retain",$H793&lt;&gt;"",$H793&lt;&gt;"Zoning: Green Factor"),
Error!$B$15,
IF(AND($E793="ECA / Shoreline Tree",$F793="Remove",$H793&lt;&gt;"",ISNA(MATCH($H793,Tables!$B$189:$B$190,0))),
Error!$B$15,
IF(AND($E793="ECA / Shoreline Tree",$F793="Retain",$H793&lt;&gt;"",ISNA(MATCH($H793,Tables!$B$184:$B$186,0))),
Error!$B$15,
IF(AND($E793="Tier 4",$F793="Remove",$H793&lt;&gt;"",ISNA(MATCH($H793,Tables!$B$171,0))),
Error!$B$15,
IF(AND($E793="Tier 4",$F793="Retain",$H793&lt;&gt;"",ISNA(MATCH($H793,Tables!$B$166:$B$168,0))),
Error!$B$15,
IF(AND($E793="Tier 3",$F793="Retain",$H793&lt;&gt;"",ISNA(MATCH($H793,Tables!$B$158:$B$160,0))),
Error!$B$15,
IF(AND($E793="Tier 3",$F793="Remove",$H793&lt;&gt;"",ISNA(MATCH($H793,Tables!$B$163,0))),
Error!$B$15,
IF(AND(OR($E793="Tier 2",$E793="Tier 2 Grove"),$F793="Remove",$H793&lt;&gt;"",ISNA(MATCH($H793,Tables!$B$153:$B$155,0))),
Error!$B$15,
IF(AND(OR($E793="Tier 2",$E793="Tier 2 Grove"),$F793="Retain",$H793&lt;&gt;"",ISNA(MATCH($H793,Tables!$B$147:$B$150,0))),
Error!$B$15,
IF(AND($E793="Tier 1",$F793="Remove",$H793&lt;&gt;"",ISNA(MATCH($H793,Tables!$B$143:$B$144,0))),
Error!$B$15,
IF(AND($E793="Tier 1",$F793="Retain",$H793&lt;&gt;"",ISNA(MATCH($H793,Tables!$B$137:$B$140,0))),
Error!$B$15,
IF(AND($E793&lt;&gt;"Tier 2",$E793&lt;&gt;"Tier 2 Grove",$E793&lt;&gt;"Tier 3",$E793&lt;&gt;"Tier 4",$H793="Zoning: Green Factor",OR($D793="",$D793&lt;6)),
Error!$B$11,
IF(AND(_xlpm.baseRow,$D793&lt;6,$E793="&lt;6in DSH for Tree Points",_xlpm.TreePoints_H=0),
Error!$B$21,
IF(AND(_xlpm.baseRow,$E793&lt;&gt;"",$D793&lt;&gt;"",$F793=""),
Error!$B$4,
IF(AND(_xlpm.baseRow,$F793="Remove",OR($E793="Tier 1",$E793="Tier 2",$E793="Tier 2 Grove"),COUNTBLANK(_xlpm.HRange)&lt;3,_xlpm.uniqueH&gt;=2),
Error!$B$48,
IF(AND(_xlpm.baseRow,$F793="Retain",OR($E793="Tier 1",$E793="Tier 2",$E793="Tier 2 Grove"),COUNTIF(_xlpm.HRange,"Tree Code: Required to Retain Tier 1-2 Tree")=0),
Error!$B$47,
IF(AND(_xlpm.baseRow,$E793&lt;&gt;"",$D793&lt;&gt;"",$F793&lt;&gt;"",COUNTBLANK(_xlpm.HRange)=4),
Error!$B$5,
IF(AND($F793="Remove",$H793&lt;&gt;"",$I793=""),
Error!$B$18,
IF(AND($E793="Tier 4",$F793="Remove",$H793="Tree Protection Code: Tier 3 or Tier 4 Allowance",$H793&lt;&gt;"",ISNA(MATCH($I793,Tables!$B$200,0))),
Error!$B$17,
IF(AND($E793="Tier 3",$F793="Remove",$H793&lt;&gt;"",$H793="Tree Protection Code: Tier 3 or Tier 4 Allowance",OR($I793="",ISNA(MATCH($I793,Tables!$B$193:$B$197,0)))),
Error!$B$17,
IF(AND(OR($E793="Tier 2",$E793="Tier 2 Grove"),$F793="Remove",$H793="Tree Protection Code: Other removal allowance or exemption",$I793&lt;&gt;"",ISNA(MATCH($I793,Tables!$B$215:$B$218,0))),
Error!$B$17,
IF(AND(OR($E793="Tier 2",$E793="Tier 2 Grove"),$F793="Remove",$H793="Tree Protection Code: Development Capacity",$I793&lt;&gt;"",ISNA(MATCH($I793,Tables!$B$193:$B$197,0))),
Error!$B$17,
IF(AND(OR($E793="Tier 2",$E793="Tier 2 Grove"),$F793="Remove",$H793="Tree Protection Code: Necessary for Construction",$I793&lt;&gt;"",ISNA(MATCH($I793,Tables!$B$193:$B$197,0))),
Error!$B$17,
IF(AND($E793="Tier 1",$F793="Remove",$H793="Tree Protection Code: Special Exception",$I793&lt;&gt;"",ISNA(MATCH($I793,Tables!$B$215:$B$218,0))),
Error!$B$17,
IF(AND($E793="Tier 1",$F793="Remove",$H793="Tree Protection Code: Other removal allowance or exemption",$I793&lt;&gt;"",ISNA(MATCH($I793,Tables!$B$215:$B$218,0))),
Error!$B$17,
IF(AND($E793="ECA / Shoreline Tree",$F793="Remove",$H793&lt;&gt;"",OR($H793="Shoreline",$H793="Environmental Critical Area (ECA)"),ISNA(MATCH($I793,Tables!$B$209:$B$212,0))),
Error!$B$17,
IF(AND(_xlpm.baseRow,$F793="Retain",$E793="ECA / Shoreline Tree",_xlpm.ECA_Short=0),
Error!$B$61,
IF(AND($F793="Remove",ISNUMBER(MATCH($E793,{"Tier 1","Tier 2","Tier 3","Tier 4","Tier 2 Grove"},0)),ISNUMBER(MATCH($I793,{"On-site replacement","Off-site replacement"},0)),$J793="",$H793&lt;&gt;""),
Error!$B$19,
IF(AND(_xlpm.baseRow,$E793&lt;&gt;"",$D793&lt;&gt;"",$F793&lt;&gt;"",COUNTBLANK($B793:$C793)&gt;0,COUNTBLANK(_xlpm.HRange)&lt;&gt;4),
Error!$B$22,
IF(AND($H793="Zoning: Tree Points",$K793&lt;&gt;"",ISNA(MATCH($K793,Tables!$B$242:$B$253,0))),
Error!$B$58,
IF(AND($H793="Zoning: Tree Points",$K793="Small",$L793&lt;&gt;"",ISNA(MATCH($L793,Tables!$C$243:$C$244,0))),
Error!$B$59,
IF(AND($H793="Zoning: Tree Points",$K793="Small/Medium",$L793&lt;&gt;"",ISNA(MATCH($L793,Tables!$C$246:$C$247,0))),
Error!$B$59,
IF(AND($H793="Zoning: Tree Points",$K793="Medium/Large",$L793&lt;&gt;"",ISNA(MATCH($L793,Tables!$C$249:$C$250,0))),
Error!$B$59,
IF(AND($H793="Zoning: Tree Points",$K793="Large",$L793&lt;&gt;"",ISNA(MATCH($L793,Tables!$C$252:$C$253,0))),
Error!$B$59,
IF(AND($F793="Retain",$H793="Zoning: Tree Points",$C793&lt;&gt;"",$D793&lt;&gt;"",OR($K793="",$L793="",$M793="")),
Error!$B$20,
""
)))))))))))))))))))))))))))))))))))))))))))))))))))))))),
Error!$B$23))</f>
        <v/>
      </c>
      <c r="O793" s="343" t="str" cm="1">
        <f t="array" aca="1" ref="O793" ca="1">IFERROR(_xlfn.LET(
    _xlpm.txt, $C793,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94" spans="1:15" ht="15" thickBot="1" x14ac:dyDescent="0.35">
      <c r="A794" s="331"/>
      <c r="B794" s="616" t="str">
        <f t="shared" si="943"/>
        <v/>
      </c>
      <c r="C794" s="617" t="str">
        <f t="shared" si="944"/>
        <v/>
      </c>
      <c r="D794" s="618" t="str">
        <f t="shared" si="945"/>
        <v/>
      </c>
      <c r="E794" s="616" t="str">
        <f t="shared" si="946"/>
        <v/>
      </c>
      <c r="F794" s="616" t="str">
        <f t="shared" si="947"/>
        <v/>
      </c>
      <c r="G794" s="619" t="str">
        <f>IF(Tree_Table1[[#This Row],[Tree Status  &amp;]]="Retain", Tables!$B$237, IF(Tree_Table1[[#This Row],[Tree Status  &amp;]]="Remove", Tables!$B$238, ""))</f>
        <v/>
      </c>
      <c r="H794" s="329"/>
      <c r="I794" s="330"/>
      <c r="J794" s="455"/>
      <c r="K794" s="327" t="str">
        <f>IFERROR(
    IF(
        AND($H794="Zoning: Tree Points", NOT(ISNUMBER(SEARCH("sp.", $C794)))),
        VLOOKUP($C794, 'Tree List'!$C$3:$F$601, 4, FALSE),
        ""
    ),
"")</f>
        <v/>
      </c>
      <c r="L794" s="328" t="str" cm="1">
        <f t="array" ref="L794">IFERROR(
IF(
    AND($H794="Zoning: Tree Points", NOT(ISNUMBER(SEARCH("sp.", $C794)))),
    _xlfn.IFS(
        (COUNTIFS('Tree List'!$C$3:$C$601,$C794,'Tree List'!$D$3:$D$601,"Coniferous")
        + COUNTIFS('Tree List'!$C$3:$C$601,$C794,'Tree List'!$D$3:$D$601,"Deciduous Conifer")) &gt; 0,
            _xlfn.IFS($K794="Small",0.5,$K794="Small/Medium",1,$K794="Medium/Large",1.4,$K794="Large",1.8),
        (COUNTIFS('Tree List'!$C$3:$C$601,$C794,'Tree List'!$D$3:$D$601,"Deciduous")
        + COUNTIFS('Tree List'!$C$3:$C$601,$C794,'Tree List'!$D$3:$D$601,"Broadleaf Evergreen")) &gt; 0,
            _xlfn.IFS($K794="Small",0.4,$K794="Small/Medium",0.8,$K794="Medium/Large",1.2,$K794="Large",1.6)
    ),
    ""
),
"")</f>
        <v/>
      </c>
      <c r="M794" s="476" t="str">
        <f t="shared" si="897"/>
        <v/>
      </c>
      <c r="N794" s="347" t="str" cm="1">
        <f t="array" aca="1" ref="N79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IF(AND(_xlpm.baseRow,ISNA(MATCH($C794,'Tree List'!$C$3:$C$601,0)),SUMPRODUCT(--ISNUMBER(SEARCH(Tables2!$C$677:$C$772,$O794)))&gt;0),
Error!$B$57,
IF(AND(_xlpm.hasDM,$F794="Remove",$H794&lt;&gt;"",OR($I794="On-site replacement",$I794="Off-site replacement",$I794="Payment In Lieu")),
Error!$B$56,
IF(AND(_xlpm.hasDM,$F794="Remove",$H794&lt;&gt;"",$I794="Relocation"),
Error!$B$66,
IF(AND(OR(_xlpm.hasCN,_xlpm.hasPH,_xlpm.hasGR),$H794&lt;&gt;"",COUNTIF(Tables!$B$132:$B$134,$H794)&gt;0,$I794="N/A (No replacement required)"),
Error!$B$62,
IF(AND(_xlpm.baseRow,$E794&lt;&gt;"",ISNA(MATCH($E794,Tables!$B$225:$B$232,0))),
Error!$B$2,
IF(AND(_xlpm.baseRow,$F794&lt;&gt;"",ISNA(MATCH($F794,Tables!$B$234:$B$235,0))),
Error!$B$24,
IF(AND(_xlpm.baseRow,_xlpm.ECA_H&gt;0,_xlpm.Shore_H&gt;0),
Error!$B$16,
IF(AND(_xlpm.baseRow,$E794&lt;&gt;"",$D794=""),
Error!$B$3,
IF(AND(_xlpm.baseRow,OR($E794="Tier 3",$E794="Tier 4"),$C794&lt;&gt;"",$D794&gt;=24,COUNTIF(Tables2!$B$166:$B$674,$C794)&gt;0),
Error!$B$44,
IF(AND(_xlpm.baseRow,OR($E794="Tier 3",$E794="Tier 4"),$C794&lt;&gt;"",$D794&lt;&gt;"",COUNTIF(Tables2!$B$73:$B$152,$C794)&gt;0,
$D794&gt;=IFERROR(INDEX(Tables2!$C$73:$C$152,MATCH($C794,Tables2!$B$73:$B$152,0)),-1)),
Error!$B$44,
IF(AND(_xlpm.baseRow,OR($E794="Tier 2",$E794="Tier 2 Grove"),$C794&lt;&gt;"",$D794&gt;=12,COUNTIF(Tables2!$B$153:$B$162,$C794)&gt;0),
Error!$B$45,
IF(AND(_xlpm.baseRow,$E794="Tier 2 Grove",$D794&lt;12),
Error!$B$41,
IF(AND(_xlpm.baseRow,$E794="Tier 2",$D794&lt;5.88),
Error!$B$40,
IF(AND(_xlpm.baseRow,OR($E794="Tier 2",$E794="Tier 2 Grove"),$C794&lt;&gt;"",$D794&lt;12,$D794&gt;=6,COUNTIF(Tables2!$B$153:$B$162,$C794)&gt;0),
Error!$B$54,
IF(AND(_xlpm.baseRow,$E794="Tier 2",COUNTIF(Tables2!$B$166:$B$674,$C794)&gt;0,$D794&lt;24),
Error!$B$54,
IF(AND(_xlpm.baseRow,$E794="Tier 3",ISNA(MATCH($C794,Tables2!$B$153:$B$162,0)),OR($D794&lt;12,$D794&gt;=24)),
Error!$B$9,
IF(AND(_xlpm.baseRow,$E794="Tier 3",COUNTIF(Tables2!$B$153:$B$162,$C794)&gt;0,$D794&lt;12),
Error!$B$46,
IF(AND(_xlpm.baseRow,$E794="Tier 4",OR($D794&lt;6,$D794&gt;=12)),
Error!$B$10,
IF(AND(_xlpm.baseRow,$E794="&lt;6in DSH for Tree Points",OR($D794&gt;=6,$D794="")),
Error!$B$8,
IF(AND(_xlpm.baseRow,$E794="Street Tree for Green Factor",$F794&lt;&gt;"",$F794&lt;&gt;"Retain"),
Error!$B$14,
IF(AND($E794="&lt;6in DSH for Tree Points",$F794="Retain",$H794&lt;&gt;"",ISNA(MATCH($H794,Tables!$B$174:$B$174,0))),
Error!$B$15,
IF(AND($E794="Street Tree for Green Factor",$F794="Retain",$H794&lt;&gt;"",$H794&lt;&gt;"Zoning: Green Factor"),
Error!$B$15,
IF(AND($E794="ECA / Shoreline Tree",$F794="Remove",$H794&lt;&gt;"",ISNA(MATCH($H794,Tables!$B$189:$B$190,0))),
Error!$B$15,
IF(AND($E794="ECA / Shoreline Tree",$F794="Retain",$H794&lt;&gt;"",ISNA(MATCH($H794,Tables!$B$184:$B$186,0))),
Error!$B$15,
IF(AND($E794="Tier 4",$F794="Remove",$H794&lt;&gt;"",ISNA(MATCH($H794,Tables!$B$171,0))),
Error!$B$15,
IF(AND($E794="Tier 4",$F794="Retain",$H794&lt;&gt;"",ISNA(MATCH($H794,Tables!$B$166:$B$168,0))),
Error!$B$15,
IF(AND($E794="Tier 3",$F794="Retain",$H794&lt;&gt;"",ISNA(MATCH($H794,Tables!$B$158:$B$160,0))),
Error!$B$15,
IF(AND($E794="Tier 3",$F794="Remove",$H794&lt;&gt;"",ISNA(MATCH($H794,Tables!$B$163,0))),
Error!$B$15,
IF(AND(OR($E794="Tier 2",$E794="Tier 2 Grove"),$F794="Remove",$H794&lt;&gt;"",ISNA(MATCH($H794,Tables!$B$153:$B$155,0))),
Error!$B$15,
IF(AND(OR($E794="Tier 2",$E794="Tier 2 Grove"),$F794="Retain",$H794&lt;&gt;"",ISNA(MATCH($H794,Tables!$B$147:$B$150,0))),
Error!$B$15,
IF(AND($E794="Tier 1",$F794="Remove",$H794&lt;&gt;"",ISNA(MATCH($H794,Tables!$B$143:$B$144,0))),
Error!$B$15,
IF(AND($E794="Tier 1",$F794="Retain",$H794&lt;&gt;"",ISNA(MATCH($H794,Tables!$B$137:$B$140,0))),
Error!$B$15,
IF(AND($E794&lt;&gt;"Tier 2",$E794&lt;&gt;"Tier 2 Grove",$E794&lt;&gt;"Tier 3",$E794&lt;&gt;"Tier 4",$H794="Zoning: Green Factor",OR($D794="",$D794&lt;6)),
Error!$B$11,
IF(AND(_xlpm.baseRow,$D794&lt;6,$E794="&lt;6in DSH for Tree Points",_xlpm.TreePoints_H=0),
Error!$B$21,
IF(AND(_xlpm.baseRow,$E794&lt;&gt;"",$D794&lt;&gt;"",$F794=""),
Error!$B$4,
IF(AND(_xlpm.baseRow,$F794="Remove",OR($E794="Tier 1",$E794="Tier 2",$E794="Tier 2 Grove"),COUNTBLANK(_xlpm.HRange)&lt;3,_xlpm.uniqueH&gt;=2),
Error!$B$48,
IF(AND(_xlpm.baseRow,$F794="Retain",OR($E794="Tier 1",$E794="Tier 2",$E794="Tier 2 Grove"),COUNTIF(_xlpm.HRange,"Tree Code: Required to Retain Tier 1-2 Tree")=0),
Error!$B$47,
IF(AND(_xlpm.baseRow,$E794&lt;&gt;"",$D794&lt;&gt;"",$F794&lt;&gt;"",COUNTBLANK(_xlpm.HRange)=4),
Error!$B$5,
IF(AND($F794="Remove",$H794&lt;&gt;"",$I794=""),
Error!$B$18,
IF(AND($E794="Tier 4",$F794="Remove",$H794="Tree Protection Code: Tier 3 or Tier 4 Allowance",$H794&lt;&gt;"",ISNA(MATCH($I794,Tables!$B$200,0))),
Error!$B$17,
IF(AND($E794="Tier 3",$F794="Remove",$H794&lt;&gt;"",$H794="Tree Protection Code: Tier 3 or Tier 4 Allowance",OR($I794="",ISNA(MATCH($I794,Tables!$B$193:$B$197,0)))),
Error!$B$17,
IF(AND(OR($E794="Tier 2",$E794="Tier 2 Grove"),$F794="Remove",$H794="Tree Protection Code: Other removal allowance or exemption",$I794&lt;&gt;"",ISNA(MATCH($I794,Tables!$B$215:$B$218,0))),
Error!$B$17,
IF(AND(OR($E794="Tier 2",$E794="Tier 2 Grove"),$F794="Remove",$H794="Tree Protection Code: Development Capacity",$I794&lt;&gt;"",ISNA(MATCH($I794,Tables!$B$193:$B$197,0))),
Error!$B$17,
IF(AND(OR($E794="Tier 2",$E794="Tier 2 Grove"),$F794="Remove",$H794="Tree Protection Code: Necessary for Construction",$I794&lt;&gt;"",ISNA(MATCH($I794,Tables!$B$193:$B$197,0))),
Error!$B$17,
IF(AND($E794="Tier 1",$F794="Remove",$H794="Tree Protection Code: Special Exception",$I794&lt;&gt;"",ISNA(MATCH($I794,Tables!$B$215:$B$218,0))),
Error!$B$17,
IF(AND($E794="Tier 1",$F794="Remove",$H794="Tree Protection Code: Other removal allowance or exemption",$I794&lt;&gt;"",ISNA(MATCH($I794,Tables!$B$215:$B$218,0))),
Error!$B$17,
IF(AND($E794="ECA / Shoreline Tree",$F794="Remove",$H794&lt;&gt;"",OR($H794="Shoreline",$H794="Environmental Critical Area (ECA)"),ISNA(MATCH($I794,Tables!$B$209:$B$212,0))),
Error!$B$17,
IF(AND(_xlpm.baseRow,$F794="Retain",$E794="ECA / Shoreline Tree",_xlpm.ECA_Short=0),
Error!$B$61,
IF(AND($F794="Remove",ISNUMBER(MATCH($E794,{"Tier 1","Tier 2","Tier 3","Tier 4","Tier 2 Grove"},0)),ISNUMBER(MATCH($I794,{"On-site replacement","Off-site replacement"},0)),$J794="",$H794&lt;&gt;""),
Error!$B$19,
IF(AND(_xlpm.baseRow,$E794&lt;&gt;"",$D794&lt;&gt;"",$F794&lt;&gt;"",COUNTBLANK($B794:$C794)&gt;0,COUNTBLANK(_xlpm.HRange)&lt;&gt;4),
Error!$B$22,
IF(AND($H794="Zoning: Tree Points",$K794&lt;&gt;"",ISNA(MATCH($K794,Tables!$B$242:$B$253,0))),
Error!$B$58,
IF(AND($H794="Zoning: Tree Points",$K794="Small",$L794&lt;&gt;"",ISNA(MATCH($L794,Tables!$C$243:$C$244,0))),
Error!$B$59,
IF(AND($H794="Zoning: Tree Points",$K794="Small/Medium",$L794&lt;&gt;"",ISNA(MATCH($L794,Tables!$C$246:$C$247,0))),
Error!$B$59,
IF(AND($H794="Zoning: Tree Points",$K794="Medium/Large",$L794&lt;&gt;"",ISNA(MATCH($L794,Tables!$C$249:$C$250,0))),
Error!$B$59,
IF(AND($H794="Zoning: Tree Points",$K794="Large",$L794&lt;&gt;"",ISNA(MATCH($L794,Tables!$C$252:$C$253,0))),
Error!$B$59,
IF(AND($F794="Retain",$H794="Zoning: Tree Points",$C794&lt;&gt;"",$D794&lt;&gt;"",OR($K794="",$L794="",$M794="")),
Error!$B$20,
""
)))))))))))))))))))))))))))))))))))))))))))))))))))))))),
Error!$B$23))</f>
        <v/>
      </c>
      <c r="O794" s="343" t="str" cm="1">
        <f t="array" aca="1" ref="O794" ca="1">IFERROR(_xlfn.LET(
    _xlpm.txt, $C794,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95" spans="1:15" ht="15" thickBot="1" x14ac:dyDescent="0.35">
      <c r="A795" s="311">
        <v>197</v>
      </c>
      <c r="B795" s="312"/>
      <c r="C795" s="313"/>
      <c r="D795" s="478"/>
      <c r="E795" s="314"/>
      <c r="F795" s="314"/>
      <c r="G795" s="315" t="str">
        <f>IF(Tree_Table1[[#This Row],[Tree Status  &amp;]]="Retain", Tables!$B$237, IF(Tree_Table1[[#This Row],[Tree Status  &amp;]]="Remove", Tables!$B$238, ""))</f>
        <v/>
      </c>
      <c r="H795" s="316"/>
      <c r="I795" s="317"/>
      <c r="J795" s="452"/>
      <c r="K795" s="318" t="str">
        <f>IFERROR(
    IF(
        AND($H795="Zoning: Tree Points", NOT(ISNUMBER(SEARCH("sp.", $C795)))),
        VLOOKUP($C795, 'Tree List'!$C$3:$F$601, 4, FALSE),
        ""
    ),
"")</f>
        <v/>
      </c>
      <c r="L795" s="319" t="str" cm="1">
        <f t="array" ref="L795">IFERROR(
IF(
    AND($H795="Zoning: Tree Points", NOT(ISNUMBER(SEARCH("sp.", $C795)))),
    _xlfn.IFS(
        (COUNTIFS('Tree List'!$C$3:$C$601,$C795,'Tree List'!$D$3:$D$601,"Coniferous")
        + COUNTIFS('Tree List'!$C$3:$C$601,$C795,'Tree List'!$D$3:$D$601,"Deciduous Conifer")) &gt; 0,
            _xlfn.IFS($K795="Small",0.5,$K795="Small/Medium",1,$K795="Medium/Large",1.4,$K795="Large",1.8),
        (COUNTIFS('Tree List'!$C$3:$C$601,$C795,'Tree List'!$D$3:$D$601,"Deciduous")
        + COUNTIFS('Tree List'!$C$3:$C$601,$C795,'Tree List'!$D$3:$D$601,"Broadleaf Evergreen")) &gt; 0,
            _xlfn.IFS($K795="Small",0.4,$K795="Small/Medium",0.8,$K795="Medium/Large",1.2,$K795="Large",1.6)
    ),
    ""
),
"")</f>
        <v/>
      </c>
      <c r="M795" s="474" t="str">
        <f t="shared" si="897"/>
        <v/>
      </c>
      <c r="N795" s="620" t="str" cm="1">
        <f t="array" aca="1" ref="N79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IF(AND(_xlpm.baseRow,ISNA(MATCH($C795,'Tree List'!$C$3:$C$601,0)),SUMPRODUCT(--ISNUMBER(SEARCH(Tables2!$C$677:$C$772,$O795)))&gt;0),
Error!$B$57,
IF(AND(_xlpm.hasDM,$F795="Remove",$H795&lt;&gt;"",OR($I795="On-site replacement",$I795="Off-site replacement",$I795="Payment In Lieu")),
Error!$B$56,
IF(AND(_xlpm.hasDM,$F795="Remove",$H795&lt;&gt;"",$I795="Relocation"),
Error!$B$66,
IF(AND(OR(_xlpm.hasCN,_xlpm.hasPH,_xlpm.hasGR),$H795&lt;&gt;"",COUNTIF(Tables!$B$132:$B$134,$H795)&gt;0,$I795="N/A (No replacement required)"),
Error!$B$62,
IF(AND(_xlpm.baseRow,$E795&lt;&gt;"",ISNA(MATCH($E795,Tables!$B$225:$B$232,0))),
Error!$B$2,
IF(AND(_xlpm.baseRow,$F795&lt;&gt;"",ISNA(MATCH($F795,Tables!$B$234:$B$235,0))),
Error!$B$24,
IF(AND(_xlpm.baseRow,_xlpm.ECA_H&gt;0,_xlpm.Shore_H&gt;0),
Error!$B$16,
IF(AND(_xlpm.baseRow,$E795&lt;&gt;"",$D795=""),
Error!$B$3,
IF(AND(_xlpm.baseRow,OR($E795="Tier 3",$E795="Tier 4"),$C795&lt;&gt;"",$D795&gt;=24,COUNTIF(Tables2!$B$166:$B$674,$C795)&gt;0),
Error!$B$44,
IF(AND(_xlpm.baseRow,OR($E795="Tier 3",$E795="Tier 4"),$C795&lt;&gt;"",$D795&lt;&gt;"",COUNTIF(Tables2!$B$73:$B$152,$C795)&gt;0,
$D795&gt;=IFERROR(INDEX(Tables2!$C$73:$C$152,MATCH($C795,Tables2!$B$73:$B$152,0)),-1)),
Error!$B$44,
IF(AND(_xlpm.baseRow,OR($E795="Tier 2",$E795="Tier 2 Grove"),$C795&lt;&gt;"",$D795&gt;=12,COUNTIF(Tables2!$B$153:$B$162,$C795)&gt;0),
Error!$B$45,
IF(AND(_xlpm.baseRow,$E795="Tier 2 Grove",$D795&lt;12),
Error!$B$41,
IF(AND(_xlpm.baseRow,$E795="Tier 2",$D795&lt;5.88),
Error!$B$40,
IF(AND(_xlpm.baseRow,OR($E795="Tier 2",$E795="Tier 2 Grove"),$C795&lt;&gt;"",$D795&lt;12,$D795&gt;=6,COUNTIF(Tables2!$B$153:$B$162,$C795)&gt;0),
Error!$B$54,
IF(AND(_xlpm.baseRow,$E795="Tier 2",COUNTIF(Tables2!$B$166:$B$674,$C795)&gt;0,$D795&lt;24),
Error!$B$54,
IF(AND(_xlpm.baseRow,$E795="Tier 3",ISNA(MATCH($C795,Tables2!$B$153:$B$162,0)),OR($D795&lt;12,$D795&gt;=24)),
Error!$B$9,
IF(AND(_xlpm.baseRow,$E795="Tier 3",COUNTIF(Tables2!$B$153:$B$162,$C795)&gt;0,$D795&lt;12),
Error!$B$46,
IF(AND(_xlpm.baseRow,$E795="Tier 4",OR($D795&lt;6,$D795&gt;=12)),
Error!$B$10,
IF(AND(_xlpm.baseRow,$E795="&lt;6in DSH for Tree Points",OR($D795&gt;=6,$D795="")),
Error!$B$8,
IF(AND(_xlpm.baseRow,$E795="Street Tree for Green Factor",$F795&lt;&gt;"",$F795&lt;&gt;"Retain"),
Error!$B$14,
IF(AND($E795="&lt;6in DSH for Tree Points",$F795="Retain",$H795&lt;&gt;"",ISNA(MATCH($H795,Tables!$B$174:$B$174,0))),
Error!$B$15,
IF(AND($E795="Street Tree for Green Factor",$F795="Retain",$H795&lt;&gt;"",$H795&lt;&gt;"Zoning: Green Factor"),
Error!$B$15,
IF(AND($E795="ECA / Shoreline Tree",$F795="Remove",$H795&lt;&gt;"",ISNA(MATCH($H795,Tables!$B$189:$B$190,0))),
Error!$B$15,
IF(AND($E795="ECA / Shoreline Tree",$F795="Retain",$H795&lt;&gt;"",ISNA(MATCH($H795,Tables!$B$184:$B$186,0))),
Error!$B$15,
IF(AND($E795="Tier 4",$F795="Remove",$H795&lt;&gt;"",ISNA(MATCH($H795,Tables!$B$171,0))),
Error!$B$15,
IF(AND($E795="Tier 4",$F795="Retain",$H795&lt;&gt;"",ISNA(MATCH($H795,Tables!$B$166:$B$168,0))),
Error!$B$15,
IF(AND($E795="Tier 3",$F795="Retain",$H795&lt;&gt;"",ISNA(MATCH($H795,Tables!$B$158:$B$160,0))),
Error!$B$15,
IF(AND($E795="Tier 3",$F795="Remove",$H795&lt;&gt;"",ISNA(MATCH($H795,Tables!$B$163,0))),
Error!$B$15,
IF(AND(OR($E795="Tier 2",$E795="Tier 2 Grove"),$F795="Remove",$H795&lt;&gt;"",ISNA(MATCH($H795,Tables!$B$153:$B$155,0))),
Error!$B$15,
IF(AND(OR($E795="Tier 2",$E795="Tier 2 Grove"),$F795="Retain",$H795&lt;&gt;"",ISNA(MATCH($H795,Tables!$B$147:$B$150,0))),
Error!$B$15,
IF(AND($E795="Tier 1",$F795="Remove",$H795&lt;&gt;"",ISNA(MATCH($H795,Tables!$B$143:$B$144,0))),
Error!$B$15,
IF(AND($E795="Tier 1",$F795="Retain",$H795&lt;&gt;"",ISNA(MATCH($H795,Tables!$B$137:$B$140,0))),
Error!$B$15,
IF(AND($E795&lt;&gt;"Tier 2",$E795&lt;&gt;"Tier 2 Grove",$E795&lt;&gt;"Tier 3",$E795&lt;&gt;"Tier 4",$H795="Zoning: Green Factor",OR($D795="",$D795&lt;6)),
Error!$B$11,
IF(AND(_xlpm.baseRow,$D795&lt;6,$E795="&lt;6in DSH for Tree Points",_xlpm.TreePoints_H=0),
Error!$B$21,
IF(AND(_xlpm.baseRow,$E795&lt;&gt;"",$D795&lt;&gt;"",$F795=""),
Error!$B$4,
IF(AND(_xlpm.baseRow,$F795="Remove",OR($E795="Tier 1",$E795="Tier 2",$E795="Tier 2 Grove"),COUNTBLANK(_xlpm.HRange)&lt;3,_xlpm.uniqueH&gt;=2),
Error!$B$48,
IF(AND(_xlpm.baseRow,$F795="Retain",OR($E795="Tier 1",$E795="Tier 2",$E795="Tier 2 Grove"),COUNTIF(_xlpm.HRange,"Tree Code: Required to Retain Tier 1-2 Tree")=0),
Error!$B$47,
IF(AND(_xlpm.baseRow,$E795&lt;&gt;"",$D795&lt;&gt;"",$F795&lt;&gt;"",COUNTBLANK(_xlpm.HRange)=4),
Error!$B$5,
IF(AND($F795="Remove",$H795&lt;&gt;"",$I795=""),
Error!$B$18,
IF(AND($E795="Tier 4",$F795="Remove",$H795="Tree Protection Code: Tier 3 or Tier 4 Allowance",$H795&lt;&gt;"",ISNA(MATCH($I795,Tables!$B$200,0))),
Error!$B$17,
IF(AND($E795="Tier 3",$F795="Remove",$H795&lt;&gt;"",$H795="Tree Protection Code: Tier 3 or Tier 4 Allowance",OR($I795="",ISNA(MATCH($I795,Tables!$B$193:$B$197,0)))),
Error!$B$17,
IF(AND(OR($E795="Tier 2",$E795="Tier 2 Grove"),$F795="Remove",$H795="Tree Protection Code: Other removal allowance or exemption",$I795&lt;&gt;"",ISNA(MATCH($I795,Tables!$B$215:$B$218,0))),
Error!$B$17,
IF(AND(OR($E795="Tier 2",$E795="Tier 2 Grove"),$F795="Remove",$H795="Tree Protection Code: Development Capacity",$I795&lt;&gt;"",ISNA(MATCH($I795,Tables!$B$193:$B$197,0))),
Error!$B$17,
IF(AND(OR($E795="Tier 2",$E795="Tier 2 Grove"),$F795="Remove",$H795="Tree Protection Code: Necessary for Construction",$I795&lt;&gt;"",ISNA(MATCH($I795,Tables!$B$193:$B$197,0))),
Error!$B$17,
IF(AND($E795="Tier 1",$F795="Remove",$H795="Tree Protection Code: Special Exception",$I795&lt;&gt;"",ISNA(MATCH($I795,Tables!$B$215:$B$218,0))),
Error!$B$17,
IF(AND($E795="Tier 1",$F795="Remove",$H795="Tree Protection Code: Other removal allowance or exemption",$I795&lt;&gt;"",ISNA(MATCH($I795,Tables!$B$215:$B$218,0))),
Error!$B$17,
IF(AND($E795="ECA / Shoreline Tree",$F795="Remove",$H795&lt;&gt;"",OR($H795="Shoreline",$H795="Environmental Critical Area (ECA)"),ISNA(MATCH($I795,Tables!$B$209:$B$212,0))),
Error!$B$17,
IF(AND(_xlpm.baseRow,$F795="Retain",$E795="ECA / Shoreline Tree",_xlpm.ECA_Short=0),
Error!$B$61,
IF(AND($F795="Remove",ISNUMBER(MATCH($E795,{"Tier 1","Tier 2","Tier 3","Tier 4","Tier 2 Grove"},0)),ISNUMBER(MATCH($I795,{"On-site replacement","Off-site replacement"},0)),$J795="",$H795&lt;&gt;""),
Error!$B$19,
IF(AND(_xlpm.baseRow,$E795&lt;&gt;"",$D795&lt;&gt;"",$F795&lt;&gt;"",COUNTBLANK($B795:$C795)&gt;0,COUNTBLANK(_xlpm.HRange)&lt;&gt;4),
Error!$B$22,
IF(AND($H795="Zoning: Tree Points",$K795&lt;&gt;"",ISNA(MATCH($K795,Tables!$B$242:$B$253,0))),
Error!$B$58,
IF(AND($H795="Zoning: Tree Points",$K795="Small",$L795&lt;&gt;"",ISNA(MATCH($L795,Tables!$C$243:$C$244,0))),
Error!$B$59,
IF(AND($H795="Zoning: Tree Points",$K795="Small/Medium",$L795&lt;&gt;"",ISNA(MATCH($L795,Tables!$C$246:$C$247,0))),
Error!$B$59,
IF(AND($H795="Zoning: Tree Points",$K795="Medium/Large",$L795&lt;&gt;"",ISNA(MATCH($L795,Tables!$C$249:$C$250,0))),
Error!$B$59,
IF(AND($H795="Zoning: Tree Points",$K795="Large",$L795&lt;&gt;"",ISNA(MATCH($L795,Tables!$C$252:$C$253,0))),
Error!$B$59,
IF(AND($F795="Retain",$H795="Zoning: Tree Points",$C795&lt;&gt;"",$D795&lt;&gt;"",OR($K795="",$L795="",$M795="")),
Error!$B$20,
""
)))))))))))))))))))))))))))))))))))))))))))))))))))))))),
Error!$B$23))</f>
        <v/>
      </c>
      <c r="O795" s="343" t="str" cm="1">
        <f t="array" aca="1" ref="O795" ca="1">IFERROR(_xlfn.LET(
    _xlpm.txt, $C795,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96" spans="1:15" x14ac:dyDescent="0.3">
      <c r="A796" s="320"/>
      <c r="B796" s="616" t="str">
        <f t="shared" ref="B796:B798" si="948">IF($B795="", "", $B795)</f>
        <v/>
      </c>
      <c r="C796" s="617" t="str">
        <f t="shared" ref="C796:C798" si="949">IF($C795="", "", $C795)</f>
        <v/>
      </c>
      <c r="D796" s="618" t="str">
        <f t="shared" ref="D796:D798" si="950">IF($D795="", "", $D795)</f>
        <v/>
      </c>
      <c r="E796" s="616" t="str">
        <f t="shared" ref="E796:E798" si="951">IF($E795="", "", $E795)</f>
        <v/>
      </c>
      <c r="F796" s="616" t="str">
        <f t="shared" ref="F796:F798" si="952">IF($F795="", "", $F795)</f>
        <v/>
      </c>
      <c r="G796" s="619" t="str">
        <f>IF(Tree_Table1[[#This Row],[Tree Status  &amp;]]="Retain", Tables!$B$237, IF(Tree_Table1[[#This Row],[Tree Status  &amp;]]="Remove", Tables!$B$238, ""))</f>
        <v/>
      </c>
      <c r="H796" s="321"/>
      <c r="I796" s="322"/>
      <c r="J796" s="453"/>
      <c r="K796" s="323" t="str">
        <f>IFERROR(
    IF(
        AND($H796="Zoning: Tree Points", NOT(ISNUMBER(SEARCH("sp.", $C796)))),
        VLOOKUP($C796, 'Tree List'!$C$3:$F$601, 4, FALSE),
        ""
    ),
"")</f>
        <v/>
      </c>
      <c r="L796" s="324" t="str" cm="1">
        <f t="array" ref="L796">IFERROR(
IF(
    AND($H796="Zoning: Tree Points", NOT(ISNUMBER(SEARCH("sp.", $C796)))),
    _xlfn.IFS(
        (COUNTIFS('Tree List'!$C$3:$C$601,$C796,'Tree List'!$D$3:$D$601,"Coniferous")
        + COUNTIFS('Tree List'!$C$3:$C$601,$C796,'Tree List'!$D$3:$D$601,"Deciduous Conifer")) &gt; 0,
            _xlfn.IFS($K796="Small",0.5,$K796="Small/Medium",1,$K796="Medium/Large",1.4,$K796="Large",1.8),
        (COUNTIFS('Tree List'!$C$3:$C$601,$C796,'Tree List'!$D$3:$D$601,"Deciduous")
        + COUNTIFS('Tree List'!$C$3:$C$601,$C796,'Tree List'!$D$3:$D$601,"Broadleaf Evergreen")) &gt; 0,
            _xlfn.IFS($K796="Small",0.4,$K796="Small/Medium",0.8,$K796="Medium/Large",1.2,$K796="Large",1.6)
    ),
    ""
),
"")</f>
        <v/>
      </c>
      <c r="M796" s="475" t="str">
        <f t="shared" si="897"/>
        <v/>
      </c>
      <c r="N796" s="346" t="str" cm="1">
        <f t="array" aca="1" ref="N79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IF(AND(_xlpm.baseRow,ISNA(MATCH($C796,'Tree List'!$C$3:$C$601,0)),SUMPRODUCT(--ISNUMBER(SEARCH(Tables2!$C$677:$C$772,$O796)))&gt;0),
Error!$B$57,
IF(AND(_xlpm.hasDM,$F796="Remove",$H796&lt;&gt;"",OR($I796="On-site replacement",$I796="Off-site replacement",$I796="Payment In Lieu")),
Error!$B$56,
IF(AND(_xlpm.hasDM,$F796="Remove",$H796&lt;&gt;"",$I796="Relocation"),
Error!$B$66,
IF(AND(OR(_xlpm.hasCN,_xlpm.hasPH,_xlpm.hasGR),$H796&lt;&gt;"",COUNTIF(Tables!$B$132:$B$134,$H796)&gt;0,$I796="N/A (No replacement required)"),
Error!$B$62,
IF(AND(_xlpm.baseRow,$E796&lt;&gt;"",ISNA(MATCH($E796,Tables!$B$225:$B$232,0))),
Error!$B$2,
IF(AND(_xlpm.baseRow,$F796&lt;&gt;"",ISNA(MATCH($F796,Tables!$B$234:$B$235,0))),
Error!$B$24,
IF(AND(_xlpm.baseRow,_xlpm.ECA_H&gt;0,_xlpm.Shore_H&gt;0),
Error!$B$16,
IF(AND(_xlpm.baseRow,$E796&lt;&gt;"",$D796=""),
Error!$B$3,
IF(AND(_xlpm.baseRow,OR($E796="Tier 3",$E796="Tier 4"),$C796&lt;&gt;"",$D796&gt;=24,COUNTIF(Tables2!$B$166:$B$674,$C796)&gt;0),
Error!$B$44,
IF(AND(_xlpm.baseRow,OR($E796="Tier 3",$E796="Tier 4"),$C796&lt;&gt;"",$D796&lt;&gt;"",COUNTIF(Tables2!$B$73:$B$152,$C796)&gt;0,
$D796&gt;=IFERROR(INDEX(Tables2!$C$73:$C$152,MATCH($C796,Tables2!$B$73:$B$152,0)),-1)),
Error!$B$44,
IF(AND(_xlpm.baseRow,OR($E796="Tier 2",$E796="Tier 2 Grove"),$C796&lt;&gt;"",$D796&gt;=12,COUNTIF(Tables2!$B$153:$B$162,$C796)&gt;0),
Error!$B$45,
IF(AND(_xlpm.baseRow,$E796="Tier 2 Grove",$D796&lt;12),
Error!$B$41,
IF(AND(_xlpm.baseRow,$E796="Tier 2",$D796&lt;5.88),
Error!$B$40,
IF(AND(_xlpm.baseRow,OR($E796="Tier 2",$E796="Tier 2 Grove"),$C796&lt;&gt;"",$D796&lt;12,$D796&gt;=6,COUNTIF(Tables2!$B$153:$B$162,$C796)&gt;0),
Error!$B$54,
IF(AND(_xlpm.baseRow,$E796="Tier 2",COUNTIF(Tables2!$B$166:$B$674,$C796)&gt;0,$D796&lt;24),
Error!$B$54,
IF(AND(_xlpm.baseRow,$E796="Tier 3",ISNA(MATCH($C796,Tables2!$B$153:$B$162,0)),OR($D796&lt;12,$D796&gt;=24)),
Error!$B$9,
IF(AND(_xlpm.baseRow,$E796="Tier 3",COUNTIF(Tables2!$B$153:$B$162,$C796)&gt;0,$D796&lt;12),
Error!$B$46,
IF(AND(_xlpm.baseRow,$E796="Tier 4",OR($D796&lt;6,$D796&gt;=12)),
Error!$B$10,
IF(AND(_xlpm.baseRow,$E796="&lt;6in DSH for Tree Points",OR($D796&gt;=6,$D796="")),
Error!$B$8,
IF(AND(_xlpm.baseRow,$E796="Street Tree for Green Factor",$F796&lt;&gt;"",$F796&lt;&gt;"Retain"),
Error!$B$14,
IF(AND($E796="&lt;6in DSH for Tree Points",$F796="Retain",$H796&lt;&gt;"",ISNA(MATCH($H796,Tables!$B$174:$B$174,0))),
Error!$B$15,
IF(AND($E796="Street Tree for Green Factor",$F796="Retain",$H796&lt;&gt;"",$H796&lt;&gt;"Zoning: Green Factor"),
Error!$B$15,
IF(AND($E796="ECA / Shoreline Tree",$F796="Remove",$H796&lt;&gt;"",ISNA(MATCH($H796,Tables!$B$189:$B$190,0))),
Error!$B$15,
IF(AND($E796="ECA / Shoreline Tree",$F796="Retain",$H796&lt;&gt;"",ISNA(MATCH($H796,Tables!$B$184:$B$186,0))),
Error!$B$15,
IF(AND($E796="Tier 4",$F796="Remove",$H796&lt;&gt;"",ISNA(MATCH($H796,Tables!$B$171,0))),
Error!$B$15,
IF(AND($E796="Tier 4",$F796="Retain",$H796&lt;&gt;"",ISNA(MATCH($H796,Tables!$B$166:$B$168,0))),
Error!$B$15,
IF(AND($E796="Tier 3",$F796="Retain",$H796&lt;&gt;"",ISNA(MATCH($H796,Tables!$B$158:$B$160,0))),
Error!$B$15,
IF(AND($E796="Tier 3",$F796="Remove",$H796&lt;&gt;"",ISNA(MATCH($H796,Tables!$B$163,0))),
Error!$B$15,
IF(AND(OR($E796="Tier 2",$E796="Tier 2 Grove"),$F796="Remove",$H796&lt;&gt;"",ISNA(MATCH($H796,Tables!$B$153:$B$155,0))),
Error!$B$15,
IF(AND(OR($E796="Tier 2",$E796="Tier 2 Grove"),$F796="Retain",$H796&lt;&gt;"",ISNA(MATCH($H796,Tables!$B$147:$B$150,0))),
Error!$B$15,
IF(AND($E796="Tier 1",$F796="Remove",$H796&lt;&gt;"",ISNA(MATCH($H796,Tables!$B$143:$B$144,0))),
Error!$B$15,
IF(AND($E796="Tier 1",$F796="Retain",$H796&lt;&gt;"",ISNA(MATCH($H796,Tables!$B$137:$B$140,0))),
Error!$B$15,
IF(AND($E796&lt;&gt;"Tier 2",$E796&lt;&gt;"Tier 2 Grove",$E796&lt;&gt;"Tier 3",$E796&lt;&gt;"Tier 4",$H796="Zoning: Green Factor",OR($D796="",$D796&lt;6)),
Error!$B$11,
IF(AND(_xlpm.baseRow,$D796&lt;6,$E796="&lt;6in DSH for Tree Points",_xlpm.TreePoints_H=0),
Error!$B$21,
IF(AND(_xlpm.baseRow,$E796&lt;&gt;"",$D796&lt;&gt;"",$F796=""),
Error!$B$4,
IF(AND(_xlpm.baseRow,$F796="Remove",OR($E796="Tier 1",$E796="Tier 2",$E796="Tier 2 Grove"),COUNTBLANK(_xlpm.HRange)&lt;3,_xlpm.uniqueH&gt;=2),
Error!$B$48,
IF(AND(_xlpm.baseRow,$F796="Retain",OR($E796="Tier 1",$E796="Tier 2",$E796="Tier 2 Grove"),COUNTIF(_xlpm.HRange,"Tree Code: Required to Retain Tier 1-2 Tree")=0),
Error!$B$47,
IF(AND(_xlpm.baseRow,$E796&lt;&gt;"",$D796&lt;&gt;"",$F796&lt;&gt;"",COUNTBLANK(_xlpm.HRange)=4),
Error!$B$5,
IF(AND($F796="Remove",$H796&lt;&gt;"",$I796=""),
Error!$B$18,
IF(AND($E796="Tier 4",$F796="Remove",$H796="Tree Protection Code: Tier 3 or Tier 4 Allowance",$H796&lt;&gt;"",ISNA(MATCH($I796,Tables!$B$200,0))),
Error!$B$17,
IF(AND($E796="Tier 3",$F796="Remove",$H796&lt;&gt;"",$H796="Tree Protection Code: Tier 3 or Tier 4 Allowance",OR($I796="",ISNA(MATCH($I796,Tables!$B$193:$B$197,0)))),
Error!$B$17,
IF(AND(OR($E796="Tier 2",$E796="Tier 2 Grove"),$F796="Remove",$H796="Tree Protection Code: Other removal allowance or exemption",$I796&lt;&gt;"",ISNA(MATCH($I796,Tables!$B$215:$B$218,0))),
Error!$B$17,
IF(AND(OR($E796="Tier 2",$E796="Tier 2 Grove"),$F796="Remove",$H796="Tree Protection Code: Development Capacity",$I796&lt;&gt;"",ISNA(MATCH($I796,Tables!$B$193:$B$197,0))),
Error!$B$17,
IF(AND(OR($E796="Tier 2",$E796="Tier 2 Grove"),$F796="Remove",$H796="Tree Protection Code: Necessary for Construction",$I796&lt;&gt;"",ISNA(MATCH($I796,Tables!$B$193:$B$197,0))),
Error!$B$17,
IF(AND($E796="Tier 1",$F796="Remove",$H796="Tree Protection Code: Special Exception",$I796&lt;&gt;"",ISNA(MATCH($I796,Tables!$B$215:$B$218,0))),
Error!$B$17,
IF(AND($E796="Tier 1",$F796="Remove",$H796="Tree Protection Code: Other removal allowance or exemption",$I796&lt;&gt;"",ISNA(MATCH($I796,Tables!$B$215:$B$218,0))),
Error!$B$17,
IF(AND($E796="ECA / Shoreline Tree",$F796="Remove",$H796&lt;&gt;"",OR($H796="Shoreline",$H796="Environmental Critical Area (ECA)"),ISNA(MATCH($I796,Tables!$B$209:$B$212,0))),
Error!$B$17,
IF(AND(_xlpm.baseRow,$F796="Retain",$E796="ECA / Shoreline Tree",_xlpm.ECA_Short=0),
Error!$B$61,
IF(AND($F796="Remove",ISNUMBER(MATCH($E796,{"Tier 1","Tier 2","Tier 3","Tier 4","Tier 2 Grove"},0)),ISNUMBER(MATCH($I796,{"On-site replacement","Off-site replacement"},0)),$J796="",$H796&lt;&gt;""),
Error!$B$19,
IF(AND(_xlpm.baseRow,$E796&lt;&gt;"",$D796&lt;&gt;"",$F796&lt;&gt;"",COUNTBLANK($B796:$C796)&gt;0,COUNTBLANK(_xlpm.HRange)&lt;&gt;4),
Error!$B$22,
IF(AND($H796="Zoning: Tree Points",$K796&lt;&gt;"",ISNA(MATCH($K796,Tables!$B$242:$B$253,0))),
Error!$B$58,
IF(AND($H796="Zoning: Tree Points",$K796="Small",$L796&lt;&gt;"",ISNA(MATCH($L796,Tables!$C$243:$C$244,0))),
Error!$B$59,
IF(AND($H796="Zoning: Tree Points",$K796="Small/Medium",$L796&lt;&gt;"",ISNA(MATCH($L796,Tables!$C$246:$C$247,0))),
Error!$B$59,
IF(AND($H796="Zoning: Tree Points",$K796="Medium/Large",$L796&lt;&gt;"",ISNA(MATCH($L796,Tables!$C$249:$C$250,0))),
Error!$B$59,
IF(AND($H796="Zoning: Tree Points",$K796="Large",$L796&lt;&gt;"",ISNA(MATCH($L796,Tables!$C$252:$C$253,0))),
Error!$B$59,
IF(AND($F796="Retain",$H796="Zoning: Tree Points",$C796&lt;&gt;"",$D796&lt;&gt;"",OR($K796="",$L796="",$M796="")),
Error!$B$20,
""
)))))))))))))))))))))))))))))))))))))))))))))))))))))))),
Error!$B$23))</f>
        <v/>
      </c>
      <c r="O796" s="343" t="str" cm="1">
        <f t="array" aca="1" ref="O796" ca="1">IFERROR(_xlfn.LET(
    _xlpm.txt, $C796,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97" spans="1:15" x14ac:dyDescent="0.3">
      <c r="A797" s="320"/>
      <c r="B797" s="616" t="str">
        <f t="shared" si="948"/>
        <v/>
      </c>
      <c r="C797" s="617" t="str">
        <f t="shared" si="949"/>
        <v/>
      </c>
      <c r="D797" s="618" t="str">
        <f t="shared" si="950"/>
        <v/>
      </c>
      <c r="E797" s="616" t="str">
        <f t="shared" si="951"/>
        <v/>
      </c>
      <c r="F797" s="616" t="str">
        <f t="shared" si="952"/>
        <v/>
      </c>
      <c r="G797" s="619" t="str">
        <f>IF(Tree_Table1[[#This Row],[Tree Status  &amp;]]="Retain", Tables!$B$237, IF(Tree_Table1[[#This Row],[Tree Status  &amp;]]="Remove", Tables!$B$238, ""))</f>
        <v/>
      </c>
      <c r="H797" s="321"/>
      <c r="I797" s="322"/>
      <c r="J797" s="453"/>
      <c r="K797" s="323" t="str">
        <f>IFERROR(
    IF(
        AND($H797="Zoning: Tree Points", NOT(ISNUMBER(SEARCH("sp.", $C797)))),
        VLOOKUP($C797, 'Tree List'!$C$3:$F$601, 4, FALSE),
        ""
    ),
"")</f>
        <v/>
      </c>
      <c r="L797" s="324" t="str" cm="1">
        <f t="array" ref="L797">IFERROR(
IF(
    AND($H797="Zoning: Tree Points", NOT(ISNUMBER(SEARCH("sp.", $C797)))),
    _xlfn.IFS(
        (COUNTIFS('Tree List'!$C$3:$C$601,$C797,'Tree List'!$D$3:$D$601,"Coniferous")
        + COUNTIFS('Tree List'!$C$3:$C$601,$C797,'Tree List'!$D$3:$D$601,"Deciduous Conifer")) &gt; 0,
            _xlfn.IFS($K797="Small",0.5,$K797="Small/Medium",1,$K797="Medium/Large",1.4,$K797="Large",1.8),
        (COUNTIFS('Tree List'!$C$3:$C$601,$C797,'Tree List'!$D$3:$D$601,"Deciduous")
        + COUNTIFS('Tree List'!$C$3:$C$601,$C797,'Tree List'!$D$3:$D$601,"Broadleaf Evergreen")) &gt; 0,
            _xlfn.IFS($K797="Small",0.4,$K797="Small/Medium",0.8,$K797="Medium/Large",1.2,$K797="Large",1.6)
    ),
    ""
),
"")</f>
        <v/>
      </c>
      <c r="M797" s="475" t="str">
        <f t="shared" si="897"/>
        <v/>
      </c>
      <c r="N797" s="346" t="str" cm="1">
        <f t="array" aca="1" ref="N79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IF(AND(_xlpm.baseRow,ISNA(MATCH($C797,'Tree List'!$C$3:$C$601,0)),SUMPRODUCT(--ISNUMBER(SEARCH(Tables2!$C$677:$C$772,$O797)))&gt;0),
Error!$B$57,
IF(AND(_xlpm.hasDM,$F797="Remove",$H797&lt;&gt;"",OR($I797="On-site replacement",$I797="Off-site replacement",$I797="Payment In Lieu")),
Error!$B$56,
IF(AND(_xlpm.hasDM,$F797="Remove",$H797&lt;&gt;"",$I797="Relocation"),
Error!$B$66,
IF(AND(OR(_xlpm.hasCN,_xlpm.hasPH,_xlpm.hasGR),$H797&lt;&gt;"",COUNTIF(Tables!$B$132:$B$134,$H797)&gt;0,$I797="N/A (No replacement required)"),
Error!$B$62,
IF(AND(_xlpm.baseRow,$E797&lt;&gt;"",ISNA(MATCH($E797,Tables!$B$225:$B$232,0))),
Error!$B$2,
IF(AND(_xlpm.baseRow,$F797&lt;&gt;"",ISNA(MATCH($F797,Tables!$B$234:$B$235,0))),
Error!$B$24,
IF(AND(_xlpm.baseRow,_xlpm.ECA_H&gt;0,_xlpm.Shore_H&gt;0),
Error!$B$16,
IF(AND(_xlpm.baseRow,$E797&lt;&gt;"",$D797=""),
Error!$B$3,
IF(AND(_xlpm.baseRow,OR($E797="Tier 3",$E797="Tier 4"),$C797&lt;&gt;"",$D797&gt;=24,COUNTIF(Tables2!$B$166:$B$674,$C797)&gt;0),
Error!$B$44,
IF(AND(_xlpm.baseRow,OR($E797="Tier 3",$E797="Tier 4"),$C797&lt;&gt;"",$D797&lt;&gt;"",COUNTIF(Tables2!$B$73:$B$152,$C797)&gt;0,
$D797&gt;=IFERROR(INDEX(Tables2!$C$73:$C$152,MATCH($C797,Tables2!$B$73:$B$152,0)),-1)),
Error!$B$44,
IF(AND(_xlpm.baseRow,OR($E797="Tier 2",$E797="Tier 2 Grove"),$C797&lt;&gt;"",$D797&gt;=12,COUNTIF(Tables2!$B$153:$B$162,$C797)&gt;0),
Error!$B$45,
IF(AND(_xlpm.baseRow,$E797="Tier 2 Grove",$D797&lt;12),
Error!$B$41,
IF(AND(_xlpm.baseRow,$E797="Tier 2",$D797&lt;5.88),
Error!$B$40,
IF(AND(_xlpm.baseRow,OR($E797="Tier 2",$E797="Tier 2 Grove"),$C797&lt;&gt;"",$D797&lt;12,$D797&gt;=6,COUNTIF(Tables2!$B$153:$B$162,$C797)&gt;0),
Error!$B$54,
IF(AND(_xlpm.baseRow,$E797="Tier 2",COUNTIF(Tables2!$B$166:$B$674,$C797)&gt;0,$D797&lt;24),
Error!$B$54,
IF(AND(_xlpm.baseRow,$E797="Tier 3",ISNA(MATCH($C797,Tables2!$B$153:$B$162,0)),OR($D797&lt;12,$D797&gt;=24)),
Error!$B$9,
IF(AND(_xlpm.baseRow,$E797="Tier 3",COUNTIF(Tables2!$B$153:$B$162,$C797)&gt;0,$D797&lt;12),
Error!$B$46,
IF(AND(_xlpm.baseRow,$E797="Tier 4",OR($D797&lt;6,$D797&gt;=12)),
Error!$B$10,
IF(AND(_xlpm.baseRow,$E797="&lt;6in DSH for Tree Points",OR($D797&gt;=6,$D797="")),
Error!$B$8,
IF(AND(_xlpm.baseRow,$E797="Street Tree for Green Factor",$F797&lt;&gt;"",$F797&lt;&gt;"Retain"),
Error!$B$14,
IF(AND($E797="&lt;6in DSH for Tree Points",$F797="Retain",$H797&lt;&gt;"",ISNA(MATCH($H797,Tables!$B$174:$B$174,0))),
Error!$B$15,
IF(AND($E797="Street Tree for Green Factor",$F797="Retain",$H797&lt;&gt;"",$H797&lt;&gt;"Zoning: Green Factor"),
Error!$B$15,
IF(AND($E797="ECA / Shoreline Tree",$F797="Remove",$H797&lt;&gt;"",ISNA(MATCH($H797,Tables!$B$189:$B$190,0))),
Error!$B$15,
IF(AND($E797="ECA / Shoreline Tree",$F797="Retain",$H797&lt;&gt;"",ISNA(MATCH($H797,Tables!$B$184:$B$186,0))),
Error!$B$15,
IF(AND($E797="Tier 4",$F797="Remove",$H797&lt;&gt;"",ISNA(MATCH($H797,Tables!$B$171,0))),
Error!$B$15,
IF(AND($E797="Tier 4",$F797="Retain",$H797&lt;&gt;"",ISNA(MATCH($H797,Tables!$B$166:$B$168,0))),
Error!$B$15,
IF(AND($E797="Tier 3",$F797="Retain",$H797&lt;&gt;"",ISNA(MATCH($H797,Tables!$B$158:$B$160,0))),
Error!$B$15,
IF(AND($E797="Tier 3",$F797="Remove",$H797&lt;&gt;"",ISNA(MATCH($H797,Tables!$B$163,0))),
Error!$B$15,
IF(AND(OR($E797="Tier 2",$E797="Tier 2 Grove"),$F797="Remove",$H797&lt;&gt;"",ISNA(MATCH($H797,Tables!$B$153:$B$155,0))),
Error!$B$15,
IF(AND(OR($E797="Tier 2",$E797="Tier 2 Grove"),$F797="Retain",$H797&lt;&gt;"",ISNA(MATCH($H797,Tables!$B$147:$B$150,0))),
Error!$B$15,
IF(AND($E797="Tier 1",$F797="Remove",$H797&lt;&gt;"",ISNA(MATCH($H797,Tables!$B$143:$B$144,0))),
Error!$B$15,
IF(AND($E797="Tier 1",$F797="Retain",$H797&lt;&gt;"",ISNA(MATCH($H797,Tables!$B$137:$B$140,0))),
Error!$B$15,
IF(AND($E797&lt;&gt;"Tier 2",$E797&lt;&gt;"Tier 2 Grove",$E797&lt;&gt;"Tier 3",$E797&lt;&gt;"Tier 4",$H797="Zoning: Green Factor",OR($D797="",$D797&lt;6)),
Error!$B$11,
IF(AND(_xlpm.baseRow,$D797&lt;6,$E797="&lt;6in DSH for Tree Points",_xlpm.TreePoints_H=0),
Error!$B$21,
IF(AND(_xlpm.baseRow,$E797&lt;&gt;"",$D797&lt;&gt;"",$F797=""),
Error!$B$4,
IF(AND(_xlpm.baseRow,$F797="Remove",OR($E797="Tier 1",$E797="Tier 2",$E797="Tier 2 Grove"),COUNTBLANK(_xlpm.HRange)&lt;3,_xlpm.uniqueH&gt;=2),
Error!$B$48,
IF(AND(_xlpm.baseRow,$F797="Retain",OR($E797="Tier 1",$E797="Tier 2",$E797="Tier 2 Grove"),COUNTIF(_xlpm.HRange,"Tree Code: Required to Retain Tier 1-2 Tree")=0),
Error!$B$47,
IF(AND(_xlpm.baseRow,$E797&lt;&gt;"",$D797&lt;&gt;"",$F797&lt;&gt;"",COUNTBLANK(_xlpm.HRange)=4),
Error!$B$5,
IF(AND($F797="Remove",$H797&lt;&gt;"",$I797=""),
Error!$B$18,
IF(AND($E797="Tier 4",$F797="Remove",$H797="Tree Protection Code: Tier 3 or Tier 4 Allowance",$H797&lt;&gt;"",ISNA(MATCH($I797,Tables!$B$200,0))),
Error!$B$17,
IF(AND($E797="Tier 3",$F797="Remove",$H797&lt;&gt;"",$H797="Tree Protection Code: Tier 3 or Tier 4 Allowance",OR($I797="",ISNA(MATCH($I797,Tables!$B$193:$B$197,0)))),
Error!$B$17,
IF(AND(OR($E797="Tier 2",$E797="Tier 2 Grove"),$F797="Remove",$H797="Tree Protection Code: Other removal allowance or exemption",$I797&lt;&gt;"",ISNA(MATCH($I797,Tables!$B$215:$B$218,0))),
Error!$B$17,
IF(AND(OR($E797="Tier 2",$E797="Tier 2 Grove"),$F797="Remove",$H797="Tree Protection Code: Development Capacity",$I797&lt;&gt;"",ISNA(MATCH($I797,Tables!$B$193:$B$197,0))),
Error!$B$17,
IF(AND(OR($E797="Tier 2",$E797="Tier 2 Grove"),$F797="Remove",$H797="Tree Protection Code: Necessary for Construction",$I797&lt;&gt;"",ISNA(MATCH($I797,Tables!$B$193:$B$197,0))),
Error!$B$17,
IF(AND($E797="Tier 1",$F797="Remove",$H797="Tree Protection Code: Special Exception",$I797&lt;&gt;"",ISNA(MATCH($I797,Tables!$B$215:$B$218,0))),
Error!$B$17,
IF(AND($E797="Tier 1",$F797="Remove",$H797="Tree Protection Code: Other removal allowance or exemption",$I797&lt;&gt;"",ISNA(MATCH($I797,Tables!$B$215:$B$218,0))),
Error!$B$17,
IF(AND($E797="ECA / Shoreline Tree",$F797="Remove",$H797&lt;&gt;"",OR($H797="Shoreline",$H797="Environmental Critical Area (ECA)"),ISNA(MATCH($I797,Tables!$B$209:$B$212,0))),
Error!$B$17,
IF(AND(_xlpm.baseRow,$F797="Retain",$E797="ECA / Shoreline Tree",_xlpm.ECA_Short=0),
Error!$B$61,
IF(AND($F797="Remove",ISNUMBER(MATCH($E797,{"Tier 1","Tier 2","Tier 3","Tier 4","Tier 2 Grove"},0)),ISNUMBER(MATCH($I797,{"On-site replacement","Off-site replacement"},0)),$J797="",$H797&lt;&gt;""),
Error!$B$19,
IF(AND(_xlpm.baseRow,$E797&lt;&gt;"",$D797&lt;&gt;"",$F797&lt;&gt;"",COUNTBLANK($B797:$C797)&gt;0,COUNTBLANK(_xlpm.HRange)&lt;&gt;4),
Error!$B$22,
IF(AND($H797="Zoning: Tree Points",$K797&lt;&gt;"",ISNA(MATCH($K797,Tables!$B$242:$B$253,0))),
Error!$B$58,
IF(AND($H797="Zoning: Tree Points",$K797="Small",$L797&lt;&gt;"",ISNA(MATCH($L797,Tables!$C$243:$C$244,0))),
Error!$B$59,
IF(AND($H797="Zoning: Tree Points",$K797="Small/Medium",$L797&lt;&gt;"",ISNA(MATCH($L797,Tables!$C$246:$C$247,0))),
Error!$B$59,
IF(AND($H797="Zoning: Tree Points",$K797="Medium/Large",$L797&lt;&gt;"",ISNA(MATCH($L797,Tables!$C$249:$C$250,0))),
Error!$B$59,
IF(AND($H797="Zoning: Tree Points",$K797="Large",$L797&lt;&gt;"",ISNA(MATCH($L797,Tables!$C$252:$C$253,0))),
Error!$B$59,
IF(AND($F797="Retain",$H797="Zoning: Tree Points",$C797&lt;&gt;"",$D797&lt;&gt;"",OR($K797="",$L797="",$M797="")),
Error!$B$20,
""
)))))))))))))))))))))))))))))))))))))))))))))))))))))))),
Error!$B$23))</f>
        <v/>
      </c>
      <c r="O797" s="343" t="str" cm="1">
        <f t="array" aca="1" ref="O797" ca="1">IFERROR(_xlfn.LET(
    _xlpm.txt, $C797,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98" spans="1:15" ht="15" thickBot="1" x14ac:dyDescent="0.35">
      <c r="A798" s="331"/>
      <c r="B798" s="616" t="str">
        <f t="shared" si="948"/>
        <v/>
      </c>
      <c r="C798" s="617" t="str">
        <f t="shared" si="949"/>
        <v/>
      </c>
      <c r="D798" s="618" t="str">
        <f t="shared" si="950"/>
        <v/>
      </c>
      <c r="E798" s="616" t="str">
        <f t="shared" si="951"/>
        <v/>
      </c>
      <c r="F798" s="616" t="str">
        <f t="shared" si="952"/>
        <v/>
      </c>
      <c r="G798" s="619" t="str">
        <f>IF(Tree_Table1[[#This Row],[Tree Status  &amp;]]="Retain", Tables!$B$237, IF(Tree_Table1[[#This Row],[Tree Status  &amp;]]="Remove", Tables!$B$238, ""))</f>
        <v/>
      </c>
      <c r="H798" s="329"/>
      <c r="I798" s="330"/>
      <c r="J798" s="455"/>
      <c r="K798" s="327" t="str">
        <f>IFERROR(
    IF(
        AND($H798="Zoning: Tree Points", NOT(ISNUMBER(SEARCH("sp.", $C798)))),
        VLOOKUP($C798, 'Tree List'!$C$3:$F$601, 4, FALSE),
        ""
    ),
"")</f>
        <v/>
      </c>
      <c r="L798" s="328" t="str" cm="1">
        <f t="array" ref="L798">IFERROR(
IF(
    AND($H798="Zoning: Tree Points", NOT(ISNUMBER(SEARCH("sp.", $C798)))),
    _xlfn.IFS(
        (COUNTIFS('Tree List'!$C$3:$C$601,$C798,'Tree List'!$D$3:$D$601,"Coniferous")
        + COUNTIFS('Tree List'!$C$3:$C$601,$C798,'Tree List'!$D$3:$D$601,"Deciduous Conifer")) &gt; 0,
            _xlfn.IFS($K798="Small",0.5,$K798="Small/Medium",1,$K798="Medium/Large",1.4,$K798="Large",1.8),
        (COUNTIFS('Tree List'!$C$3:$C$601,$C798,'Tree List'!$D$3:$D$601,"Deciduous")
        + COUNTIFS('Tree List'!$C$3:$C$601,$C798,'Tree List'!$D$3:$D$601,"Broadleaf Evergreen")) &gt; 0,
            _xlfn.IFS($K798="Small",0.4,$K798="Small/Medium",0.8,$K798="Medium/Large",1.2,$K798="Large",1.6)
    ),
    ""
),
"")</f>
        <v/>
      </c>
      <c r="M798" s="476" t="str">
        <f t="shared" si="897"/>
        <v/>
      </c>
      <c r="N798" s="347" t="str" cm="1">
        <f t="array" aca="1" ref="N79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IF(AND(_xlpm.baseRow,ISNA(MATCH($C798,'Tree List'!$C$3:$C$601,0)),SUMPRODUCT(--ISNUMBER(SEARCH(Tables2!$C$677:$C$772,$O798)))&gt;0),
Error!$B$57,
IF(AND(_xlpm.hasDM,$F798="Remove",$H798&lt;&gt;"",OR($I798="On-site replacement",$I798="Off-site replacement",$I798="Payment In Lieu")),
Error!$B$56,
IF(AND(_xlpm.hasDM,$F798="Remove",$H798&lt;&gt;"",$I798="Relocation"),
Error!$B$66,
IF(AND(OR(_xlpm.hasCN,_xlpm.hasPH,_xlpm.hasGR),$H798&lt;&gt;"",COUNTIF(Tables!$B$132:$B$134,$H798)&gt;0,$I798="N/A (No replacement required)"),
Error!$B$62,
IF(AND(_xlpm.baseRow,$E798&lt;&gt;"",ISNA(MATCH($E798,Tables!$B$225:$B$232,0))),
Error!$B$2,
IF(AND(_xlpm.baseRow,$F798&lt;&gt;"",ISNA(MATCH($F798,Tables!$B$234:$B$235,0))),
Error!$B$24,
IF(AND(_xlpm.baseRow,_xlpm.ECA_H&gt;0,_xlpm.Shore_H&gt;0),
Error!$B$16,
IF(AND(_xlpm.baseRow,$E798&lt;&gt;"",$D798=""),
Error!$B$3,
IF(AND(_xlpm.baseRow,OR($E798="Tier 3",$E798="Tier 4"),$C798&lt;&gt;"",$D798&gt;=24,COUNTIF(Tables2!$B$166:$B$674,$C798)&gt;0),
Error!$B$44,
IF(AND(_xlpm.baseRow,OR($E798="Tier 3",$E798="Tier 4"),$C798&lt;&gt;"",$D798&lt;&gt;"",COUNTIF(Tables2!$B$73:$B$152,$C798)&gt;0,
$D798&gt;=IFERROR(INDEX(Tables2!$C$73:$C$152,MATCH($C798,Tables2!$B$73:$B$152,0)),-1)),
Error!$B$44,
IF(AND(_xlpm.baseRow,OR($E798="Tier 2",$E798="Tier 2 Grove"),$C798&lt;&gt;"",$D798&gt;=12,COUNTIF(Tables2!$B$153:$B$162,$C798)&gt;0),
Error!$B$45,
IF(AND(_xlpm.baseRow,$E798="Tier 2 Grove",$D798&lt;12),
Error!$B$41,
IF(AND(_xlpm.baseRow,$E798="Tier 2",$D798&lt;5.88),
Error!$B$40,
IF(AND(_xlpm.baseRow,OR($E798="Tier 2",$E798="Tier 2 Grove"),$C798&lt;&gt;"",$D798&lt;12,$D798&gt;=6,COUNTIF(Tables2!$B$153:$B$162,$C798)&gt;0),
Error!$B$54,
IF(AND(_xlpm.baseRow,$E798="Tier 2",COUNTIF(Tables2!$B$166:$B$674,$C798)&gt;0,$D798&lt;24),
Error!$B$54,
IF(AND(_xlpm.baseRow,$E798="Tier 3",ISNA(MATCH($C798,Tables2!$B$153:$B$162,0)),OR($D798&lt;12,$D798&gt;=24)),
Error!$B$9,
IF(AND(_xlpm.baseRow,$E798="Tier 3",COUNTIF(Tables2!$B$153:$B$162,$C798)&gt;0,$D798&lt;12),
Error!$B$46,
IF(AND(_xlpm.baseRow,$E798="Tier 4",OR($D798&lt;6,$D798&gt;=12)),
Error!$B$10,
IF(AND(_xlpm.baseRow,$E798="&lt;6in DSH for Tree Points",OR($D798&gt;=6,$D798="")),
Error!$B$8,
IF(AND(_xlpm.baseRow,$E798="Street Tree for Green Factor",$F798&lt;&gt;"",$F798&lt;&gt;"Retain"),
Error!$B$14,
IF(AND($E798="&lt;6in DSH for Tree Points",$F798="Retain",$H798&lt;&gt;"",ISNA(MATCH($H798,Tables!$B$174:$B$174,0))),
Error!$B$15,
IF(AND($E798="Street Tree for Green Factor",$F798="Retain",$H798&lt;&gt;"",$H798&lt;&gt;"Zoning: Green Factor"),
Error!$B$15,
IF(AND($E798="ECA / Shoreline Tree",$F798="Remove",$H798&lt;&gt;"",ISNA(MATCH($H798,Tables!$B$189:$B$190,0))),
Error!$B$15,
IF(AND($E798="ECA / Shoreline Tree",$F798="Retain",$H798&lt;&gt;"",ISNA(MATCH($H798,Tables!$B$184:$B$186,0))),
Error!$B$15,
IF(AND($E798="Tier 4",$F798="Remove",$H798&lt;&gt;"",ISNA(MATCH($H798,Tables!$B$171,0))),
Error!$B$15,
IF(AND($E798="Tier 4",$F798="Retain",$H798&lt;&gt;"",ISNA(MATCH($H798,Tables!$B$166:$B$168,0))),
Error!$B$15,
IF(AND($E798="Tier 3",$F798="Retain",$H798&lt;&gt;"",ISNA(MATCH($H798,Tables!$B$158:$B$160,0))),
Error!$B$15,
IF(AND($E798="Tier 3",$F798="Remove",$H798&lt;&gt;"",ISNA(MATCH($H798,Tables!$B$163,0))),
Error!$B$15,
IF(AND(OR($E798="Tier 2",$E798="Tier 2 Grove"),$F798="Remove",$H798&lt;&gt;"",ISNA(MATCH($H798,Tables!$B$153:$B$155,0))),
Error!$B$15,
IF(AND(OR($E798="Tier 2",$E798="Tier 2 Grove"),$F798="Retain",$H798&lt;&gt;"",ISNA(MATCH($H798,Tables!$B$147:$B$150,0))),
Error!$B$15,
IF(AND($E798="Tier 1",$F798="Remove",$H798&lt;&gt;"",ISNA(MATCH($H798,Tables!$B$143:$B$144,0))),
Error!$B$15,
IF(AND($E798="Tier 1",$F798="Retain",$H798&lt;&gt;"",ISNA(MATCH($H798,Tables!$B$137:$B$140,0))),
Error!$B$15,
IF(AND($E798&lt;&gt;"Tier 2",$E798&lt;&gt;"Tier 2 Grove",$E798&lt;&gt;"Tier 3",$E798&lt;&gt;"Tier 4",$H798="Zoning: Green Factor",OR($D798="",$D798&lt;6)),
Error!$B$11,
IF(AND(_xlpm.baseRow,$D798&lt;6,$E798="&lt;6in DSH for Tree Points",_xlpm.TreePoints_H=0),
Error!$B$21,
IF(AND(_xlpm.baseRow,$E798&lt;&gt;"",$D798&lt;&gt;"",$F798=""),
Error!$B$4,
IF(AND(_xlpm.baseRow,$F798="Remove",OR($E798="Tier 1",$E798="Tier 2",$E798="Tier 2 Grove"),COUNTBLANK(_xlpm.HRange)&lt;3,_xlpm.uniqueH&gt;=2),
Error!$B$48,
IF(AND(_xlpm.baseRow,$F798="Retain",OR($E798="Tier 1",$E798="Tier 2",$E798="Tier 2 Grove"),COUNTIF(_xlpm.HRange,"Tree Code: Required to Retain Tier 1-2 Tree")=0),
Error!$B$47,
IF(AND(_xlpm.baseRow,$E798&lt;&gt;"",$D798&lt;&gt;"",$F798&lt;&gt;"",COUNTBLANK(_xlpm.HRange)=4),
Error!$B$5,
IF(AND($F798="Remove",$H798&lt;&gt;"",$I798=""),
Error!$B$18,
IF(AND($E798="Tier 4",$F798="Remove",$H798="Tree Protection Code: Tier 3 or Tier 4 Allowance",$H798&lt;&gt;"",ISNA(MATCH($I798,Tables!$B$200,0))),
Error!$B$17,
IF(AND($E798="Tier 3",$F798="Remove",$H798&lt;&gt;"",$H798="Tree Protection Code: Tier 3 or Tier 4 Allowance",OR($I798="",ISNA(MATCH($I798,Tables!$B$193:$B$197,0)))),
Error!$B$17,
IF(AND(OR($E798="Tier 2",$E798="Tier 2 Grove"),$F798="Remove",$H798="Tree Protection Code: Other removal allowance or exemption",$I798&lt;&gt;"",ISNA(MATCH($I798,Tables!$B$215:$B$218,0))),
Error!$B$17,
IF(AND(OR($E798="Tier 2",$E798="Tier 2 Grove"),$F798="Remove",$H798="Tree Protection Code: Development Capacity",$I798&lt;&gt;"",ISNA(MATCH($I798,Tables!$B$193:$B$197,0))),
Error!$B$17,
IF(AND(OR($E798="Tier 2",$E798="Tier 2 Grove"),$F798="Remove",$H798="Tree Protection Code: Necessary for Construction",$I798&lt;&gt;"",ISNA(MATCH($I798,Tables!$B$193:$B$197,0))),
Error!$B$17,
IF(AND($E798="Tier 1",$F798="Remove",$H798="Tree Protection Code: Special Exception",$I798&lt;&gt;"",ISNA(MATCH($I798,Tables!$B$215:$B$218,0))),
Error!$B$17,
IF(AND($E798="Tier 1",$F798="Remove",$H798="Tree Protection Code: Other removal allowance or exemption",$I798&lt;&gt;"",ISNA(MATCH($I798,Tables!$B$215:$B$218,0))),
Error!$B$17,
IF(AND($E798="ECA / Shoreline Tree",$F798="Remove",$H798&lt;&gt;"",OR($H798="Shoreline",$H798="Environmental Critical Area (ECA)"),ISNA(MATCH($I798,Tables!$B$209:$B$212,0))),
Error!$B$17,
IF(AND(_xlpm.baseRow,$F798="Retain",$E798="ECA / Shoreline Tree",_xlpm.ECA_Short=0),
Error!$B$61,
IF(AND($F798="Remove",ISNUMBER(MATCH($E798,{"Tier 1","Tier 2","Tier 3","Tier 4","Tier 2 Grove"},0)),ISNUMBER(MATCH($I798,{"On-site replacement","Off-site replacement"},0)),$J798="",$H798&lt;&gt;""),
Error!$B$19,
IF(AND(_xlpm.baseRow,$E798&lt;&gt;"",$D798&lt;&gt;"",$F798&lt;&gt;"",COUNTBLANK($B798:$C798)&gt;0,COUNTBLANK(_xlpm.HRange)&lt;&gt;4),
Error!$B$22,
IF(AND($H798="Zoning: Tree Points",$K798&lt;&gt;"",ISNA(MATCH($K798,Tables!$B$242:$B$253,0))),
Error!$B$58,
IF(AND($H798="Zoning: Tree Points",$K798="Small",$L798&lt;&gt;"",ISNA(MATCH($L798,Tables!$C$243:$C$244,0))),
Error!$B$59,
IF(AND($H798="Zoning: Tree Points",$K798="Small/Medium",$L798&lt;&gt;"",ISNA(MATCH($L798,Tables!$C$246:$C$247,0))),
Error!$B$59,
IF(AND($H798="Zoning: Tree Points",$K798="Medium/Large",$L798&lt;&gt;"",ISNA(MATCH($L798,Tables!$C$249:$C$250,0))),
Error!$B$59,
IF(AND($H798="Zoning: Tree Points",$K798="Large",$L798&lt;&gt;"",ISNA(MATCH($L798,Tables!$C$252:$C$253,0))),
Error!$B$59,
IF(AND($F798="Retain",$H798="Zoning: Tree Points",$C798&lt;&gt;"",$D798&lt;&gt;"",OR($K798="",$L798="",$M798="")),
Error!$B$20,
""
)))))))))))))))))))))))))))))))))))))))))))))))))))))))),
Error!$B$23))</f>
        <v/>
      </c>
      <c r="O798" s="343" t="str" cm="1">
        <f t="array" aca="1" ref="O798" ca="1">IFERROR(_xlfn.LET(
    _xlpm.txt, $C798,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99" spans="1:15" ht="15" thickBot="1" x14ac:dyDescent="0.35">
      <c r="A799" s="311">
        <v>198</v>
      </c>
      <c r="B799" s="312"/>
      <c r="C799" s="313"/>
      <c r="D799" s="478"/>
      <c r="E799" s="314"/>
      <c r="F799" s="314"/>
      <c r="G799" s="315" t="str">
        <f>IF(Tree_Table1[[#This Row],[Tree Status  &amp;]]="Retain", Tables!$B$237, IF(Tree_Table1[[#This Row],[Tree Status  &amp;]]="Remove", Tables!$B$238, ""))</f>
        <v/>
      </c>
      <c r="H799" s="316"/>
      <c r="I799" s="317"/>
      <c r="J799" s="452"/>
      <c r="K799" s="318" t="str">
        <f>IFERROR(
    IF(
        AND($H799="Zoning: Tree Points", NOT(ISNUMBER(SEARCH("sp.", $C799)))),
        VLOOKUP($C799, 'Tree List'!$C$3:$F$601, 4, FALSE),
        ""
    ),
"")</f>
        <v/>
      </c>
      <c r="L799" s="319" t="str" cm="1">
        <f t="array" ref="L799">IFERROR(
IF(
    AND($H799="Zoning: Tree Points", NOT(ISNUMBER(SEARCH("sp.", $C799)))),
    _xlfn.IFS(
        (COUNTIFS('Tree List'!$C$3:$C$601,$C799,'Tree List'!$D$3:$D$601,"Coniferous")
        + COUNTIFS('Tree List'!$C$3:$C$601,$C799,'Tree List'!$D$3:$D$601,"Deciduous Conifer")) &gt; 0,
            _xlfn.IFS($K799="Small",0.5,$K799="Small/Medium",1,$K799="Medium/Large",1.4,$K799="Large",1.8),
        (COUNTIFS('Tree List'!$C$3:$C$601,$C799,'Tree List'!$D$3:$D$601,"Deciduous")
        + COUNTIFS('Tree List'!$C$3:$C$601,$C799,'Tree List'!$D$3:$D$601,"Broadleaf Evergreen")) &gt; 0,
            _xlfn.IFS($K799="Small",0.4,$K799="Small/Medium",0.8,$K799="Medium/Large",1.2,$K799="Large",1.6)
    ),
    ""
),
"")</f>
        <v/>
      </c>
      <c r="M799" s="474" t="str">
        <f t="shared" si="897"/>
        <v/>
      </c>
      <c r="N799" s="620" t="str" cm="1">
        <f t="array" aca="1" ref="N79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IF(AND(_xlpm.baseRow,ISNA(MATCH($C799,'Tree List'!$C$3:$C$601,0)),SUMPRODUCT(--ISNUMBER(SEARCH(Tables2!$C$677:$C$772,$O799)))&gt;0),
Error!$B$57,
IF(AND(_xlpm.hasDM,$F799="Remove",$H799&lt;&gt;"",OR($I799="On-site replacement",$I799="Off-site replacement",$I799="Payment In Lieu")),
Error!$B$56,
IF(AND(_xlpm.hasDM,$F799="Remove",$H799&lt;&gt;"",$I799="Relocation"),
Error!$B$66,
IF(AND(OR(_xlpm.hasCN,_xlpm.hasPH,_xlpm.hasGR),$H799&lt;&gt;"",COUNTIF(Tables!$B$132:$B$134,$H799)&gt;0,$I799="N/A (No replacement required)"),
Error!$B$62,
IF(AND(_xlpm.baseRow,$E799&lt;&gt;"",ISNA(MATCH($E799,Tables!$B$225:$B$232,0))),
Error!$B$2,
IF(AND(_xlpm.baseRow,$F799&lt;&gt;"",ISNA(MATCH($F799,Tables!$B$234:$B$235,0))),
Error!$B$24,
IF(AND(_xlpm.baseRow,_xlpm.ECA_H&gt;0,_xlpm.Shore_H&gt;0),
Error!$B$16,
IF(AND(_xlpm.baseRow,$E799&lt;&gt;"",$D799=""),
Error!$B$3,
IF(AND(_xlpm.baseRow,OR($E799="Tier 3",$E799="Tier 4"),$C799&lt;&gt;"",$D799&gt;=24,COUNTIF(Tables2!$B$166:$B$674,$C799)&gt;0),
Error!$B$44,
IF(AND(_xlpm.baseRow,OR($E799="Tier 3",$E799="Tier 4"),$C799&lt;&gt;"",$D799&lt;&gt;"",COUNTIF(Tables2!$B$73:$B$152,$C799)&gt;0,
$D799&gt;=IFERROR(INDEX(Tables2!$C$73:$C$152,MATCH($C799,Tables2!$B$73:$B$152,0)),-1)),
Error!$B$44,
IF(AND(_xlpm.baseRow,OR($E799="Tier 2",$E799="Tier 2 Grove"),$C799&lt;&gt;"",$D799&gt;=12,COUNTIF(Tables2!$B$153:$B$162,$C799)&gt;0),
Error!$B$45,
IF(AND(_xlpm.baseRow,$E799="Tier 2 Grove",$D799&lt;12),
Error!$B$41,
IF(AND(_xlpm.baseRow,$E799="Tier 2",$D799&lt;5.88),
Error!$B$40,
IF(AND(_xlpm.baseRow,OR($E799="Tier 2",$E799="Tier 2 Grove"),$C799&lt;&gt;"",$D799&lt;12,$D799&gt;=6,COUNTIF(Tables2!$B$153:$B$162,$C799)&gt;0),
Error!$B$54,
IF(AND(_xlpm.baseRow,$E799="Tier 2",COUNTIF(Tables2!$B$166:$B$674,$C799)&gt;0,$D799&lt;24),
Error!$B$54,
IF(AND(_xlpm.baseRow,$E799="Tier 3",ISNA(MATCH($C799,Tables2!$B$153:$B$162,0)),OR($D799&lt;12,$D799&gt;=24)),
Error!$B$9,
IF(AND(_xlpm.baseRow,$E799="Tier 3",COUNTIF(Tables2!$B$153:$B$162,$C799)&gt;0,$D799&lt;12),
Error!$B$46,
IF(AND(_xlpm.baseRow,$E799="Tier 4",OR($D799&lt;6,$D799&gt;=12)),
Error!$B$10,
IF(AND(_xlpm.baseRow,$E799="&lt;6in DSH for Tree Points",OR($D799&gt;=6,$D799="")),
Error!$B$8,
IF(AND(_xlpm.baseRow,$E799="Street Tree for Green Factor",$F799&lt;&gt;"",$F799&lt;&gt;"Retain"),
Error!$B$14,
IF(AND($E799="&lt;6in DSH for Tree Points",$F799="Retain",$H799&lt;&gt;"",ISNA(MATCH($H799,Tables!$B$174:$B$174,0))),
Error!$B$15,
IF(AND($E799="Street Tree for Green Factor",$F799="Retain",$H799&lt;&gt;"",$H799&lt;&gt;"Zoning: Green Factor"),
Error!$B$15,
IF(AND($E799="ECA / Shoreline Tree",$F799="Remove",$H799&lt;&gt;"",ISNA(MATCH($H799,Tables!$B$189:$B$190,0))),
Error!$B$15,
IF(AND($E799="ECA / Shoreline Tree",$F799="Retain",$H799&lt;&gt;"",ISNA(MATCH($H799,Tables!$B$184:$B$186,0))),
Error!$B$15,
IF(AND($E799="Tier 4",$F799="Remove",$H799&lt;&gt;"",ISNA(MATCH($H799,Tables!$B$171,0))),
Error!$B$15,
IF(AND($E799="Tier 4",$F799="Retain",$H799&lt;&gt;"",ISNA(MATCH($H799,Tables!$B$166:$B$168,0))),
Error!$B$15,
IF(AND($E799="Tier 3",$F799="Retain",$H799&lt;&gt;"",ISNA(MATCH($H799,Tables!$B$158:$B$160,0))),
Error!$B$15,
IF(AND($E799="Tier 3",$F799="Remove",$H799&lt;&gt;"",ISNA(MATCH($H799,Tables!$B$163,0))),
Error!$B$15,
IF(AND(OR($E799="Tier 2",$E799="Tier 2 Grove"),$F799="Remove",$H799&lt;&gt;"",ISNA(MATCH($H799,Tables!$B$153:$B$155,0))),
Error!$B$15,
IF(AND(OR($E799="Tier 2",$E799="Tier 2 Grove"),$F799="Retain",$H799&lt;&gt;"",ISNA(MATCH($H799,Tables!$B$147:$B$150,0))),
Error!$B$15,
IF(AND($E799="Tier 1",$F799="Remove",$H799&lt;&gt;"",ISNA(MATCH($H799,Tables!$B$143:$B$144,0))),
Error!$B$15,
IF(AND($E799="Tier 1",$F799="Retain",$H799&lt;&gt;"",ISNA(MATCH($H799,Tables!$B$137:$B$140,0))),
Error!$B$15,
IF(AND($E799&lt;&gt;"Tier 2",$E799&lt;&gt;"Tier 2 Grove",$E799&lt;&gt;"Tier 3",$E799&lt;&gt;"Tier 4",$H799="Zoning: Green Factor",OR($D799="",$D799&lt;6)),
Error!$B$11,
IF(AND(_xlpm.baseRow,$D799&lt;6,$E799="&lt;6in DSH for Tree Points",_xlpm.TreePoints_H=0),
Error!$B$21,
IF(AND(_xlpm.baseRow,$E799&lt;&gt;"",$D799&lt;&gt;"",$F799=""),
Error!$B$4,
IF(AND(_xlpm.baseRow,$F799="Remove",OR($E799="Tier 1",$E799="Tier 2",$E799="Tier 2 Grove"),COUNTBLANK(_xlpm.HRange)&lt;3,_xlpm.uniqueH&gt;=2),
Error!$B$48,
IF(AND(_xlpm.baseRow,$F799="Retain",OR($E799="Tier 1",$E799="Tier 2",$E799="Tier 2 Grove"),COUNTIF(_xlpm.HRange,"Tree Code: Required to Retain Tier 1-2 Tree")=0),
Error!$B$47,
IF(AND(_xlpm.baseRow,$E799&lt;&gt;"",$D799&lt;&gt;"",$F799&lt;&gt;"",COUNTBLANK(_xlpm.HRange)=4),
Error!$B$5,
IF(AND($F799="Remove",$H799&lt;&gt;"",$I799=""),
Error!$B$18,
IF(AND($E799="Tier 4",$F799="Remove",$H799="Tree Protection Code: Tier 3 or Tier 4 Allowance",$H799&lt;&gt;"",ISNA(MATCH($I799,Tables!$B$200,0))),
Error!$B$17,
IF(AND($E799="Tier 3",$F799="Remove",$H799&lt;&gt;"",$H799="Tree Protection Code: Tier 3 or Tier 4 Allowance",OR($I799="",ISNA(MATCH($I799,Tables!$B$193:$B$197,0)))),
Error!$B$17,
IF(AND(OR($E799="Tier 2",$E799="Tier 2 Grove"),$F799="Remove",$H799="Tree Protection Code: Other removal allowance or exemption",$I799&lt;&gt;"",ISNA(MATCH($I799,Tables!$B$215:$B$218,0))),
Error!$B$17,
IF(AND(OR($E799="Tier 2",$E799="Tier 2 Grove"),$F799="Remove",$H799="Tree Protection Code: Development Capacity",$I799&lt;&gt;"",ISNA(MATCH($I799,Tables!$B$193:$B$197,0))),
Error!$B$17,
IF(AND(OR($E799="Tier 2",$E799="Tier 2 Grove"),$F799="Remove",$H799="Tree Protection Code: Necessary for Construction",$I799&lt;&gt;"",ISNA(MATCH($I799,Tables!$B$193:$B$197,0))),
Error!$B$17,
IF(AND($E799="Tier 1",$F799="Remove",$H799="Tree Protection Code: Special Exception",$I799&lt;&gt;"",ISNA(MATCH($I799,Tables!$B$215:$B$218,0))),
Error!$B$17,
IF(AND($E799="Tier 1",$F799="Remove",$H799="Tree Protection Code: Other removal allowance or exemption",$I799&lt;&gt;"",ISNA(MATCH($I799,Tables!$B$215:$B$218,0))),
Error!$B$17,
IF(AND($E799="ECA / Shoreline Tree",$F799="Remove",$H799&lt;&gt;"",OR($H799="Shoreline",$H799="Environmental Critical Area (ECA)"),ISNA(MATCH($I799,Tables!$B$209:$B$212,0))),
Error!$B$17,
IF(AND(_xlpm.baseRow,$F799="Retain",$E799="ECA / Shoreline Tree",_xlpm.ECA_Short=0),
Error!$B$61,
IF(AND($F799="Remove",ISNUMBER(MATCH($E799,{"Tier 1","Tier 2","Tier 3","Tier 4","Tier 2 Grove"},0)),ISNUMBER(MATCH($I799,{"On-site replacement","Off-site replacement"},0)),$J799="",$H799&lt;&gt;""),
Error!$B$19,
IF(AND(_xlpm.baseRow,$E799&lt;&gt;"",$D799&lt;&gt;"",$F799&lt;&gt;"",COUNTBLANK($B799:$C799)&gt;0,COUNTBLANK(_xlpm.HRange)&lt;&gt;4),
Error!$B$22,
IF(AND($H799="Zoning: Tree Points",$K799&lt;&gt;"",ISNA(MATCH($K799,Tables!$B$242:$B$253,0))),
Error!$B$58,
IF(AND($H799="Zoning: Tree Points",$K799="Small",$L799&lt;&gt;"",ISNA(MATCH($L799,Tables!$C$243:$C$244,0))),
Error!$B$59,
IF(AND($H799="Zoning: Tree Points",$K799="Small/Medium",$L799&lt;&gt;"",ISNA(MATCH($L799,Tables!$C$246:$C$247,0))),
Error!$B$59,
IF(AND($H799="Zoning: Tree Points",$K799="Medium/Large",$L799&lt;&gt;"",ISNA(MATCH($L799,Tables!$C$249:$C$250,0))),
Error!$B$59,
IF(AND($H799="Zoning: Tree Points",$K799="Large",$L799&lt;&gt;"",ISNA(MATCH($L799,Tables!$C$252:$C$253,0))),
Error!$B$59,
IF(AND($F799="Retain",$H799="Zoning: Tree Points",$C799&lt;&gt;"",$D799&lt;&gt;"",OR($K799="",$L799="",$M799="")),
Error!$B$20,
""
)))))))))))))))))))))))))))))))))))))))))))))))))))))))),
Error!$B$23))</f>
        <v/>
      </c>
      <c r="O799" s="343" t="str" cm="1">
        <f t="array" aca="1" ref="O799" ca="1">IFERROR(_xlfn.LET(
    _xlpm.txt, $C799,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00" spans="1:15" x14ac:dyDescent="0.3">
      <c r="A800" s="320"/>
      <c r="B800" s="616" t="str">
        <f t="shared" ref="B800:B802" si="953">IF($B799="", "", $B799)</f>
        <v/>
      </c>
      <c r="C800" s="617" t="str">
        <f t="shared" ref="C800:C802" si="954">IF($C799="", "", $C799)</f>
        <v/>
      </c>
      <c r="D800" s="618" t="str">
        <f t="shared" ref="D800:D802" si="955">IF($D799="", "", $D799)</f>
        <v/>
      </c>
      <c r="E800" s="616" t="str">
        <f t="shared" ref="E800:E802" si="956">IF($E799="", "", $E799)</f>
        <v/>
      </c>
      <c r="F800" s="616" t="str">
        <f t="shared" ref="F800:F802" si="957">IF($F799="", "", $F799)</f>
        <v/>
      </c>
      <c r="G800" s="619" t="str">
        <f>IF(Tree_Table1[[#This Row],[Tree Status  &amp;]]="Retain", Tables!$B$237, IF(Tree_Table1[[#This Row],[Tree Status  &amp;]]="Remove", Tables!$B$238, ""))</f>
        <v/>
      </c>
      <c r="H800" s="321"/>
      <c r="I800" s="322"/>
      <c r="J800" s="453"/>
      <c r="K800" s="323" t="str">
        <f>IFERROR(
    IF(
        AND($H800="Zoning: Tree Points", NOT(ISNUMBER(SEARCH("sp.", $C800)))),
        VLOOKUP($C800, 'Tree List'!$C$3:$F$601, 4, FALSE),
        ""
    ),
"")</f>
        <v/>
      </c>
      <c r="L800" s="324" t="str" cm="1">
        <f t="array" ref="L800">IFERROR(
IF(
    AND($H800="Zoning: Tree Points", NOT(ISNUMBER(SEARCH("sp.", $C800)))),
    _xlfn.IFS(
        (COUNTIFS('Tree List'!$C$3:$C$601,$C800,'Tree List'!$D$3:$D$601,"Coniferous")
        + COUNTIFS('Tree List'!$C$3:$C$601,$C800,'Tree List'!$D$3:$D$601,"Deciduous Conifer")) &gt; 0,
            _xlfn.IFS($K800="Small",0.5,$K800="Small/Medium",1,$K800="Medium/Large",1.4,$K800="Large",1.8),
        (COUNTIFS('Tree List'!$C$3:$C$601,$C800,'Tree List'!$D$3:$D$601,"Deciduous")
        + COUNTIFS('Tree List'!$C$3:$C$601,$C800,'Tree List'!$D$3:$D$601,"Broadleaf Evergreen")) &gt; 0,
            _xlfn.IFS($K800="Small",0.4,$K800="Small/Medium",0.8,$K800="Medium/Large",1.2,$K800="Large",1.6)
    ),
    ""
),
"")</f>
        <v/>
      </c>
      <c r="M800" s="475" t="str">
        <f t="shared" si="897"/>
        <v/>
      </c>
      <c r="N800" s="346" t="str" cm="1">
        <f t="array" aca="1" ref="N80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IF(AND(_xlpm.baseRow,ISNA(MATCH($C800,'Tree List'!$C$3:$C$601,0)),SUMPRODUCT(--ISNUMBER(SEARCH(Tables2!$C$677:$C$772,$O800)))&gt;0),
Error!$B$57,
IF(AND(_xlpm.hasDM,$F800="Remove",$H800&lt;&gt;"",OR($I800="On-site replacement",$I800="Off-site replacement",$I800="Payment In Lieu")),
Error!$B$56,
IF(AND(_xlpm.hasDM,$F800="Remove",$H800&lt;&gt;"",$I800="Relocation"),
Error!$B$66,
IF(AND(OR(_xlpm.hasCN,_xlpm.hasPH,_xlpm.hasGR),$H800&lt;&gt;"",COUNTIF(Tables!$B$132:$B$134,$H800)&gt;0,$I800="N/A (No replacement required)"),
Error!$B$62,
IF(AND(_xlpm.baseRow,$E800&lt;&gt;"",ISNA(MATCH($E800,Tables!$B$225:$B$232,0))),
Error!$B$2,
IF(AND(_xlpm.baseRow,$F800&lt;&gt;"",ISNA(MATCH($F800,Tables!$B$234:$B$235,0))),
Error!$B$24,
IF(AND(_xlpm.baseRow,_xlpm.ECA_H&gt;0,_xlpm.Shore_H&gt;0),
Error!$B$16,
IF(AND(_xlpm.baseRow,$E800&lt;&gt;"",$D800=""),
Error!$B$3,
IF(AND(_xlpm.baseRow,OR($E800="Tier 3",$E800="Tier 4"),$C800&lt;&gt;"",$D800&gt;=24,COUNTIF(Tables2!$B$166:$B$674,$C800)&gt;0),
Error!$B$44,
IF(AND(_xlpm.baseRow,OR($E800="Tier 3",$E800="Tier 4"),$C800&lt;&gt;"",$D800&lt;&gt;"",COUNTIF(Tables2!$B$73:$B$152,$C800)&gt;0,
$D800&gt;=IFERROR(INDEX(Tables2!$C$73:$C$152,MATCH($C800,Tables2!$B$73:$B$152,0)),-1)),
Error!$B$44,
IF(AND(_xlpm.baseRow,OR($E800="Tier 2",$E800="Tier 2 Grove"),$C800&lt;&gt;"",$D800&gt;=12,COUNTIF(Tables2!$B$153:$B$162,$C800)&gt;0),
Error!$B$45,
IF(AND(_xlpm.baseRow,$E800="Tier 2 Grove",$D800&lt;12),
Error!$B$41,
IF(AND(_xlpm.baseRow,$E800="Tier 2",$D800&lt;5.88),
Error!$B$40,
IF(AND(_xlpm.baseRow,OR($E800="Tier 2",$E800="Tier 2 Grove"),$C800&lt;&gt;"",$D800&lt;12,$D800&gt;=6,COUNTIF(Tables2!$B$153:$B$162,$C800)&gt;0),
Error!$B$54,
IF(AND(_xlpm.baseRow,$E800="Tier 2",COUNTIF(Tables2!$B$166:$B$674,$C800)&gt;0,$D800&lt;24),
Error!$B$54,
IF(AND(_xlpm.baseRow,$E800="Tier 3",ISNA(MATCH($C800,Tables2!$B$153:$B$162,0)),OR($D800&lt;12,$D800&gt;=24)),
Error!$B$9,
IF(AND(_xlpm.baseRow,$E800="Tier 3",COUNTIF(Tables2!$B$153:$B$162,$C800)&gt;0,$D800&lt;12),
Error!$B$46,
IF(AND(_xlpm.baseRow,$E800="Tier 4",OR($D800&lt;6,$D800&gt;=12)),
Error!$B$10,
IF(AND(_xlpm.baseRow,$E800="&lt;6in DSH for Tree Points",OR($D800&gt;=6,$D800="")),
Error!$B$8,
IF(AND(_xlpm.baseRow,$E800="Street Tree for Green Factor",$F800&lt;&gt;"",$F800&lt;&gt;"Retain"),
Error!$B$14,
IF(AND($E800="&lt;6in DSH for Tree Points",$F800="Retain",$H800&lt;&gt;"",ISNA(MATCH($H800,Tables!$B$174:$B$174,0))),
Error!$B$15,
IF(AND($E800="Street Tree for Green Factor",$F800="Retain",$H800&lt;&gt;"",$H800&lt;&gt;"Zoning: Green Factor"),
Error!$B$15,
IF(AND($E800="ECA / Shoreline Tree",$F800="Remove",$H800&lt;&gt;"",ISNA(MATCH($H800,Tables!$B$189:$B$190,0))),
Error!$B$15,
IF(AND($E800="ECA / Shoreline Tree",$F800="Retain",$H800&lt;&gt;"",ISNA(MATCH($H800,Tables!$B$184:$B$186,0))),
Error!$B$15,
IF(AND($E800="Tier 4",$F800="Remove",$H800&lt;&gt;"",ISNA(MATCH($H800,Tables!$B$171,0))),
Error!$B$15,
IF(AND($E800="Tier 4",$F800="Retain",$H800&lt;&gt;"",ISNA(MATCH($H800,Tables!$B$166:$B$168,0))),
Error!$B$15,
IF(AND($E800="Tier 3",$F800="Retain",$H800&lt;&gt;"",ISNA(MATCH($H800,Tables!$B$158:$B$160,0))),
Error!$B$15,
IF(AND($E800="Tier 3",$F800="Remove",$H800&lt;&gt;"",ISNA(MATCH($H800,Tables!$B$163,0))),
Error!$B$15,
IF(AND(OR($E800="Tier 2",$E800="Tier 2 Grove"),$F800="Remove",$H800&lt;&gt;"",ISNA(MATCH($H800,Tables!$B$153:$B$155,0))),
Error!$B$15,
IF(AND(OR($E800="Tier 2",$E800="Tier 2 Grove"),$F800="Retain",$H800&lt;&gt;"",ISNA(MATCH($H800,Tables!$B$147:$B$150,0))),
Error!$B$15,
IF(AND($E800="Tier 1",$F800="Remove",$H800&lt;&gt;"",ISNA(MATCH($H800,Tables!$B$143:$B$144,0))),
Error!$B$15,
IF(AND($E800="Tier 1",$F800="Retain",$H800&lt;&gt;"",ISNA(MATCH($H800,Tables!$B$137:$B$140,0))),
Error!$B$15,
IF(AND($E800&lt;&gt;"Tier 2",$E800&lt;&gt;"Tier 2 Grove",$E800&lt;&gt;"Tier 3",$E800&lt;&gt;"Tier 4",$H800="Zoning: Green Factor",OR($D800="",$D800&lt;6)),
Error!$B$11,
IF(AND(_xlpm.baseRow,$D800&lt;6,$E800="&lt;6in DSH for Tree Points",_xlpm.TreePoints_H=0),
Error!$B$21,
IF(AND(_xlpm.baseRow,$E800&lt;&gt;"",$D800&lt;&gt;"",$F800=""),
Error!$B$4,
IF(AND(_xlpm.baseRow,$F800="Remove",OR($E800="Tier 1",$E800="Tier 2",$E800="Tier 2 Grove"),COUNTBLANK(_xlpm.HRange)&lt;3,_xlpm.uniqueH&gt;=2),
Error!$B$48,
IF(AND(_xlpm.baseRow,$F800="Retain",OR($E800="Tier 1",$E800="Tier 2",$E800="Tier 2 Grove"),COUNTIF(_xlpm.HRange,"Tree Code: Required to Retain Tier 1-2 Tree")=0),
Error!$B$47,
IF(AND(_xlpm.baseRow,$E800&lt;&gt;"",$D800&lt;&gt;"",$F800&lt;&gt;"",COUNTBLANK(_xlpm.HRange)=4),
Error!$B$5,
IF(AND($F800="Remove",$H800&lt;&gt;"",$I800=""),
Error!$B$18,
IF(AND($E800="Tier 4",$F800="Remove",$H800="Tree Protection Code: Tier 3 or Tier 4 Allowance",$H800&lt;&gt;"",ISNA(MATCH($I800,Tables!$B$200,0))),
Error!$B$17,
IF(AND($E800="Tier 3",$F800="Remove",$H800&lt;&gt;"",$H800="Tree Protection Code: Tier 3 or Tier 4 Allowance",OR($I800="",ISNA(MATCH($I800,Tables!$B$193:$B$197,0)))),
Error!$B$17,
IF(AND(OR($E800="Tier 2",$E800="Tier 2 Grove"),$F800="Remove",$H800="Tree Protection Code: Other removal allowance or exemption",$I800&lt;&gt;"",ISNA(MATCH($I800,Tables!$B$215:$B$218,0))),
Error!$B$17,
IF(AND(OR($E800="Tier 2",$E800="Tier 2 Grove"),$F800="Remove",$H800="Tree Protection Code: Development Capacity",$I800&lt;&gt;"",ISNA(MATCH($I800,Tables!$B$193:$B$197,0))),
Error!$B$17,
IF(AND(OR($E800="Tier 2",$E800="Tier 2 Grove"),$F800="Remove",$H800="Tree Protection Code: Necessary for Construction",$I800&lt;&gt;"",ISNA(MATCH($I800,Tables!$B$193:$B$197,0))),
Error!$B$17,
IF(AND($E800="Tier 1",$F800="Remove",$H800="Tree Protection Code: Special Exception",$I800&lt;&gt;"",ISNA(MATCH($I800,Tables!$B$215:$B$218,0))),
Error!$B$17,
IF(AND($E800="Tier 1",$F800="Remove",$H800="Tree Protection Code: Other removal allowance or exemption",$I800&lt;&gt;"",ISNA(MATCH($I800,Tables!$B$215:$B$218,0))),
Error!$B$17,
IF(AND($E800="ECA / Shoreline Tree",$F800="Remove",$H800&lt;&gt;"",OR($H800="Shoreline",$H800="Environmental Critical Area (ECA)"),ISNA(MATCH($I800,Tables!$B$209:$B$212,0))),
Error!$B$17,
IF(AND(_xlpm.baseRow,$F800="Retain",$E800="ECA / Shoreline Tree",_xlpm.ECA_Short=0),
Error!$B$61,
IF(AND($F800="Remove",ISNUMBER(MATCH($E800,{"Tier 1","Tier 2","Tier 3","Tier 4","Tier 2 Grove"},0)),ISNUMBER(MATCH($I800,{"On-site replacement","Off-site replacement"},0)),$J800="",$H800&lt;&gt;""),
Error!$B$19,
IF(AND(_xlpm.baseRow,$E800&lt;&gt;"",$D800&lt;&gt;"",$F800&lt;&gt;"",COUNTBLANK($B800:$C800)&gt;0,COUNTBLANK(_xlpm.HRange)&lt;&gt;4),
Error!$B$22,
IF(AND($H800="Zoning: Tree Points",$K800&lt;&gt;"",ISNA(MATCH($K800,Tables!$B$242:$B$253,0))),
Error!$B$58,
IF(AND($H800="Zoning: Tree Points",$K800="Small",$L800&lt;&gt;"",ISNA(MATCH($L800,Tables!$C$243:$C$244,0))),
Error!$B$59,
IF(AND($H800="Zoning: Tree Points",$K800="Small/Medium",$L800&lt;&gt;"",ISNA(MATCH($L800,Tables!$C$246:$C$247,0))),
Error!$B$59,
IF(AND($H800="Zoning: Tree Points",$K800="Medium/Large",$L800&lt;&gt;"",ISNA(MATCH($L800,Tables!$C$249:$C$250,0))),
Error!$B$59,
IF(AND($H800="Zoning: Tree Points",$K800="Large",$L800&lt;&gt;"",ISNA(MATCH($L800,Tables!$C$252:$C$253,0))),
Error!$B$59,
IF(AND($F800="Retain",$H800="Zoning: Tree Points",$C800&lt;&gt;"",$D800&lt;&gt;"",OR($K800="",$L800="",$M800="")),
Error!$B$20,
""
)))))))))))))))))))))))))))))))))))))))))))))))))))))))),
Error!$B$23))</f>
        <v/>
      </c>
      <c r="O800" s="343" t="str" cm="1">
        <f t="array" aca="1" ref="O800" ca="1">IFERROR(_xlfn.LET(
    _xlpm.txt, $C800,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01" spans="1:15" x14ac:dyDescent="0.3">
      <c r="A801" s="320"/>
      <c r="B801" s="616" t="str">
        <f t="shared" si="953"/>
        <v/>
      </c>
      <c r="C801" s="617" t="str">
        <f t="shared" si="954"/>
        <v/>
      </c>
      <c r="D801" s="618" t="str">
        <f t="shared" si="955"/>
        <v/>
      </c>
      <c r="E801" s="616" t="str">
        <f t="shared" si="956"/>
        <v/>
      </c>
      <c r="F801" s="616" t="str">
        <f t="shared" si="957"/>
        <v/>
      </c>
      <c r="G801" s="619" t="str">
        <f>IF(Tree_Table1[[#This Row],[Tree Status  &amp;]]="Retain", Tables!$B$237, IF(Tree_Table1[[#This Row],[Tree Status  &amp;]]="Remove", Tables!$B$238, ""))</f>
        <v/>
      </c>
      <c r="H801" s="321"/>
      <c r="I801" s="322"/>
      <c r="J801" s="453"/>
      <c r="K801" s="323" t="str">
        <f>IFERROR(
    IF(
        AND($H801="Zoning: Tree Points", NOT(ISNUMBER(SEARCH("sp.", $C801)))),
        VLOOKUP($C801, 'Tree List'!$C$3:$F$601, 4, FALSE),
        ""
    ),
"")</f>
        <v/>
      </c>
      <c r="L801" s="324" t="str" cm="1">
        <f t="array" ref="L801">IFERROR(
IF(
    AND($H801="Zoning: Tree Points", NOT(ISNUMBER(SEARCH("sp.", $C801)))),
    _xlfn.IFS(
        (COUNTIFS('Tree List'!$C$3:$C$601,$C801,'Tree List'!$D$3:$D$601,"Coniferous")
        + COUNTIFS('Tree List'!$C$3:$C$601,$C801,'Tree List'!$D$3:$D$601,"Deciduous Conifer")) &gt; 0,
            _xlfn.IFS($K801="Small",0.5,$K801="Small/Medium",1,$K801="Medium/Large",1.4,$K801="Large",1.8),
        (COUNTIFS('Tree List'!$C$3:$C$601,$C801,'Tree List'!$D$3:$D$601,"Deciduous")
        + COUNTIFS('Tree List'!$C$3:$C$601,$C801,'Tree List'!$D$3:$D$601,"Broadleaf Evergreen")) &gt; 0,
            _xlfn.IFS($K801="Small",0.4,$K801="Small/Medium",0.8,$K801="Medium/Large",1.2,$K801="Large",1.6)
    ),
    ""
),
"")</f>
        <v/>
      </c>
      <c r="M801" s="475" t="str">
        <f t="shared" si="897"/>
        <v/>
      </c>
      <c r="N801" s="346" t="str" cm="1">
        <f t="array" aca="1" ref="N801"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IF(AND(_xlpm.baseRow,ISNA(MATCH($C801,'Tree List'!$C$3:$C$601,0)),SUMPRODUCT(--ISNUMBER(SEARCH(Tables2!$C$677:$C$772,$O801)))&gt;0),
Error!$B$57,
IF(AND(_xlpm.hasDM,$F801="Remove",$H801&lt;&gt;"",OR($I801="On-site replacement",$I801="Off-site replacement",$I801="Payment In Lieu")),
Error!$B$56,
IF(AND(_xlpm.hasDM,$F801="Remove",$H801&lt;&gt;"",$I801="Relocation"),
Error!$B$66,
IF(AND(OR(_xlpm.hasCN,_xlpm.hasPH,_xlpm.hasGR),$H801&lt;&gt;"",COUNTIF(Tables!$B$132:$B$134,$H801)&gt;0,$I801="N/A (No replacement required)"),
Error!$B$62,
IF(AND(_xlpm.baseRow,$E801&lt;&gt;"",ISNA(MATCH($E801,Tables!$B$225:$B$232,0))),
Error!$B$2,
IF(AND(_xlpm.baseRow,$F801&lt;&gt;"",ISNA(MATCH($F801,Tables!$B$234:$B$235,0))),
Error!$B$24,
IF(AND(_xlpm.baseRow,_xlpm.ECA_H&gt;0,_xlpm.Shore_H&gt;0),
Error!$B$16,
IF(AND(_xlpm.baseRow,$E801&lt;&gt;"",$D801=""),
Error!$B$3,
IF(AND(_xlpm.baseRow,OR($E801="Tier 3",$E801="Tier 4"),$C801&lt;&gt;"",$D801&gt;=24,COUNTIF(Tables2!$B$166:$B$674,$C801)&gt;0),
Error!$B$44,
IF(AND(_xlpm.baseRow,OR($E801="Tier 3",$E801="Tier 4"),$C801&lt;&gt;"",$D801&lt;&gt;"",COUNTIF(Tables2!$B$73:$B$152,$C801)&gt;0,
$D801&gt;=IFERROR(INDEX(Tables2!$C$73:$C$152,MATCH($C801,Tables2!$B$73:$B$152,0)),-1)),
Error!$B$44,
IF(AND(_xlpm.baseRow,OR($E801="Tier 2",$E801="Tier 2 Grove"),$C801&lt;&gt;"",$D801&gt;=12,COUNTIF(Tables2!$B$153:$B$162,$C801)&gt;0),
Error!$B$45,
IF(AND(_xlpm.baseRow,$E801="Tier 2 Grove",$D801&lt;12),
Error!$B$41,
IF(AND(_xlpm.baseRow,$E801="Tier 2",$D801&lt;5.88),
Error!$B$40,
IF(AND(_xlpm.baseRow,OR($E801="Tier 2",$E801="Tier 2 Grove"),$C801&lt;&gt;"",$D801&lt;12,$D801&gt;=6,COUNTIF(Tables2!$B$153:$B$162,$C801)&gt;0),
Error!$B$54,
IF(AND(_xlpm.baseRow,$E801="Tier 2",COUNTIF(Tables2!$B$166:$B$674,$C801)&gt;0,$D801&lt;24),
Error!$B$54,
IF(AND(_xlpm.baseRow,$E801="Tier 3",ISNA(MATCH($C801,Tables2!$B$153:$B$162,0)),OR($D801&lt;12,$D801&gt;=24)),
Error!$B$9,
IF(AND(_xlpm.baseRow,$E801="Tier 3",COUNTIF(Tables2!$B$153:$B$162,$C801)&gt;0,$D801&lt;12),
Error!$B$46,
IF(AND(_xlpm.baseRow,$E801="Tier 4",OR($D801&lt;6,$D801&gt;=12)),
Error!$B$10,
IF(AND(_xlpm.baseRow,$E801="&lt;6in DSH for Tree Points",OR($D801&gt;=6,$D801="")),
Error!$B$8,
IF(AND(_xlpm.baseRow,$E801="Street Tree for Green Factor",$F801&lt;&gt;"",$F801&lt;&gt;"Retain"),
Error!$B$14,
IF(AND($E801="&lt;6in DSH for Tree Points",$F801="Retain",$H801&lt;&gt;"",ISNA(MATCH($H801,Tables!$B$174:$B$174,0))),
Error!$B$15,
IF(AND($E801="Street Tree for Green Factor",$F801="Retain",$H801&lt;&gt;"",$H801&lt;&gt;"Zoning: Green Factor"),
Error!$B$15,
IF(AND($E801="ECA / Shoreline Tree",$F801="Remove",$H801&lt;&gt;"",ISNA(MATCH($H801,Tables!$B$189:$B$190,0))),
Error!$B$15,
IF(AND($E801="ECA / Shoreline Tree",$F801="Retain",$H801&lt;&gt;"",ISNA(MATCH($H801,Tables!$B$184:$B$186,0))),
Error!$B$15,
IF(AND($E801="Tier 4",$F801="Remove",$H801&lt;&gt;"",ISNA(MATCH($H801,Tables!$B$171,0))),
Error!$B$15,
IF(AND($E801="Tier 4",$F801="Retain",$H801&lt;&gt;"",ISNA(MATCH($H801,Tables!$B$166:$B$168,0))),
Error!$B$15,
IF(AND($E801="Tier 3",$F801="Retain",$H801&lt;&gt;"",ISNA(MATCH($H801,Tables!$B$158:$B$160,0))),
Error!$B$15,
IF(AND($E801="Tier 3",$F801="Remove",$H801&lt;&gt;"",ISNA(MATCH($H801,Tables!$B$163,0))),
Error!$B$15,
IF(AND(OR($E801="Tier 2",$E801="Tier 2 Grove"),$F801="Remove",$H801&lt;&gt;"",ISNA(MATCH($H801,Tables!$B$153:$B$155,0))),
Error!$B$15,
IF(AND(OR($E801="Tier 2",$E801="Tier 2 Grove"),$F801="Retain",$H801&lt;&gt;"",ISNA(MATCH($H801,Tables!$B$147:$B$150,0))),
Error!$B$15,
IF(AND($E801="Tier 1",$F801="Remove",$H801&lt;&gt;"",ISNA(MATCH($H801,Tables!$B$143:$B$144,0))),
Error!$B$15,
IF(AND($E801="Tier 1",$F801="Retain",$H801&lt;&gt;"",ISNA(MATCH($H801,Tables!$B$137:$B$140,0))),
Error!$B$15,
IF(AND($E801&lt;&gt;"Tier 2",$E801&lt;&gt;"Tier 2 Grove",$E801&lt;&gt;"Tier 3",$E801&lt;&gt;"Tier 4",$H801="Zoning: Green Factor",OR($D801="",$D801&lt;6)),
Error!$B$11,
IF(AND(_xlpm.baseRow,$D801&lt;6,$E801="&lt;6in DSH for Tree Points",_xlpm.TreePoints_H=0),
Error!$B$21,
IF(AND(_xlpm.baseRow,$E801&lt;&gt;"",$D801&lt;&gt;"",$F801=""),
Error!$B$4,
IF(AND(_xlpm.baseRow,$F801="Remove",OR($E801="Tier 1",$E801="Tier 2",$E801="Tier 2 Grove"),COUNTBLANK(_xlpm.HRange)&lt;3,_xlpm.uniqueH&gt;=2),
Error!$B$48,
IF(AND(_xlpm.baseRow,$F801="Retain",OR($E801="Tier 1",$E801="Tier 2",$E801="Tier 2 Grove"),COUNTIF(_xlpm.HRange,"Tree Code: Required to Retain Tier 1-2 Tree")=0),
Error!$B$47,
IF(AND(_xlpm.baseRow,$E801&lt;&gt;"",$D801&lt;&gt;"",$F801&lt;&gt;"",COUNTBLANK(_xlpm.HRange)=4),
Error!$B$5,
IF(AND($F801="Remove",$H801&lt;&gt;"",$I801=""),
Error!$B$18,
IF(AND($E801="Tier 4",$F801="Remove",$H801="Tree Protection Code: Tier 3 or Tier 4 Allowance",$H801&lt;&gt;"",ISNA(MATCH($I801,Tables!$B$200,0))),
Error!$B$17,
IF(AND($E801="Tier 3",$F801="Remove",$H801&lt;&gt;"",$H801="Tree Protection Code: Tier 3 or Tier 4 Allowance",OR($I801="",ISNA(MATCH($I801,Tables!$B$193:$B$197,0)))),
Error!$B$17,
IF(AND(OR($E801="Tier 2",$E801="Tier 2 Grove"),$F801="Remove",$H801="Tree Protection Code: Other removal allowance or exemption",$I801&lt;&gt;"",ISNA(MATCH($I801,Tables!$B$215:$B$218,0))),
Error!$B$17,
IF(AND(OR($E801="Tier 2",$E801="Tier 2 Grove"),$F801="Remove",$H801="Tree Protection Code: Development Capacity",$I801&lt;&gt;"",ISNA(MATCH($I801,Tables!$B$193:$B$197,0))),
Error!$B$17,
IF(AND(OR($E801="Tier 2",$E801="Tier 2 Grove"),$F801="Remove",$H801="Tree Protection Code: Necessary for Construction",$I801&lt;&gt;"",ISNA(MATCH($I801,Tables!$B$193:$B$197,0))),
Error!$B$17,
IF(AND($E801="Tier 1",$F801="Remove",$H801="Tree Protection Code: Special Exception",$I801&lt;&gt;"",ISNA(MATCH($I801,Tables!$B$215:$B$218,0))),
Error!$B$17,
IF(AND($E801="Tier 1",$F801="Remove",$H801="Tree Protection Code: Other removal allowance or exemption",$I801&lt;&gt;"",ISNA(MATCH($I801,Tables!$B$215:$B$218,0))),
Error!$B$17,
IF(AND($E801="ECA / Shoreline Tree",$F801="Remove",$H801&lt;&gt;"",OR($H801="Shoreline",$H801="Environmental Critical Area (ECA)"),ISNA(MATCH($I801,Tables!$B$209:$B$212,0))),
Error!$B$17,
IF(AND(_xlpm.baseRow,$F801="Retain",$E801="ECA / Shoreline Tree",_xlpm.ECA_Short=0),
Error!$B$61,
IF(AND($F801="Remove",ISNUMBER(MATCH($E801,{"Tier 1","Tier 2","Tier 3","Tier 4","Tier 2 Grove"},0)),ISNUMBER(MATCH($I801,{"On-site replacement","Off-site replacement"},0)),$J801="",$H801&lt;&gt;""),
Error!$B$19,
IF(AND(_xlpm.baseRow,$E801&lt;&gt;"",$D801&lt;&gt;"",$F801&lt;&gt;"",COUNTBLANK($B801:$C801)&gt;0,COUNTBLANK(_xlpm.HRange)&lt;&gt;4),
Error!$B$22,
IF(AND($H801="Zoning: Tree Points",$K801&lt;&gt;"",ISNA(MATCH($K801,Tables!$B$242:$B$253,0))),
Error!$B$58,
IF(AND($H801="Zoning: Tree Points",$K801="Small",$L801&lt;&gt;"",ISNA(MATCH($L801,Tables!$C$243:$C$244,0))),
Error!$B$59,
IF(AND($H801="Zoning: Tree Points",$K801="Small/Medium",$L801&lt;&gt;"",ISNA(MATCH($L801,Tables!$C$246:$C$247,0))),
Error!$B$59,
IF(AND($H801="Zoning: Tree Points",$K801="Medium/Large",$L801&lt;&gt;"",ISNA(MATCH($L801,Tables!$C$249:$C$250,0))),
Error!$B$59,
IF(AND($H801="Zoning: Tree Points",$K801="Large",$L801&lt;&gt;"",ISNA(MATCH($L801,Tables!$C$252:$C$253,0))),
Error!$B$59,
IF(AND($F801="Retain",$H801="Zoning: Tree Points",$C801&lt;&gt;"",$D801&lt;&gt;"",OR($K801="",$L801="",$M801="")),
Error!$B$20,
""
)))))))))))))))))))))))))))))))))))))))))))))))))))))))),
Error!$B$23))</f>
        <v/>
      </c>
      <c r="O801" s="343" t="str" cm="1">
        <f t="array" aca="1" ref="O801" ca="1">IFERROR(_xlfn.LET(
    _xlpm.txt, $C801,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02" spans="1:15" ht="15" thickBot="1" x14ac:dyDescent="0.35">
      <c r="A802" s="331"/>
      <c r="B802" s="616" t="str">
        <f t="shared" si="953"/>
        <v/>
      </c>
      <c r="C802" s="617" t="str">
        <f t="shared" si="954"/>
        <v/>
      </c>
      <c r="D802" s="618" t="str">
        <f t="shared" si="955"/>
        <v/>
      </c>
      <c r="E802" s="616" t="str">
        <f t="shared" si="956"/>
        <v/>
      </c>
      <c r="F802" s="616" t="str">
        <f t="shared" si="957"/>
        <v/>
      </c>
      <c r="G802" s="619" t="str">
        <f>IF(Tree_Table1[[#This Row],[Tree Status  &amp;]]="Retain", Tables!$B$237, IF(Tree_Table1[[#This Row],[Tree Status  &amp;]]="Remove", Tables!$B$238, ""))</f>
        <v/>
      </c>
      <c r="H802" s="329"/>
      <c r="I802" s="330"/>
      <c r="J802" s="455"/>
      <c r="K802" s="327" t="str">
        <f>IFERROR(
    IF(
        AND($H802="Zoning: Tree Points", NOT(ISNUMBER(SEARCH("sp.", $C802)))),
        VLOOKUP($C802, 'Tree List'!$C$3:$F$601, 4, FALSE),
        ""
    ),
"")</f>
        <v/>
      </c>
      <c r="L802" s="328" t="str" cm="1">
        <f t="array" ref="L802">IFERROR(
IF(
    AND($H802="Zoning: Tree Points", NOT(ISNUMBER(SEARCH("sp.", $C802)))),
    _xlfn.IFS(
        (COUNTIFS('Tree List'!$C$3:$C$601,$C802,'Tree List'!$D$3:$D$601,"Coniferous")
        + COUNTIFS('Tree List'!$C$3:$C$601,$C802,'Tree List'!$D$3:$D$601,"Deciduous Conifer")) &gt; 0,
            _xlfn.IFS($K802="Small",0.5,$K802="Small/Medium",1,$K802="Medium/Large",1.4,$K802="Large",1.8),
        (COUNTIFS('Tree List'!$C$3:$C$601,$C802,'Tree List'!$D$3:$D$601,"Deciduous")
        + COUNTIFS('Tree List'!$C$3:$C$601,$C802,'Tree List'!$D$3:$D$601,"Broadleaf Evergreen")) &gt; 0,
            _xlfn.IFS($K802="Small",0.4,$K802="Small/Medium",0.8,$K802="Medium/Large",1.2,$K802="Large",1.6)
    ),
    ""
),
"")</f>
        <v/>
      </c>
      <c r="M802" s="476" t="str">
        <f t="shared" si="897"/>
        <v/>
      </c>
      <c r="N802" s="347" t="str" cm="1">
        <f t="array" aca="1" ref="N802"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IF(AND(_xlpm.baseRow,ISNA(MATCH($C802,'Tree List'!$C$3:$C$601,0)),SUMPRODUCT(--ISNUMBER(SEARCH(Tables2!$C$677:$C$772,$O802)))&gt;0),
Error!$B$57,
IF(AND(_xlpm.hasDM,$F802="Remove",$H802&lt;&gt;"",OR($I802="On-site replacement",$I802="Off-site replacement",$I802="Payment In Lieu")),
Error!$B$56,
IF(AND(_xlpm.hasDM,$F802="Remove",$H802&lt;&gt;"",$I802="Relocation"),
Error!$B$66,
IF(AND(OR(_xlpm.hasCN,_xlpm.hasPH,_xlpm.hasGR),$H802&lt;&gt;"",COUNTIF(Tables!$B$132:$B$134,$H802)&gt;0,$I802="N/A (No replacement required)"),
Error!$B$62,
IF(AND(_xlpm.baseRow,$E802&lt;&gt;"",ISNA(MATCH($E802,Tables!$B$225:$B$232,0))),
Error!$B$2,
IF(AND(_xlpm.baseRow,$F802&lt;&gt;"",ISNA(MATCH($F802,Tables!$B$234:$B$235,0))),
Error!$B$24,
IF(AND(_xlpm.baseRow,_xlpm.ECA_H&gt;0,_xlpm.Shore_H&gt;0),
Error!$B$16,
IF(AND(_xlpm.baseRow,$E802&lt;&gt;"",$D802=""),
Error!$B$3,
IF(AND(_xlpm.baseRow,OR($E802="Tier 3",$E802="Tier 4"),$C802&lt;&gt;"",$D802&gt;=24,COUNTIF(Tables2!$B$166:$B$674,$C802)&gt;0),
Error!$B$44,
IF(AND(_xlpm.baseRow,OR($E802="Tier 3",$E802="Tier 4"),$C802&lt;&gt;"",$D802&lt;&gt;"",COUNTIF(Tables2!$B$73:$B$152,$C802)&gt;0,
$D802&gt;=IFERROR(INDEX(Tables2!$C$73:$C$152,MATCH($C802,Tables2!$B$73:$B$152,0)),-1)),
Error!$B$44,
IF(AND(_xlpm.baseRow,OR($E802="Tier 2",$E802="Tier 2 Grove"),$C802&lt;&gt;"",$D802&gt;=12,COUNTIF(Tables2!$B$153:$B$162,$C802)&gt;0),
Error!$B$45,
IF(AND(_xlpm.baseRow,$E802="Tier 2 Grove",$D802&lt;12),
Error!$B$41,
IF(AND(_xlpm.baseRow,$E802="Tier 2",$D802&lt;5.88),
Error!$B$40,
IF(AND(_xlpm.baseRow,OR($E802="Tier 2",$E802="Tier 2 Grove"),$C802&lt;&gt;"",$D802&lt;12,$D802&gt;=6,COUNTIF(Tables2!$B$153:$B$162,$C802)&gt;0),
Error!$B$54,
IF(AND(_xlpm.baseRow,$E802="Tier 2",COUNTIF(Tables2!$B$166:$B$674,$C802)&gt;0,$D802&lt;24),
Error!$B$54,
IF(AND(_xlpm.baseRow,$E802="Tier 3",ISNA(MATCH($C802,Tables2!$B$153:$B$162,0)),OR($D802&lt;12,$D802&gt;=24)),
Error!$B$9,
IF(AND(_xlpm.baseRow,$E802="Tier 3",COUNTIF(Tables2!$B$153:$B$162,$C802)&gt;0,$D802&lt;12),
Error!$B$46,
IF(AND(_xlpm.baseRow,$E802="Tier 4",OR($D802&lt;6,$D802&gt;=12)),
Error!$B$10,
IF(AND(_xlpm.baseRow,$E802="&lt;6in DSH for Tree Points",OR($D802&gt;=6,$D802="")),
Error!$B$8,
IF(AND(_xlpm.baseRow,$E802="Street Tree for Green Factor",$F802&lt;&gt;"",$F802&lt;&gt;"Retain"),
Error!$B$14,
IF(AND($E802="&lt;6in DSH for Tree Points",$F802="Retain",$H802&lt;&gt;"",ISNA(MATCH($H802,Tables!$B$174:$B$174,0))),
Error!$B$15,
IF(AND($E802="Street Tree for Green Factor",$F802="Retain",$H802&lt;&gt;"",$H802&lt;&gt;"Zoning: Green Factor"),
Error!$B$15,
IF(AND($E802="ECA / Shoreline Tree",$F802="Remove",$H802&lt;&gt;"",ISNA(MATCH($H802,Tables!$B$189:$B$190,0))),
Error!$B$15,
IF(AND($E802="ECA / Shoreline Tree",$F802="Retain",$H802&lt;&gt;"",ISNA(MATCH($H802,Tables!$B$184:$B$186,0))),
Error!$B$15,
IF(AND($E802="Tier 4",$F802="Remove",$H802&lt;&gt;"",ISNA(MATCH($H802,Tables!$B$171,0))),
Error!$B$15,
IF(AND($E802="Tier 4",$F802="Retain",$H802&lt;&gt;"",ISNA(MATCH($H802,Tables!$B$166:$B$168,0))),
Error!$B$15,
IF(AND($E802="Tier 3",$F802="Retain",$H802&lt;&gt;"",ISNA(MATCH($H802,Tables!$B$158:$B$160,0))),
Error!$B$15,
IF(AND($E802="Tier 3",$F802="Remove",$H802&lt;&gt;"",ISNA(MATCH($H802,Tables!$B$163,0))),
Error!$B$15,
IF(AND(OR($E802="Tier 2",$E802="Tier 2 Grove"),$F802="Remove",$H802&lt;&gt;"",ISNA(MATCH($H802,Tables!$B$153:$B$155,0))),
Error!$B$15,
IF(AND(OR($E802="Tier 2",$E802="Tier 2 Grove"),$F802="Retain",$H802&lt;&gt;"",ISNA(MATCH($H802,Tables!$B$147:$B$150,0))),
Error!$B$15,
IF(AND($E802="Tier 1",$F802="Remove",$H802&lt;&gt;"",ISNA(MATCH($H802,Tables!$B$143:$B$144,0))),
Error!$B$15,
IF(AND($E802="Tier 1",$F802="Retain",$H802&lt;&gt;"",ISNA(MATCH($H802,Tables!$B$137:$B$140,0))),
Error!$B$15,
IF(AND($E802&lt;&gt;"Tier 2",$E802&lt;&gt;"Tier 2 Grove",$E802&lt;&gt;"Tier 3",$E802&lt;&gt;"Tier 4",$H802="Zoning: Green Factor",OR($D802="",$D802&lt;6)),
Error!$B$11,
IF(AND(_xlpm.baseRow,$D802&lt;6,$E802="&lt;6in DSH for Tree Points",_xlpm.TreePoints_H=0),
Error!$B$21,
IF(AND(_xlpm.baseRow,$E802&lt;&gt;"",$D802&lt;&gt;"",$F802=""),
Error!$B$4,
IF(AND(_xlpm.baseRow,$F802="Remove",OR($E802="Tier 1",$E802="Tier 2",$E802="Tier 2 Grove"),COUNTBLANK(_xlpm.HRange)&lt;3,_xlpm.uniqueH&gt;=2),
Error!$B$48,
IF(AND(_xlpm.baseRow,$F802="Retain",OR($E802="Tier 1",$E802="Tier 2",$E802="Tier 2 Grove"),COUNTIF(_xlpm.HRange,"Tree Code: Required to Retain Tier 1-2 Tree")=0),
Error!$B$47,
IF(AND(_xlpm.baseRow,$E802&lt;&gt;"",$D802&lt;&gt;"",$F802&lt;&gt;"",COUNTBLANK(_xlpm.HRange)=4),
Error!$B$5,
IF(AND($F802="Remove",$H802&lt;&gt;"",$I802=""),
Error!$B$18,
IF(AND($E802="Tier 4",$F802="Remove",$H802="Tree Protection Code: Tier 3 or Tier 4 Allowance",$H802&lt;&gt;"",ISNA(MATCH($I802,Tables!$B$200,0))),
Error!$B$17,
IF(AND($E802="Tier 3",$F802="Remove",$H802&lt;&gt;"",$H802="Tree Protection Code: Tier 3 or Tier 4 Allowance",OR($I802="",ISNA(MATCH($I802,Tables!$B$193:$B$197,0)))),
Error!$B$17,
IF(AND(OR($E802="Tier 2",$E802="Tier 2 Grove"),$F802="Remove",$H802="Tree Protection Code: Other removal allowance or exemption",$I802&lt;&gt;"",ISNA(MATCH($I802,Tables!$B$215:$B$218,0))),
Error!$B$17,
IF(AND(OR($E802="Tier 2",$E802="Tier 2 Grove"),$F802="Remove",$H802="Tree Protection Code: Development Capacity",$I802&lt;&gt;"",ISNA(MATCH($I802,Tables!$B$193:$B$197,0))),
Error!$B$17,
IF(AND(OR($E802="Tier 2",$E802="Tier 2 Grove"),$F802="Remove",$H802="Tree Protection Code: Necessary for Construction",$I802&lt;&gt;"",ISNA(MATCH($I802,Tables!$B$193:$B$197,0))),
Error!$B$17,
IF(AND($E802="Tier 1",$F802="Remove",$H802="Tree Protection Code: Special Exception",$I802&lt;&gt;"",ISNA(MATCH($I802,Tables!$B$215:$B$218,0))),
Error!$B$17,
IF(AND($E802="Tier 1",$F802="Remove",$H802="Tree Protection Code: Other removal allowance or exemption",$I802&lt;&gt;"",ISNA(MATCH($I802,Tables!$B$215:$B$218,0))),
Error!$B$17,
IF(AND($E802="ECA / Shoreline Tree",$F802="Remove",$H802&lt;&gt;"",OR($H802="Shoreline",$H802="Environmental Critical Area (ECA)"),ISNA(MATCH($I802,Tables!$B$209:$B$212,0))),
Error!$B$17,
IF(AND(_xlpm.baseRow,$F802="Retain",$E802="ECA / Shoreline Tree",_xlpm.ECA_Short=0),
Error!$B$61,
IF(AND($F802="Remove",ISNUMBER(MATCH($E802,{"Tier 1","Tier 2","Tier 3","Tier 4","Tier 2 Grove"},0)),ISNUMBER(MATCH($I802,{"On-site replacement","Off-site replacement"},0)),$J802="",$H802&lt;&gt;""),
Error!$B$19,
IF(AND(_xlpm.baseRow,$E802&lt;&gt;"",$D802&lt;&gt;"",$F802&lt;&gt;"",COUNTBLANK($B802:$C802)&gt;0,COUNTBLANK(_xlpm.HRange)&lt;&gt;4),
Error!$B$22,
IF(AND($H802="Zoning: Tree Points",$K802&lt;&gt;"",ISNA(MATCH($K802,Tables!$B$242:$B$253,0))),
Error!$B$58,
IF(AND($H802="Zoning: Tree Points",$K802="Small",$L802&lt;&gt;"",ISNA(MATCH($L802,Tables!$C$243:$C$244,0))),
Error!$B$59,
IF(AND($H802="Zoning: Tree Points",$K802="Small/Medium",$L802&lt;&gt;"",ISNA(MATCH($L802,Tables!$C$246:$C$247,0))),
Error!$B$59,
IF(AND($H802="Zoning: Tree Points",$K802="Medium/Large",$L802&lt;&gt;"",ISNA(MATCH($L802,Tables!$C$249:$C$250,0))),
Error!$B$59,
IF(AND($H802="Zoning: Tree Points",$K802="Large",$L802&lt;&gt;"",ISNA(MATCH($L802,Tables!$C$252:$C$253,0))),
Error!$B$59,
IF(AND($F802="Retain",$H802="Zoning: Tree Points",$C802&lt;&gt;"",$D802&lt;&gt;"",OR($K802="",$L802="",$M802="")),
Error!$B$20,
""
)))))))))))))))))))))))))))))))))))))))))))))))))))))))),
Error!$B$23))</f>
        <v/>
      </c>
      <c r="O802" s="343" t="str" cm="1">
        <f t="array" aca="1" ref="O802" ca="1">IFERROR(_xlfn.LET(
    _xlpm.txt, $C802,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03" spans="1:15" ht="15" thickBot="1" x14ac:dyDescent="0.35">
      <c r="A803" s="311">
        <v>199</v>
      </c>
      <c r="B803" s="312"/>
      <c r="C803" s="313"/>
      <c r="D803" s="478"/>
      <c r="E803" s="314"/>
      <c r="F803" s="314"/>
      <c r="G803" s="315" t="str">
        <f>IF(Tree_Table1[[#This Row],[Tree Status  &amp;]]="Retain", Tables!$B$237, IF(Tree_Table1[[#This Row],[Tree Status  &amp;]]="Remove", Tables!$B$238, ""))</f>
        <v/>
      </c>
      <c r="H803" s="316"/>
      <c r="I803" s="317"/>
      <c r="J803" s="452"/>
      <c r="K803" s="318" t="str">
        <f>IFERROR(
    IF(
        AND($H803="Zoning: Tree Points", NOT(ISNUMBER(SEARCH("sp.", $C803)))),
        VLOOKUP($C803, 'Tree List'!$C$3:$F$601, 4, FALSE),
        ""
    ),
"")</f>
        <v/>
      </c>
      <c r="L803" s="319" t="str" cm="1">
        <f t="array" ref="L803">IFERROR(
IF(
    AND($H803="Zoning: Tree Points", NOT(ISNUMBER(SEARCH("sp.", $C803)))),
    _xlfn.IFS(
        (COUNTIFS('Tree List'!$C$3:$C$601,$C803,'Tree List'!$D$3:$D$601,"Coniferous")
        + COUNTIFS('Tree List'!$C$3:$C$601,$C803,'Tree List'!$D$3:$D$601,"Deciduous Conifer")) &gt; 0,
            _xlfn.IFS($K803="Small",0.5,$K803="Small/Medium",1,$K803="Medium/Large",1.4,$K803="Large",1.8),
        (COUNTIFS('Tree List'!$C$3:$C$601,$C803,'Tree List'!$D$3:$D$601,"Deciduous")
        + COUNTIFS('Tree List'!$C$3:$C$601,$C803,'Tree List'!$D$3:$D$601,"Broadleaf Evergreen")) &gt; 0,
            _xlfn.IFS($K803="Small",0.4,$K803="Small/Medium",0.8,$K803="Medium/Large",1.2,$K803="Large",1.6)
    ),
    ""
),
"")</f>
        <v/>
      </c>
      <c r="M803" s="474" t="str">
        <f t="shared" si="897"/>
        <v/>
      </c>
      <c r="N803" s="620" t="str" cm="1">
        <f t="array" aca="1" ref="N803"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IF(AND(_xlpm.baseRow,ISNA(MATCH($C803,'Tree List'!$C$3:$C$601,0)),SUMPRODUCT(--ISNUMBER(SEARCH(Tables2!$C$677:$C$772,$O803)))&gt;0),
Error!$B$57,
IF(AND(_xlpm.hasDM,$F803="Remove",$H803&lt;&gt;"",OR($I803="On-site replacement",$I803="Off-site replacement",$I803="Payment In Lieu")),
Error!$B$56,
IF(AND(_xlpm.hasDM,$F803="Remove",$H803&lt;&gt;"",$I803="Relocation"),
Error!$B$66,
IF(AND(OR(_xlpm.hasCN,_xlpm.hasPH,_xlpm.hasGR),$H803&lt;&gt;"",COUNTIF(Tables!$B$132:$B$134,$H803)&gt;0,$I803="N/A (No replacement required)"),
Error!$B$62,
IF(AND(_xlpm.baseRow,$E803&lt;&gt;"",ISNA(MATCH($E803,Tables!$B$225:$B$232,0))),
Error!$B$2,
IF(AND(_xlpm.baseRow,$F803&lt;&gt;"",ISNA(MATCH($F803,Tables!$B$234:$B$235,0))),
Error!$B$24,
IF(AND(_xlpm.baseRow,_xlpm.ECA_H&gt;0,_xlpm.Shore_H&gt;0),
Error!$B$16,
IF(AND(_xlpm.baseRow,$E803&lt;&gt;"",$D803=""),
Error!$B$3,
IF(AND(_xlpm.baseRow,OR($E803="Tier 3",$E803="Tier 4"),$C803&lt;&gt;"",$D803&gt;=24,COUNTIF(Tables2!$B$166:$B$674,$C803)&gt;0),
Error!$B$44,
IF(AND(_xlpm.baseRow,OR($E803="Tier 3",$E803="Tier 4"),$C803&lt;&gt;"",$D803&lt;&gt;"",COUNTIF(Tables2!$B$73:$B$152,$C803)&gt;0,
$D803&gt;=IFERROR(INDEX(Tables2!$C$73:$C$152,MATCH($C803,Tables2!$B$73:$B$152,0)),-1)),
Error!$B$44,
IF(AND(_xlpm.baseRow,OR($E803="Tier 2",$E803="Tier 2 Grove"),$C803&lt;&gt;"",$D803&gt;=12,COUNTIF(Tables2!$B$153:$B$162,$C803)&gt;0),
Error!$B$45,
IF(AND(_xlpm.baseRow,$E803="Tier 2 Grove",$D803&lt;12),
Error!$B$41,
IF(AND(_xlpm.baseRow,$E803="Tier 2",$D803&lt;5.88),
Error!$B$40,
IF(AND(_xlpm.baseRow,OR($E803="Tier 2",$E803="Tier 2 Grove"),$C803&lt;&gt;"",$D803&lt;12,$D803&gt;=6,COUNTIF(Tables2!$B$153:$B$162,$C803)&gt;0),
Error!$B$54,
IF(AND(_xlpm.baseRow,$E803="Tier 2",COUNTIF(Tables2!$B$166:$B$674,$C803)&gt;0,$D803&lt;24),
Error!$B$54,
IF(AND(_xlpm.baseRow,$E803="Tier 3",ISNA(MATCH($C803,Tables2!$B$153:$B$162,0)),OR($D803&lt;12,$D803&gt;=24)),
Error!$B$9,
IF(AND(_xlpm.baseRow,$E803="Tier 3",COUNTIF(Tables2!$B$153:$B$162,$C803)&gt;0,$D803&lt;12),
Error!$B$46,
IF(AND(_xlpm.baseRow,$E803="Tier 4",OR($D803&lt;6,$D803&gt;=12)),
Error!$B$10,
IF(AND(_xlpm.baseRow,$E803="&lt;6in DSH for Tree Points",OR($D803&gt;=6,$D803="")),
Error!$B$8,
IF(AND(_xlpm.baseRow,$E803="Street Tree for Green Factor",$F803&lt;&gt;"",$F803&lt;&gt;"Retain"),
Error!$B$14,
IF(AND($E803="&lt;6in DSH for Tree Points",$F803="Retain",$H803&lt;&gt;"",ISNA(MATCH($H803,Tables!$B$174:$B$174,0))),
Error!$B$15,
IF(AND($E803="Street Tree for Green Factor",$F803="Retain",$H803&lt;&gt;"",$H803&lt;&gt;"Zoning: Green Factor"),
Error!$B$15,
IF(AND($E803="ECA / Shoreline Tree",$F803="Remove",$H803&lt;&gt;"",ISNA(MATCH($H803,Tables!$B$189:$B$190,0))),
Error!$B$15,
IF(AND($E803="ECA / Shoreline Tree",$F803="Retain",$H803&lt;&gt;"",ISNA(MATCH($H803,Tables!$B$184:$B$186,0))),
Error!$B$15,
IF(AND($E803="Tier 4",$F803="Remove",$H803&lt;&gt;"",ISNA(MATCH($H803,Tables!$B$171,0))),
Error!$B$15,
IF(AND($E803="Tier 4",$F803="Retain",$H803&lt;&gt;"",ISNA(MATCH($H803,Tables!$B$166:$B$168,0))),
Error!$B$15,
IF(AND($E803="Tier 3",$F803="Retain",$H803&lt;&gt;"",ISNA(MATCH($H803,Tables!$B$158:$B$160,0))),
Error!$B$15,
IF(AND($E803="Tier 3",$F803="Remove",$H803&lt;&gt;"",ISNA(MATCH($H803,Tables!$B$163,0))),
Error!$B$15,
IF(AND(OR($E803="Tier 2",$E803="Tier 2 Grove"),$F803="Remove",$H803&lt;&gt;"",ISNA(MATCH($H803,Tables!$B$153:$B$155,0))),
Error!$B$15,
IF(AND(OR($E803="Tier 2",$E803="Tier 2 Grove"),$F803="Retain",$H803&lt;&gt;"",ISNA(MATCH($H803,Tables!$B$147:$B$150,0))),
Error!$B$15,
IF(AND($E803="Tier 1",$F803="Remove",$H803&lt;&gt;"",ISNA(MATCH($H803,Tables!$B$143:$B$144,0))),
Error!$B$15,
IF(AND($E803="Tier 1",$F803="Retain",$H803&lt;&gt;"",ISNA(MATCH($H803,Tables!$B$137:$B$140,0))),
Error!$B$15,
IF(AND($E803&lt;&gt;"Tier 2",$E803&lt;&gt;"Tier 2 Grove",$E803&lt;&gt;"Tier 3",$E803&lt;&gt;"Tier 4",$H803="Zoning: Green Factor",OR($D803="",$D803&lt;6)),
Error!$B$11,
IF(AND(_xlpm.baseRow,$D803&lt;6,$E803="&lt;6in DSH for Tree Points",_xlpm.TreePoints_H=0),
Error!$B$21,
IF(AND(_xlpm.baseRow,$E803&lt;&gt;"",$D803&lt;&gt;"",$F803=""),
Error!$B$4,
IF(AND(_xlpm.baseRow,$F803="Remove",OR($E803="Tier 1",$E803="Tier 2",$E803="Tier 2 Grove"),COUNTBLANK(_xlpm.HRange)&lt;3,_xlpm.uniqueH&gt;=2),
Error!$B$48,
IF(AND(_xlpm.baseRow,$F803="Retain",OR($E803="Tier 1",$E803="Tier 2",$E803="Tier 2 Grove"),COUNTIF(_xlpm.HRange,"Tree Code: Required to Retain Tier 1-2 Tree")=0),
Error!$B$47,
IF(AND(_xlpm.baseRow,$E803&lt;&gt;"",$D803&lt;&gt;"",$F803&lt;&gt;"",COUNTBLANK(_xlpm.HRange)=4),
Error!$B$5,
IF(AND($F803="Remove",$H803&lt;&gt;"",$I803=""),
Error!$B$18,
IF(AND($E803="Tier 4",$F803="Remove",$H803="Tree Protection Code: Tier 3 or Tier 4 Allowance",$H803&lt;&gt;"",ISNA(MATCH($I803,Tables!$B$200,0))),
Error!$B$17,
IF(AND($E803="Tier 3",$F803="Remove",$H803&lt;&gt;"",$H803="Tree Protection Code: Tier 3 or Tier 4 Allowance",OR($I803="",ISNA(MATCH($I803,Tables!$B$193:$B$197,0)))),
Error!$B$17,
IF(AND(OR($E803="Tier 2",$E803="Tier 2 Grove"),$F803="Remove",$H803="Tree Protection Code: Other removal allowance or exemption",$I803&lt;&gt;"",ISNA(MATCH($I803,Tables!$B$215:$B$218,0))),
Error!$B$17,
IF(AND(OR($E803="Tier 2",$E803="Tier 2 Grove"),$F803="Remove",$H803="Tree Protection Code: Development Capacity",$I803&lt;&gt;"",ISNA(MATCH($I803,Tables!$B$193:$B$197,0))),
Error!$B$17,
IF(AND(OR($E803="Tier 2",$E803="Tier 2 Grove"),$F803="Remove",$H803="Tree Protection Code: Necessary for Construction",$I803&lt;&gt;"",ISNA(MATCH($I803,Tables!$B$193:$B$197,0))),
Error!$B$17,
IF(AND($E803="Tier 1",$F803="Remove",$H803="Tree Protection Code: Special Exception",$I803&lt;&gt;"",ISNA(MATCH($I803,Tables!$B$215:$B$218,0))),
Error!$B$17,
IF(AND($E803="Tier 1",$F803="Remove",$H803="Tree Protection Code: Other removal allowance or exemption",$I803&lt;&gt;"",ISNA(MATCH($I803,Tables!$B$215:$B$218,0))),
Error!$B$17,
IF(AND($E803="ECA / Shoreline Tree",$F803="Remove",$H803&lt;&gt;"",OR($H803="Shoreline",$H803="Environmental Critical Area (ECA)"),ISNA(MATCH($I803,Tables!$B$209:$B$212,0))),
Error!$B$17,
IF(AND(_xlpm.baseRow,$F803="Retain",$E803="ECA / Shoreline Tree",_xlpm.ECA_Short=0),
Error!$B$61,
IF(AND($F803="Remove",ISNUMBER(MATCH($E803,{"Tier 1","Tier 2","Tier 3","Tier 4","Tier 2 Grove"},0)),ISNUMBER(MATCH($I803,{"On-site replacement","Off-site replacement"},0)),$J803="",$H803&lt;&gt;""),
Error!$B$19,
IF(AND(_xlpm.baseRow,$E803&lt;&gt;"",$D803&lt;&gt;"",$F803&lt;&gt;"",COUNTBLANK($B803:$C803)&gt;0,COUNTBLANK(_xlpm.HRange)&lt;&gt;4),
Error!$B$22,
IF(AND($H803="Zoning: Tree Points",$K803&lt;&gt;"",ISNA(MATCH($K803,Tables!$B$242:$B$253,0))),
Error!$B$58,
IF(AND($H803="Zoning: Tree Points",$K803="Small",$L803&lt;&gt;"",ISNA(MATCH($L803,Tables!$C$243:$C$244,0))),
Error!$B$59,
IF(AND($H803="Zoning: Tree Points",$K803="Small/Medium",$L803&lt;&gt;"",ISNA(MATCH($L803,Tables!$C$246:$C$247,0))),
Error!$B$59,
IF(AND($H803="Zoning: Tree Points",$K803="Medium/Large",$L803&lt;&gt;"",ISNA(MATCH($L803,Tables!$C$249:$C$250,0))),
Error!$B$59,
IF(AND($H803="Zoning: Tree Points",$K803="Large",$L803&lt;&gt;"",ISNA(MATCH($L803,Tables!$C$252:$C$253,0))),
Error!$B$59,
IF(AND($F803="Retain",$H803="Zoning: Tree Points",$C803&lt;&gt;"",$D803&lt;&gt;"",OR($K803="",$L803="",$M803="")),
Error!$B$20,
""
)))))))))))))))))))))))))))))))))))))))))))))))))))))))),
Error!$B$23))</f>
        <v/>
      </c>
      <c r="O803" s="343" t="str" cm="1">
        <f t="array" aca="1" ref="O803" ca="1">IFERROR(_xlfn.LET(
    _xlpm.txt, $C803,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04" spans="1:15" x14ac:dyDescent="0.3">
      <c r="A804" s="320"/>
      <c r="B804" s="616" t="str">
        <f t="shared" ref="B804:B806" si="958">IF($B803="", "", $B803)</f>
        <v/>
      </c>
      <c r="C804" s="617" t="str">
        <f t="shared" ref="C804:C806" si="959">IF($C803="", "", $C803)</f>
        <v/>
      </c>
      <c r="D804" s="618" t="str">
        <f t="shared" ref="D804:D806" si="960">IF($D803="", "", $D803)</f>
        <v/>
      </c>
      <c r="E804" s="616" t="str">
        <f t="shared" ref="E804:E806" si="961">IF($E803="", "", $E803)</f>
        <v/>
      </c>
      <c r="F804" s="616" t="str">
        <f t="shared" ref="F804:F806" si="962">IF($F803="", "", $F803)</f>
        <v/>
      </c>
      <c r="G804" s="619" t="str">
        <f>IF(Tree_Table1[[#This Row],[Tree Status  &amp;]]="Retain", Tables!$B$237, IF(Tree_Table1[[#This Row],[Tree Status  &amp;]]="Remove", Tables!$B$238, ""))</f>
        <v/>
      </c>
      <c r="H804" s="321"/>
      <c r="I804" s="322"/>
      <c r="J804" s="453"/>
      <c r="K804" s="323" t="str">
        <f>IFERROR(
    IF(
        AND($H804="Zoning: Tree Points", NOT(ISNUMBER(SEARCH("sp.", $C804)))),
        VLOOKUP($C804, 'Tree List'!$C$3:$F$601, 4, FALSE),
        ""
    ),
"")</f>
        <v/>
      </c>
      <c r="L804" s="324" t="str" cm="1">
        <f t="array" ref="L804">IFERROR(
IF(
    AND($H804="Zoning: Tree Points", NOT(ISNUMBER(SEARCH("sp.", $C804)))),
    _xlfn.IFS(
        (COUNTIFS('Tree List'!$C$3:$C$601,$C804,'Tree List'!$D$3:$D$601,"Coniferous")
        + COUNTIFS('Tree List'!$C$3:$C$601,$C804,'Tree List'!$D$3:$D$601,"Deciduous Conifer")) &gt; 0,
            _xlfn.IFS($K804="Small",0.5,$K804="Small/Medium",1,$K804="Medium/Large",1.4,$K804="Large",1.8),
        (COUNTIFS('Tree List'!$C$3:$C$601,$C804,'Tree List'!$D$3:$D$601,"Deciduous")
        + COUNTIFS('Tree List'!$C$3:$C$601,$C804,'Tree List'!$D$3:$D$601,"Broadleaf Evergreen")) &gt; 0,
            _xlfn.IFS($K804="Small",0.4,$K804="Small/Medium",0.8,$K804="Medium/Large",1.2,$K804="Large",1.6)
    ),
    ""
),
"")</f>
        <v/>
      </c>
      <c r="M804" s="475" t="str">
        <f t="shared" si="897"/>
        <v/>
      </c>
      <c r="N804" s="346" t="str" cm="1">
        <f t="array" aca="1" ref="N804"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IF(AND(_xlpm.baseRow,ISNA(MATCH($C804,'Tree List'!$C$3:$C$601,0)),SUMPRODUCT(--ISNUMBER(SEARCH(Tables2!$C$677:$C$772,$O804)))&gt;0),
Error!$B$57,
IF(AND(_xlpm.hasDM,$F804="Remove",$H804&lt;&gt;"",OR($I804="On-site replacement",$I804="Off-site replacement",$I804="Payment In Lieu")),
Error!$B$56,
IF(AND(_xlpm.hasDM,$F804="Remove",$H804&lt;&gt;"",$I804="Relocation"),
Error!$B$66,
IF(AND(OR(_xlpm.hasCN,_xlpm.hasPH,_xlpm.hasGR),$H804&lt;&gt;"",COUNTIF(Tables!$B$132:$B$134,$H804)&gt;0,$I804="N/A (No replacement required)"),
Error!$B$62,
IF(AND(_xlpm.baseRow,$E804&lt;&gt;"",ISNA(MATCH($E804,Tables!$B$225:$B$232,0))),
Error!$B$2,
IF(AND(_xlpm.baseRow,$F804&lt;&gt;"",ISNA(MATCH($F804,Tables!$B$234:$B$235,0))),
Error!$B$24,
IF(AND(_xlpm.baseRow,_xlpm.ECA_H&gt;0,_xlpm.Shore_H&gt;0),
Error!$B$16,
IF(AND(_xlpm.baseRow,$E804&lt;&gt;"",$D804=""),
Error!$B$3,
IF(AND(_xlpm.baseRow,OR($E804="Tier 3",$E804="Tier 4"),$C804&lt;&gt;"",$D804&gt;=24,COUNTIF(Tables2!$B$166:$B$674,$C804)&gt;0),
Error!$B$44,
IF(AND(_xlpm.baseRow,OR($E804="Tier 3",$E804="Tier 4"),$C804&lt;&gt;"",$D804&lt;&gt;"",COUNTIF(Tables2!$B$73:$B$152,$C804)&gt;0,
$D804&gt;=IFERROR(INDEX(Tables2!$C$73:$C$152,MATCH($C804,Tables2!$B$73:$B$152,0)),-1)),
Error!$B$44,
IF(AND(_xlpm.baseRow,OR($E804="Tier 2",$E804="Tier 2 Grove"),$C804&lt;&gt;"",$D804&gt;=12,COUNTIF(Tables2!$B$153:$B$162,$C804)&gt;0),
Error!$B$45,
IF(AND(_xlpm.baseRow,$E804="Tier 2 Grove",$D804&lt;12),
Error!$B$41,
IF(AND(_xlpm.baseRow,$E804="Tier 2",$D804&lt;5.88),
Error!$B$40,
IF(AND(_xlpm.baseRow,OR($E804="Tier 2",$E804="Tier 2 Grove"),$C804&lt;&gt;"",$D804&lt;12,$D804&gt;=6,COUNTIF(Tables2!$B$153:$B$162,$C804)&gt;0),
Error!$B$54,
IF(AND(_xlpm.baseRow,$E804="Tier 2",COUNTIF(Tables2!$B$166:$B$674,$C804)&gt;0,$D804&lt;24),
Error!$B$54,
IF(AND(_xlpm.baseRow,$E804="Tier 3",ISNA(MATCH($C804,Tables2!$B$153:$B$162,0)),OR($D804&lt;12,$D804&gt;=24)),
Error!$B$9,
IF(AND(_xlpm.baseRow,$E804="Tier 3",COUNTIF(Tables2!$B$153:$B$162,$C804)&gt;0,$D804&lt;12),
Error!$B$46,
IF(AND(_xlpm.baseRow,$E804="Tier 4",OR($D804&lt;6,$D804&gt;=12)),
Error!$B$10,
IF(AND(_xlpm.baseRow,$E804="&lt;6in DSH for Tree Points",OR($D804&gt;=6,$D804="")),
Error!$B$8,
IF(AND(_xlpm.baseRow,$E804="Street Tree for Green Factor",$F804&lt;&gt;"",$F804&lt;&gt;"Retain"),
Error!$B$14,
IF(AND($E804="&lt;6in DSH for Tree Points",$F804="Retain",$H804&lt;&gt;"",ISNA(MATCH($H804,Tables!$B$174:$B$174,0))),
Error!$B$15,
IF(AND($E804="Street Tree for Green Factor",$F804="Retain",$H804&lt;&gt;"",$H804&lt;&gt;"Zoning: Green Factor"),
Error!$B$15,
IF(AND($E804="ECA / Shoreline Tree",$F804="Remove",$H804&lt;&gt;"",ISNA(MATCH($H804,Tables!$B$189:$B$190,0))),
Error!$B$15,
IF(AND($E804="ECA / Shoreline Tree",$F804="Retain",$H804&lt;&gt;"",ISNA(MATCH($H804,Tables!$B$184:$B$186,0))),
Error!$B$15,
IF(AND($E804="Tier 4",$F804="Remove",$H804&lt;&gt;"",ISNA(MATCH($H804,Tables!$B$171,0))),
Error!$B$15,
IF(AND($E804="Tier 4",$F804="Retain",$H804&lt;&gt;"",ISNA(MATCH($H804,Tables!$B$166:$B$168,0))),
Error!$B$15,
IF(AND($E804="Tier 3",$F804="Retain",$H804&lt;&gt;"",ISNA(MATCH($H804,Tables!$B$158:$B$160,0))),
Error!$B$15,
IF(AND($E804="Tier 3",$F804="Remove",$H804&lt;&gt;"",ISNA(MATCH($H804,Tables!$B$163,0))),
Error!$B$15,
IF(AND(OR($E804="Tier 2",$E804="Tier 2 Grove"),$F804="Remove",$H804&lt;&gt;"",ISNA(MATCH($H804,Tables!$B$153:$B$155,0))),
Error!$B$15,
IF(AND(OR($E804="Tier 2",$E804="Tier 2 Grove"),$F804="Retain",$H804&lt;&gt;"",ISNA(MATCH($H804,Tables!$B$147:$B$150,0))),
Error!$B$15,
IF(AND($E804="Tier 1",$F804="Remove",$H804&lt;&gt;"",ISNA(MATCH($H804,Tables!$B$143:$B$144,0))),
Error!$B$15,
IF(AND($E804="Tier 1",$F804="Retain",$H804&lt;&gt;"",ISNA(MATCH($H804,Tables!$B$137:$B$140,0))),
Error!$B$15,
IF(AND($E804&lt;&gt;"Tier 2",$E804&lt;&gt;"Tier 2 Grove",$E804&lt;&gt;"Tier 3",$E804&lt;&gt;"Tier 4",$H804="Zoning: Green Factor",OR($D804="",$D804&lt;6)),
Error!$B$11,
IF(AND(_xlpm.baseRow,$D804&lt;6,$E804="&lt;6in DSH for Tree Points",_xlpm.TreePoints_H=0),
Error!$B$21,
IF(AND(_xlpm.baseRow,$E804&lt;&gt;"",$D804&lt;&gt;"",$F804=""),
Error!$B$4,
IF(AND(_xlpm.baseRow,$F804="Remove",OR($E804="Tier 1",$E804="Tier 2",$E804="Tier 2 Grove"),COUNTBLANK(_xlpm.HRange)&lt;3,_xlpm.uniqueH&gt;=2),
Error!$B$48,
IF(AND(_xlpm.baseRow,$F804="Retain",OR($E804="Tier 1",$E804="Tier 2",$E804="Tier 2 Grove"),COUNTIF(_xlpm.HRange,"Tree Code: Required to Retain Tier 1-2 Tree")=0),
Error!$B$47,
IF(AND(_xlpm.baseRow,$E804&lt;&gt;"",$D804&lt;&gt;"",$F804&lt;&gt;"",COUNTBLANK(_xlpm.HRange)=4),
Error!$B$5,
IF(AND($F804="Remove",$H804&lt;&gt;"",$I804=""),
Error!$B$18,
IF(AND($E804="Tier 4",$F804="Remove",$H804="Tree Protection Code: Tier 3 or Tier 4 Allowance",$H804&lt;&gt;"",ISNA(MATCH($I804,Tables!$B$200,0))),
Error!$B$17,
IF(AND($E804="Tier 3",$F804="Remove",$H804&lt;&gt;"",$H804="Tree Protection Code: Tier 3 or Tier 4 Allowance",OR($I804="",ISNA(MATCH($I804,Tables!$B$193:$B$197,0)))),
Error!$B$17,
IF(AND(OR($E804="Tier 2",$E804="Tier 2 Grove"),$F804="Remove",$H804="Tree Protection Code: Other removal allowance or exemption",$I804&lt;&gt;"",ISNA(MATCH($I804,Tables!$B$215:$B$218,0))),
Error!$B$17,
IF(AND(OR($E804="Tier 2",$E804="Tier 2 Grove"),$F804="Remove",$H804="Tree Protection Code: Development Capacity",$I804&lt;&gt;"",ISNA(MATCH($I804,Tables!$B$193:$B$197,0))),
Error!$B$17,
IF(AND(OR($E804="Tier 2",$E804="Tier 2 Grove"),$F804="Remove",$H804="Tree Protection Code: Necessary for Construction",$I804&lt;&gt;"",ISNA(MATCH($I804,Tables!$B$193:$B$197,0))),
Error!$B$17,
IF(AND($E804="Tier 1",$F804="Remove",$H804="Tree Protection Code: Special Exception",$I804&lt;&gt;"",ISNA(MATCH($I804,Tables!$B$215:$B$218,0))),
Error!$B$17,
IF(AND($E804="Tier 1",$F804="Remove",$H804="Tree Protection Code: Other removal allowance or exemption",$I804&lt;&gt;"",ISNA(MATCH($I804,Tables!$B$215:$B$218,0))),
Error!$B$17,
IF(AND($E804="ECA / Shoreline Tree",$F804="Remove",$H804&lt;&gt;"",OR($H804="Shoreline",$H804="Environmental Critical Area (ECA)"),ISNA(MATCH($I804,Tables!$B$209:$B$212,0))),
Error!$B$17,
IF(AND(_xlpm.baseRow,$F804="Retain",$E804="ECA / Shoreline Tree",_xlpm.ECA_Short=0),
Error!$B$61,
IF(AND($F804="Remove",ISNUMBER(MATCH($E804,{"Tier 1","Tier 2","Tier 3","Tier 4","Tier 2 Grove"},0)),ISNUMBER(MATCH($I804,{"On-site replacement","Off-site replacement"},0)),$J804="",$H804&lt;&gt;""),
Error!$B$19,
IF(AND(_xlpm.baseRow,$E804&lt;&gt;"",$D804&lt;&gt;"",$F804&lt;&gt;"",COUNTBLANK($B804:$C804)&gt;0,COUNTBLANK(_xlpm.HRange)&lt;&gt;4),
Error!$B$22,
IF(AND($H804="Zoning: Tree Points",$K804&lt;&gt;"",ISNA(MATCH($K804,Tables!$B$242:$B$253,0))),
Error!$B$58,
IF(AND($H804="Zoning: Tree Points",$K804="Small",$L804&lt;&gt;"",ISNA(MATCH($L804,Tables!$C$243:$C$244,0))),
Error!$B$59,
IF(AND($H804="Zoning: Tree Points",$K804="Small/Medium",$L804&lt;&gt;"",ISNA(MATCH($L804,Tables!$C$246:$C$247,0))),
Error!$B$59,
IF(AND($H804="Zoning: Tree Points",$K804="Medium/Large",$L804&lt;&gt;"",ISNA(MATCH($L804,Tables!$C$249:$C$250,0))),
Error!$B$59,
IF(AND($H804="Zoning: Tree Points",$K804="Large",$L804&lt;&gt;"",ISNA(MATCH($L804,Tables!$C$252:$C$253,0))),
Error!$B$59,
IF(AND($F804="Retain",$H804="Zoning: Tree Points",$C804&lt;&gt;"",$D804&lt;&gt;"",OR($K804="",$L804="",$M804="")),
Error!$B$20,
""
)))))))))))))))))))))))))))))))))))))))))))))))))))))))),
Error!$B$23))</f>
        <v/>
      </c>
      <c r="O804" s="343" t="str" cm="1">
        <f t="array" aca="1" ref="O804" ca="1">IFERROR(_xlfn.LET(
    _xlpm.txt, $C804,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05" spans="1:15" x14ac:dyDescent="0.3">
      <c r="A805" s="320"/>
      <c r="B805" s="616" t="str">
        <f t="shared" si="958"/>
        <v/>
      </c>
      <c r="C805" s="617" t="str">
        <f t="shared" si="959"/>
        <v/>
      </c>
      <c r="D805" s="618" t="str">
        <f t="shared" si="960"/>
        <v/>
      </c>
      <c r="E805" s="616" t="str">
        <f t="shared" si="961"/>
        <v/>
      </c>
      <c r="F805" s="616" t="str">
        <f t="shared" si="962"/>
        <v/>
      </c>
      <c r="G805" s="619" t="str">
        <f>IF(Tree_Table1[[#This Row],[Tree Status  &amp;]]="Retain", Tables!$B$237, IF(Tree_Table1[[#This Row],[Tree Status  &amp;]]="Remove", Tables!$B$238, ""))</f>
        <v/>
      </c>
      <c r="H805" s="321"/>
      <c r="I805" s="322"/>
      <c r="J805" s="453"/>
      <c r="K805" s="323" t="str">
        <f>IFERROR(
    IF(
        AND($H805="Zoning: Tree Points", NOT(ISNUMBER(SEARCH("sp.", $C805)))),
        VLOOKUP($C805, 'Tree List'!$C$3:$F$601, 4, FALSE),
        ""
    ),
"")</f>
        <v/>
      </c>
      <c r="L805" s="324" t="str" cm="1">
        <f t="array" ref="L805">IFERROR(
IF(
    AND($H805="Zoning: Tree Points", NOT(ISNUMBER(SEARCH("sp.", $C805)))),
    _xlfn.IFS(
        (COUNTIFS('Tree List'!$C$3:$C$601,$C805,'Tree List'!$D$3:$D$601,"Coniferous")
        + COUNTIFS('Tree List'!$C$3:$C$601,$C805,'Tree List'!$D$3:$D$601,"Deciduous Conifer")) &gt; 0,
            _xlfn.IFS($K805="Small",0.5,$K805="Small/Medium",1,$K805="Medium/Large",1.4,$K805="Large",1.8),
        (COUNTIFS('Tree List'!$C$3:$C$601,$C805,'Tree List'!$D$3:$D$601,"Deciduous")
        + COUNTIFS('Tree List'!$C$3:$C$601,$C805,'Tree List'!$D$3:$D$601,"Broadleaf Evergreen")) &gt; 0,
            _xlfn.IFS($K805="Small",0.4,$K805="Small/Medium",0.8,$K805="Medium/Large",1.2,$K805="Large",1.6)
    ),
    ""
),
"")</f>
        <v/>
      </c>
      <c r="M805" s="475" t="str">
        <f t="shared" si="897"/>
        <v/>
      </c>
      <c r="N805" s="346" t="str" cm="1">
        <f t="array" aca="1" ref="N805"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IF(AND(_xlpm.baseRow,ISNA(MATCH($C805,'Tree List'!$C$3:$C$601,0)),SUMPRODUCT(--ISNUMBER(SEARCH(Tables2!$C$677:$C$772,$O805)))&gt;0),
Error!$B$57,
IF(AND(_xlpm.hasDM,$F805="Remove",$H805&lt;&gt;"",OR($I805="On-site replacement",$I805="Off-site replacement",$I805="Payment In Lieu")),
Error!$B$56,
IF(AND(_xlpm.hasDM,$F805="Remove",$H805&lt;&gt;"",$I805="Relocation"),
Error!$B$66,
IF(AND(OR(_xlpm.hasCN,_xlpm.hasPH,_xlpm.hasGR),$H805&lt;&gt;"",COUNTIF(Tables!$B$132:$B$134,$H805)&gt;0,$I805="N/A (No replacement required)"),
Error!$B$62,
IF(AND(_xlpm.baseRow,$E805&lt;&gt;"",ISNA(MATCH($E805,Tables!$B$225:$B$232,0))),
Error!$B$2,
IF(AND(_xlpm.baseRow,$F805&lt;&gt;"",ISNA(MATCH($F805,Tables!$B$234:$B$235,0))),
Error!$B$24,
IF(AND(_xlpm.baseRow,_xlpm.ECA_H&gt;0,_xlpm.Shore_H&gt;0),
Error!$B$16,
IF(AND(_xlpm.baseRow,$E805&lt;&gt;"",$D805=""),
Error!$B$3,
IF(AND(_xlpm.baseRow,OR($E805="Tier 3",$E805="Tier 4"),$C805&lt;&gt;"",$D805&gt;=24,COUNTIF(Tables2!$B$166:$B$674,$C805)&gt;0),
Error!$B$44,
IF(AND(_xlpm.baseRow,OR($E805="Tier 3",$E805="Tier 4"),$C805&lt;&gt;"",$D805&lt;&gt;"",COUNTIF(Tables2!$B$73:$B$152,$C805)&gt;0,
$D805&gt;=IFERROR(INDEX(Tables2!$C$73:$C$152,MATCH($C805,Tables2!$B$73:$B$152,0)),-1)),
Error!$B$44,
IF(AND(_xlpm.baseRow,OR($E805="Tier 2",$E805="Tier 2 Grove"),$C805&lt;&gt;"",$D805&gt;=12,COUNTIF(Tables2!$B$153:$B$162,$C805)&gt;0),
Error!$B$45,
IF(AND(_xlpm.baseRow,$E805="Tier 2 Grove",$D805&lt;12),
Error!$B$41,
IF(AND(_xlpm.baseRow,$E805="Tier 2",$D805&lt;5.88),
Error!$B$40,
IF(AND(_xlpm.baseRow,OR($E805="Tier 2",$E805="Tier 2 Grove"),$C805&lt;&gt;"",$D805&lt;12,$D805&gt;=6,COUNTIF(Tables2!$B$153:$B$162,$C805)&gt;0),
Error!$B$54,
IF(AND(_xlpm.baseRow,$E805="Tier 2",COUNTIF(Tables2!$B$166:$B$674,$C805)&gt;0,$D805&lt;24),
Error!$B$54,
IF(AND(_xlpm.baseRow,$E805="Tier 3",ISNA(MATCH($C805,Tables2!$B$153:$B$162,0)),OR($D805&lt;12,$D805&gt;=24)),
Error!$B$9,
IF(AND(_xlpm.baseRow,$E805="Tier 3",COUNTIF(Tables2!$B$153:$B$162,$C805)&gt;0,$D805&lt;12),
Error!$B$46,
IF(AND(_xlpm.baseRow,$E805="Tier 4",OR($D805&lt;6,$D805&gt;=12)),
Error!$B$10,
IF(AND(_xlpm.baseRow,$E805="&lt;6in DSH for Tree Points",OR($D805&gt;=6,$D805="")),
Error!$B$8,
IF(AND(_xlpm.baseRow,$E805="Street Tree for Green Factor",$F805&lt;&gt;"",$F805&lt;&gt;"Retain"),
Error!$B$14,
IF(AND($E805="&lt;6in DSH for Tree Points",$F805="Retain",$H805&lt;&gt;"",ISNA(MATCH($H805,Tables!$B$174:$B$174,0))),
Error!$B$15,
IF(AND($E805="Street Tree for Green Factor",$F805="Retain",$H805&lt;&gt;"",$H805&lt;&gt;"Zoning: Green Factor"),
Error!$B$15,
IF(AND($E805="ECA / Shoreline Tree",$F805="Remove",$H805&lt;&gt;"",ISNA(MATCH($H805,Tables!$B$189:$B$190,0))),
Error!$B$15,
IF(AND($E805="ECA / Shoreline Tree",$F805="Retain",$H805&lt;&gt;"",ISNA(MATCH($H805,Tables!$B$184:$B$186,0))),
Error!$B$15,
IF(AND($E805="Tier 4",$F805="Remove",$H805&lt;&gt;"",ISNA(MATCH($H805,Tables!$B$171,0))),
Error!$B$15,
IF(AND($E805="Tier 4",$F805="Retain",$H805&lt;&gt;"",ISNA(MATCH($H805,Tables!$B$166:$B$168,0))),
Error!$B$15,
IF(AND($E805="Tier 3",$F805="Retain",$H805&lt;&gt;"",ISNA(MATCH($H805,Tables!$B$158:$B$160,0))),
Error!$B$15,
IF(AND($E805="Tier 3",$F805="Remove",$H805&lt;&gt;"",ISNA(MATCH($H805,Tables!$B$163,0))),
Error!$B$15,
IF(AND(OR($E805="Tier 2",$E805="Tier 2 Grove"),$F805="Remove",$H805&lt;&gt;"",ISNA(MATCH($H805,Tables!$B$153:$B$155,0))),
Error!$B$15,
IF(AND(OR($E805="Tier 2",$E805="Tier 2 Grove"),$F805="Retain",$H805&lt;&gt;"",ISNA(MATCH($H805,Tables!$B$147:$B$150,0))),
Error!$B$15,
IF(AND($E805="Tier 1",$F805="Remove",$H805&lt;&gt;"",ISNA(MATCH($H805,Tables!$B$143:$B$144,0))),
Error!$B$15,
IF(AND($E805="Tier 1",$F805="Retain",$H805&lt;&gt;"",ISNA(MATCH($H805,Tables!$B$137:$B$140,0))),
Error!$B$15,
IF(AND($E805&lt;&gt;"Tier 2",$E805&lt;&gt;"Tier 2 Grove",$E805&lt;&gt;"Tier 3",$E805&lt;&gt;"Tier 4",$H805="Zoning: Green Factor",OR($D805="",$D805&lt;6)),
Error!$B$11,
IF(AND(_xlpm.baseRow,$D805&lt;6,$E805="&lt;6in DSH for Tree Points",_xlpm.TreePoints_H=0),
Error!$B$21,
IF(AND(_xlpm.baseRow,$E805&lt;&gt;"",$D805&lt;&gt;"",$F805=""),
Error!$B$4,
IF(AND(_xlpm.baseRow,$F805="Remove",OR($E805="Tier 1",$E805="Tier 2",$E805="Tier 2 Grove"),COUNTBLANK(_xlpm.HRange)&lt;3,_xlpm.uniqueH&gt;=2),
Error!$B$48,
IF(AND(_xlpm.baseRow,$F805="Retain",OR($E805="Tier 1",$E805="Tier 2",$E805="Tier 2 Grove"),COUNTIF(_xlpm.HRange,"Tree Code: Required to Retain Tier 1-2 Tree")=0),
Error!$B$47,
IF(AND(_xlpm.baseRow,$E805&lt;&gt;"",$D805&lt;&gt;"",$F805&lt;&gt;"",COUNTBLANK(_xlpm.HRange)=4),
Error!$B$5,
IF(AND($F805="Remove",$H805&lt;&gt;"",$I805=""),
Error!$B$18,
IF(AND($E805="Tier 4",$F805="Remove",$H805="Tree Protection Code: Tier 3 or Tier 4 Allowance",$H805&lt;&gt;"",ISNA(MATCH($I805,Tables!$B$200,0))),
Error!$B$17,
IF(AND($E805="Tier 3",$F805="Remove",$H805&lt;&gt;"",$H805="Tree Protection Code: Tier 3 or Tier 4 Allowance",OR($I805="",ISNA(MATCH($I805,Tables!$B$193:$B$197,0)))),
Error!$B$17,
IF(AND(OR($E805="Tier 2",$E805="Tier 2 Grove"),$F805="Remove",$H805="Tree Protection Code: Other removal allowance or exemption",$I805&lt;&gt;"",ISNA(MATCH($I805,Tables!$B$215:$B$218,0))),
Error!$B$17,
IF(AND(OR($E805="Tier 2",$E805="Tier 2 Grove"),$F805="Remove",$H805="Tree Protection Code: Development Capacity",$I805&lt;&gt;"",ISNA(MATCH($I805,Tables!$B$193:$B$197,0))),
Error!$B$17,
IF(AND(OR($E805="Tier 2",$E805="Tier 2 Grove"),$F805="Remove",$H805="Tree Protection Code: Necessary for Construction",$I805&lt;&gt;"",ISNA(MATCH($I805,Tables!$B$193:$B$197,0))),
Error!$B$17,
IF(AND($E805="Tier 1",$F805="Remove",$H805="Tree Protection Code: Special Exception",$I805&lt;&gt;"",ISNA(MATCH($I805,Tables!$B$215:$B$218,0))),
Error!$B$17,
IF(AND($E805="Tier 1",$F805="Remove",$H805="Tree Protection Code: Other removal allowance or exemption",$I805&lt;&gt;"",ISNA(MATCH($I805,Tables!$B$215:$B$218,0))),
Error!$B$17,
IF(AND($E805="ECA / Shoreline Tree",$F805="Remove",$H805&lt;&gt;"",OR($H805="Shoreline",$H805="Environmental Critical Area (ECA)"),ISNA(MATCH($I805,Tables!$B$209:$B$212,0))),
Error!$B$17,
IF(AND(_xlpm.baseRow,$F805="Retain",$E805="ECA / Shoreline Tree",_xlpm.ECA_Short=0),
Error!$B$61,
IF(AND($F805="Remove",ISNUMBER(MATCH($E805,{"Tier 1","Tier 2","Tier 3","Tier 4","Tier 2 Grove"},0)),ISNUMBER(MATCH($I805,{"On-site replacement","Off-site replacement"},0)),$J805="",$H805&lt;&gt;""),
Error!$B$19,
IF(AND(_xlpm.baseRow,$E805&lt;&gt;"",$D805&lt;&gt;"",$F805&lt;&gt;"",COUNTBLANK($B805:$C805)&gt;0,COUNTBLANK(_xlpm.HRange)&lt;&gt;4),
Error!$B$22,
IF(AND($H805="Zoning: Tree Points",$K805&lt;&gt;"",ISNA(MATCH($K805,Tables!$B$242:$B$253,0))),
Error!$B$58,
IF(AND($H805="Zoning: Tree Points",$K805="Small",$L805&lt;&gt;"",ISNA(MATCH($L805,Tables!$C$243:$C$244,0))),
Error!$B$59,
IF(AND($H805="Zoning: Tree Points",$K805="Small/Medium",$L805&lt;&gt;"",ISNA(MATCH($L805,Tables!$C$246:$C$247,0))),
Error!$B$59,
IF(AND($H805="Zoning: Tree Points",$K805="Medium/Large",$L805&lt;&gt;"",ISNA(MATCH($L805,Tables!$C$249:$C$250,0))),
Error!$B$59,
IF(AND($H805="Zoning: Tree Points",$K805="Large",$L805&lt;&gt;"",ISNA(MATCH($L805,Tables!$C$252:$C$253,0))),
Error!$B$59,
IF(AND($F805="Retain",$H805="Zoning: Tree Points",$C805&lt;&gt;"",$D805&lt;&gt;"",OR($K805="",$L805="",$M805="")),
Error!$B$20,
""
)))))))))))))))))))))))))))))))))))))))))))))))))))))))),
Error!$B$23))</f>
        <v/>
      </c>
      <c r="O805" s="343" t="str" cm="1">
        <f t="array" aca="1" ref="O805" ca="1">IFERROR(_xlfn.LET(
    _xlpm.txt, $C805,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06" spans="1:15" ht="15" thickBot="1" x14ac:dyDescent="0.35">
      <c r="A806" s="331"/>
      <c r="B806" s="616" t="str">
        <f t="shared" si="958"/>
        <v/>
      </c>
      <c r="C806" s="617" t="str">
        <f t="shared" si="959"/>
        <v/>
      </c>
      <c r="D806" s="618" t="str">
        <f t="shared" si="960"/>
        <v/>
      </c>
      <c r="E806" s="616" t="str">
        <f t="shared" si="961"/>
        <v/>
      </c>
      <c r="F806" s="616" t="str">
        <f t="shared" si="962"/>
        <v/>
      </c>
      <c r="G806" s="619" t="str">
        <f>IF(Tree_Table1[[#This Row],[Tree Status  &amp;]]="Retain", Tables!$B$237, IF(Tree_Table1[[#This Row],[Tree Status  &amp;]]="Remove", Tables!$B$238, ""))</f>
        <v/>
      </c>
      <c r="H806" s="329"/>
      <c r="I806" s="330"/>
      <c r="J806" s="455"/>
      <c r="K806" s="327" t="str">
        <f>IFERROR(
    IF(
        AND($H806="Zoning: Tree Points", NOT(ISNUMBER(SEARCH("sp.", $C806)))),
        VLOOKUP($C806, 'Tree List'!$C$3:$F$601, 4, FALSE),
        ""
    ),
"")</f>
        <v/>
      </c>
      <c r="L806" s="328" t="str" cm="1">
        <f t="array" ref="L806">IFERROR(
IF(
    AND($H806="Zoning: Tree Points", NOT(ISNUMBER(SEARCH("sp.", $C806)))),
    _xlfn.IFS(
        (COUNTIFS('Tree List'!$C$3:$C$601,$C806,'Tree List'!$D$3:$D$601,"Coniferous")
        + COUNTIFS('Tree List'!$C$3:$C$601,$C806,'Tree List'!$D$3:$D$601,"Deciduous Conifer")) &gt; 0,
            _xlfn.IFS($K806="Small",0.5,$K806="Small/Medium",1,$K806="Medium/Large",1.4,$K806="Large",1.8),
        (COUNTIFS('Tree List'!$C$3:$C$601,$C806,'Tree List'!$D$3:$D$601,"Deciduous")
        + COUNTIFS('Tree List'!$C$3:$C$601,$C806,'Tree List'!$D$3:$D$601,"Broadleaf Evergreen")) &gt; 0,
            _xlfn.IFS($K806="Small",0.4,$K806="Small/Medium",0.8,$K806="Medium/Large",1.2,$K806="Large",1.6)
    ),
    ""
),
"")</f>
        <v/>
      </c>
      <c r="M806" s="476" t="str">
        <f t="shared" si="897"/>
        <v/>
      </c>
      <c r="N806" s="347" t="str" cm="1">
        <f t="array" aca="1" ref="N806"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IF(AND(_xlpm.baseRow,ISNA(MATCH($C806,'Tree List'!$C$3:$C$601,0)),SUMPRODUCT(--ISNUMBER(SEARCH(Tables2!$C$677:$C$772,$O806)))&gt;0),
Error!$B$57,
IF(AND(_xlpm.hasDM,$F806="Remove",$H806&lt;&gt;"",OR($I806="On-site replacement",$I806="Off-site replacement",$I806="Payment In Lieu")),
Error!$B$56,
IF(AND(_xlpm.hasDM,$F806="Remove",$H806&lt;&gt;"",$I806="Relocation"),
Error!$B$66,
IF(AND(OR(_xlpm.hasCN,_xlpm.hasPH,_xlpm.hasGR),$H806&lt;&gt;"",COUNTIF(Tables!$B$132:$B$134,$H806)&gt;0,$I806="N/A (No replacement required)"),
Error!$B$62,
IF(AND(_xlpm.baseRow,$E806&lt;&gt;"",ISNA(MATCH($E806,Tables!$B$225:$B$232,0))),
Error!$B$2,
IF(AND(_xlpm.baseRow,$F806&lt;&gt;"",ISNA(MATCH($F806,Tables!$B$234:$B$235,0))),
Error!$B$24,
IF(AND(_xlpm.baseRow,_xlpm.ECA_H&gt;0,_xlpm.Shore_H&gt;0),
Error!$B$16,
IF(AND(_xlpm.baseRow,$E806&lt;&gt;"",$D806=""),
Error!$B$3,
IF(AND(_xlpm.baseRow,OR($E806="Tier 3",$E806="Tier 4"),$C806&lt;&gt;"",$D806&gt;=24,COUNTIF(Tables2!$B$166:$B$674,$C806)&gt;0),
Error!$B$44,
IF(AND(_xlpm.baseRow,OR($E806="Tier 3",$E806="Tier 4"),$C806&lt;&gt;"",$D806&lt;&gt;"",COUNTIF(Tables2!$B$73:$B$152,$C806)&gt;0,
$D806&gt;=IFERROR(INDEX(Tables2!$C$73:$C$152,MATCH($C806,Tables2!$B$73:$B$152,0)),-1)),
Error!$B$44,
IF(AND(_xlpm.baseRow,OR($E806="Tier 2",$E806="Tier 2 Grove"),$C806&lt;&gt;"",$D806&gt;=12,COUNTIF(Tables2!$B$153:$B$162,$C806)&gt;0),
Error!$B$45,
IF(AND(_xlpm.baseRow,$E806="Tier 2 Grove",$D806&lt;12),
Error!$B$41,
IF(AND(_xlpm.baseRow,$E806="Tier 2",$D806&lt;5.88),
Error!$B$40,
IF(AND(_xlpm.baseRow,OR($E806="Tier 2",$E806="Tier 2 Grove"),$C806&lt;&gt;"",$D806&lt;12,$D806&gt;=6,COUNTIF(Tables2!$B$153:$B$162,$C806)&gt;0),
Error!$B$54,
IF(AND(_xlpm.baseRow,$E806="Tier 2",COUNTIF(Tables2!$B$166:$B$674,$C806)&gt;0,$D806&lt;24),
Error!$B$54,
IF(AND(_xlpm.baseRow,$E806="Tier 3",ISNA(MATCH($C806,Tables2!$B$153:$B$162,0)),OR($D806&lt;12,$D806&gt;=24)),
Error!$B$9,
IF(AND(_xlpm.baseRow,$E806="Tier 3",COUNTIF(Tables2!$B$153:$B$162,$C806)&gt;0,$D806&lt;12),
Error!$B$46,
IF(AND(_xlpm.baseRow,$E806="Tier 4",OR($D806&lt;6,$D806&gt;=12)),
Error!$B$10,
IF(AND(_xlpm.baseRow,$E806="&lt;6in DSH for Tree Points",OR($D806&gt;=6,$D806="")),
Error!$B$8,
IF(AND(_xlpm.baseRow,$E806="Street Tree for Green Factor",$F806&lt;&gt;"",$F806&lt;&gt;"Retain"),
Error!$B$14,
IF(AND($E806="&lt;6in DSH for Tree Points",$F806="Retain",$H806&lt;&gt;"",ISNA(MATCH($H806,Tables!$B$174:$B$174,0))),
Error!$B$15,
IF(AND($E806="Street Tree for Green Factor",$F806="Retain",$H806&lt;&gt;"",$H806&lt;&gt;"Zoning: Green Factor"),
Error!$B$15,
IF(AND($E806="ECA / Shoreline Tree",$F806="Remove",$H806&lt;&gt;"",ISNA(MATCH($H806,Tables!$B$189:$B$190,0))),
Error!$B$15,
IF(AND($E806="ECA / Shoreline Tree",$F806="Retain",$H806&lt;&gt;"",ISNA(MATCH($H806,Tables!$B$184:$B$186,0))),
Error!$B$15,
IF(AND($E806="Tier 4",$F806="Remove",$H806&lt;&gt;"",ISNA(MATCH($H806,Tables!$B$171,0))),
Error!$B$15,
IF(AND($E806="Tier 4",$F806="Retain",$H806&lt;&gt;"",ISNA(MATCH($H806,Tables!$B$166:$B$168,0))),
Error!$B$15,
IF(AND($E806="Tier 3",$F806="Retain",$H806&lt;&gt;"",ISNA(MATCH($H806,Tables!$B$158:$B$160,0))),
Error!$B$15,
IF(AND($E806="Tier 3",$F806="Remove",$H806&lt;&gt;"",ISNA(MATCH($H806,Tables!$B$163,0))),
Error!$B$15,
IF(AND(OR($E806="Tier 2",$E806="Tier 2 Grove"),$F806="Remove",$H806&lt;&gt;"",ISNA(MATCH($H806,Tables!$B$153:$B$155,0))),
Error!$B$15,
IF(AND(OR($E806="Tier 2",$E806="Tier 2 Grove"),$F806="Retain",$H806&lt;&gt;"",ISNA(MATCH($H806,Tables!$B$147:$B$150,0))),
Error!$B$15,
IF(AND($E806="Tier 1",$F806="Remove",$H806&lt;&gt;"",ISNA(MATCH($H806,Tables!$B$143:$B$144,0))),
Error!$B$15,
IF(AND($E806="Tier 1",$F806="Retain",$H806&lt;&gt;"",ISNA(MATCH($H806,Tables!$B$137:$B$140,0))),
Error!$B$15,
IF(AND($E806&lt;&gt;"Tier 2",$E806&lt;&gt;"Tier 2 Grove",$E806&lt;&gt;"Tier 3",$E806&lt;&gt;"Tier 4",$H806="Zoning: Green Factor",OR($D806="",$D806&lt;6)),
Error!$B$11,
IF(AND(_xlpm.baseRow,$D806&lt;6,$E806="&lt;6in DSH for Tree Points",_xlpm.TreePoints_H=0),
Error!$B$21,
IF(AND(_xlpm.baseRow,$E806&lt;&gt;"",$D806&lt;&gt;"",$F806=""),
Error!$B$4,
IF(AND(_xlpm.baseRow,$F806="Remove",OR($E806="Tier 1",$E806="Tier 2",$E806="Tier 2 Grove"),COUNTBLANK(_xlpm.HRange)&lt;3,_xlpm.uniqueH&gt;=2),
Error!$B$48,
IF(AND(_xlpm.baseRow,$F806="Retain",OR($E806="Tier 1",$E806="Tier 2",$E806="Tier 2 Grove"),COUNTIF(_xlpm.HRange,"Tree Code: Required to Retain Tier 1-2 Tree")=0),
Error!$B$47,
IF(AND(_xlpm.baseRow,$E806&lt;&gt;"",$D806&lt;&gt;"",$F806&lt;&gt;"",COUNTBLANK(_xlpm.HRange)=4),
Error!$B$5,
IF(AND($F806="Remove",$H806&lt;&gt;"",$I806=""),
Error!$B$18,
IF(AND($E806="Tier 4",$F806="Remove",$H806="Tree Protection Code: Tier 3 or Tier 4 Allowance",$H806&lt;&gt;"",ISNA(MATCH($I806,Tables!$B$200,0))),
Error!$B$17,
IF(AND($E806="Tier 3",$F806="Remove",$H806&lt;&gt;"",$H806="Tree Protection Code: Tier 3 or Tier 4 Allowance",OR($I806="",ISNA(MATCH($I806,Tables!$B$193:$B$197,0)))),
Error!$B$17,
IF(AND(OR($E806="Tier 2",$E806="Tier 2 Grove"),$F806="Remove",$H806="Tree Protection Code: Other removal allowance or exemption",$I806&lt;&gt;"",ISNA(MATCH($I806,Tables!$B$215:$B$218,0))),
Error!$B$17,
IF(AND(OR($E806="Tier 2",$E806="Tier 2 Grove"),$F806="Remove",$H806="Tree Protection Code: Development Capacity",$I806&lt;&gt;"",ISNA(MATCH($I806,Tables!$B$193:$B$197,0))),
Error!$B$17,
IF(AND(OR($E806="Tier 2",$E806="Tier 2 Grove"),$F806="Remove",$H806="Tree Protection Code: Necessary for Construction",$I806&lt;&gt;"",ISNA(MATCH($I806,Tables!$B$193:$B$197,0))),
Error!$B$17,
IF(AND($E806="Tier 1",$F806="Remove",$H806="Tree Protection Code: Special Exception",$I806&lt;&gt;"",ISNA(MATCH($I806,Tables!$B$215:$B$218,0))),
Error!$B$17,
IF(AND($E806="Tier 1",$F806="Remove",$H806="Tree Protection Code: Other removal allowance or exemption",$I806&lt;&gt;"",ISNA(MATCH($I806,Tables!$B$215:$B$218,0))),
Error!$B$17,
IF(AND($E806="ECA / Shoreline Tree",$F806="Remove",$H806&lt;&gt;"",OR($H806="Shoreline",$H806="Environmental Critical Area (ECA)"),ISNA(MATCH($I806,Tables!$B$209:$B$212,0))),
Error!$B$17,
IF(AND(_xlpm.baseRow,$F806="Retain",$E806="ECA / Shoreline Tree",_xlpm.ECA_Short=0),
Error!$B$61,
IF(AND($F806="Remove",ISNUMBER(MATCH($E806,{"Tier 1","Tier 2","Tier 3","Tier 4","Tier 2 Grove"},0)),ISNUMBER(MATCH($I806,{"On-site replacement","Off-site replacement"},0)),$J806="",$H806&lt;&gt;""),
Error!$B$19,
IF(AND(_xlpm.baseRow,$E806&lt;&gt;"",$D806&lt;&gt;"",$F806&lt;&gt;"",COUNTBLANK($B806:$C806)&gt;0,COUNTBLANK(_xlpm.HRange)&lt;&gt;4),
Error!$B$22,
IF(AND($H806="Zoning: Tree Points",$K806&lt;&gt;"",ISNA(MATCH($K806,Tables!$B$242:$B$253,0))),
Error!$B$58,
IF(AND($H806="Zoning: Tree Points",$K806="Small",$L806&lt;&gt;"",ISNA(MATCH($L806,Tables!$C$243:$C$244,0))),
Error!$B$59,
IF(AND($H806="Zoning: Tree Points",$K806="Small/Medium",$L806&lt;&gt;"",ISNA(MATCH($L806,Tables!$C$246:$C$247,0))),
Error!$B$59,
IF(AND($H806="Zoning: Tree Points",$K806="Medium/Large",$L806&lt;&gt;"",ISNA(MATCH($L806,Tables!$C$249:$C$250,0))),
Error!$B$59,
IF(AND($H806="Zoning: Tree Points",$K806="Large",$L806&lt;&gt;"",ISNA(MATCH($L806,Tables!$C$252:$C$253,0))),
Error!$B$59,
IF(AND($F806="Retain",$H806="Zoning: Tree Points",$C806&lt;&gt;"",$D806&lt;&gt;"",OR($K806="",$L806="",$M806="")),
Error!$B$20,
""
)))))))))))))))))))))))))))))))))))))))))))))))))))))))),
Error!$B$23))</f>
        <v/>
      </c>
      <c r="O806" s="343" t="str" cm="1">
        <f t="array" aca="1" ref="O806" ca="1">IFERROR(_xlfn.LET(
    _xlpm.txt, $C806,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07" spans="1:15" ht="15" thickBot="1" x14ac:dyDescent="0.35">
      <c r="A807" s="311">
        <v>200</v>
      </c>
      <c r="B807" s="312"/>
      <c r="C807" s="313"/>
      <c r="D807" s="478"/>
      <c r="E807" s="314"/>
      <c r="F807" s="314"/>
      <c r="G807" s="315" t="str">
        <f>IF(Tree_Table1[[#This Row],[Tree Status  &amp;]]="Retain", Tables!$B$237, IF(Tree_Table1[[#This Row],[Tree Status  &amp;]]="Remove", Tables!$B$238, ""))</f>
        <v/>
      </c>
      <c r="H807" s="316"/>
      <c r="I807" s="317"/>
      <c r="J807" s="452"/>
      <c r="K807" s="318" t="str">
        <f>IFERROR(
    IF(
        AND($H807="Zoning: Tree Points", NOT(ISNUMBER(SEARCH("sp.", $C807)))),
        VLOOKUP($C807, 'Tree List'!$C$3:$F$601, 4, FALSE),
        ""
    ),
"")</f>
        <v/>
      </c>
      <c r="L807" s="319" t="str" cm="1">
        <f t="array" ref="L807">IFERROR(
IF(
    AND($H807="Zoning: Tree Points", NOT(ISNUMBER(SEARCH("sp.", $C807)))),
    _xlfn.IFS(
        (COUNTIFS('Tree List'!$C$3:$C$601,$C807,'Tree List'!$D$3:$D$601,"Coniferous")
        + COUNTIFS('Tree List'!$C$3:$C$601,$C807,'Tree List'!$D$3:$D$601,"Deciduous Conifer")) &gt; 0,
            _xlfn.IFS($K807="Small",0.5,$K807="Small/Medium",1,$K807="Medium/Large",1.4,$K807="Large",1.8),
        (COUNTIFS('Tree List'!$C$3:$C$601,$C807,'Tree List'!$D$3:$D$601,"Deciduous")
        + COUNTIFS('Tree List'!$C$3:$C$601,$C807,'Tree List'!$D$3:$D$601,"Broadleaf Evergreen")) &gt; 0,
            _xlfn.IFS($K807="Small",0.4,$K807="Small/Medium",0.8,$K807="Medium/Large",1.2,$K807="Large",1.6)
    ),
    ""
),
"")</f>
        <v/>
      </c>
      <c r="M807" s="474" t="str">
        <f t="shared" si="897"/>
        <v/>
      </c>
      <c r="N807" s="620" t="str" cm="1">
        <f t="array" aca="1" ref="N807"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IF(AND(_xlpm.baseRow,ISNA(MATCH($C807,'Tree List'!$C$3:$C$601,0)),SUMPRODUCT(--ISNUMBER(SEARCH(Tables2!$C$677:$C$772,$O807)))&gt;0),
Error!$B$57,
IF(AND(_xlpm.hasDM,$F807="Remove",$H807&lt;&gt;"",OR($I807="On-site replacement",$I807="Off-site replacement",$I807="Payment In Lieu")),
Error!$B$56,
IF(AND(_xlpm.hasDM,$F807="Remove",$H807&lt;&gt;"",$I807="Relocation"),
Error!$B$66,
IF(AND(OR(_xlpm.hasCN,_xlpm.hasPH,_xlpm.hasGR),$H807&lt;&gt;"",COUNTIF(Tables!$B$132:$B$134,$H807)&gt;0,$I807="N/A (No replacement required)"),
Error!$B$62,
IF(AND(_xlpm.baseRow,$E807&lt;&gt;"",ISNA(MATCH($E807,Tables!$B$225:$B$232,0))),
Error!$B$2,
IF(AND(_xlpm.baseRow,$F807&lt;&gt;"",ISNA(MATCH($F807,Tables!$B$234:$B$235,0))),
Error!$B$24,
IF(AND(_xlpm.baseRow,_xlpm.ECA_H&gt;0,_xlpm.Shore_H&gt;0),
Error!$B$16,
IF(AND(_xlpm.baseRow,$E807&lt;&gt;"",$D807=""),
Error!$B$3,
IF(AND(_xlpm.baseRow,OR($E807="Tier 3",$E807="Tier 4"),$C807&lt;&gt;"",$D807&gt;=24,COUNTIF(Tables2!$B$166:$B$674,$C807)&gt;0),
Error!$B$44,
IF(AND(_xlpm.baseRow,OR($E807="Tier 3",$E807="Tier 4"),$C807&lt;&gt;"",$D807&lt;&gt;"",COUNTIF(Tables2!$B$73:$B$152,$C807)&gt;0,
$D807&gt;=IFERROR(INDEX(Tables2!$C$73:$C$152,MATCH($C807,Tables2!$B$73:$B$152,0)),-1)),
Error!$B$44,
IF(AND(_xlpm.baseRow,OR($E807="Tier 2",$E807="Tier 2 Grove"),$C807&lt;&gt;"",$D807&gt;=12,COUNTIF(Tables2!$B$153:$B$162,$C807)&gt;0),
Error!$B$45,
IF(AND(_xlpm.baseRow,$E807="Tier 2 Grove",$D807&lt;12),
Error!$B$41,
IF(AND(_xlpm.baseRow,$E807="Tier 2",$D807&lt;5.88),
Error!$B$40,
IF(AND(_xlpm.baseRow,OR($E807="Tier 2",$E807="Tier 2 Grove"),$C807&lt;&gt;"",$D807&lt;12,$D807&gt;=6,COUNTIF(Tables2!$B$153:$B$162,$C807)&gt;0),
Error!$B$54,
IF(AND(_xlpm.baseRow,$E807="Tier 2",COUNTIF(Tables2!$B$166:$B$674,$C807)&gt;0,$D807&lt;24),
Error!$B$54,
IF(AND(_xlpm.baseRow,$E807="Tier 3",ISNA(MATCH($C807,Tables2!$B$153:$B$162,0)),OR($D807&lt;12,$D807&gt;=24)),
Error!$B$9,
IF(AND(_xlpm.baseRow,$E807="Tier 3",COUNTIF(Tables2!$B$153:$B$162,$C807)&gt;0,$D807&lt;12),
Error!$B$46,
IF(AND(_xlpm.baseRow,$E807="Tier 4",OR($D807&lt;6,$D807&gt;=12)),
Error!$B$10,
IF(AND(_xlpm.baseRow,$E807="&lt;6in DSH for Tree Points",OR($D807&gt;=6,$D807="")),
Error!$B$8,
IF(AND(_xlpm.baseRow,$E807="Street Tree for Green Factor",$F807&lt;&gt;"",$F807&lt;&gt;"Retain"),
Error!$B$14,
IF(AND($E807="&lt;6in DSH for Tree Points",$F807="Retain",$H807&lt;&gt;"",ISNA(MATCH($H807,Tables!$B$174:$B$174,0))),
Error!$B$15,
IF(AND($E807="Street Tree for Green Factor",$F807="Retain",$H807&lt;&gt;"",$H807&lt;&gt;"Zoning: Green Factor"),
Error!$B$15,
IF(AND($E807="ECA / Shoreline Tree",$F807="Remove",$H807&lt;&gt;"",ISNA(MATCH($H807,Tables!$B$189:$B$190,0))),
Error!$B$15,
IF(AND($E807="ECA / Shoreline Tree",$F807="Retain",$H807&lt;&gt;"",ISNA(MATCH($H807,Tables!$B$184:$B$186,0))),
Error!$B$15,
IF(AND($E807="Tier 4",$F807="Remove",$H807&lt;&gt;"",ISNA(MATCH($H807,Tables!$B$171,0))),
Error!$B$15,
IF(AND($E807="Tier 4",$F807="Retain",$H807&lt;&gt;"",ISNA(MATCH($H807,Tables!$B$166:$B$168,0))),
Error!$B$15,
IF(AND($E807="Tier 3",$F807="Retain",$H807&lt;&gt;"",ISNA(MATCH($H807,Tables!$B$158:$B$160,0))),
Error!$B$15,
IF(AND($E807="Tier 3",$F807="Remove",$H807&lt;&gt;"",ISNA(MATCH($H807,Tables!$B$163,0))),
Error!$B$15,
IF(AND(OR($E807="Tier 2",$E807="Tier 2 Grove"),$F807="Remove",$H807&lt;&gt;"",ISNA(MATCH($H807,Tables!$B$153:$B$155,0))),
Error!$B$15,
IF(AND(OR($E807="Tier 2",$E807="Tier 2 Grove"),$F807="Retain",$H807&lt;&gt;"",ISNA(MATCH($H807,Tables!$B$147:$B$150,0))),
Error!$B$15,
IF(AND($E807="Tier 1",$F807="Remove",$H807&lt;&gt;"",ISNA(MATCH($H807,Tables!$B$143:$B$144,0))),
Error!$B$15,
IF(AND($E807="Tier 1",$F807="Retain",$H807&lt;&gt;"",ISNA(MATCH($H807,Tables!$B$137:$B$140,0))),
Error!$B$15,
IF(AND($E807&lt;&gt;"Tier 2",$E807&lt;&gt;"Tier 2 Grove",$E807&lt;&gt;"Tier 3",$E807&lt;&gt;"Tier 4",$H807="Zoning: Green Factor",OR($D807="",$D807&lt;6)),
Error!$B$11,
IF(AND(_xlpm.baseRow,$D807&lt;6,$E807="&lt;6in DSH for Tree Points",_xlpm.TreePoints_H=0),
Error!$B$21,
IF(AND(_xlpm.baseRow,$E807&lt;&gt;"",$D807&lt;&gt;"",$F807=""),
Error!$B$4,
IF(AND(_xlpm.baseRow,$F807="Remove",OR($E807="Tier 1",$E807="Tier 2",$E807="Tier 2 Grove"),COUNTBLANK(_xlpm.HRange)&lt;3,_xlpm.uniqueH&gt;=2),
Error!$B$48,
IF(AND(_xlpm.baseRow,$F807="Retain",OR($E807="Tier 1",$E807="Tier 2",$E807="Tier 2 Grove"),COUNTIF(_xlpm.HRange,"Tree Code: Required to Retain Tier 1-2 Tree")=0),
Error!$B$47,
IF(AND(_xlpm.baseRow,$E807&lt;&gt;"",$D807&lt;&gt;"",$F807&lt;&gt;"",COUNTBLANK(_xlpm.HRange)=4),
Error!$B$5,
IF(AND($F807="Remove",$H807&lt;&gt;"",$I807=""),
Error!$B$18,
IF(AND($E807="Tier 4",$F807="Remove",$H807="Tree Protection Code: Tier 3 or Tier 4 Allowance",$H807&lt;&gt;"",ISNA(MATCH($I807,Tables!$B$200,0))),
Error!$B$17,
IF(AND($E807="Tier 3",$F807="Remove",$H807&lt;&gt;"",$H807="Tree Protection Code: Tier 3 or Tier 4 Allowance",OR($I807="",ISNA(MATCH($I807,Tables!$B$193:$B$197,0)))),
Error!$B$17,
IF(AND(OR($E807="Tier 2",$E807="Tier 2 Grove"),$F807="Remove",$H807="Tree Protection Code: Other removal allowance or exemption",$I807&lt;&gt;"",ISNA(MATCH($I807,Tables!$B$215:$B$218,0))),
Error!$B$17,
IF(AND(OR($E807="Tier 2",$E807="Tier 2 Grove"),$F807="Remove",$H807="Tree Protection Code: Development Capacity",$I807&lt;&gt;"",ISNA(MATCH($I807,Tables!$B$193:$B$197,0))),
Error!$B$17,
IF(AND(OR($E807="Tier 2",$E807="Tier 2 Grove"),$F807="Remove",$H807="Tree Protection Code: Necessary for Construction",$I807&lt;&gt;"",ISNA(MATCH($I807,Tables!$B$193:$B$197,0))),
Error!$B$17,
IF(AND($E807="Tier 1",$F807="Remove",$H807="Tree Protection Code: Special Exception",$I807&lt;&gt;"",ISNA(MATCH($I807,Tables!$B$215:$B$218,0))),
Error!$B$17,
IF(AND($E807="Tier 1",$F807="Remove",$H807="Tree Protection Code: Other removal allowance or exemption",$I807&lt;&gt;"",ISNA(MATCH($I807,Tables!$B$215:$B$218,0))),
Error!$B$17,
IF(AND($E807="ECA / Shoreline Tree",$F807="Remove",$H807&lt;&gt;"",OR($H807="Shoreline",$H807="Environmental Critical Area (ECA)"),ISNA(MATCH($I807,Tables!$B$209:$B$212,0))),
Error!$B$17,
IF(AND(_xlpm.baseRow,$F807="Retain",$E807="ECA / Shoreline Tree",_xlpm.ECA_Short=0),
Error!$B$61,
IF(AND($F807="Remove",ISNUMBER(MATCH($E807,{"Tier 1","Tier 2","Tier 3","Tier 4","Tier 2 Grove"},0)),ISNUMBER(MATCH($I807,{"On-site replacement","Off-site replacement"},0)),$J807="",$H807&lt;&gt;""),
Error!$B$19,
IF(AND(_xlpm.baseRow,$E807&lt;&gt;"",$D807&lt;&gt;"",$F807&lt;&gt;"",COUNTBLANK($B807:$C807)&gt;0,COUNTBLANK(_xlpm.HRange)&lt;&gt;4),
Error!$B$22,
IF(AND($H807="Zoning: Tree Points",$K807&lt;&gt;"",ISNA(MATCH($K807,Tables!$B$242:$B$253,0))),
Error!$B$58,
IF(AND($H807="Zoning: Tree Points",$K807="Small",$L807&lt;&gt;"",ISNA(MATCH($L807,Tables!$C$243:$C$244,0))),
Error!$B$59,
IF(AND($H807="Zoning: Tree Points",$K807="Small/Medium",$L807&lt;&gt;"",ISNA(MATCH($L807,Tables!$C$246:$C$247,0))),
Error!$B$59,
IF(AND($H807="Zoning: Tree Points",$K807="Medium/Large",$L807&lt;&gt;"",ISNA(MATCH($L807,Tables!$C$249:$C$250,0))),
Error!$B$59,
IF(AND($H807="Zoning: Tree Points",$K807="Large",$L807&lt;&gt;"",ISNA(MATCH($L807,Tables!$C$252:$C$253,0))),
Error!$B$59,
IF(AND($F807="Retain",$H807="Zoning: Tree Points",$C807&lt;&gt;"",$D807&lt;&gt;"",OR($K807="",$L807="",$M807="")),
Error!$B$20,
""
)))))))))))))))))))))))))))))))))))))))))))))))))))))))),
Error!$B$23))</f>
        <v/>
      </c>
      <c r="O807" s="343" t="str" cm="1">
        <f t="array" aca="1" ref="O807" ca="1">IFERROR(_xlfn.LET(
    _xlpm.txt, $C807,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08" spans="1:15" x14ac:dyDescent="0.3">
      <c r="A808" s="320"/>
      <c r="B808" s="616" t="str">
        <f t="shared" ref="B808:B810" si="963">IF($B807="", "", $B807)</f>
        <v/>
      </c>
      <c r="C808" s="617" t="str">
        <f t="shared" ref="C808:C809" si="964">IF($C807="", "", $C807)</f>
        <v/>
      </c>
      <c r="D808" s="618" t="str">
        <f t="shared" ref="D808:D810" si="965">IF($D807="", "", $D807)</f>
        <v/>
      </c>
      <c r="E808" s="616" t="str">
        <f t="shared" ref="E808:E810" si="966">IF($E807="", "", $E807)</f>
        <v/>
      </c>
      <c r="F808" s="616" t="str">
        <f t="shared" ref="F808:F810" si="967">IF($F807="", "", $F807)</f>
        <v/>
      </c>
      <c r="G808" s="619" t="str">
        <f>IF(Tree_Table1[[#This Row],[Tree Status  &amp;]]="Retain", Tables!$B$237, IF(Tree_Table1[[#This Row],[Tree Status  &amp;]]="Remove", Tables!$B$238, ""))</f>
        <v/>
      </c>
      <c r="H808" s="321"/>
      <c r="I808" s="322"/>
      <c r="J808" s="453"/>
      <c r="K808" s="323" t="str">
        <f>IFERROR(
    IF(
        AND($H808="Zoning: Tree Points", NOT(ISNUMBER(SEARCH("sp.", $C808)))),
        VLOOKUP($C808, 'Tree List'!$C$3:$F$601, 4, FALSE),
        ""
    ),
"")</f>
        <v/>
      </c>
      <c r="L808" s="324" t="str" cm="1">
        <f t="array" ref="L808">IFERROR(
IF(
    AND($H808="Zoning: Tree Points", NOT(ISNUMBER(SEARCH("sp.", $C808)))),
    _xlfn.IFS(
        (COUNTIFS('Tree List'!$C$3:$C$601,$C808,'Tree List'!$D$3:$D$601,"Coniferous")
        + COUNTIFS('Tree List'!$C$3:$C$601,$C808,'Tree List'!$D$3:$D$601,"Deciduous Conifer")) &gt; 0,
            _xlfn.IFS($K808="Small",0.5,$K808="Small/Medium",1,$K808="Medium/Large",1.4,$K808="Large",1.8),
        (COUNTIFS('Tree List'!$C$3:$C$601,$C808,'Tree List'!$D$3:$D$601,"Deciduous")
        + COUNTIFS('Tree List'!$C$3:$C$601,$C808,'Tree List'!$D$3:$D$601,"Broadleaf Evergreen")) &gt; 0,
            _xlfn.IFS($K808="Small",0.4,$K808="Small/Medium",0.8,$K808="Medium/Large",1.2,$K808="Large",1.6)
    ),
    ""
),
"")</f>
        <v/>
      </c>
      <c r="M808" s="475" t="str">
        <f t="shared" si="897"/>
        <v/>
      </c>
      <c r="N808" s="346" t="str" cm="1">
        <f t="array" aca="1" ref="N808"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IF(AND(_xlpm.baseRow,ISNA(MATCH($C808,'Tree List'!$C$3:$C$601,0)),SUMPRODUCT(--ISNUMBER(SEARCH(Tables2!$C$677:$C$772,$O808)))&gt;0),
Error!$B$57,
IF(AND(_xlpm.hasDM,$F808="Remove",$H808&lt;&gt;"",OR($I808="On-site replacement",$I808="Off-site replacement",$I808="Payment In Lieu")),
Error!$B$56,
IF(AND(_xlpm.hasDM,$F808="Remove",$H808&lt;&gt;"",$I808="Relocation"),
Error!$B$66,
IF(AND(OR(_xlpm.hasCN,_xlpm.hasPH,_xlpm.hasGR),$H808&lt;&gt;"",COUNTIF(Tables!$B$132:$B$134,$H808)&gt;0,$I808="N/A (No replacement required)"),
Error!$B$62,
IF(AND(_xlpm.baseRow,$E808&lt;&gt;"",ISNA(MATCH($E808,Tables!$B$225:$B$232,0))),
Error!$B$2,
IF(AND(_xlpm.baseRow,$F808&lt;&gt;"",ISNA(MATCH($F808,Tables!$B$234:$B$235,0))),
Error!$B$24,
IF(AND(_xlpm.baseRow,_xlpm.ECA_H&gt;0,_xlpm.Shore_H&gt;0),
Error!$B$16,
IF(AND(_xlpm.baseRow,$E808&lt;&gt;"",$D808=""),
Error!$B$3,
IF(AND(_xlpm.baseRow,OR($E808="Tier 3",$E808="Tier 4"),$C808&lt;&gt;"",$D808&gt;=24,COUNTIF(Tables2!$B$166:$B$674,$C808)&gt;0),
Error!$B$44,
IF(AND(_xlpm.baseRow,OR($E808="Tier 3",$E808="Tier 4"),$C808&lt;&gt;"",$D808&lt;&gt;"",COUNTIF(Tables2!$B$73:$B$152,$C808)&gt;0,
$D808&gt;=IFERROR(INDEX(Tables2!$C$73:$C$152,MATCH($C808,Tables2!$B$73:$B$152,0)),-1)),
Error!$B$44,
IF(AND(_xlpm.baseRow,OR($E808="Tier 2",$E808="Tier 2 Grove"),$C808&lt;&gt;"",$D808&gt;=12,COUNTIF(Tables2!$B$153:$B$162,$C808)&gt;0),
Error!$B$45,
IF(AND(_xlpm.baseRow,$E808="Tier 2 Grove",$D808&lt;12),
Error!$B$41,
IF(AND(_xlpm.baseRow,$E808="Tier 2",$D808&lt;5.88),
Error!$B$40,
IF(AND(_xlpm.baseRow,OR($E808="Tier 2",$E808="Tier 2 Grove"),$C808&lt;&gt;"",$D808&lt;12,$D808&gt;=6,COUNTIF(Tables2!$B$153:$B$162,$C808)&gt;0),
Error!$B$54,
IF(AND(_xlpm.baseRow,$E808="Tier 2",COUNTIF(Tables2!$B$166:$B$674,$C808)&gt;0,$D808&lt;24),
Error!$B$54,
IF(AND(_xlpm.baseRow,$E808="Tier 3",ISNA(MATCH($C808,Tables2!$B$153:$B$162,0)),OR($D808&lt;12,$D808&gt;=24)),
Error!$B$9,
IF(AND(_xlpm.baseRow,$E808="Tier 3",COUNTIF(Tables2!$B$153:$B$162,$C808)&gt;0,$D808&lt;12),
Error!$B$46,
IF(AND(_xlpm.baseRow,$E808="Tier 4",OR($D808&lt;6,$D808&gt;=12)),
Error!$B$10,
IF(AND(_xlpm.baseRow,$E808="&lt;6in DSH for Tree Points",OR($D808&gt;=6,$D808="")),
Error!$B$8,
IF(AND(_xlpm.baseRow,$E808="Street Tree for Green Factor",$F808&lt;&gt;"",$F808&lt;&gt;"Retain"),
Error!$B$14,
IF(AND($E808="&lt;6in DSH for Tree Points",$F808="Retain",$H808&lt;&gt;"",ISNA(MATCH($H808,Tables!$B$174:$B$174,0))),
Error!$B$15,
IF(AND($E808="Street Tree for Green Factor",$F808="Retain",$H808&lt;&gt;"",$H808&lt;&gt;"Zoning: Green Factor"),
Error!$B$15,
IF(AND($E808="ECA / Shoreline Tree",$F808="Remove",$H808&lt;&gt;"",ISNA(MATCH($H808,Tables!$B$189:$B$190,0))),
Error!$B$15,
IF(AND($E808="ECA / Shoreline Tree",$F808="Retain",$H808&lt;&gt;"",ISNA(MATCH($H808,Tables!$B$184:$B$186,0))),
Error!$B$15,
IF(AND($E808="Tier 4",$F808="Remove",$H808&lt;&gt;"",ISNA(MATCH($H808,Tables!$B$171,0))),
Error!$B$15,
IF(AND($E808="Tier 4",$F808="Retain",$H808&lt;&gt;"",ISNA(MATCH($H808,Tables!$B$166:$B$168,0))),
Error!$B$15,
IF(AND($E808="Tier 3",$F808="Retain",$H808&lt;&gt;"",ISNA(MATCH($H808,Tables!$B$158:$B$160,0))),
Error!$B$15,
IF(AND($E808="Tier 3",$F808="Remove",$H808&lt;&gt;"",ISNA(MATCH($H808,Tables!$B$163,0))),
Error!$B$15,
IF(AND(OR($E808="Tier 2",$E808="Tier 2 Grove"),$F808="Remove",$H808&lt;&gt;"",ISNA(MATCH($H808,Tables!$B$153:$B$155,0))),
Error!$B$15,
IF(AND(OR($E808="Tier 2",$E808="Tier 2 Grove"),$F808="Retain",$H808&lt;&gt;"",ISNA(MATCH($H808,Tables!$B$147:$B$150,0))),
Error!$B$15,
IF(AND($E808="Tier 1",$F808="Remove",$H808&lt;&gt;"",ISNA(MATCH($H808,Tables!$B$143:$B$144,0))),
Error!$B$15,
IF(AND($E808="Tier 1",$F808="Retain",$H808&lt;&gt;"",ISNA(MATCH($H808,Tables!$B$137:$B$140,0))),
Error!$B$15,
IF(AND($E808&lt;&gt;"Tier 2",$E808&lt;&gt;"Tier 2 Grove",$E808&lt;&gt;"Tier 3",$E808&lt;&gt;"Tier 4",$H808="Zoning: Green Factor",OR($D808="",$D808&lt;6)),
Error!$B$11,
IF(AND(_xlpm.baseRow,$D808&lt;6,$E808="&lt;6in DSH for Tree Points",_xlpm.TreePoints_H=0),
Error!$B$21,
IF(AND(_xlpm.baseRow,$E808&lt;&gt;"",$D808&lt;&gt;"",$F808=""),
Error!$B$4,
IF(AND(_xlpm.baseRow,$F808="Remove",OR($E808="Tier 1",$E808="Tier 2",$E808="Tier 2 Grove"),COUNTBLANK(_xlpm.HRange)&lt;3,_xlpm.uniqueH&gt;=2),
Error!$B$48,
IF(AND(_xlpm.baseRow,$F808="Retain",OR($E808="Tier 1",$E808="Tier 2",$E808="Tier 2 Grove"),COUNTIF(_xlpm.HRange,"Tree Code: Required to Retain Tier 1-2 Tree")=0),
Error!$B$47,
IF(AND(_xlpm.baseRow,$E808&lt;&gt;"",$D808&lt;&gt;"",$F808&lt;&gt;"",COUNTBLANK(_xlpm.HRange)=4),
Error!$B$5,
IF(AND($F808="Remove",$H808&lt;&gt;"",$I808=""),
Error!$B$18,
IF(AND($E808="Tier 4",$F808="Remove",$H808="Tree Protection Code: Tier 3 or Tier 4 Allowance",$H808&lt;&gt;"",ISNA(MATCH($I808,Tables!$B$200,0))),
Error!$B$17,
IF(AND($E808="Tier 3",$F808="Remove",$H808&lt;&gt;"",$H808="Tree Protection Code: Tier 3 or Tier 4 Allowance",OR($I808="",ISNA(MATCH($I808,Tables!$B$193:$B$197,0)))),
Error!$B$17,
IF(AND(OR($E808="Tier 2",$E808="Tier 2 Grove"),$F808="Remove",$H808="Tree Protection Code: Other removal allowance or exemption",$I808&lt;&gt;"",ISNA(MATCH($I808,Tables!$B$215:$B$218,0))),
Error!$B$17,
IF(AND(OR($E808="Tier 2",$E808="Tier 2 Grove"),$F808="Remove",$H808="Tree Protection Code: Development Capacity",$I808&lt;&gt;"",ISNA(MATCH($I808,Tables!$B$193:$B$197,0))),
Error!$B$17,
IF(AND(OR($E808="Tier 2",$E808="Tier 2 Grove"),$F808="Remove",$H808="Tree Protection Code: Necessary for Construction",$I808&lt;&gt;"",ISNA(MATCH($I808,Tables!$B$193:$B$197,0))),
Error!$B$17,
IF(AND($E808="Tier 1",$F808="Remove",$H808="Tree Protection Code: Special Exception",$I808&lt;&gt;"",ISNA(MATCH($I808,Tables!$B$215:$B$218,0))),
Error!$B$17,
IF(AND($E808="Tier 1",$F808="Remove",$H808="Tree Protection Code: Other removal allowance or exemption",$I808&lt;&gt;"",ISNA(MATCH($I808,Tables!$B$215:$B$218,0))),
Error!$B$17,
IF(AND($E808="ECA / Shoreline Tree",$F808="Remove",$H808&lt;&gt;"",OR($H808="Shoreline",$H808="Environmental Critical Area (ECA)"),ISNA(MATCH($I808,Tables!$B$209:$B$212,0))),
Error!$B$17,
IF(AND(_xlpm.baseRow,$F808="Retain",$E808="ECA / Shoreline Tree",_xlpm.ECA_Short=0),
Error!$B$61,
IF(AND($F808="Remove",ISNUMBER(MATCH($E808,{"Tier 1","Tier 2","Tier 3","Tier 4","Tier 2 Grove"},0)),ISNUMBER(MATCH($I808,{"On-site replacement","Off-site replacement"},0)),$J808="",$H808&lt;&gt;""),
Error!$B$19,
IF(AND(_xlpm.baseRow,$E808&lt;&gt;"",$D808&lt;&gt;"",$F808&lt;&gt;"",COUNTBLANK($B808:$C808)&gt;0,COUNTBLANK(_xlpm.HRange)&lt;&gt;4),
Error!$B$22,
IF(AND($H808="Zoning: Tree Points",$K808&lt;&gt;"",ISNA(MATCH($K808,Tables!$B$242:$B$253,0))),
Error!$B$58,
IF(AND($H808="Zoning: Tree Points",$K808="Small",$L808&lt;&gt;"",ISNA(MATCH($L808,Tables!$C$243:$C$244,0))),
Error!$B$59,
IF(AND($H808="Zoning: Tree Points",$K808="Small/Medium",$L808&lt;&gt;"",ISNA(MATCH($L808,Tables!$C$246:$C$247,0))),
Error!$B$59,
IF(AND($H808="Zoning: Tree Points",$K808="Medium/Large",$L808&lt;&gt;"",ISNA(MATCH($L808,Tables!$C$249:$C$250,0))),
Error!$B$59,
IF(AND($H808="Zoning: Tree Points",$K808="Large",$L808&lt;&gt;"",ISNA(MATCH($L808,Tables!$C$252:$C$253,0))),
Error!$B$59,
IF(AND($F808="Retain",$H808="Zoning: Tree Points",$C808&lt;&gt;"",$D808&lt;&gt;"",OR($K808="",$L808="",$M808="")),
Error!$B$20,
""
)))))))))))))))))))))))))))))))))))))))))))))))))))))))),
Error!$B$23))</f>
        <v/>
      </c>
      <c r="O808" s="343" t="str" cm="1">
        <f t="array" aca="1" ref="O808" ca="1">IFERROR(_xlfn.LET(
    _xlpm.txt, $C808,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09" spans="1:15" x14ac:dyDescent="0.3">
      <c r="A809" s="320"/>
      <c r="B809" s="616" t="str">
        <f t="shared" si="963"/>
        <v/>
      </c>
      <c r="C809" s="617" t="str">
        <f t="shared" si="964"/>
        <v/>
      </c>
      <c r="D809" s="618" t="str">
        <f t="shared" si="965"/>
        <v/>
      </c>
      <c r="E809" s="616" t="str">
        <f t="shared" si="966"/>
        <v/>
      </c>
      <c r="F809" s="616" t="str">
        <f t="shared" si="967"/>
        <v/>
      </c>
      <c r="G809" s="619" t="str">
        <f>IF(Tree_Table1[[#This Row],[Tree Status  &amp;]]="Retain", Tables!$B$237, IF(Tree_Table1[[#This Row],[Tree Status  &amp;]]="Remove", Tables!$B$238, ""))</f>
        <v/>
      </c>
      <c r="H809" s="321"/>
      <c r="I809" s="322"/>
      <c r="J809" s="453"/>
      <c r="K809" s="323" t="str">
        <f>IFERROR(
    IF(
        AND($H809="Zoning: Tree Points", NOT(ISNUMBER(SEARCH("sp.", $C809)))),
        VLOOKUP($C809, 'Tree List'!$C$3:$F$601, 4, FALSE),
        ""
    ),
"")</f>
        <v/>
      </c>
      <c r="L809" s="324" t="str" cm="1">
        <f t="array" ref="L809">IFERROR(
IF(
    AND($H809="Zoning: Tree Points", NOT(ISNUMBER(SEARCH("sp.", $C809)))),
    _xlfn.IFS(
        (COUNTIFS('Tree List'!$C$3:$C$601,$C809,'Tree List'!$D$3:$D$601,"Coniferous")
        + COUNTIFS('Tree List'!$C$3:$C$601,$C809,'Tree List'!$D$3:$D$601,"Deciduous Conifer")) &gt; 0,
            _xlfn.IFS($K809="Small",0.5,$K809="Small/Medium",1,$K809="Medium/Large",1.4,$K809="Large",1.8),
        (COUNTIFS('Tree List'!$C$3:$C$601,$C809,'Tree List'!$D$3:$D$601,"Deciduous")
        + COUNTIFS('Tree List'!$C$3:$C$601,$C809,'Tree List'!$D$3:$D$601,"Broadleaf Evergreen")) &gt; 0,
            _xlfn.IFS($K809="Small",0.4,$K809="Small/Medium",0.8,$K809="Medium/Large",1.2,$K809="Large",1.6)
    ),
    ""
),
"")</f>
        <v/>
      </c>
      <c r="M809" s="475" t="str">
        <f t="shared" si="897"/>
        <v/>
      </c>
      <c r="N809" s="346" t="str" cm="1">
        <f t="array" aca="1" ref="N809"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IF(AND(_xlpm.baseRow,ISNA(MATCH($C809,'Tree List'!$C$3:$C$601,0)),SUMPRODUCT(--ISNUMBER(SEARCH(Tables2!$C$677:$C$772,$O809)))&gt;0),
Error!$B$57,
IF(AND(_xlpm.hasDM,$F809="Remove",$H809&lt;&gt;"",OR($I809="On-site replacement",$I809="Off-site replacement",$I809="Payment In Lieu")),
Error!$B$56,
IF(AND(_xlpm.hasDM,$F809="Remove",$H809&lt;&gt;"",$I809="Relocation"),
Error!$B$66,
IF(AND(OR(_xlpm.hasCN,_xlpm.hasPH,_xlpm.hasGR),$H809&lt;&gt;"",COUNTIF(Tables!$B$132:$B$134,$H809)&gt;0,$I809="N/A (No replacement required)"),
Error!$B$62,
IF(AND(_xlpm.baseRow,$E809&lt;&gt;"",ISNA(MATCH($E809,Tables!$B$225:$B$232,0))),
Error!$B$2,
IF(AND(_xlpm.baseRow,$F809&lt;&gt;"",ISNA(MATCH($F809,Tables!$B$234:$B$235,0))),
Error!$B$24,
IF(AND(_xlpm.baseRow,_xlpm.ECA_H&gt;0,_xlpm.Shore_H&gt;0),
Error!$B$16,
IF(AND(_xlpm.baseRow,$E809&lt;&gt;"",$D809=""),
Error!$B$3,
IF(AND(_xlpm.baseRow,OR($E809="Tier 3",$E809="Tier 4"),$C809&lt;&gt;"",$D809&gt;=24,COUNTIF(Tables2!$B$166:$B$674,$C809)&gt;0),
Error!$B$44,
IF(AND(_xlpm.baseRow,OR($E809="Tier 3",$E809="Tier 4"),$C809&lt;&gt;"",$D809&lt;&gt;"",COUNTIF(Tables2!$B$73:$B$152,$C809)&gt;0,
$D809&gt;=IFERROR(INDEX(Tables2!$C$73:$C$152,MATCH($C809,Tables2!$B$73:$B$152,0)),-1)),
Error!$B$44,
IF(AND(_xlpm.baseRow,OR($E809="Tier 2",$E809="Tier 2 Grove"),$C809&lt;&gt;"",$D809&gt;=12,COUNTIF(Tables2!$B$153:$B$162,$C809)&gt;0),
Error!$B$45,
IF(AND(_xlpm.baseRow,$E809="Tier 2 Grove",$D809&lt;12),
Error!$B$41,
IF(AND(_xlpm.baseRow,$E809="Tier 2",$D809&lt;5.88),
Error!$B$40,
IF(AND(_xlpm.baseRow,OR($E809="Tier 2",$E809="Tier 2 Grove"),$C809&lt;&gt;"",$D809&lt;12,$D809&gt;=6,COUNTIF(Tables2!$B$153:$B$162,$C809)&gt;0),
Error!$B$54,
IF(AND(_xlpm.baseRow,$E809="Tier 2",COUNTIF(Tables2!$B$166:$B$674,$C809)&gt;0,$D809&lt;24),
Error!$B$54,
IF(AND(_xlpm.baseRow,$E809="Tier 3",ISNA(MATCH($C809,Tables2!$B$153:$B$162,0)),OR($D809&lt;12,$D809&gt;=24)),
Error!$B$9,
IF(AND(_xlpm.baseRow,$E809="Tier 3",COUNTIF(Tables2!$B$153:$B$162,$C809)&gt;0,$D809&lt;12),
Error!$B$46,
IF(AND(_xlpm.baseRow,$E809="Tier 4",OR($D809&lt;6,$D809&gt;=12)),
Error!$B$10,
IF(AND(_xlpm.baseRow,$E809="&lt;6in DSH for Tree Points",OR($D809&gt;=6,$D809="")),
Error!$B$8,
IF(AND(_xlpm.baseRow,$E809="Street Tree for Green Factor",$F809&lt;&gt;"",$F809&lt;&gt;"Retain"),
Error!$B$14,
IF(AND($E809="&lt;6in DSH for Tree Points",$F809="Retain",$H809&lt;&gt;"",ISNA(MATCH($H809,Tables!$B$174:$B$174,0))),
Error!$B$15,
IF(AND($E809="Street Tree for Green Factor",$F809="Retain",$H809&lt;&gt;"",$H809&lt;&gt;"Zoning: Green Factor"),
Error!$B$15,
IF(AND($E809="ECA / Shoreline Tree",$F809="Remove",$H809&lt;&gt;"",ISNA(MATCH($H809,Tables!$B$189:$B$190,0))),
Error!$B$15,
IF(AND($E809="ECA / Shoreline Tree",$F809="Retain",$H809&lt;&gt;"",ISNA(MATCH($H809,Tables!$B$184:$B$186,0))),
Error!$B$15,
IF(AND($E809="Tier 4",$F809="Remove",$H809&lt;&gt;"",ISNA(MATCH($H809,Tables!$B$171,0))),
Error!$B$15,
IF(AND($E809="Tier 4",$F809="Retain",$H809&lt;&gt;"",ISNA(MATCH($H809,Tables!$B$166:$B$168,0))),
Error!$B$15,
IF(AND($E809="Tier 3",$F809="Retain",$H809&lt;&gt;"",ISNA(MATCH($H809,Tables!$B$158:$B$160,0))),
Error!$B$15,
IF(AND($E809="Tier 3",$F809="Remove",$H809&lt;&gt;"",ISNA(MATCH($H809,Tables!$B$163,0))),
Error!$B$15,
IF(AND(OR($E809="Tier 2",$E809="Tier 2 Grove"),$F809="Remove",$H809&lt;&gt;"",ISNA(MATCH($H809,Tables!$B$153:$B$155,0))),
Error!$B$15,
IF(AND(OR($E809="Tier 2",$E809="Tier 2 Grove"),$F809="Retain",$H809&lt;&gt;"",ISNA(MATCH($H809,Tables!$B$147:$B$150,0))),
Error!$B$15,
IF(AND($E809="Tier 1",$F809="Remove",$H809&lt;&gt;"",ISNA(MATCH($H809,Tables!$B$143:$B$144,0))),
Error!$B$15,
IF(AND($E809="Tier 1",$F809="Retain",$H809&lt;&gt;"",ISNA(MATCH($H809,Tables!$B$137:$B$140,0))),
Error!$B$15,
IF(AND($E809&lt;&gt;"Tier 2",$E809&lt;&gt;"Tier 2 Grove",$E809&lt;&gt;"Tier 3",$E809&lt;&gt;"Tier 4",$H809="Zoning: Green Factor",OR($D809="",$D809&lt;6)),
Error!$B$11,
IF(AND(_xlpm.baseRow,$D809&lt;6,$E809="&lt;6in DSH for Tree Points",_xlpm.TreePoints_H=0),
Error!$B$21,
IF(AND(_xlpm.baseRow,$E809&lt;&gt;"",$D809&lt;&gt;"",$F809=""),
Error!$B$4,
IF(AND(_xlpm.baseRow,$F809="Remove",OR($E809="Tier 1",$E809="Tier 2",$E809="Tier 2 Grove"),COUNTBLANK(_xlpm.HRange)&lt;3,_xlpm.uniqueH&gt;=2),
Error!$B$48,
IF(AND(_xlpm.baseRow,$F809="Retain",OR($E809="Tier 1",$E809="Tier 2",$E809="Tier 2 Grove"),COUNTIF(_xlpm.HRange,"Tree Code: Required to Retain Tier 1-2 Tree")=0),
Error!$B$47,
IF(AND(_xlpm.baseRow,$E809&lt;&gt;"",$D809&lt;&gt;"",$F809&lt;&gt;"",COUNTBLANK(_xlpm.HRange)=4),
Error!$B$5,
IF(AND($F809="Remove",$H809&lt;&gt;"",$I809=""),
Error!$B$18,
IF(AND($E809="Tier 4",$F809="Remove",$H809="Tree Protection Code: Tier 3 or Tier 4 Allowance",$H809&lt;&gt;"",ISNA(MATCH($I809,Tables!$B$200,0))),
Error!$B$17,
IF(AND($E809="Tier 3",$F809="Remove",$H809&lt;&gt;"",$H809="Tree Protection Code: Tier 3 or Tier 4 Allowance",OR($I809="",ISNA(MATCH($I809,Tables!$B$193:$B$197,0)))),
Error!$B$17,
IF(AND(OR($E809="Tier 2",$E809="Tier 2 Grove"),$F809="Remove",$H809="Tree Protection Code: Other removal allowance or exemption",$I809&lt;&gt;"",ISNA(MATCH($I809,Tables!$B$215:$B$218,0))),
Error!$B$17,
IF(AND(OR($E809="Tier 2",$E809="Tier 2 Grove"),$F809="Remove",$H809="Tree Protection Code: Development Capacity",$I809&lt;&gt;"",ISNA(MATCH($I809,Tables!$B$193:$B$197,0))),
Error!$B$17,
IF(AND(OR($E809="Tier 2",$E809="Tier 2 Grove"),$F809="Remove",$H809="Tree Protection Code: Necessary for Construction",$I809&lt;&gt;"",ISNA(MATCH($I809,Tables!$B$193:$B$197,0))),
Error!$B$17,
IF(AND($E809="Tier 1",$F809="Remove",$H809="Tree Protection Code: Special Exception",$I809&lt;&gt;"",ISNA(MATCH($I809,Tables!$B$215:$B$218,0))),
Error!$B$17,
IF(AND($E809="Tier 1",$F809="Remove",$H809="Tree Protection Code: Other removal allowance or exemption",$I809&lt;&gt;"",ISNA(MATCH($I809,Tables!$B$215:$B$218,0))),
Error!$B$17,
IF(AND($E809="ECA / Shoreline Tree",$F809="Remove",$H809&lt;&gt;"",OR($H809="Shoreline",$H809="Environmental Critical Area (ECA)"),ISNA(MATCH($I809,Tables!$B$209:$B$212,0))),
Error!$B$17,
IF(AND(_xlpm.baseRow,$F809="Retain",$E809="ECA / Shoreline Tree",_xlpm.ECA_Short=0),
Error!$B$61,
IF(AND($F809="Remove",ISNUMBER(MATCH($E809,{"Tier 1","Tier 2","Tier 3","Tier 4","Tier 2 Grove"},0)),ISNUMBER(MATCH($I809,{"On-site replacement","Off-site replacement"},0)),$J809="",$H809&lt;&gt;""),
Error!$B$19,
IF(AND(_xlpm.baseRow,$E809&lt;&gt;"",$D809&lt;&gt;"",$F809&lt;&gt;"",COUNTBLANK($B809:$C809)&gt;0,COUNTBLANK(_xlpm.HRange)&lt;&gt;4),
Error!$B$22,
IF(AND($H809="Zoning: Tree Points",$K809&lt;&gt;"",ISNA(MATCH($K809,Tables!$B$242:$B$253,0))),
Error!$B$58,
IF(AND($H809="Zoning: Tree Points",$K809="Small",$L809&lt;&gt;"",ISNA(MATCH($L809,Tables!$C$243:$C$244,0))),
Error!$B$59,
IF(AND($H809="Zoning: Tree Points",$K809="Small/Medium",$L809&lt;&gt;"",ISNA(MATCH($L809,Tables!$C$246:$C$247,0))),
Error!$B$59,
IF(AND($H809="Zoning: Tree Points",$K809="Medium/Large",$L809&lt;&gt;"",ISNA(MATCH($L809,Tables!$C$249:$C$250,0))),
Error!$B$59,
IF(AND($H809="Zoning: Tree Points",$K809="Large",$L809&lt;&gt;"",ISNA(MATCH($L809,Tables!$C$252:$C$253,0))),
Error!$B$59,
IF(AND($F809="Retain",$H809="Zoning: Tree Points",$C809&lt;&gt;"",$D809&lt;&gt;"",OR($K809="",$L809="",$M809="")),
Error!$B$20,
""
)))))))))))))))))))))))))))))))))))))))))))))))))))))))),
Error!$B$23))</f>
        <v/>
      </c>
      <c r="O809" s="343" t="str" cm="1">
        <f t="array" aca="1" ref="O809" ca="1">IFERROR(_xlfn.LET(
    _xlpm.txt, $C809,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10" spans="1:15" ht="15" thickBot="1" x14ac:dyDescent="0.35">
      <c r="A810" s="331"/>
      <c r="B810" s="334" t="str">
        <f t="shared" si="963"/>
        <v/>
      </c>
      <c r="C810" s="335"/>
      <c r="D810" s="479" t="str">
        <f t="shared" si="965"/>
        <v/>
      </c>
      <c r="E810" s="334" t="str">
        <f t="shared" si="966"/>
        <v/>
      </c>
      <c r="F810" s="334" t="str">
        <f t="shared" si="967"/>
        <v/>
      </c>
      <c r="G810" s="336" t="str">
        <f>IF(Tree_Table1[[#This Row],[Tree Status  &amp;]]="Retain", Tables!$B$237, IF(Tree_Table1[[#This Row],[Tree Status  &amp;]]="Remove", Tables!$B$238, ""))</f>
        <v/>
      </c>
      <c r="H810" s="329"/>
      <c r="I810" s="330"/>
      <c r="J810" s="455"/>
      <c r="K810" s="337" t="str">
        <f>IFERROR(
    IF(
        AND($H810="Zoning: Tree Points", NOT(ISNUMBER(SEARCH("sp.", $C810)))),
        VLOOKUP($C810, 'Tree List'!$C$3:$F$601, 4, FALSE),
        ""
    ),
"")</f>
        <v/>
      </c>
      <c r="L810" s="338" t="str" cm="1">
        <f t="array" ref="L810">IFERROR(
IF(
    AND($H810="Zoning: Tree Points", NOT(ISNUMBER(SEARCH("sp.", $C810)))),
    _xlfn.IFS(
        (COUNTIFS('Tree List'!$C$3:$C$601,$C810,'Tree List'!$D$3:$D$601,"Coniferous")
        + COUNTIFS('Tree List'!$C$3:$C$601,$C810,'Tree List'!$D$3:$D$601,"Deciduous Conifer")) &gt; 0,
            _xlfn.IFS($K810="Small",0.5,$K810="Small/Medium",1,$K810="Medium/Large",1.4,$K810="Large",1.8),
        (COUNTIFS('Tree List'!$C$3:$C$601,$C810,'Tree List'!$D$3:$D$601,"Deciduous")
        + COUNTIFS('Tree List'!$C$3:$C$601,$C810,'Tree List'!$D$3:$D$601,"Broadleaf Evergreen")) &gt; 0,
            _xlfn.IFS($K810="Small",0.4,$K810="Small/Medium",0.8,$K810="Medium/Large",1.2,$K810="Large",1.6)
    ),
    ""
),
"")</f>
        <v/>
      </c>
      <c r="M810" s="477" t="str">
        <f t="shared" si="897"/>
        <v/>
      </c>
      <c r="N810" s="347" t="str" cm="1">
        <f t="array" aca="1" ref="N810" ca="1">_xlfn.LET(
_xlpm.r,ROW(),
_xlpm.blockIndex,INT((_xlpm.r-11)/4),
_xlpm.baseRow,MOD(_xlpm.r-11,4)=0,
_xlpm.baseStart,_xlpm.blockIndex*4+11,
_xlpm.baseEnd,_xlpm.baseStart+3,
_xlpm.HRange,INDEX($H:$H,_xlpm.baseStart):INDEX($H:$H,_xlpm.baseEnd),
_xlpm.hasDM,ISNUMBER(SEARCH("DM",$I$2)),
_xlpm.hasCN,ISNUMBER(SEARCH("CN",$I$2)),
_xlpm.hasPH,ISNUMBER(SEARCH("PH",$I$2)),
_xlpm.hasGR,ISNUMBER(SEARCH("GR",$I$2)),
_xlpm.ECA_H,COUNTIF(_xlpm.HRange,"Environmental Critical Area (ECA)"),
_xlpm.Shore_H,COUNTIF(_xlpm.HRange,"Shoreline"),
_xlpm.TreePoints_H,COUNTIF(_xlpm.HRange,"Zoning: Tree Points"),
_xlpm.GF_H,COUNTIF(_xlpm.HRange,"Zoning: Green Factor"),
_xlpm.ECA_Short,COUNTIF(_xlpm.HRange,"Environmental Critical Area / Shoreline"),
_xlpm.uniqueH,COUNTA(_xlfn.UNIQUE(_xlfn._xlws.FILTER(_xlpm.HRange,_xlpm.HRange&lt;&gt;""))),
IFERROR(
IF(AND(_xlpm.baseRow,ISNA(MATCH($C810,'Tree List'!$C$3:$C$601,0)),SUMPRODUCT(--ISNUMBER(SEARCH(Tables2!$C$677:$C$772,$O810)))&gt;0),
Error!$B$57,
IF(AND(_xlpm.hasDM,$F810="Remove",$H810&lt;&gt;"",OR($I810="On-site replacement",$I810="Off-site replacement",$I810="Payment In Lieu")),
Error!$B$56,
IF(AND(_xlpm.hasDM,$F810="Remove",$H810&lt;&gt;"",$I810="Relocation"),
Error!$B$66,
IF(AND(OR(_xlpm.hasCN,_xlpm.hasPH,_xlpm.hasGR),$H810&lt;&gt;"",COUNTIF(Tables!$B$132:$B$134,$H810)&gt;0,$I810="N/A (No replacement required)"),
Error!$B$62,
IF(AND(_xlpm.baseRow,$E810&lt;&gt;"",ISNA(MATCH($E810,Tables!$B$225:$B$232,0))),
Error!$B$2,
IF(AND(_xlpm.baseRow,$F810&lt;&gt;"",ISNA(MATCH($F810,Tables!$B$234:$B$235,0))),
Error!$B$24,
IF(AND(_xlpm.baseRow,_xlpm.ECA_H&gt;0,_xlpm.Shore_H&gt;0),
Error!$B$16,
IF(AND(_xlpm.baseRow,$E810&lt;&gt;"",$D810=""),
Error!$B$3,
IF(AND(_xlpm.baseRow,OR($E810="Tier 3",$E810="Tier 4"),$C810&lt;&gt;"",$D810&gt;=24,COUNTIF(Tables2!$B$166:$B$674,$C810)&gt;0),
Error!$B$44,
IF(AND(_xlpm.baseRow,OR($E810="Tier 3",$E810="Tier 4"),$C810&lt;&gt;"",$D810&lt;&gt;"",COUNTIF(Tables2!$B$73:$B$152,$C810)&gt;0,
$D810&gt;=IFERROR(INDEX(Tables2!$C$73:$C$152,MATCH($C810,Tables2!$B$73:$B$152,0)),-1)),
Error!$B$44,
IF(AND(_xlpm.baseRow,OR($E810="Tier 2",$E810="Tier 2 Grove"),$C810&lt;&gt;"",$D810&gt;=12,COUNTIF(Tables2!$B$153:$B$162,$C810)&gt;0),
Error!$B$45,
IF(AND(_xlpm.baseRow,$E810="Tier 2 Grove",$D810&lt;12),
Error!$B$41,
IF(AND(_xlpm.baseRow,$E810="Tier 2",$D810&lt;5.88),
Error!$B$40,
IF(AND(_xlpm.baseRow,OR($E810="Tier 2",$E810="Tier 2 Grove"),$C810&lt;&gt;"",$D810&lt;12,$D810&gt;=6,COUNTIF(Tables2!$B$153:$B$162,$C810)&gt;0),
Error!$B$54,
IF(AND(_xlpm.baseRow,$E810="Tier 2",COUNTIF(Tables2!$B$166:$B$674,$C810)&gt;0,$D810&lt;24),
Error!$B$54,
IF(AND(_xlpm.baseRow,$E810="Tier 3",ISNA(MATCH($C810,Tables2!$B$153:$B$162,0)),OR($D810&lt;12,$D810&gt;=24)),
Error!$B$9,
IF(AND(_xlpm.baseRow,$E810="Tier 3",COUNTIF(Tables2!$B$153:$B$162,$C810)&gt;0,$D810&lt;12),
Error!$B$46,
IF(AND(_xlpm.baseRow,$E810="Tier 4",OR($D810&lt;6,$D810&gt;=12)),
Error!$B$10,
IF(AND(_xlpm.baseRow,$E810="&lt;6in DSH for Tree Points",OR($D810&gt;=6,$D810="")),
Error!$B$8,
IF(AND(_xlpm.baseRow,$E810="Street Tree for Green Factor",$F810&lt;&gt;"",$F810&lt;&gt;"Retain"),
Error!$B$14,
IF(AND($E810="&lt;6in DSH for Tree Points",$F810="Retain",$H810&lt;&gt;"",ISNA(MATCH($H810,Tables!$B$174:$B$174,0))),
Error!$B$15,
IF(AND($E810="Street Tree for Green Factor",$F810="Retain",$H810&lt;&gt;"",$H810&lt;&gt;"Zoning: Green Factor"),
Error!$B$15,
IF(AND($E810="ECA / Shoreline Tree",$F810="Remove",$H810&lt;&gt;"",ISNA(MATCH($H810,Tables!$B$189:$B$190,0))),
Error!$B$15,
IF(AND($E810="ECA / Shoreline Tree",$F810="Retain",$H810&lt;&gt;"",ISNA(MATCH($H810,Tables!$B$184:$B$186,0))),
Error!$B$15,
IF(AND($E810="Tier 4",$F810="Remove",$H810&lt;&gt;"",ISNA(MATCH($H810,Tables!$B$171,0))),
Error!$B$15,
IF(AND($E810="Tier 4",$F810="Retain",$H810&lt;&gt;"",ISNA(MATCH($H810,Tables!$B$166:$B$168,0))),
Error!$B$15,
IF(AND($E810="Tier 3",$F810="Retain",$H810&lt;&gt;"",ISNA(MATCH($H810,Tables!$B$158:$B$160,0))),
Error!$B$15,
IF(AND($E810="Tier 3",$F810="Remove",$H810&lt;&gt;"",ISNA(MATCH($H810,Tables!$B$163,0))),
Error!$B$15,
IF(AND(OR($E810="Tier 2",$E810="Tier 2 Grove"),$F810="Remove",$H810&lt;&gt;"",ISNA(MATCH($H810,Tables!$B$153:$B$155,0))),
Error!$B$15,
IF(AND(OR($E810="Tier 2",$E810="Tier 2 Grove"),$F810="Retain",$H810&lt;&gt;"",ISNA(MATCH($H810,Tables!$B$147:$B$150,0))),
Error!$B$15,
IF(AND($E810="Tier 1",$F810="Remove",$H810&lt;&gt;"",ISNA(MATCH($H810,Tables!$B$143:$B$144,0))),
Error!$B$15,
IF(AND($E810="Tier 1",$F810="Retain",$H810&lt;&gt;"",ISNA(MATCH($H810,Tables!$B$137:$B$140,0))),
Error!$B$15,
IF(AND($E810&lt;&gt;"Tier 2",$E810&lt;&gt;"Tier 2 Grove",$E810&lt;&gt;"Tier 3",$E810&lt;&gt;"Tier 4",$H810="Zoning: Green Factor",OR($D810="",$D810&lt;6)),
Error!$B$11,
IF(AND(_xlpm.baseRow,$D810&lt;6,$E810="&lt;6in DSH for Tree Points",_xlpm.TreePoints_H=0),
Error!$B$21,
IF(AND(_xlpm.baseRow,$E810&lt;&gt;"",$D810&lt;&gt;"",$F810=""),
Error!$B$4,
IF(AND(_xlpm.baseRow,$F810="Remove",OR($E810="Tier 1",$E810="Tier 2",$E810="Tier 2 Grove"),COUNTBLANK(_xlpm.HRange)&lt;3,_xlpm.uniqueH&gt;=2),
Error!$B$48,
IF(AND(_xlpm.baseRow,$F810="Retain",OR($E810="Tier 1",$E810="Tier 2",$E810="Tier 2 Grove"),COUNTIF(_xlpm.HRange,"Tree Code: Required to Retain Tier 1-2 Tree")=0),
Error!$B$47,
IF(AND(_xlpm.baseRow,$E810&lt;&gt;"",$D810&lt;&gt;"",$F810&lt;&gt;"",COUNTBLANK(_xlpm.HRange)=4),
Error!$B$5,
IF(AND($F810="Remove",$H810&lt;&gt;"",$I810=""),
Error!$B$18,
IF(AND($E810="Tier 4",$F810="Remove",$H810="Tree Protection Code: Tier 3 or Tier 4 Allowance",$H810&lt;&gt;"",ISNA(MATCH($I810,Tables!$B$200,0))),
Error!$B$17,
IF(AND($E810="Tier 3",$F810="Remove",$H810&lt;&gt;"",$H810="Tree Protection Code: Tier 3 or Tier 4 Allowance",OR($I810="",ISNA(MATCH($I810,Tables!$B$193:$B$197,0)))),
Error!$B$17,
IF(AND(OR($E810="Tier 2",$E810="Tier 2 Grove"),$F810="Remove",$H810="Tree Protection Code: Other removal allowance or exemption",$I810&lt;&gt;"",ISNA(MATCH($I810,Tables!$B$215:$B$218,0))),
Error!$B$17,
IF(AND(OR($E810="Tier 2",$E810="Tier 2 Grove"),$F810="Remove",$H810="Tree Protection Code: Development Capacity",$I810&lt;&gt;"",ISNA(MATCH($I810,Tables!$B$193:$B$197,0))),
Error!$B$17,
IF(AND(OR($E810="Tier 2",$E810="Tier 2 Grove"),$F810="Remove",$H810="Tree Protection Code: Necessary for Construction",$I810&lt;&gt;"",ISNA(MATCH($I810,Tables!$B$193:$B$197,0))),
Error!$B$17,
IF(AND($E810="Tier 1",$F810="Remove",$H810="Tree Protection Code: Special Exception",$I810&lt;&gt;"",ISNA(MATCH($I810,Tables!$B$215:$B$218,0))),
Error!$B$17,
IF(AND($E810="Tier 1",$F810="Remove",$H810="Tree Protection Code: Other removal allowance or exemption",$I810&lt;&gt;"",ISNA(MATCH($I810,Tables!$B$215:$B$218,0))),
Error!$B$17,
IF(AND($E810="ECA / Shoreline Tree",$F810="Remove",$H810&lt;&gt;"",OR($H810="Shoreline",$H810="Environmental Critical Area (ECA)"),ISNA(MATCH($I810,Tables!$B$209:$B$212,0))),
Error!$B$17,
IF(AND(_xlpm.baseRow,$F810="Retain",$E810="ECA / Shoreline Tree",_xlpm.ECA_Short=0),
Error!$B$61,
IF(AND($F810="Remove",ISNUMBER(MATCH($E810,{"Tier 1","Tier 2","Tier 3","Tier 4","Tier 2 Grove"},0)),ISNUMBER(MATCH($I810,{"On-site replacement","Off-site replacement"},0)),$J810="",$H810&lt;&gt;""),
Error!$B$19,
IF(AND(_xlpm.baseRow,$E810&lt;&gt;"",$D810&lt;&gt;"",$F810&lt;&gt;"",COUNTBLANK($B810:$C810)&gt;0,COUNTBLANK(_xlpm.HRange)&lt;&gt;4),
Error!$B$22,
IF(AND($H810="Zoning: Tree Points",$K810&lt;&gt;"",ISNA(MATCH($K810,Tables!$B$242:$B$253,0))),
Error!$B$58,
IF(AND($H810="Zoning: Tree Points",$K810="Small",$L810&lt;&gt;"",ISNA(MATCH($L810,Tables!$C$243:$C$244,0))),
Error!$B$59,
IF(AND($H810="Zoning: Tree Points",$K810="Small/Medium",$L810&lt;&gt;"",ISNA(MATCH($L810,Tables!$C$246:$C$247,0))),
Error!$B$59,
IF(AND($H810="Zoning: Tree Points",$K810="Medium/Large",$L810&lt;&gt;"",ISNA(MATCH($L810,Tables!$C$249:$C$250,0))),
Error!$B$59,
IF(AND($H810="Zoning: Tree Points",$K810="Large",$L810&lt;&gt;"",ISNA(MATCH($L810,Tables!$C$252:$C$253,0))),
Error!$B$59,
IF(AND($F810="Retain",$H810="Zoning: Tree Points",$C810&lt;&gt;"",$D810&lt;&gt;"",OR($K810="",$L810="",$M810="")),
Error!$B$20,
""
)))))))))))))))))))))))))))))))))))))))))))))))))))))))),
Error!$B$23))</f>
        <v/>
      </c>
      <c r="O810" s="343" t="str" cm="1">
        <f t="array" aca="1" ref="O810" ca="1">IFERROR(_xlfn.LET(
    _xlpm.txt, $C810,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12" spans="1:15" x14ac:dyDescent="0.3">
      <c r="A812" s="762" t="s">
        <v>2276</v>
      </c>
    </row>
  </sheetData>
  <sheetProtection algorithmName="SHA-512" hashValue="HCgwj9ZPrGCjI/u+VM82RW6/1WJoT2F0BfzmIdUUe1wvQn2rpb2hORZUKu3QbXimDpoEnFTojFhfx/KyG/kY/w==" saltValue="KW0mHgkNCMhAv2p1X+jlww==" spinCount="100000" sheet="1" objects="1" scenarios="1" formatColumns="0" selectLockedCells="1"/>
  <phoneticPr fontId="5" type="noConversion"/>
  <conditionalFormatting sqref="D2:D3">
    <cfRule type="expression" dxfId="156" priority="2">
      <formula>$D$2&lt;&gt;""</formula>
    </cfRule>
  </conditionalFormatting>
  <conditionalFormatting sqref="D2:G2">
    <cfRule type="expression" dxfId="155" priority="3">
      <formula>$D$2&lt;&gt;""</formula>
    </cfRule>
  </conditionalFormatting>
  <conditionalFormatting sqref="D3:G3">
    <cfRule type="expression" dxfId="154" priority="4">
      <formula>$D$2&lt;&gt;""</formula>
    </cfRule>
  </conditionalFormatting>
  <conditionalFormatting sqref="F11 F15 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F419 F423 F427 F431 F435 F439 F443 F447 F451 F455 F459 F463 F467 F471 F475 F479 F483 F487 F491 F495 F499 F503 F507 F511 F515 F519 F523 F527 F531 F535 F539 F543 F547 F551 F555 F559 F563 F567 F571 F575 F579 F583 F587 F591 F595 F599 F603 F607 F611 F615 F619 F623 F627 F631 F635 F639 F643 F647 F651 F655 F659 F663 F667 F671 F675 F679 F683 F687 F691 F695 F699 F703 F707 F711 F715 F719 F723 F727 F731 F735 F739 F743 F747 F751 F755 F759 F763 F767 F771 F775 F779 F783 F787 F791 F795 F799 F803 F807">
    <cfRule type="expression" dxfId="146" priority="541">
      <formula>$E11=""</formula>
    </cfRule>
    <cfRule type="expression" dxfId="145" priority="540">
      <formula>AND($E11="Street Tree for Green Factor", $F11&lt;&gt;"Retain")</formula>
    </cfRule>
    <cfRule type="expression" dxfId="144" priority="539">
      <formula>AND($E11="&lt;6in DSH for Tree Points", $F11&lt;&gt;"Retain")</formula>
    </cfRule>
  </conditionalFormatting>
  <conditionalFormatting sqref="G11 G15 G19 G23 G27 G31 G35 G39 G43 G47 G51 G55 G59 G63 G67 G71 G75 G79 G83 G87 G91 G95 G99 G103 G107 G111 G115 G119 G123 G127 G131 G135 G139 G143 G147 G151 G155 G159 G163 G167 G171 G175 G179 G183 G187 G191 G195 G199 G203 G207 G211 G215 G219 G223 G227 G231 G235 G239 G243 G247 G251 G255 G259 G263 G267 G271 G275 G279 G283 G287 G291 G295 G299 G303 G307 G311 G315 G319 G323 G327 G331 G335 G339 G343 G347 G351 G355 G359 G363 G367 G371 G375 G379 G383 G387 G391 G395 G399 G403 G407 G411 G415 G419 G423 G427 G431 G435 G439 G443 G447 G451 G455 G459 G463 G467 G471 G475 G479 G483 G487 G491 G495 G499 G503 G507 G511 G515 G519 G523 G527 G531 G535 G539 G543 G547 G551 G555 G559 G563 G567 G571 G575 G579 G583 G587 G591 G595 G599 G603 G607 G611 G615 G619 G623 G627 G631 G635 G639 G643 G647 G651 G655 G659 G663 G667 G671 G675 G679 G683 G687 G691 G695 G699 G703 G707 G711 G715 G719 G723 G727 G731 G735 G739 G743 G747 G751 G755 G759 G763 G767 G771 G775 G779 G783 G787 G791 G795 G799 G803 G807">
    <cfRule type="expression" dxfId="142" priority="8">
      <formula>$F11=""</formula>
    </cfRule>
  </conditionalFormatting>
  <conditionalFormatting sqref="H11:H810">
    <cfRule type="expression" dxfId="139" priority="524">
      <formula>AND($E11="Street Tree for Green Factor", $F11="Retain",$H11&lt;&gt;"Zoning: Green Factor")</formula>
    </cfRule>
    <cfRule type="expression" dxfId="129" priority="512">
      <formula>AND(COUNTIF(OFFSET($H$11,4*INT((ROW()-11)/4),0,4,1),"Environmental Critical Area (ECA)")&gt;0,COUNTIF(OFFSET($H$11,4*INT((ROW()-11)/4),0,4,1),"Shoreline")&gt;0 )</formula>
    </cfRule>
    <cfRule type="expression" dxfId="128" priority="515">
      <formula>$F11=""</formula>
    </cfRule>
    <cfRule type="expression" dxfId="125" priority="521">
      <formula>AND($E11="&lt;6in DSH for Tree Points", $F11&lt;&gt;"Retain")</formula>
    </cfRule>
    <cfRule type="expression" dxfId="124" priority="523">
      <formula>AND($E11="Street Tree for Green Factor", $F11="Remove",$H11&lt;&gt;"Zoning: Green Factor")</formula>
    </cfRule>
  </conditionalFormatting>
  <conditionalFormatting sqref="I2">
    <cfRule type="expression" dxfId="123" priority="12">
      <formula>$I$2&lt;&gt;""</formula>
    </cfRule>
  </conditionalFormatting>
  <conditionalFormatting sqref="I8">
    <cfRule type="expression" dxfId="122" priority="6">
      <formula>$I$8&lt;&gt;""</formula>
    </cfRule>
  </conditionalFormatting>
  <conditionalFormatting sqref="I11:I810">
    <cfRule type="expression" dxfId="114" priority="440">
      <formula>$H11=""</formula>
    </cfRule>
  </conditionalFormatting>
  <conditionalFormatting sqref="I11:J810">
    <cfRule type="expression" dxfId="111" priority="439">
      <formula>OR($F11="Retain", $F11="")</formula>
    </cfRule>
  </conditionalFormatting>
  <conditionalFormatting sqref="J11:J810">
    <cfRule type="expression" dxfId="110" priority="204">
      <formula>OR($H11="",$I11="", $I11="Payment In Lieu", $I11="N/A (No replacement required)", $I11="Relocation")</formula>
    </cfRule>
    <cfRule type="expression" dxfId="109" priority="109">
      <formula>AND($E11="ECA / Shoreline Tree",OR($I11="On-site replacement",$I11="Off-site replacement"))</formula>
    </cfRule>
  </conditionalFormatting>
  <conditionalFormatting sqref="K11:M810">
    <cfRule type="expression" dxfId="108" priority="207">
      <formula>AND($F11="Retain", $H11="Zoning: Tree Points")</formula>
    </cfRule>
  </conditionalFormatting>
  <conditionalFormatting sqref="L4">
    <cfRule type="expression" dxfId="107" priority="571">
      <formula>$M$4=""</formula>
    </cfRule>
  </conditionalFormatting>
  <conditionalFormatting sqref="M4">
    <cfRule type="expression" dxfId="106" priority="39">
      <formula>$M$4=""</formula>
    </cfRule>
  </conditionalFormatting>
  <conditionalFormatting sqref="N4">
    <cfRule type="expression" dxfId="105" priority="15">
      <formula>$N$4="Sum of 'Total Existing Tree Points' and 'Total Tree Points Added' must be equal or greater than the 'Required Tree Points.'"</formula>
    </cfRule>
    <cfRule type="expression" dxfId="104" priority="16">
      <formula>$N$4="← Please enter the minimum tree points value required for this site. If not applicable, type zero."</formula>
    </cfRule>
  </conditionalFormatting>
  <dataValidations xWindow="341" yWindow="353" count="14">
    <dataValidation type="decimal" showErrorMessage="1" prompt="Minimum Tree Points required for new dwelling unit in NR zone. " sqref="M4" xr:uid="{DF36A490-8B33-473A-B264-9373F64CB0C6}">
      <formula1>0</formula1>
      <formula2>100000</formula2>
    </dataValidation>
    <dataValidation allowBlank="1" showInputMessage="1" showErrorMessage="1" prompt="Resolve if red error message appears." sqref="N10" xr:uid="{A283E318-79EC-4BB0-8332-20C7624DFD2B}"/>
    <dataValidation type="decimal" allowBlank="1" showErrorMessage="1" error="Value not acceptable. No special characters. Enter lower range if it's a range." prompt="Enter removed canopy area by square feet" sqref="J11:J810" xr:uid="{A3124717-F4EB-417A-A223-EE85546472FA}">
      <formula1>0</formula1>
      <formula2>10000</formula2>
    </dataValidation>
    <dataValidation type="textLength" allowBlank="1" showErrorMessage="1" error="Permit number entered is too long. Limit to one permit number only." prompt="Enter permit number here" sqref="I2" xr:uid="{049D2455-EAC8-4F64-912D-7953263EC7EE}">
      <formula1>0</formula1>
      <formula2>16</formula2>
    </dataValidation>
    <dataValidation type="list" allowBlank="1" showErrorMessage="1" prompt="Enter tree category" sqref="E11:E810" xr:uid="{AA31DD15-9FC6-4C4F-BCE8-3521D967B48A}">
      <formula1>L1List</formula1>
    </dataValidation>
    <dataValidation type="list" allowBlank="1" showErrorMessage="1" prompt="Enter tree status from dropdown" sqref="F11:F810" xr:uid="{09118518-7AD5-4AD7-B4C6-BF1CB7274121}">
      <formula1>L2List</formula1>
    </dataValidation>
    <dataValidation type="custom" allowBlank="1" showErrorMessage="1" error="Numbers only. No special letters or characters." prompt="Enter tree points" sqref="M11" xr:uid="{080E064C-B83B-4C4B-AB70-0465C6EF9FD6}">
      <formula1>OR($M11="",AND($M11&gt;=0.5, $M11&lt;10000))</formula1>
    </dataValidation>
    <dataValidation type="custom" allowBlank="1" showInputMessage="1" showErrorMessage="1" error="Numbers only. No special letters or characters." sqref="M12:M810" xr:uid="{9B653C9B-4144-4206-9742-FD6C4AC43072}">
      <formula1>OR($M12="",AND($M12&gt;=0.5, $M12&lt;10000))</formula1>
    </dataValidation>
    <dataValidation allowBlank="1" showErrorMessage="1" prompt="Enter Tree ID" sqref="B11:B810" xr:uid="{5B95C45C-D357-4280-ACFD-825B3B4C91B2}"/>
    <dataValidation type="decimal" allowBlank="1" showErrorMessage="1" error="Value not acceptable. No special characters. Enter lower range if it's a range." prompt="Enter Tree Size in DSH" sqref="D11:D810" xr:uid="{D0D99CE5-4722-4BC8-8B9D-DCAE336F0697}">
      <formula1>0.5</formula1>
      <formula2>1000</formula2>
    </dataValidation>
    <dataValidation type="list" allowBlank="1" showErrorMessage="1" prompt="Select code requirements from dropdown" sqref="H11:H810" xr:uid="{CFB8D060-2649-4095-909D-88E59788C57E}">
      <formula1>L4List</formula1>
    </dataValidation>
    <dataValidation type="list" allowBlank="1" showErrorMessage="1" prompt="Select tree replacement from dropdown" sqref="I11:I810" xr:uid="{5E2B6A81-762A-4F6D-9881-714EF0F3CFFF}">
      <formula1>L5List</formula1>
    </dataValidation>
    <dataValidation type="list" allowBlank="1" showErrorMessage="1" prompt="Select tree species size if not automatically populated" sqref="K11:K810" xr:uid="{82B9D88E-177A-46BF-ADB3-86B5EBEEE931}">
      <formula1>L1Listc</formula1>
    </dataValidation>
    <dataValidation type="list" allowBlank="1" showErrorMessage="1" prompt="Select Points Per Inch of Diameter if not automatically populated" sqref="L11:L810" xr:uid="{9C295438-F8F4-427B-BB04-42EAE50F5369}">
      <formula1>L2Listc</formula1>
    </dataValidation>
  </dataValidations>
  <hyperlinks>
    <hyperlink ref="B8" r:id="rId1" display="See Get Started Tree Information Guide for FAQs and examples." xr:uid="{EFE3E7B7-3E6B-48C8-82AF-D12FB1280E8A}"/>
    <hyperlink ref="B8:E8" r:id="rId2" display="Read the Get Started Guide for FAQs and examples to help you complete the forms." xr:uid="{B6F5EFBB-7BE8-4999-BC9A-E478E9AF88FF}"/>
    <hyperlink ref="K1" r:id="rId3" display="Share you feedback on this form." xr:uid="{75431C04-BF6A-4CCD-9E04-EC865BB68DD3}"/>
  </hyperlinks>
  <printOptions horizontalCentered="1" verticalCentered="1"/>
  <pageMargins left="0.1" right="0.1" top="0.1" bottom="0.1" header="0" footer="0"/>
  <pageSetup scale="46" fitToHeight="0" orientation="landscape" r:id="rId4"/>
  <legacyDrawing r:id="rId5"/>
  <tableParts count="1">
    <tablePart r:id="rId6"/>
  </tableParts>
  <extLst>
    <ext xmlns:x14="http://schemas.microsoft.com/office/spreadsheetml/2009/9/main" uri="{78C0D931-6437-407d-A8EE-F0AAD7539E65}">
      <x14:conditionalFormattings>
        <x14:conditionalFormatting xmlns:xm="http://schemas.microsoft.com/office/excel/2006/main">
          <x14:cfRule type="expression" priority="1" id="{20235311-D5CA-44E6-9CCD-7F7541722FDF}">
            <xm:f>AND(MOD(ROW()-11,4)=0,OR($E11="Tier 2",$E11="Tier 2 Grove"),$C11&lt;&gt;"",$D11&lt;12,$D11&gt;=6,COUNTIF(Tables2!$B$153:$B$162,$C11)&gt;0)</xm:f>
            <x14:dxf>
              <font>
                <b/>
                <i val="0"/>
                <strike/>
                <color rgb="FFFF0000"/>
              </font>
            </x14:dxf>
          </x14:cfRule>
          <x14:cfRule type="expression" priority="638" id="{50C043A7-B495-436B-B80F-DF4CC4F33E6D}">
            <xm:f>AND(MOD(ROW()-11,4)=0,OR($E11="Tier 3",$E11="Tier 4"),$C11&lt;&gt;"",$D11&lt;&gt;"",ISNUMBER(MATCH($C11,Tables2!$B$73:$B$152,0)),$D11&gt;=IFERROR(INDEX(Tables2!$C$73:$C$152,MATCH($C11,Tables2!$B$73:$B$152,0)),-1))</xm:f>
            <x14:dxf>
              <font>
                <b/>
                <i val="0"/>
                <strike/>
                <color rgb="FFFF0000"/>
              </font>
            </x14:dxf>
          </x14:cfRule>
          <x14:cfRule type="expression" priority="637" id="{8EE10216-1C25-4534-BE42-5947B2241975}">
            <xm:f>AND(MOD(ROW()-11,4)=0,$E11="Tier 2",COUNTIF(Tables2!$B$166:$B$674,$C11)&gt;0,$D11&lt;24)</xm:f>
            <x14:dxf>
              <font>
                <b/>
                <i val="0"/>
                <strike/>
                <color rgb="FFFF0000"/>
              </font>
            </x14:dxf>
          </x14:cfRule>
          <x14:cfRule type="expression" priority="636" id="{37C5CAA5-7D8A-4D1D-A201-CC2C610F412F}">
            <xm:f>AND(MOD(ROW()-11,4)=0,OR($E11="Tier 2",$E11="Tier 2 Grove"),$D11&gt;=24,$C11&lt;&gt;"",ISNUMBER(MATCH($C11,Tables2!$B$153:$B$162,0)))</xm:f>
            <x14:dxf>
              <font>
                <b/>
                <i val="0"/>
                <strike/>
                <color rgb="FFFF0000"/>
              </font>
            </x14:dxf>
          </x14:cfRule>
          <x14:cfRule type="expression" priority="641" id="{00000000-000E-0000-0000-00007C020000}">
            <xm:f>AND(OR($E11="Tier 1", $E11="Tier 2",$E11="Tier 2 Grove"),COUNTIF(Tables2!$B$153:$B$162,$C11)=0)</xm:f>
            <x14:dxf>
              <font>
                <b/>
                <i val="0"/>
              </font>
            </x14:dxf>
          </x14:cfRule>
          <x14:cfRule type="expression" priority="640" id="{C9B1A8A4-388C-41F0-8CA5-CB03F613E312}">
            <xm:f>ISNA(MATCH($E11,Tables!$B$225:$B$232,0))</xm:f>
            <x14:dxf>
              <font>
                <b/>
                <i val="0"/>
                <strike/>
                <color rgb="FFFF0000"/>
              </font>
            </x14:dxf>
          </x14:cfRule>
          <x14:cfRule type="expression" priority="639" id="{12987479-8C0B-4B54-A4AD-84A336E54695}">
            <xm:f>AND(MOD(ROW()-11,4)=0,OR($E11="Tier 3",$E11="Tier 4"),$D11&gt;=24,$C11&lt;&gt;"",ISNUMBER(MATCH($C11,Tables2!$B$166:$B$674,0)))</xm:f>
            <x14:dxf>
              <font>
                <b/>
                <i val="0"/>
                <strike/>
                <color rgb="FFFF0000"/>
              </font>
            </x14:dxf>
          </x14:cfRule>
          <xm:sqref>E11 E15 E19 E23 E27 E31 E35 E39 E43 E47 E51 E55 E59 E63 E67 E71 E75 E79 E83 E87 E91 E95 E99 E103 E107 E111 E115 E119 E123 E127 E131 E135 E139 E143 E147 E151 E155 E159 E163 E167 E171 E175 E179 E183 E187 E191 E195 E199 E203 E207 E211 E215 E219 E223 E227 E231 E235 E239 E243 E247 E251 E255 E259 E263 E267 E271 E275 E279 E283 E287 E291 E295 E299 E303 E307 E311 E315 E319 E323 E327 E331 E335 E339 E343 E347 E351 E355 E359 E363 E367 E371 E375 E379 E383 E387 E391 E395 E399 E403 E407 E411 E415 E419 E423 E427 E431 E435 E439 E443 E447 E451 E455 E459 E463 E467 E471 E475 E479 E483 E487 E491 E495 E499 E503 E507 E511 E515 E519 E523 E527 E531 E535 E539 E543 E547 E551 E555 E559 E563 E567 E571 E575 E579 E583 E587 E591 E595 E599 E603 E607 E611 E615 E619 E623 E627 E631 E635 E639 E643 E647 E651 E655 E659 E663 E667 E671 E675 E679 E683 E687 E691 E695 E699 E703 E707 E711 E715 E719 E723 E727 E731 E735 E739 E743 E747 E751 E755 E759 E763 E767 E771 E775 E779 E783 E787 E791 E795 E799 E803 E807</xm:sqref>
        </x14:conditionalFormatting>
        <x14:conditionalFormatting xmlns:xm="http://schemas.microsoft.com/office/excel/2006/main">
          <x14:cfRule type="expression" priority="538" id="{84813CD1-411C-4D24-AD38-6FED0302C28F}">
            <xm:f>ISNA(MATCH($F11,Tables!$B$234:$B$235,0))</xm:f>
            <x14:dxf>
              <font>
                <b/>
                <i val="0"/>
                <strike/>
                <color rgb="FFFF0000"/>
              </font>
            </x14:dxf>
          </x14:cfRule>
          <xm:sqref>F11 F15 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F419 F423 F427 F431 F435 F439 F443 F447 F451 F455 F459 F463 F467 F471 F475 F479 F483 F487 F491 F495 F499 F503 F507 F511 F515 F519 F523 F527 F531 F535 F539 F543 F547 F551 F555 F559 F563 F567 F571 F575 F579 F583 F587 F591 F595 F599 F603 F607 F611 F615 F619 F623 F627 F631 F635 F639 F643 F647 F651 F655 F659 F663 F667 F671 F675 F679 F683 F687 F691 F695 F699 F703 F707 F711 F715 F719 F723 F727 F731 F735 F739 F743 F747 F751 F755 F759 F763 F767 F771 F775 F779 F783 F787 F791 F795 F799 F803 F807</xm:sqref>
        </x14:conditionalFormatting>
        <x14:conditionalFormatting xmlns:xm="http://schemas.microsoft.com/office/excel/2006/main">
          <x14:cfRule type="expression" priority="10" id="{5A989575-4ACC-4719-8356-F3CA86E065B1}">
            <xm:f>$G11=Tables!$B$238</xm:f>
            <x14:dxf>
              <font>
                <b val="0"/>
                <i val="0"/>
                <color rgb="FFFF0000"/>
              </font>
            </x14:dxf>
          </x14:cfRule>
          <x14:cfRule type="expression" priority="11" id="{E9D2BDE3-1FC0-4084-90C8-750BCF44B91A}">
            <xm:f>$G11=Tables!$B$237</xm:f>
            <x14:dxf>
              <font>
                <b val="0"/>
                <i val="0"/>
                <color theme="6"/>
              </font>
            </x14:dxf>
          </x14:cfRule>
          <xm:sqref>G11 G15 G19 G23 G27 G31 G35 G39 G43 G47 G51 G55 G59 G63 G67 G71 G75 G79 G83 G87 G91 G95 G99 G103 G107 G111 G115 G119 G123 G127 G131 G135 G139 G143 G147 G151 G155 G159 G163 G167 G171 G175 G179 G183 G187 G191 G195 G199 G203 G207 G211 G215 G219 G223 G227 G231 G235 G239 G243 G247 G251 G255 G259 G263 G267 G271 G275 G279 G283 G287 G291 G295 G299 G303 G307 G311 G315 G319 G323 G327 G331 G335 G339 G343 G347 G351 G355 G359 G363 G367 G371 G375 G379 G383 G387 G391 G395 G399 G403 G407 G411 G415 G419 G423 G427 G431 G435 G439 G443 G447 G451 G455 G459 G463 G467 G471 G475 G479 G483 G487 G491 G495 G499 G503 G507 G511 G515 G519 G523 G527 G531 G535 G539 G543 G547 G551 G555 G559 G563 G567 G571 G575 G579 G583 G587 G591 G595 G599 G603 G607 G611 G615 G619 G623 G627 G631 G635 G639 G643 G647 G651 G655 G659 G663 G667 G671 G675 G679 G683 G687 G691 G695 G699 G703 G707 G711 G715 G719 G723 G727 G731 G735 G739 G743 G747 G751 G755 G759 G763 G767 G771 G775 G779 G783 G787 G791 G795 G799 G803 G807</xm:sqref>
        </x14:conditionalFormatting>
        <x14:conditionalFormatting xmlns:xm="http://schemas.microsoft.com/office/excel/2006/main">
          <x14:cfRule type="expression" priority="525" id="{A2AA0034-76C1-419E-AC58-23ECD9E58661}">
            <xm:f>AND($E11="Tier 4", $F11="Remove", $H11&lt;&gt;Tables!$B$171)</xm:f>
            <x14:dxf>
              <font>
                <b/>
                <i val="0"/>
                <strike/>
                <color rgb="FFFF0000"/>
              </font>
            </x14:dxf>
          </x14:cfRule>
          <x14:cfRule type="expression" priority="526" id="{676AD0DD-00AE-44B4-B6D8-F8809A7C37A8}">
            <xm:f>AND($E11="Tier 4", $F11="Retain",$H11&lt;&gt;Tables!$B$166:$B$168)</xm:f>
            <x14:dxf>
              <font>
                <b/>
                <i val="0"/>
                <strike/>
                <color rgb="FFFF0000"/>
              </font>
            </x14:dxf>
          </x14:cfRule>
          <x14:cfRule type="expression" priority="527" id="{722681A2-0724-4338-987C-BD7ACA0E11E7}">
            <xm:f>AND($E11="Tier 3", $F11="Remove", $H11&lt;&gt;Tables!$B$163)</xm:f>
            <x14:dxf>
              <font>
                <b/>
                <i val="0"/>
                <strike/>
                <color rgb="FFFF0000"/>
              </font>
            </x14:dxf>
          </x14:cfRule>
          <x14:cfRule type="expression" priority="528" id="{3E0C3CE4-D961-4233-94ED-557477AB761D}">
            <xm:f>AND($E11="Tier 3", $F11="Retain", $H11&lt;&gt;Tables!$B$158:$B$160)</xm:f>
            <x14:dxf>
              <font>
                <b/>
                <i val="0"/>
                <strike/>
                <color rgb="FFFF0000"/>
              </font>
            </x14:dxf>
          </x14:cfRule>
          <x14:cfRule type="expression" priority="529" id="{3A21171E-5615-4407-B214-65A486889B93}">
            <xm:f>AND(OR($E11="Tier 2",$E11="Tier 2 Grove"), $F11="Remove", $H11&lt;&gt;Tables!$B$153:$B$155)</xm:f>
            <x14:dxf>
              <font>
                <b/>
                <i val="0"/>
                <strike/>
                <color rgb="FFFF0000"/>
              </font>
            </x14:dxf>
          </x14:cfRule>
          <x14:cfRule type="expression" priority="531" id="{21A302F9-7874-40CC-8976-E3837A2D931F}">
            <xm:f>AND($E11="Tier 1", $F11="Retain",$H11&lt;&gt;Tables!$B$137:$B$140)</xm:f>
            <x14:dxf>
              <font>
                <b/>
                <i val="0"/>
                <strike/>
                <color rgb="FFFF0000"/>
              </font>
            </x14:dxf>
          </x14:cfRule>
          <x14:cfRule type="expression" priority="530" id="{E148F410-DDB3-4F1F-84F1-1B27A41E970B}">
            <xm:f>AND(OR($E11="Tier 2",$E11="Tier 2 Grove"), $F11="Retain", $H11&lt;&gt;Tables!$B$147:$B$150)</xm:f>
            <x14:dxf>
              <font>
                <b/>
                <i val="0"/>
                <strike/>
                <color rgb="FFFF0000"/>
              </font>
            </x14:dxf>
          </x14:cfRule>
          <x14:cfRule type="expression" priority="473" id="{D5FA59EE-9B93-4869-90B0-728B8F377AF4}">
            <xm:f>AND($E11="Tier 1", $F11="Remove",$H11&lt;&gt;Tables!$B$143:$B$144)</xm:f>
            <x14:dxf>
              <font>
                <b/>
                <i val="0"/>
                <strike/>
                <color rgb="FFFF0000"/>
              </font>
            </x14:dxf>
          </x14:cfRule>
          <x14:cfRule type="expression" priority="522" id="{A5D92E59-DA9E-4399-8DEA-E316EE43C9AC}">
            <xm:f>AND($E11="&lt;6in DSH for Tree Points", $F11="Retain", $H11&lt;&gt;Tables!$B$174:$B$174)</xm:f>
            <x14:dxf>
              <font>
                <b/>
                <i val="0"/>
                <strike/>
                <color rgb="FFFF0000"/>
              </font>
            </x14:dxf>
          </x14:cfRule>
          <x14:cfRule type="expression" priority="517" id="{60F24B7D-8EE5-4887-93C8-0A3BB502FE31}">
            <xm:f>AND($E11="ECA / Shoreline Tree", $F11="Remove", $H11&lt;&gt;Tables!$B$189:$B$190)</xm:f>
            <x14:dxf>
              <font>
                <b/>
                <i val="0"/>
                <strike/>
                <color rgb="FFFF0000"/>
              </font>
            </x14:dxf>
          </x14:cfRule>
          <x14:cfRule type="expression" priority="518" id="{3FB0A969-277B-450F-9999-03320A51613F}">
            <xm:f>AND($E11="ECA / Shoreline Tree", $F11="Retain", $H11&lt;&gt;Tables!$B$184:$B$186)</xm:f>
            <x14:dxf>
              <font>
                <b/>
                <i val="0"/>
                <strike/>
                <color rgb="FFFF0000"/>
              </font>
            </x14:dxf>
          </x14:cfRule>
          <xm:sqref>H11:H810</xm:sqref>
        </x14:conditionalFormatting>
        <x14:conditionalFormatting xmlns:xm="http://schemas.microsoft.com/office/excel/2006/main">
          <x14:cfRule type="expression" priority="22" id="{739029CE-36C1-4084-A97D-508E847AC7B6}">
            <xm:f>AND($E11="Tier 1", $F11="Remove", $H11="Tree Protection Code: Other removal allowance or exemption", $I11&lt;&gt;Tables!$B$215:$B$218)</xm:f>
            <x14:dxf>
              <font>
                <b/>
                <i val="0"/>
                <strike/>
                <color rgb="FFFF0000"/>
              </font>
            </x14:dxf>
          </x14:cfRule>
          <x14:cfRule type="expression" priority="27" id="{3193A4B0-595C-4D41-8E7F-BB10DB19A67D}">
            <xm:f>AND(OR($E11="Tier 2",$E11="Tier 2 Grove"), $F11="Remove", $H11="Tree Protection Code: Other removal allowance or exemption", $I11&lt;&gt;Tables!$B$215:$B$218)</xm:f>
            <x14:dxf>
              <font>
                <b/>
                <i val="0"/>
                <strike/>
                <color rgb="FFFF0000"/>
              </font>
            </x14:dxf>
          </x14:cfRule>
          <x14:cfRule type="expression" priority="58" id="{5B68C2ED-176D-4142-B48B-D854924D8D21}">
            <xm:f>AND($E11="Tier 1", $F11="Remove", $H11="Tree Protection Code: Special Exception", $I11&lt;&gt;Tables!$B$215:$B$218)</xm:f>
            <x14:dxf>
              <font>
                <b/>
                <i val="0"/>
                <strike/>
                <color rgb="FFFF0000"/>
              </font>
            </x14:dxf>
          </x14:cfRule>
          <x14:cfRule type="expression" priority="435" id="{21A860DA-4118-4889-BBB9-F3632B5F8A64}">
            <xm:f>AND($E11="Tier 3", $F11="Remove", $H11="Tree Protection Code: Tier 3 or Tier 4 Allowance", $I11&lt;&gt;Tables!$B$193:$B$197)</xm:f>
            <x14:dxf>
              <font>
                <b/>
                <i val="0"/>
                <strike/>
                <color rgb="FFFF0000"/>
              </font>
            </x14:dxf>
          </x14:cfRule>
          <x14:cfRule type="expression" priority="438" id="{A31329C3-B2C4-4EF2-BC3A-39EDB6628FBA}">
            <xm:f>ISNA(MATCH($I11,Tables!$B$193:$B$197,0))</xm:f>
            <x14:dxf>
              <font>
                <b/>
                <i val="0"/>
                <strike/>
                <color rgb="FFFF0000"/>
              </font>
            </x14:dxf>
          </x14:cfRule>
          <x14:cfRule type="expression" priority="437" id="{971CE2A0-4831-4F99-B94A-A0596CDC3204}">
            <xm:f>AND(OR($E11="&lt;6in DSH for Tree Points",$E11="ECA / Shoreline Tree"), $F11="Remove", OR($H11="Shoreline",$H11="Environmental Critical Area (ECA)"), $I11&lt;&gt;Tables!$B$209:$B$212)</xm:f>
            <x14:dxf>
              <font>
                <b/>
                <i val="0"/>
                <strike/>
                <color rgb="FFFF0000"/>
              </font>
            </x14:dxf>
          </x14:cfRule>
          <x14:cfRule type="expression" priority="436" id="{AE143A87-24B2-4B86-95BF-7D7272C4D716}">
            <xm:f>AND($E11="Tier 4", $F11="Remove", $H11="Tree Protection Code: Tier 3 or Tier 4 Allowance", $I11&lt;&gt;Tables!$B$200)</xm:f>
            <x14:dxf>
              <font>
                <b/>
                <i val="0"/>
                <strike/>
                <color rgb="FFFF0000"/>
              </font>
            </x14:dxf>
          </x14:cfRule>
          <x14:cfRule type="expression" priority="434" id="{1AB4A9F3-7F91-4110-BC9A-79B6EDE8950E}">
            <xm:f>AND(OR($E11="Tier 2",$E11="Tier 2 Grove"), $F11="Remove", $H11="Tree Protection Code: Necessary for Construction", $I11&lt;&gt;Tables!$B$193:$B$197)</xm:f>
            <x14:dxf>
              <font>
                <b/>
                <i val="0"/>
                <strike/>
                <color rgb="FFFF0000"/>
              </font>
            </x14:dxf>
          </x14:cfRule>
          <x14:cfRule type="expression" priority="121" id="{C9FCEFF1-4E97-4EB9-9BA0-7944D1F3528E}">
            <xm:f>AND(OR($E11="Tier 2",$E11="Tier 2 Grove"), $F11="Remove", $H11="Tree Protection Code: Development Capacity", $I11&lt;&gt;Tables!$B$193:$B$197)</xm:f>
            <x14:dxf>
              <font>
                <b/>
                <i val="0"/>
                <strike/>
                <color rgb="FFFF0000"/>
              </font>
            </x14:dxf>
          </x14:cfRule>
          <xm:sqref>I11:I810</xm:sqref>
        </x14:conditionalFormatting>
      </x14:conditionalFormattings>
    </ext>
    <ext xmlns:x14="http://schemas.microsoft.com/office/spreadsheetml/2009/9/main" uri="{CCE6A557-97BC-4b89-ADB6-D9C93CAAB3DF}">
      <x14:dataValidations xmlns:xm="http://schemas.microsoft.com/office/excel/2006/main" xWindow="341" yWindow="353" count="1">
        <x14:dataValidation type="list" allowBlank="1" prompt="Enter Tree Name" xr:uid="{F9A0761D-C143-43AD-B91F-5D82B69653AE}">
          <x14:formula1>
            <xm:f>'Tree List'!$C$2:$C$601</xm:f>
          </x14:formula1>
          <xm:sqref>C11:C810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1D100-94A6-4A50-B2DC-1EDCD25B229C}">
  <sheetPr>
    <tabColor theme="9" tint="-0.249977111117893"/>
    <pageSetUpPr fitToPage="1"/>
  </sheetPr>
  <dimension ref="A1:P132"/>
  <sheetViews>
    <sheetView showGridLines="0" zoomScaleNormal="100" workbookViewId="0">
      <pane ySplit="10" topLeftCell="A11" activePane="bottomLeft" state="frozen"/>
      <selection pane="bottomLeft" activeCell="B11" sqref="B11"/>
    </sheetView>
  </sheetViews>
  <sheetFormatPr defaultColWidth="9.109375" defaultRowHeight="14.4" x14ac:dyDescent="0.3"/>
  <cols>
    <col min="1" max="1" width="4.88671875" customWidth="1"/>
    <col min="2" max="2" width="9.33203125" customWidth="1"/>
    <col min="3" max="3" width="46.44140625" style="2" customWidth="1"/>
    <col min="4" max="4" width="12.33203125" customWidth="1"/>
    <col min="5" max="5" width="13.5546875" bestFit="1" customWidth="1"/>
    <col min="6" max="6" width="30.44140625" style="139" customWidth="1"/>
    <col min="7" max="7" width="18.6640625" style="35" customWidth="1"/>
    <col min="8" max="8" width="15.33203125" style="35" customWidth="1"/>
    <col min="9" max="9" width="18.33203125" style="35" customWidth="1"/>
    <col min="10" max="10" width="15.5546875" customWidth="1"/>
    <col min="11" max="11" width="14.5546875" customWidth="1"/>
    <col min="12" max="12" width="13.88671875" customWidth="1"/>
    <col min="13" max="13" width="13.44140625" customWidth="1"/>
    <col min="14" max="14" width="9.33203125" style="35" customWidth="1"/>
    <col min="15" max="15" width="131.109375" style="308" customWidth="1"/>
    <col min="16" max="16" width="7.33203125" style="356" hidden="1" customWidth="1"/>
    <col min="17" max="16384" width="9.109375" style="19"/>
  </cols>
  <sheetData>
    <row r="1" spans="1:16" s="359" customFormat="1" ht="17.25" customHeight="1" thickBot="1" x14ac:dyDescent="0.35">
      <c r="A1" s="384" t="s">
        <v>2118</v>
      </c>
      <c r="C1" s="373"/>
      <c r="F1" s="373"/>
      <c r="G1" s="374"/>
      <c r="H1" s="374"/>
      <c r="I1" s="374"/>
      <c r="J1" s="374"/>
      <c r="K1" s="374"/>
      <c r="L1" s="374"/>
      <c r="M1" s="374"/>
      <c r="N1" s="374"/>
      <c r="O1" s="375"/>
      <c r="P1" s="376"/>
    </row>
    <row r="2" spans="1:16" s="52" customFormat="1" ht="31.8" thickBot="1" x14ac:dyDescent="0.65">
      <c r="A2" s="90" t="s">
        <v>2086</v>
      </c>
      <c r="B2" s="60"/>
      <c r="C2" s="138"/>
      <c r="D2" s="89" t="str">
        <f ca="1">IF(COUNTBLANK(O11:O840)&lt;ROWS(O11:O840),ROWS(O11:O840)-COUNTBLANK(O11:O840) &amp; " unresolved error(s). See red errors for more info.","")</f>
        <v/>
      </c>
      <c r="E2" s="60"/>
      <c r="F2" s="135"/>
      <c r="H2" s="124" t="s">
        <v>1628</v>
      </c>
      <c r="I2" s="125" t="str">
        <f>IF('Existing Trees Form'!I2&lt;&gt;"",'Existing Trees Form'!I2,"")</f>
        <v/>
      </c>
      <c r="L2" s="190" t="str" cm="1">
        <f t="array" ref="L2">"Total New Plantings: " &amp;
SUMPRODUCT(--(MOD(ROW(E11:E840)-11,4)=0),
--(E11:E840&lt;&gt;""),
N11:N840) &amp; CHAR(10) &amp; "(Used to meet code)"</f>
        <v>Total New Plantings: 0
(Used to meet code)</v>
      </c>
      <c r="M2" s="122"/>
      <c r="N2" s="53"/>
      <c r="O2" s="305"/>
      <c r="P2" s="357"/>
    </row>
    <row r="3" spans="1:16" s="52" customFormat="1" ht="15.6" x14ac:dyDescent="0.3">
      <c r="A3" s="416" t="s">
        <v>2156</v>
      </c>
      <c r="B3" s="91"/>
      <c r="C3" s="410"/>
      <c r="D3" s="414" t="str">
        <f ca="1">IF(D2&lt;&gt;"", "This message will disappear when all errors are resolved.", "")</f>
        <v/>
      </c>
      <c r="E3" s="91"/>
      <c r="F3" s="136"/>
      <c r="H3" s="123"/>
      <c r="I3" s="766" t="str">
        <f>IF($I$2="","↑ Enter through Existing Tree Form","")</f>
        <v>↑ Enter through Existing Tree Form</v>
      </c>
      <c r="L3" s="171"/>
      <c r="M3" s="171"/>
      <c r="N3" s="53"/>
      <c r="O3" s="305"/>
      <c r="P3" s="357"/>
    </row>
    <row r="4" spans="1:16" s="52" customFormat="1" ht="18.75" customHeight="1" thickBot="1" x14ac:dyDescent="0.35">
      <c r="A4" s="416" t="s">
        <v>2098</v>
      </c>
      <c r="B4" s="408"/>
      <c r="C4" s="409"/>
      <c r="D4" s="408"/>
      <c r="E4" s="408"/>
      <c r="F4" s="136"/>
      <c r="N4" s="53"/>
      <c r="O4" s="305"/>
      <c r="P4" s="357"/>
    </row>
    <row r="5" spans="1:16" s="52" customFormat="1" ht="30.75" customHeight="1" thickBot="1" x14ac:dyDescent="0.35">
      <c r="A5" s="417" t="s">
        <v>2100</v>
      </c>
      <c r="B5" s="382"/>
      <c r="C5" s="382"/>
      <c r="D5" s="61"/>
      <c r="E5" s="61"/>
      <c r="F5" s="415"/>
      <c r="G5" s="54"/>
      <c r="H5" s="54"/>
      <c r="I5" s="126" t="s">
        <v>2250</v>
      </c>
      <c r="J5" s="456" cm="1">
        <f t="array" aca="1" ref="J5" ca="1">SUMPRODUCT(
(COUNTIF(OFFSET(F11,ROW(J11:J784)-ROW(J11),0,4,1),"*Tree Code*")&gt;0)*
(COUNTIF(OFFSET(F11,ROW(J11:J784)-ROW(J11),0,4,1),"*Zoning: Street Tree*")=0)*
(J11:J784)*(N11:N784)
)</f>
        <v>0</v>
      </c>
      <c r="L5" s="127" t="s">
        <v>59</v>
      </c>
      <c r="M5" s="482" cm="1">
        <f t="array" aca="1" ref="M5" ca="1">SUMPRODUCT(
   --(COUNTIF(OFFSET(F11,ROW(M11:M784)-ROW(M11),0,4,1),"*Zoning: Tree Points*")&gt;0),
   --(COUNTIF(OFFSET(F11,ROW(M11:M784)-ROW(M11),0,4,1),"*Zoning: Street Tree*")=0),
   M11:M784
)</f>
        <v>0</v>
      </c>
      <c r="N5" s="55"/>
      <c r="O5" s="306"/>
      <c r="P5" s="357"/>
    </row>
    <row r="6" spans="1:16" s="52" customFormat="1" ht="21" customHeight="1" x14ac:dyDescent="0.3">
      <c r="A6" s="383" t="s">
        <v>1632</v>
      </c>
      <c r="B6" s="228"/>
      <c r="C6" s="229"/>
      <c r="D6" s="230"/>
      <c r="E6" s="224"/>
      <c r="F6" s="224"/>
      <c r="N6" s="53"/>
      <c r="O6" s="306"/>
      <c r="P6" s="357"/>
    </row>
    <row r="7" spans="1:16" s="52" customFormat="1" ht="18.75" customHeight="1" x14ac:dyDescent="0.3">
      <c r="A7" s="378"/>
      <c r="B7" s="763" t="s">
        <v>2255</v>
      </c>
      <c r="C7" s="763"/>
      <c r="D7" s="763"/>
      <c r="E7" s="767"/>
      <c r="F7" s="21"/>
      <c r="N7" s="53"/>
      <c r="O7" s="306"/>
      <c r="P7" s="357"/>
    </row>
    <row r="8" spans="1:16" s="52" customFormat="1" ht="8.25" customHeight="1" thickBot="1" x14ac:dyDescent="0.35">
      <c r="C8" s="137"/>
      <c r="F8" s="137"/>
      <c r="N8" s="53"/>
      <c r="O8" s="306"/>
      <c r="P8" s="357"/>
    </row>
    <row r="9" spans="1:16" s="52" customFormat="1" ht="16.2" thickBot="1" x14ac:dyDescent="0.35">
      <c r="C9" s="185" t="s">
        <v>1668</v>
      </c>
      <c r="D9" s="186"/>
      <c r="E9" s="187"/>
      <c r="F9" s="188"/>
      <c r="M9" s="33"/>
      <c r="N9" s="53"/>
      <c r="O9" s="306"/>
      <c r="P9" s="357"/>
    </row>
    <row r="10" spans="1:16" s="52" customFormat="1" ht="31.8" thickBot="1" x14ac:dyDescent="0.35">
      <c r="A10" s="436" t="s">
        <v>1619</v>
      </c>
      <c r="B10" s="446" t="s">
        <v>57</v>
      </c>
      <c r="C10" s="99" t="s">
        <v>1126</v>
      </c>
      <c r="D10" s="134" t="s">
        <v>56</v>
      </c>
      <c r="E10" s="134" t="s">
        <v>1121</v>
      </c>
      <c r="F10" s="209" t="s">
        <v>1622</v>
      </c>
      <c r="G10" s="134" t="s">
        <v>1629</v>
      </c>
      <c r="H10" s="100" t="s">
        <v>1630</v>
      </c>
      <c r="I10" s="134" t="s">
        <v>1631</v>
      </c>
      <c r="J10" s="134" t="s">
        <v>58</v>
      </c>
      <c r="K10" s="134" t="s">
        <v>1612</v>
      </c>
      <c r="L10" s="134" t="s">
        <v>1618</v>
      </c>
      <c r="M10" s="134" t="s">
        <v>34</v>
      </c>
      <c r="N10" s="743" t="s">
        <v>55</v>
      </c>
      <c r="O10" s="307" t="s">
        <v>54</v>
      </c>
      <c r="P10" s="142" t="s">
        <v>1981</v>
      </c>
    </row>
    <row r="11" spans="1:16" ht="15" thickBot="1" x14ac:dyDescent="0.35">
      <c r="A11" s="437">
        <v>1</v>
      </c>
      <c r="B11" s="445"/>
      <c r="C11" s="444"/>
      <c r="D11" s="294"/>
      <c r="E11" s="294"/>
      <c r="F11" s="299"/>
      <c r="G11" s="158"/>
      <c r="H11" s="181"/>
      <c r="I11" s="178"/>
      <c r="J11" s="457"/>
      <c r="K11" s="172" t="str">
        <f>IFERROR(
IF(
    AND(
        MOD(ROW()-11,4)=0,
        COUNTIF(INDEX(F:F, 11 + 4*INT((ROW()-11)/4)):INDEX(F:F, 14 + 4*INT((ROW()-11)/4)),"Zoning: Tree Points")&gt;0,
        COUNTIFS('Tree List'!$C$3:$C$601,$C11,'Tree List'!$H$3:$H$601,"sp.")=0
    ),
    VLOOKUP($C11,'Tree List'!$C$3:$F$601,4,FALSE),
    ""
),
"")</f>
        <v/>
      </c>
      <c r="L11" s="173" t="str" cm="1">
        <f t="array" ref="L11">IFERROR(
IF(
    AND(
        COUNTIF(INDEX(F:F, 11 + 4*INT((ROW()-11)/4)):INDEX(F:F, 14 + 4*INT((ROW()-11)/4)),"Zoning: Tree Points")&gt;0,
        COUNTIFS('Tree List'!$C$3:$C$601,$C11,'Tree List'!$H$3:$H$601,"sp.")&gt;0
    ),
    "",
    _xlfn.IFS(
        (COUNTIFS('Tree List'!$C$3:$C$601,$C11,'Tree List'!$D$3:$D$601,"Coniferous")
        + COUNTIFS('Tree List'!$C$3:$C$601,$C11,'Tree List'!$D$3:$D$601,"Deciduous Conifer")) &gt; 0,
            _xlfn.IFS($K11="Small",1.25,$K11="Small/Medium",2.5,$K11="Medium/Large",3.75,$K11="Large",5),
        (COUNTIFS('Tree List'!$C$3:$C$601,$C11,'Tree List'!$D$3:$D$601,"Deciduous")
        + COUNTIFS('Tree List'!$C$3:$C$601,$C11,'Tree List'!$D$3:$D$601,"Broadleaf Evergreen")) &gt; 0,
            _xlfn.IFS($K11="Small",1,$K11="Small/Medium",2,$K11="Medium/Large",3,$K11="Large",4)
    )
),
"")</f>
        <v/>
      </c>
      <c r="M11" s="470" t="str">
        <f>IFERROR($L11*$N11,"")</f>
        <v/>
      </c>
      <c r="N11" s="744"/>
      <c r="O11" s="339" t="str" cm="1">
        <f t="array" aca="1" ref="O11"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List'!$C$3:$C$601,$C11,'Tree List'!$D$3:$D$601,{"Deciduous","Broadleaf Evergreen"})),
_xlpm.Coniferous,SUM(COUNTIFS('Tree List'!$C$3:$C$601,$C11,'Tree List'!$D$3:$D$601,{"Coniferous","Deciduous Conifer"})),
IFERROR(
IF(AND(_xlpm.baseRow,ISNA(MATCH($C11,'Tree List'!$C$3:$C$601,0)),SUMPRODUCT(--ISNUMBER(SEARCH(Tables2!$C$677:$C$825,$P11)))&gt;0),
Error!$B$64,
IF(AND(_xlpm.baseRow,COUNTIF(_xlpm.FRange,"ECA / Shoreline")&gt;0,$D11&lt;&gt;"",$E11&lt;&gt;"",$N11=""),
Error!$B$55,
IF(AND(_xlpm.baseRow,$D11&lt;&gt;"",$E11&lt;&gt;"",COUNTBLANK($B11:$C11)&gt;0,COUNTBLANK($F11:$F14)&lt;&gt;4),
Error!$B$22,
IF(AND(_xlpm.baseRow,$D11="Right-of-Way", $E11=""),
Error!$B$67,
IF(AND(_xlpm.baseRow,$D11&lt;&gt;"",ISNA(MATCH($D11,Tables2!$B$66:$B$68,0))),
Error!$B$63,
IF(AND(_xlpm.baseRow,$D11="Off Site",$E11&lt;&gt;"",$E11&lt;&gt;"Yes"),
Error!$B$28,
IF(AND(_xlpm.baseRow,OR($D11="On Site",$D11="Right-of-Way"),$E11&lt;&gt;"",ISNA(MATCH($E11,MultiSelect2[TreeMitigation],0))),
Error!$B$28,
IF(AND(_xlpm.baseRow,$D11&lt;&gt;"",$E11&lt;&gt;"",COUNTIF(_xlpm.FRange,"&lt;&gt;")=0),
Error!$B$26,
IF(AND($E11="No",$F11&lt;&gt;"",ISNA(MATCH($F11,Tables2!$B$55:$B$57,0))),
Error!$B$27,
IF(AND($E11="Yes",$F11&lt;&gt;"",ISNA(MATCH($F11,Tables2!$B$48:$B$52,0))),
Error!$B$27,
IF(AND($D11="Off Site",$E11="Yes",$F11&lt;&gt;"",ISNA(MATCH($F11,Tables2!$B$60:$B$62,0))),
Error!$B$27,
IF(AND(_xlpm.baseRow,_xlpm.Street&gt;0,_xlpm.ECA&gt;0),
Error!$B$29,
IF(AND(_xlpm.baseRow,_xlpm.Street&gt;0,_xlpm.Points&gt;0),
Error!$B$30,
IF(AND(_xlpm.baseRow,_xlpm.Street&gt;0,_xlpm.ReplaceReq&gt;0),
Error!$B$31,
IF(AND(_xlpm.baseRow,$D11&lt;&gt;"",$E11&lt;&gt;"",$G11&lt;&gt;"",_xlpm.DecBroad&gt;0,OR(_xlpm.Points&gt;0,_xlpm.Green&gt;0,_xlpm.ReplaceReq&gt;0),_xlpm.Street=0,$G11&lt;1.5),
Error!$B$42,
IF(AND(_xlpm.baseRow,$D11&lt;&gt;"",$E11&lt;&gt;"",$H11&lt;&gt;"",$H11&lt;4,_xlpm.Street&gt;0,_xlpm.Green&gt;0,COUNTA(_xlpm.FRange)&gt;0),
Error!$B$32,
IF(AND(_xlpm.baseRow,$G11="",_xlpm.ECA&gt;0,_xlpm.DecBroad&gt;0,_xlpm.ReplaceReq&gt;0),
Error!$B$52,
IF(AND(_xlpm.baseRow,$E11&lt;&gt;"", $H11="",_xlpm.ECA&gt;0,_xlpm.Coniferous&gt;0,_xlpm.ReplaceReq&gt;0),
Error!$B$53,
IF(AND(_xlpm.baseRow,$G11="",$H11="",_xlpm.ECA&gt;0,_xlpm.ReplaceReq&gt;0),
Error!$B$39,
IF(AND(_xlpm.baseRow,$D11&lt;&gt;"",$E11&lt;&gt;"",$G11="",$H11="",_xlpm.Coniferous&gt;0,_xlpm.ReplaceReq&gt;0,_xlpm.ECA&gt;0),
Error!$B$50,
IF(AND(_xlpm.baseRow,$D11&lt;&gt;"",$E11&lt;&gt;"",$G11&lt;&gt;"",_xlpm.Street&gt;0,$G11&lt;2),
Error!$B$43,
IF(AND(_xlpm.baseRow,$D11&lt;&gt;"",$E11&lt;&gt;"",_xlpm.Green&gt;0,_xlpm.DecBroad&gt;0,$G11=""),
Error!$B$49,
IF(AND(_xlpm.baseRow,$D11&lt;&gt;"",$E11&lt;&gt;"",$H11&lt;&gt;"",$H11&lt;4,_xlpm.Green&gt;0,_xlpm.DecBroad&gt;0,$G11=""),
Error!$B$51,
IF(AND(_xlpm.baseRow,$D11&lt;&gt;"",$E11&lt;&gt;"",_xlpm.Green&gt;0,_xlpm.Coniferous&gt;0,$H11=""),
Error!$B$50,
IF(AND(_xlpm.baseRow,$D11&lt;&gt;"",$E11&lt;&gt;"",_xlpm.Points&gt;0,_xlpm.DecBroad&gt;0,$G11=""),
Error!$B$49,
IF(AND(_xlpm.baseRow,$D11&lt;&gt;"",$E11&lt;&gt;"",_xlpm.Points&gt;0,_xlpm.Coniferous&gt;0,$H11=""),
Error!$B$50,
IF(AND(_xlpm.baseRow,$D11&lt;&gt;"",$E11&lt;&gt;"",_xlpm.ReplaceReq&gt;0,_xlpm.DecBroad&gt;0,$G11=""),
Error!$B$49,
IF(AND(_xlpm.baseRow,$D11&lt;&gt;"",$E11&lt;&gt;"",_xlpm.ReplaceReq&gt;0,_xlpm.Coniferous&gt;0,$H11=""),
Error!$B$50,
IF(AND(_xlpm.baseRow,$D11&lt;&gt;"",$E11&lt;&gt;"",_xlpm.Street&gt;0,$G11=""),
Error!$B$49,
IF(AND(_xlpm.baseRow,$D11&lt;&gt;"",$E11&lt;&gt;"",$H11&lt;&gt;"",$H11&lt;4,OR(ISNA(MATCH($C11,'Tree List'!$C$3:$C$601,0)),$C11=""),_xlpm.Green&gt;0,COUNTA(_xlpm.FRange)&gt;0),
Error!$B$51,
IF(AND(_xlpm.baseRow,$D11&lt;&gt;"",$E11&lt;&gt;"",$H11&lt;&gt;"",$H11&lt;4,_xlpm.DecBroad&gt;0,_xlpm.Green&gt;0,COUNTA(_xlpm.FRange)&gt;0),
Error!$B$51,
IF(AND(_xlpm.baseRow,$D11&lt;&gt;"",$E11&lt;&gt;"",$G11="",$H11="",OR(_xlpm.ReplaceReq&gt;0,_xlpm.Green&gt;0,_xlpm.Points&gt;0,_xlpm.Street&gt;0)),
Error!$B$38,
IF(AND(_xlpm.baseRow,$D11&lt;&gt;"",$E11&lt;&gt;"",$H11&lt;&gt;"",$H11&lt;4,_xlpm.Street=0,_xlpm.Coniferous&gt;0,COUNTA(_xlpm.FRange)&gt;0),
Error!$B$32,
IF(AND(_xlpm.baseRow,_xlpm.DecBroad&gt;0,$D11&lt;&gt;"",$E11&lt;&gt;"",$G11&lt;&gt;"",$G11&lt;1.5,_xlpm.Street=0,COUNTA(_xlpm.FRange)&gt;0),
Error!$B$42,
IF(AND(_xlpm.baseRow,$I11="",$H11="",_xlpm.ECA&gt;0,_xlpm.ReplaceReq=0),
Error!$B$33,
IF(AND(_xlpm.baseRow,OR($J11="",$J11&lt;=0),_xlpm.ReplaceReq&gt;0),
Error!$B$34,
IF(AND(_xlpm.baseRow,$K11&lt;&gt;"",_xlpm.Points&gt;0,ISNA(MATCH($K11,Tables!$B$242:$B$253,0))),
Error!$B$58,
IF(AND($K11="Small",$L11&lt;&gt;"",ISNA(MATCH($L11,Tables2!$C$35:$C$36,0))),
Error!$B$60,
IF(AND($K11="Small/Medium",$L11&lt;&gt;"",ISNA(MATCH($L11,Tables2!$C$38:$C$39,0))),
Error!$B$60,
IF(AND($K11="Medium/Large",$L11&lt;&gt;"",ISNA(MATCH($L11,Tables2!$C$41:$C$42,0))),
Error!$B$60,
IF(AND($K11="Large",$L11&lt;&gt;"",ISNA(MATCH($L11,Tables2!$C$44:$C$45,0))),
Error!$B$60,
IF(AND(_xlpm.baseRow,$B11&lt;&gt;"", $C11&lt;&gt;"", $D11&lt;&gt;"", $E11&lt;&gt;"", OR($M11="",$K11="",$L11=""),_xlpm.Points&gt;0),
Error!$B$35,
IF(AND(_xlpm.baseRow,$D11&lt;&gt;"",$E11&lt;&gt;"",$N11=""),
Error!$B$36,
""))))))))))))))))))))))))))))))))))))))))))),Error!$B$37))</f>
        <v/>
      </c>
      <c r="P11" s="339" t="str" cm="1">
        <f t="array" aca="1" ref="P11" ca="1">IFERROR(_xlfn.LET(
    _xlpm.txt, $C11,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 spans="1:16" x14ac:dyDescent="0.3">
      <c r="A12" s="92"/>
      <c r="B12" s="439" t="str">
        <f>IF($B11="", "", $B11)</f>
        <v/>
      </c>
      <c r="C12" s="309"/>
      <c r="D12" s="157" t="str">
        <f>IF($D11="", "", $D11)</f>
        <v/>
      </c>
      <c r="E12" s="157" t="str">
        <f>IF($E11="", "", $E11)</f>
        <v/>
      </c>
      <c r="F12" s="300"/>
      <c r="G12" s="159"/>
      <c r="H12" s="182"/>
      <c r="I12" s="179"/>
      <c r="J12" s="458"/>
      <c r="K12" s="174" t="str">
        <f>IFERROR(
IF(
    AND(
        MOD(ROW()-11,4)=0,
        COUNTIF(INDEX(F:F, 11 + 4*INT((ROW()-11)/4)):INDEX(F:F, 14 + 4*INT((ROW()-11)/4)),"Zoning: Tree Points")&gt;0,
        COUNTIFS('Tree List'!$C$3:$C$601,$C12,'Tree List'!$H$3:$H$601,"sp.")=0
    ),
    VLOOKUP($C12,'Tree List'!$C$3:$F$601,4,FALSE),
    ""
),
"")</f>
        <v/>
      </c>
      <c r="L12" s="175" t="str" cm="1">
        <f t="array" ref="L12">IFERROR(
IF(
    AND(
        COUNTIF(INDEX(F:F, 11 + 4*INT((ROW()-11)/4)):INDEX(F:F, 14 + 4*INT((ROW()-11)/4)),"Zoning: Tree Points")&gt;0,
        COUNTIFS('Tree List'!$C$3:$C$601,$C12,'Tree List'!$H$3:$H$601,"sp.")&gt;0
    ),
    "",
    _xlfn.IFS(
        (COUNTIFS('Tree List'!$C$3:$C$601,$C12,'Tree List'!$D$3:$D$601,"Coniferous")
        + COUNTIFS('Tree List'!$C$3:$C$601,$C12,'Tree List'!$D$3:$D$601,"Deciduous Conifer")) &gt; 0,
            _xlfn.IFS($K12="Small",1.25,$K12="Small/Medium",2.5,$K12="Medium/Large",3.75,$K12="Large",5),
        (COUNTIFS('Tree List'!$C$3:$C$601,$C12,'Tree List'!$D$3:$D$601,"Deciduous")
        + COUNTIFS('Tree List'!$C$3:$C$601,$C12,'Tree List'!$D$3:$D$601,"Broadleaf Evergreen")) &gt; 0,
            _xlfn.IFS($K12="Small",1,$K12="Small/Medium",2,$K12="Medium/Large",3,$K12="Large",4)
    )
),
"")</f>
        <v/>
      </c>
      <c r="M12" s="471"/>
      <c r="N12" s="434"/>
      <c r="O12" s="340" t="str" cm="1">
        <f t="array" aca="1" ref="O12"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List'!$C$3:$C$601,$C12,'Tree List'!$D$3:$D$601,{"Deciduous","Broadleaf Evergreen"})),
_xlpm.Coniferous,SUM(COUNTIFS('Tree List'!$C$3:$C$601,$C12,'Tree List'!$D$3:$D$601,{"Coniferous","Deciduous Conifer"})),
IFERROR(
IF(AND(_xlpm.baseRow,ISNA(MATCH($C12,'Tree List'!$C$3:$C$601,0)),SUMPRODUCT(--ISNUMBER(SEARCH(Tables2!$C$677:$C$825,$P12)))&gt;0),
Error!$B$64,
IF(AND(_xlpm.baseRow,COUNTIF(_xlpm.FRange,"ECA / Shoreline")&gt;0,$D12&lt;&gt;"",$E12&lt;&gt;"",$N12=""),
Error!$B$55,
IF(AND(_xlpm.baseRow,$D12&lt;&gt;"",$E12&lt;&gt;"",COUNTBLANK($B12:$C12)&gt;0,COUNTBLANK($F12:$F15)&lt;&gt;4),
Error!$B$22,
IF(AND(_xlpm.baseRow,$D12="Right-of-Way", $E12=""),
Error!$B$67,
IF(AND(_xlpm.baseRow,$D12&lt;&gt;"",ISNA(MATCH($D12,Tables2!$B$66:$B$68,0))),
Error!$B$63,
IF(AND(_xlpm.baseRow,$D12="Off Site",$E12&lt;&gt;"",$E12&lt;&gt;"Yes"),
Error!$B$28,
IF(AND(_xlpm.baseRow,OR($D12="On Site",$D12="Right-of-Way"),$E12&lt;&gt;"",ISNA(MATCH($E12,MultiSelect2[TreeMitigation],0))),
Error!$B$28,
IF(AND(_xlpm.baseRow,$D12&lt;&gt;"",$E12&lt;&gt;"",COUNTIF(_xlpm.FRange,"&lt;&gt;")=0),
Error!$B$26,
IF(AND($E12="No",$F12&lt;&gt;"",ISNA(MATCH($F12,Tables2!$B$55:$B$57,0))),
Error!$B$27,
IF(AND($E12="Yes",$F12&lt;&gt;"",ISNA(MATCH($F12,Tables2!$B$48:$B$52,0))),
Error!$B$27,
IF(AND($D12="Off Site",$E12="Yes",$F12&lt;&gt;"",ISNA(MATCH($F12,Tables2!$B$60:$B$62,0))),
Error!$B$27,
IF(AND(_xlpm.baseRow,_xlpm.Street&gt;0,_xlpm.ECA&gt;0),
Error!$B$29,
IF(AND(_xlpm.baseRow,_xlpm.Street&gt;0,_xlpm.Points&gt;0),
Error!$B$30,
IF(AND(_xlpm.baseRow,_xlpm.Street&gt;0,_xlpm.ReplaceReq&gt;0),
Error!$B$31,
IF(AND(_xlpm.baseRow,$D12&lt;&gt;"",$E12&lt;&gt;"",$G12&lt;&gt;"",_xlpm.DecBroad&gt;0,OR(_xlpm.Points&gt;0,_xlpm.Green&gt;0,_xlpm.ReplaceReq&gt;0),_xlpm.Street=0,$G12&lt;1.5),
Error!$B$42,
IF(AND(_xlpm.baseRow,$D12&lt;&gt;"",$E12&lt;&gt;"",$H12&lt;&gt;"",$H12&lt;4,_xlpm.Street&gt;0,_xlpm.Green&gt;0,COUNTA(_xlpm.FRange)&gt;0),
Error!$B$32,
IF(AND(_xlpm.baseRow,$G12="",_xlpm.ECA&gt;0,_xlpm.DecBroad&gt;0,_xlpm.ReplaceReq&gt;0),
Error!$B$52,
IF(AND(_xlpm.baseRow,$E12&lt;&gt;"", $H12="",_xlpm.ECA&gt;0,_xlpm.Coniferous&gt;0,_xlpm.ReplaceReq&gt;0),
Error!$B$53,
IF(AND(_xlpm.baseRow,$G12="",$H12="",_xlpm.ECA&gt;0,_xlpm.ReplaceReq&gt;0),
Error!$B$39,
IF(AND(_xlpm.baseRow,$D12&lt;&gt;"",$E12&lt;&gt;"",$G12="",$H12="",_xlpm.Coniferous&gt;0,_xlpm.ReplaceReq&gt;0,_xlpm.ECA&gt;0),
Error!$B$50,
IF(AND(_xlpm.baseRow,$D12&lt;&gt;"",$E12&lt;&gt;"",$G12&lt;&gt;"",_xlpm.Street&gt;0,$G12&lt;2),
Error!$B$43,
IF(AND(_xlpm.baseRow,$D12&lt;&gt;"",$E12&lt;&gt;"",_xlpm.Green&gt;0,_xlpm.DecBroad&gt;0,$G12=""),
Error!$B$49,
IF(AND(_xlpm.baseRow,$D12&lt;&gt;"",$E12&lt;&gt;"",$H12&lt;&gt;"",$H12&lt;4,_xlpm.Green&gt;0,_xlpm.DecBroad&gt;0,$G12=""),
Error!$B$51,
IF(AND(_xlpm.baseRow,$D12&lt;&gt;"",$E12&lt;&gt;"",_xlpm.Green&gt;0,_xlpm.Coniferous&gt;0,$H12=""),
Error!$B$50,
IF(AND(_xlpm.baseRow,$D12&lt;&gt;"",$E12&lt;&gt;"",_xlpm.Points&gt;0,_xlpm.DecBroad&gt;0,$G12=""),
Error!$B$49,
IF(AND(_xlpm.baseRow,$D12&lt;&gt;"",$E12&lt;&gt;"",_xlpm.Points&gt;0,_xlpm.Coniferous&gt;0,$H12=""),
Error!$B$50,
IF(AND(_xlpm.baseRow,$D12&lt;&gt;"",$E12&lt;&gt;"",_xlpm.ReplaceReq&gt;0,_xlpm.DecBroad&gt;0,$G12=""),
Error!$B$49,
IF(AND(_xlpm.baseRow,$D12&lt;&gt;"",$E12&lt;&gt;"",_xlpm.ReplaceReq&gt;0,_xlpm.Coniferous&gt;0,$H12=""),
Error!$B$50,
IF(AND(_xlpm.baseRow,$D12&lt;&gt;"",$E12&lt;&gt;"",_xlpm.Street&gt;0,$G12=""),
Error!$B$49,
IF(AND(_xlpm.baseRow,$D12&lt;&gt;"",$E12&lt;&gt;"",$H12&lt;&gt;"",$H12&lt;4,OR(ISNA(MATCH($C12,'Tree List'!$C$3:$C$601,0)),$C12=""),_xlpm.Green&gt;0,COUNTA(_xlpm.FRange)&gt;0),
Error!$B$51,
IF(AND(_xlpm.baseRow,$D12&lt;&gt;"",$E12&lt;&gt;"",$H12&lt;&gt;"",$H12&lt;4,_xlpm.DecBroad&gt;0,_xlpm.Green&gt;0,COUNTA(_xlpm.FRange)&gt;0),
Error!$B$51,
IF(AND(_xlpm.baseRow,$D12&lt;&gt;"",$E12&lt;&gt;"",$G12="",$H12="",OR(_xlpm.ReplaceReq&gt;0,_xlpm.Green&gt;0,_xlpm.Points&gt;0,_xlpm.Street&gt;0)),
Error!$B$38,
IF(AND(_xlpm.baseRow,$D12&lt;&gt;"",$E12&lt;&gt;"",$H12&lt;&gt;"",$H12&lt;4,_xlpm.Street=0,_xlpm.Coniferous&gt;0,COUNTA(_xlpm.FRange)&gt;0),
Error!$B$32,
IF(AND(_xlpm.baseRow,_xlpm.DecBroad&gt;0,$D12&lt;&gt;"",$E12&lt;&gt;"",$G12&lt;&gt;"",$G12&lt;1.5,_xlpm.Street=0,COUNTA(_xlpm.FRange)&gt;0),
Error!$B$42,
IF(AND(_xlpm.baseRow,$I12="",$H12="",_xlpm.ECA&gt;0,_xlpm.ReplaceReq=0),
Error!$B$33,
IF(AND(_xlpm.baseRow,OR($J12="",$J12&lt;=0),_xlpm.ReplaceReq&gt;0),
Error!$B$34,
IF(AND(_xlpm.baseRow,$K12&lt;&gt;"",_xlpm.Points&gt;0,ISNA(MATCH($K12,Tables!$B$242:$B$253,0))),
Error!$B$58,
IF(AND($K12="Small",$L12&lt;&gt;"",ISNA(MATCH($L12,Tables2!$C$35:$C$36,0))),
Error!$B$60,
IF(AND($K12="Small/Medium",$L12&lt;&gt;"",ISNA(MATCH($L12,Tables2!$C$38:$C$39,0))),
Error!$B$60,
IF(AND($K12="Medium/Large",$L12&lt;&gt;"",ISNA(MATCH($L12,Tables2!$C$41:$C$42,0))),
Error!$B$60,
IF(AND($K12="Large",$L12&lt;&gt;"",ISNA(MATCH($L12,Tables2!$C$44:$C$45,0))),
Error!$B$60,
IF(AND(_xlpm.baseRow,$B12&lt;&gt;"", $C12&lt;&gt;"", $D12&lt;&gt;"", $E12&lt;&gt;"", OR($M12="",$K12="",$L12=""),_xlpm.Points&gt;0),
Error!$B$35,
IF(AND(_xlpm.baseRow,$D12&lt;&gt;"",$E12&lt;&gt;"",$N12=""),
Error!$B$36,
""))))))))))))))))))))))))))))))))))))))))))),Error!$B$37))</f>
        <v/>
      </c>
      <c r="P12" s="355" t="str" cm="1">
        <f t="array" aca="1" ref="P12" ca="1">IFERROR(_xlfn.LET(
    _xlpm.txt, $C12,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 spans="1:16" x14ac:dyDescent="0.3">
      <c r="A13" s="92"/>
      <c r="B13" s="439" t="str">
        <f>IF($B11="", "", $B11)</f>
        <v/>
      </c>
      <c r="C13" s="438"/>
      <c r="D13" s="439" t="str">
        <f>IF($D11="", "", $D11)</f>
        <v/>
      </c>
      <c r="E13" s="439" t="str">
        <f>IF($E11="", "", $E11)</f>
        <v/>
      </c>
      <c r="F13" s="300"/>
      <c r="G13" s="160"/>
      <c r="H13" s="440"/>
      <c r="I13" s="441"/>
      <c r="J13" s="459"/>
      <c r="K13" s="442" t="str">
        <f>IFERROR(
IF(
    AND(
        MOD(ROW()-11,4)=0,
        COUNTIF(INDEX(F:F, 11 + 4*INT((ROW()-11)/4)):INDEX(F:F, 14 + 4*INT((ROW()-11)/4)),"Zoning: Tree Points")&gt;0,
        COUNTIFS('Tree List'!$C$3:$C$601,$C13,'Tree List'!$H$3:$H$601,"sp.")=0
    ),
    VLOOKUP($C13,'Tree List'!$C$3:$F$601,4,FALSE),
    ""
),
"")</f>
        <v/>
      </c>
      <c r="L13" s="443" t="str" cm="1">
        <f t="array" ref="L13">IFERROR(
IF(
    AND(
        COUNTIF(INDEX(F:F, 11 + 4*INT((ROW()-11)/4)):INDEX(F:F, 14 + 4*INT((ROW()-11)/4)),"Zoning: Tree Points")&gt;0,
        COUNTIFS('Tree List'!$C$3:$C$601,$C13,'Tree List'!$H$3:$H$601,"sp.")&gt;0
    ),
    "",
    _xlfn.IFS(
        (COUNTIFS('Tree List'!$C$3:$C$601,$C13,'Tree List'!$D$3:$D$601,"Coniferous")
        + COUNTIFS('Tree List'!$C$3:$C$601,$C13,'Tree List'!$D$3:$D$601,"Deciduous Conifer")) &gt; 0,
            _xlfn.IFS($K13="Small",1.25,$K13="Small/Medium",2.5,$K13="Medium/Large",3.75,$K13="Large",5),
        (COUNTIFS('Tree List'!$C$3:$C$601,$C13,'Tree List'!$D$3:$D$601,"Deciduous")
        + COUNTIFS('Tree List'!$C$3:$C$601,$C13,'Tree List'!$D$3:$D$601,"Broadleaf Evergreen")) &gt; 0,
            _xlfn.IFS($K13="Small",1,$K13="Small/Medium",2,$K13="Medium/Large",3,$K13="Large",4)
    )
),
"")</f>
        <v/>
      </c>
      <c r="M13" s="472"/>
      <c r="N13" s="434"/>
      <c r="O13" s="340" t="str" cm="1">
        <f t="array" aca="1" ref="O13"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List'!$C$3:$C$601,$C13,'Tree List'!$D$3:$D$601,{"Deciduous","Broadleaf Evergreen"})),
_xlpm.Coniferous,SUM(COUNTIFS('Tree List'!$C$3:$C$601,$C13,'Tree List'!$D$3:$D$601,{"Coniferous","Deciduous Conifer"})),
IFERROR(
IF(AND(_xlpm.baseRow,ISNA(MATCH($C13,'Tree List'!$C$3:$C$601,0)),SUMPRODUCT(--ISNUMBER(SEARCH(Tables2!$C$677:$C$825,$P13)))&gt;0),
Error!$B$64,
IF(AND(_xlpm.baseRow,COUNTIF(_xlpm.FRange,"ECA / Shoreline")&gt;0,$D13&lt;&gt;"",$E13&lt;&gt;"",$N13=""),
Error!$B$55,
IF(AND(_xlpm.baseRow,$D13&lt;&gt;"",$E13&lt;&gt;"",COUNTBLANK($B13:$C13)&gt;0,COUNTBLANK($F13:$F16)&lt;&gt;4),
Error!$B$22,
IF(AND(_xlpm.baseRow,$D13="Right-of-Way", $E13=""),
Error!$B$67,
IF(AND(_xlpm.baseRow,$D13&lt;&gt;"",ISNA(MATCH($D13,Tables2!$B$66:$B$68,0))),
Error!$B$63,
IF(AND(_xlpm.baseRow,$D13="Off Site",$E13&lt;&gt;"",$E13&lt;&gt;"Yes"),
Error!$B$28,
IF(AND(_xlpm.baseRow,OR($D13="On Site",$D13="Right-of-Way"),$E13&lt;&gt;"",ISNA(MATCH($E13,MultiSelect2[TreeMitigation],0))),
Error!$B$28,
IF(AND(_xlpm.baseRow,$D13&lt;&gt;"",$E13&lt;&gt;"",COUNTIF(_xlpm.FRange,"&lt;&gt;")=0),
Error!$B$26,
IF(AND($E13="No",$F13&lt;&gt;"",ISNA(MATCH($F13,Tables2!$B$55:$B$57,0))),
Error!$B$27,
IF(AND($E13="Yes",$F13&lt;&gt;"",ISNA(MATCH($F13,Tables2!$B$48:$B$52,0))),
Error!$B$27,
IF(AND($D13="Off Site",$E13="Yes",$F13&lt;&gt;"",ISNA(MATCH($F13,Tables2!$B$60:$B$62,0))),
Error!$B$27,
IF(AND(_xlpm.baseRow,_xlpm.Street&gt;0,_xlpm.ECA&gt;0),
Error!$B$29,
IF(AND(_xlpm.baseRow,_xlpm.Street&gt;0,_xlpm.Points&gt;0),
Error!$B$30,
IF(AND(_xlpm.baseRow,_xlpm.Street&gt;0,_xlpm.ReplaceReq&gt;0),
Error!$B$31,
IF(AND(_xlpm.baseRow,$D13&lt;&gt;"",$E13&lt;&gt;"",$G13&lt;&gt;"",_xlpm.DecBroad&gt;0,OR(_xlpm.Points&gt;0,_xlpm.Green&gt;0,_xlpm.ReplaceReq&gt;0),_xlpm.Street=0,$G13&lt;1.5),
Error!$B$42,
IF(AND(_xlpm.baseRow,$D13&lt;&gt;"",$E13&lt;&gt;"",$H13&lt;&gt;"",$H13&lt;4,_xlpm.Street&gt;0,_xlpm.Green&gt;0,COUNTA(_xlpm.FRange)&gt;0),
Error!$B$32,
IF(AND(_xlpm.baseRow,$G13="",_xlpm.ECA&gt;0,_xlpm.DecBroad&gt;0,_xlpm.ReplaceReq&gt;0),
Error!$B$52,
IF(AND(_xlpm.baseRow,$E13&lt;&gt;"", $H13="",_xlpm.ECA&gt;0,_xlpm.Coniferous&gt;0,_xlpm.ReplaceReq&gt;0),
Error!$B$53,
IF(AND(_xlpm.baseRow,$G13="",$H13="",_xlpm.ECA&gt;0,_xlpm.ReplaceReq&gt;0),
Error!$B$39,
IF(AND(_xlpm.baseRow,$D13&lt;&gt;"",$E13&lt;&gt;"",$G13="",$H13="",_xlpm.Coniferous&gt;0,_xlpm.ReplaceReq&gt;0,_xlpm.ECA&gt;0),
Error!$B$50,
IF(AND(_xlpm.baseRow,$D13&lt;&gt;"",$E13&lt;&gt;"",$G13&lt;&gt;"",_xlpm.Street&gt;0,$G13&lt;2),
Error!$B$43,
IF(AND(_xlpm.baseRow,$D13&lt;&gt;"",$E13&lt;&gt;"",_xlpm.Green&gt;0,_xlpm.DecBroad&gt;0,$G13=""),
Error!$B$49,
IF(AND(_xlpm.baseRow,$D13&lt;&gt;"",$E13&lt;&gt;"",$H13&lt;&gt;"",$H13&lt;4,_xlpm.Green&gt;0,_xlpm.DecBroad&gt;0,$G13=""),
Error!$B$51,
IF(AND(_xlpm.baseRow,$D13&lt;&gt;"",$E13&lt;&gt;"",_xlpm.Green&gt;0,_xlpm.Coniferous&gt;0,$H13=""),
Error!$B$50,
IF(AND(_xlpm.baseRow,$D13&lt;&gt;"",$E13&lt;&gt;"",_xlpm.Points&gt;0,_xlpm.DecBroad&gt;0,$G13=""),
Error!$B$49,
IF(AND(_xlpm.baseRow,$D13&lt;&gt;"",$E13&lt;&gt;"",_xlpm.Points&gt;0,_xlpm.Coniferous&gt;0,$H13=""),
Error!$B$50,
IF(AND(_xlpm.baseRow,$D13&lt;&gt;"",$E13&lt;&gt;"",_xlpm.ReplaceReq&gt;0,_xlpm.DecBroad&gt;0,$G13=""),
Error!$B$49,
IF(AND(_xlpm.baseRow,$D13&lt;&gt;"",$E13&lt;&gt;"",_xlpm.ReplaceReq&gt;0,_xlpm.Coniferous&gt;0,$H13=""),
Error!$B$50,
IF(AND(_xlpm.baseRow,$D13&lt;&gt;"",$E13&lt;&gt;"",_xlpm.Street&gt;0,$G13=""),
Error!$B$49,
IF(AND(_xlpm.baseRow,$D13&lt;&gt;"",$E13&lt;&gt;"",$H13&lt;&gt;"",$H13&lt;4,OR(ISNA(MATCH($C13,'Tree List'!$C$3:$C$601,0)),$C13=""),_xlpm.Green&gt;0,COUNTA(_xlpm.FRange)&gt;0),
Error!$B$51,
IF(AND(_xlpm.baseRow,$D13&lt;&gt;"",$E13&lt;&gt;"",$H13&lt;&gt;"",$H13&lt;4,_xlpm.DecBroad&gt;0,_xlpm.Green&gt;0,COUNTA(_xlpm.FRange)&gt;0),
Error!$B$51,
IF(AND(_xlpm.baseRow,$D13&lt;&gt;"",$E13&lt;&gt;"",$G13="",$H13="",OR(_xlpm.ReplaceReq&gt;0,_xlpm.Green&gt;0,_xlpm.Points&gt;0,_xlpm.Street&gt;0)),
Error!$B$38,
IF(AND(_xlpm.baseRow,$D13&lt;&gt;"",$E13&lt;&gt;"",$H13&lt;&gt;"",$H13&lt;4,_xlpm.Street=0,_xlpm.Coniferous&gt;0,COUNTA(_xlpm.FRange)&gt;0),
Error!$B$32,
IF(AND(_xlpm.baseRow,_xlpm.DecBroad&gt;0,$D13&lt;&gt;"",$E13&lt;&gt;"",$G13&lt;&gt;"",$G13&lt;1.5,_xlpm.Street=0,COUNTA(_xlpm.FRange)&gt;0),
Error!$B$42,
IF(AND(_xlpm.baseRow,$I13="",$H13="",_xlpm.ECA&gt;0,_xlpm.ReplaceReq=0),
Error!$B$33,
IF(AND(_xlpm.baseRow,OR($J13="",$J13&lt;=0),_xlpm.ReplaceReq&gt;0),
Error!$B$34,
IF(AND(_xlpm.baseRow,$K13&lt;&gt;"",_xlpm.Points&gt;0,ISNA(MATCH($K13,Tables!$B$242:$B$253,0))),
Error!$B$58,
IF(AND($K13="Small",$L13&lt;&gt;"",ISNA(MATCH($L13,Tables2!$C$35:$C$36,0))),
Error!$B$60,
IF(AND($K13="Small/Medium",$L13&lt;&gt;"",ISNA(MATCH($L13,Tables2!$C$38:$C$39,0))),
Error!$B$60,
IF(AND($K13="Medium/Large",$L13&lt;&gt;"",ISNA(MATCH($L13,Tables2!$C$41:$C$42,0))),
Error!$B$60,
IF(AND($K13="Large",$L13&lt;&gt;"",ISNA(MATCH($L13,Tables2!$C$44:$C$45,0))),
Error!$B$60,
IF(AND(_xlpm.baseRow,$B13&lt;&gt;"", $C13&lt;&gt;"", $D13&lt;&gt;"", $E13&lt;&gt;"", OR($M13="",$K13="",$L13=""),_xlpm.Points&gt;0),
Error!$B$35,
IF(AND(_xlpm.baseRow,$D13&lt;&gt;"",$E13&lt;&gt;"",$N13=""),
Error!$B$36,
""))))))))))))))))))))))))))))))))))))))))))),Error!$B$37))</f>
        <v/>
      </c>
      <c r="P13" s="355" t="str" cm="1">
        <f t="array" aca="1" ref="P13" ca="1">IFERROR(_xlfn.LET(
    _xlpm.txt, $C13,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4" spans="1:16" ht="15" thickBot="1" x14ac:dyDescent="0.35">
      <c r="A14" s="92"/>
      <c r="B14" s="439" t="str">
        <f>IF($B11="", "", $B11)</f>
        <v/>
      </c>
      <c r="C14" s="310"/>
      <c r="D14" s="439" t="str">
        <f>IF($D11="", "", $D11)</f>
        <v/>
      </c>
      <c r="E14" s="439" t="str">
        <f>IF($E11="", "", $E11)</f>
        <v/>
      </c>
      <c r="F14" s="300"/>
      <c r="G14" s="161"/>
      <c r="H14" s="183"/>
      <c r="I14" s="180"/>
      <c r="J14" s="460"/>
      <c r="K14" s="176" t="str">
        <f>IFERROR(
IF(
    AND(
        MOD(ROW()-11,4)=0,
        COUNTIF(INDEX(F:F, 11 + 4*INT((ROW()-11)/4)):INDEX(F:F, 14 + 4*INT((ROW()-11)/4)),"Zoning: Tree Points")&gt;0,
        COUNTIFS('Tree List'!$C$3:$C$601,$C14,'Tree List'!$H$3:$H$601,"sp.")=0
    ),
    VLOOKUP($C14,'Tree List'!$C$3:$F$601,4,FALSE),
    ""
),
"")</f>
        <v/>
      </c>
      <c r="L14" s="177" t="str" cm="1">
        <f t="array" ref="L14">IFERROR(
IF(
    AND(
        COUNTIF(INDEX(F:F, 11 + 4*INT((ROW()-11)/4)):INDEX(F:F, 14 + 4*INT((ROW()-11)/4)),"Zoning: Tree Points")&gt;0,
        COUNTIFS('Tree List'!$C$3:$C$601,$C14,'Tree List'!$H$3:$H$601,"sp.")&gt;0
    ),
    "",
    _xlfn.IFS(
        (COUNTIFS('Tree List'!$C$3:$C$601,$C14,'Tree List'!$D$3:$D$601,"Coniferous")
        + COUNTIFS('Tree List'!$C$3:$C$601,$C14,'Tree List'!$D$3:$D$601,"Deciduous Conifer")) &gt; 0,
            _xlfn.IFS($K14="Small",1.25,$K14="Small/Medium",2.5,$K14="Medium/Large",3.75,$K14="Large",5),
        (COUNTIFS('Tree List'!$C$3:$C$601,$C14,'Tree List'!$D$3:$D$601,"Deciduous")
        + COUNTIFS('Tree List'!$C$3:$C$601,$C14,'Tree List'!$D$3:$D$601,"Broadleaf Evergreen")) &gt; 0,
            _xlfn.IFS($K14="Small",1,$K14="Small/Medium",2,$K14="Medium/Large",3,$K14="Large",4)
    )
),
"")</f>
        <v/>
      </c>
      <c r="M14" s="473"/>
      <c r="N14" s="434"/>
      <c r="O14" s="341" t="str" cm="1">
        <f t="array" aca="1" ref="O14"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List'!$C$3:$C$601,$C14,'Tree List'!$D$3:$D$601,{"Deciduous","Broadleaf Evergreen"})),
_xlpm.Coniferous,SUM(COUNTIFS('Tree List'!$C$3:$C$601,$C14,'Tree List'!$D$3:$D$601,{"Coniferous","Deciduous Conifer"})),
IFERROR(
IF(AND(_xlpm.baseRow,ISNA(MATCH($C14,'Tree List'!$C$3:$C$601,0)),SUMPRODUCT(--ISNUMBER(SEARCH(Tables2!$C$677:$C$825,$P14)))&gt;0),
Error!$B$64,
IF(AND(_xlpm.baseRow,COUNTIF(_xlpm.FRange,"ECA / Shoreline")&gt;0,$D14&lt;&gt;"",$E14&lt;&gt;"",$N14=""),
Error!$B$55,
IF(AND(_xlpm.baseRow,$D14&lt;&gt;"",$E14&lt;&gt;"",COUNTBLANK($B14:$C14)&gt;0,COUNTBLANK($F14:$F17)&lt;&gt;4),
Error!$B$22,
IF(AND(_xlpm.baseRow,$D14="Right-of-Way", $E14=""),
Error!$B$67,
IF(AND(_xlpm.baseRow,$D14&lt;&gt;"",ISNA(MATCH($D14,Tables2!$B$66:$B$68,0))),
Error!$B$63,
IF(AND(_xlpm.baseRow,$D14="Off Site",$E14&lt;&gt;"",$E14&lt;&gt;"Yes"),
Error!$B$28,
IF(AND(_xlpm.baseRow,OR($D14="On Site",$D14="Right-of-Way"),$E14&lt;&gt;"",ISNA(MATCH($E14,MultiSelect2[TreeMitigation],0))),
Error!$B$28,
IF(AND(_xlpm.baseRow,$D14&lt;&gt;"",$E14&lt;&gt;"",COUNTIF(_xlpm.FRange,"&lt;&gt;")=0),
Error!$B$26,
IF(AND($E14="No",$F14&lt;&gt;"",ISNA(MATCH($F14,Tables2!$B$55:$B$57,0))),
Error!$B$27,
IF(AND($E14="Yes",$F14&lt;&gt;"",ISNA(MATCH($F14,Tables2!$B$48:$B$52,0))),
Error!$B$27,
IF(AND($D14="Off Site",$E14="Yes",$F14&lt;&gt;"",ISNA(MATCH($F14,Tables2!$B$60:$B$62,0))),
Error!$B$27,
IF(AND(_xlpm.baseRow,_xlpm.Street&gt;0,_xlpm.ECA&gt;0),
Error!$B$29,
IF(AND(_xlpm.baseRow,_xlpm.Street&gt;0,_xlpm.Points&gt;0),
Error!$B$30,
IF(AND(_xlpm.baseRow,_xlpm.Street&gt;0,_xlpm.ReplaceReq&gt;0),
Error!$B$31,
IF(AND(_xlpm.baseRow,$D14&lt;&gt;"",$E14&lt;&gt;"",$G14&lt;&gt;"",_xlpm.DecBroad&gt;0,OR(_xlpm.Points&gt;0,_xlpm.Green&gt;0,_xlpm.ReplaceReq&gt;0),_xlpm.Street=0,$G14&lt;1.5),
Error!$B$42,
IF(AND(_xlpm.baseRow,$D14&lt;&gt;"",$E14&lt;&gt;"",$H14&lt;&gt;"",$H14&lt;4,_xlpm.Street&gt;0,_xlpm.Green&gt;0,COUNTA(_xlpm.FRange)&gt;0),
Error!$B$32,
IF(AND(_xlpm.baseRow,$G14="",_xlpm.ECA&gt;0,_xlpm.DecBroad&gt;0,_xlpm.ReplaceReq&gt;0),
Error!$B$52,
IF(AND(_xlpm.baseRow,$E14&lt;&gt;"", $H14="",_xlpm.ECA&gt;0,_xlpm.Coniferous&gt;0,_xlpm.ReplaceReq&gt;0),
Error!$B$53,
IF(AND(_xlpm.baseRow,$G14="",$H14="",_xlpm.ECA&gt;0,_xlpm.ReplaceReq&gt;0),
Error!$B$39,
IF(AND(_xlpm.baseRow,$D14&lt;&gt;"",$E14&lt;&gt;"",$G14="",$H14="",_xlpm.Coniferous&gt;0,_xlpm.ReplaceReq&gt;0,_xlpm.ECA&gt;0),
Error!$B$50,
IF(AND(_xlpm.baseRow,$D14&lt;&gt;"",$E14&lt;&gt;"",$G14&lt;&gt;"",_xlpm.Street&gt;0,$G14&lt;2),
Error!$B$43,
IF(AND(_xlpm.baseRow,$D14&lt;&gt;"",$E14&lt;&gt;"",_xlpm.Green&gt;0,_xlpm.DecBroad&gt;0,$G14=""),
Error!$B$49,
IF(AND(_xlpm.baseRow,$D14&lt;&gt;"",$E14&lt;&gt;"",$H14&lt;&gt;"",$H14&lt;4,_xlpm.Green&gt;0,_xlpm.DecBroad&gt;0,$G14=""),
Error!$B$51,
IF(AND(_xlpm.baseRow,$D14&lt;&gt;"",$E14&lt;&gt;"",_xlpm.Green&gt;0,_xlpm.Coniferous&gt;0,$H14=""),
Error!$B$50,
IF(AND(_xlpm.baseRow,$D14&lt;&gt;"",$E14&lt;&gt;"",_xlpm.Points&gt;0,_xlpm.DecBroad&gt;0,$G14=""),
Error!$B$49,
IF(AND(_xlpm.baseRow,$D14&lt;&gt;"",$E14&lt;&gt;"",_xlpm.Points&gt;0,_xlpm.Coniferous&gt;0,$H14=""),
Error!$B$50,
IF(AND(_xlpm.baseRow,$D14&lt;&gt;"",$E14&lt;&gt;"",_xlpm.ReplaceReq&gt;0,_xlpm.DecBroad&gt;0,$G14=""),
Error!$B$49,
IF(AND(_xlpm.baseRow,$D14&lt;&gt;"",$E14&lt;&gt;"",_xlpm.ReplaceReq&gt;0,_xlpm.Coniferous&gt;0,$H14=""),
Error!$B$50,
IF(AND(_xlpm.baseRow,$D14&lt;&gt;"",$E14&lt;&gt;"",_xlpm.Street&gt;0,$G14=""),
Error!$B$49,
IF(AND(_xlpm.baseRow,$D14&lt;&gt;"",$E14&lt;&gt;"",$H14&lt;&gt;"",$H14&lt;4,OR(ISNA(MATCH($C14,'Tree List'!$C$3:$C$601,0)),$C14=""),_xlpm.Green&gt;0,COUNTA(_xlpm.FRange)&gt;0),
Error!$B$51,
IF(AND(_xlpm.baseRow,$D14&lt;&gt;"",$E14&lt;&gt;"",$H14&lt;&gt;"",$H14&lt;4,_xlpm.DecBroad&gt;0,_xlpm.Green&gt;0,COUNTA(_xlpm.FRange)&gt;0),
Error!$B$51,
IF(AND(_xlpm.baseRow,$D14&lt;&gt;"",$E14&lt;&gt;"",$G14="",$H14="",OR(_xlpm.ReplaceReq&gt;0,_xlpm.Green&gt;0,_xlpm.Points&gt;0,_xlpm.Street&gt;0)),
Error!$B$38,
IF(AND(_xlpm.baseRow,$D14&lt;&gt;"",$E14&lt;&gt;"",$H14&lt;&gt;"",$H14&lt;4,_xlpm.Street=0,_xlpm.Coniferous&gt;0,COUNTA(_xlpm.FRange)&gt;0),
Error!$B$32,
IF(AND(_xlpm.baseRow,_xlpm.DecBroad&gt;0,$D14&lt;&gt;"",$E14&lt;&gt;"",$G14&lt;&gt;"",$G14&lt;1.5,_xlpm.Street=0,COUNTA(_xlpm.FRange)&gt;0),
Error!$B$42,
IF(AND(_xlpm.baseRow,$I14="",$H14="",_xlpm.ECA&gt;0,_xlpm.ReplaceReq=0),
Error!$B$33,
IF(AND(_xlpm.baseRow,OR($J14="",$J14&lt;=0),_xlpm.ReplaceReq&gt;0),
Error!$B$34,
IF(AND(_xlpm.baseRow,$K14&lt;&gt;"",_xlpm.Points&gt;0,ISNA(MATCH($K14,Tables!$B$242:$B$253,0))),
Error!$B$58,
IF(AND($K14="Small",$L14&lt;&gt;"",ISNA(MATCH($L14,Tables2!$C$35:$C$36,0))),
Error!$B$60,
IF(AND($K14="Small/Medium",$L14&lt;&gt;"",ISNA(MATCH($L14,Tables2!$C$38:$C$39,0))),
Error!$B$60,
IF(AND($K14="Medium/Large",$L14&lt;&gt;"",ISNA(MATCH($L14,Tables2!$C$41:$C$42,0))),
Error!$B$60,
IF(AND($K14="Large",$L14&lt;&gt;"",ISNA(MATCH($L14,Tables2!$C$44:$C$45,0))),
Error!$B$60,
IF(AND(_xlpm.baseRow,$B14&lt;&gt;"", $C14&lt;&gt;"", $D14&lt;&gt;"", $E14&lt;&gt;"", OR($M14="",$K14="",$L14=""),_xlpm.Points&gt;0),
Error!$B$35,
IF(AND(_xlpm.baseRow,$D14&lt;&gt;"",$E14&lt;&gt;"",$N14=""),
Error!$B$36,
""))))))))))))))))))))))))))))))))))))))))))),Error!$B$37))</f>
        <v/>
      </c>
      <c r="P14" s="355" t="str" cm="1">
        <f t="array" aca="1" ref="P14" ca="1">IFERROR(_xlfn.LET(
    _xlpm.txt, $C14,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5" spans="1:16" ht="15" thickBot="1" x14ac:dyDescent="0.35">
      <c r="A15" s="437">
        <v>2</v>
      </c>
      <c r="B15" s="445"/>
      <c r="C15" s="444"/>
      <c r="D15" s="294"/>
      <c r="E15" s="294"/>
      <c r="F15" s="299"/>
      <c r="G15" s="158"/>
      <c r="H15" s="181"/>
      <c r="I15" s="178"/>
      <c r="J15" s="457"/>
      <c r="K15" s="172" t="str">
        <f>IFERROR(
IF(
    AND(
        MOD(ROW()-11,4)=0,
        COUNTIF(INDEX(F:F, 11 + 4*INT((ROW()-11)/4)):INDEX(F:F, 14 + 4*INT((ROW()-11)/4)),"Zoning: Tree Points")&gt;0,
        COUNTIFS('Tree List'!$C$3:$C$601,$C15,'Tree List'!$H$3:$H$601,"sp.")=0
    ),
    VLOOKUP($C15,'Tree List'!$C$3:$F$601,4,FALSE),
    ""
),
"")</f>
        <v/>
      </c>
      <c r="L15" s="173" t="str" cm="1">
        <f t="array" ref="L15">IFERROR(
IF(
    AND(
        COUNTIF(INDEX(F:F, 11 + 4*INT((ROW()-11)/4)):INDEX(F:F, 14 + 4*INT((ROW()-11)/4)),"Zoning: Tree Points")&gt;0,
        COUNTIFS('Tree List'!$C$3:$C$601,$C15,'Tree List'!$H$3:$H$601,"sp.")&gt;0
    ),
    "",
    _xlfn.IFS(
        (COUNTIFS('Tree List'!$C$3:$C$601,$C15,'Tree List'!$D$3:$D$601,"Coniferous")
        + COUNTIFS('Tree List'!$C$3:$C$601,$C15,'Tree List'!$D$3:$D$601,"Deciduous Conifer")) &gt; 0,
            _xlfn.IFS($K15="Small",1.25,$K15="Small/Medium",2.5,$K15="Medium/Large",3.75,$K15="Large",5),
        (COUNTIFS('Tree List'!$C$3:$C$601,$C15,'Tree List'!$D$3:$D$601,"Deciduous")
        + COUNTIFS('Tree List'!$C$3:$C$601,$C15,'Tree List'!$D$3:$D$601,"Broadleaf Evergreen")) &gt; 0,
            _xlfn.IFS($K15="Small",1,$K15="Small/Medium",2,$K15="Medium/Large",3,$K15="Large",4)
    )
),
"")</f>
        <v/>
      </c>
      <c r="M15" s="470" t="str">
        <f t="shared" ref="M15:M55" si="0">IFERROR($L15*$N15,"")</f>
        <v/>
      </c>
      <c r="N15" s="744"/>
      <c r="O15" s="737" t="str" cm="1">
        <f t="array" aca="1" ref="O15"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List'!$C$3:$C$601,$C15,'Tree List'!$D$3:$D$601,{"Deciduous","Broadleaf Evergreen"})),
_xlpm.Coniferous,SUM(COUNTIFS('Tree List'!$C$3:$C$601,$C15,'Tree List'!$D$3:$D$601,{"Coniferous","Deciduous Conifer"})),
IFERROR(
IF(AND(_xlpm.baseRow,ISNA(MATCH($C15,'Tree List'!$C$3:$C$601,0)),SUMPRODUCT(--ISNUMBER(SEARCH(Tables2!$C$677:$C$825,$P15)))&gt;0),
Error!$B$64,
IF(AND(_xlpm.baseRow,COUNTIF(_xlpm.FRange,"ECA / Shoreline")&gt;0,$D15&lt;&gt;"",$E15&lt;&gt;"",$N15=""),
Error!$B$55,
IF(AND(_xlpm.baseRow,$D15&lt;&gt;"",$E15&lt;&gt;"",COUNTBLANK($B15:$C15)&gt;0,COUNTBLANK($F15:$F18)&lt;&gt;4),
Error!$B$22,
IF(AND(_xlpm.baseRow,$D15="Right-of-Way", $E15=""),
Error!$B$67,
IF(AND(_xlpm.baseRow,$D15&lt;&gt;"",ISNA(MATCH($D15,Tables2!$B$66:$B$68,0))),
Error!$B$63,
IF(AND(_xlpm.baseRow,$D15="Off Site",$E15&lt;&gt;"",$E15&lt;&gt;"Yes"),
Error!$B$28,
IF(AND(_xlpm.baseRow,OR($D15="On Site",$D15="Right-of-Way"),$E15&lt;&gt;"",ISNA(MATCH($E15,MultiSelect2[TreeMitigation],0))),
Error!$B$28,
IF(AND(_xlpm.baseRow,$D15&lt;&gt;"",$E15&lt;&gt;"",COUNTIF(_xlpm.FRange,"&lt;&gt;")=0),
Error!$B$26,
IF(AND($E15="No",$F15&lt;&gt;"",ISNA(MATCH($F15,Tables2!$B$55:$B$57,0))),
Error!$B$27,
IF(AND($E15="Yes",$F15&lt;&gt;"",ISNA(MATCH($F15,Tables2!$B$48:$B$52,0))),
Error!$B$27,
IF(AND($D15="Off Site",$E15="Yes",$F15&lt;&gt;"",ISNA(MATCH($F15,Tables2!$B$60:$B$62,0))),
Error!$B$27,
IF(AND(_xlpm.baseRow,_xlpm.Street&gt;0,_xlpm.ECA&gt;0),
Error!$B$29,
IF(AND(_xlpm.baseRow,_xlpm.Street&gt;0,_xlpm.Points&gt;0),
Error!$B$30,
IF(AND(_xlpm.baseRow,_xlpm.Street&gt;0,_xlpm.ReplaceReq&gt;0),
Error!$B$31,
IF(AND(_xlpm.baseRow,$D15&lt;&gt;"",$E15&lt;&gt;"",$G15&lt;&gt;"",_xlpm.DecBroad&gt;0,OR(_xlpm.Points&gt;0,_xlpm.Green&gt;0,_xlpm.ReplaceReq&gt;0),_xlpm.Street=0,$G15&lt;1.5),
Error!$B$42,
IF(AND(_xlpm.baseRow,$D15&lt;&gt;"",$E15&lt;&gt;"",$H15&lt;&gt;"",$H15&lt;4,_xlpm.Street&gt;0,_xlpm.Green&gt;0,COUNTA(_xlpm.FRange)&gt;0),
Error!$B$32,
IF(AND(_xlpm.baseRow,$G15="",_xlpm.ECA&gt;0,_xlpm.DecBroad&gt;0,_xlpm.ReplaceReq&gt;0),
Error!$B$52,
IF(AND(_xlpm.baseRow,$E15&lt;&gt;"", $H15="",_xlpm.ECA&gt;0,_xlpm.Coniferous&gt;0,_xlpm.ReplaceReq&gt;0),
Error!$B$53,
IF(AND(_xlpm.baseRow,$G15="",$H15="",_xlpm.ECA&gt;0,_xlpm.ReplaceReq&gt;0),
Error!$B$39,
IF(AND(_xlpm.baseRow,$D15&lt;&gt;"",$E15&lt;&gt;"",$G15="",$H15="",_xlpm.Coniferous&gt;0,_xlpm.ReplaceReq&gt;0,_xlpm.ECA&gt;0),
Error!$B$50,
IF(AND(_xlpm.baseRow,$D15&lt;&gt;"",$E15&lt;&gt;"",$G15&lt;&gt;"",_xlpm.Street&gt;0,$G15&lt;2),
Error!$B$43,
IF(AND(_xlpm.baseRow,$D15&lt;&gt;"",$E15&lt;&gt;"",_xlpm.Green&gt;0,_xlpm.DecBroad&gt;0,$G15=""),
Error!$B$49,
IF(AND(_xlpm.baseRow,$D15&lt;&gt;"",$E15&lt;&gt;"",$H15&lt;&gt;"",$H15&lt;4,_xlpm.Green&gt;0,_xlpm.DecBroad&gt;0,$G15=""),
Error!$B$51,
IF(AND(_xlpm.baseRow,$D15&lt;&gt;"",$E15&lt;&gt;"",_xlpm.Green&gt;0,_xlpm.Coniferous&gt;0,$H15=""),
Error!$B$50,
IF(AND(_xlpm.baseRow,$D15&lt;&gt;"",$E15&lt;&gt;"",_xlpm.Points&gt;0,_xlpm.DecBroad&gt;0,$G15=""),
Error!$B$49,
IF(AND(_xlpm.baseRow,$D15&lt;&gt;"",$E15&lt;&gt;"",_xlpm.Points&gt;0,_xlpm.Coniferous&gt;0,$H15=""),
Error!$B$50,
IF(AND(_xlpm.baseRow,$D15&lt;&gt;"",$E15&lt;&gt;"",_xlpm.ReplaceReq&gt;0,_xlpm.DecBroad&gt;0,$G15=""),
Error!$B$49,
IF(AND(_xlpm.baseRow,$D15&lt;&gt;"",$E15&lt;&gt;"",_xlpm.ReplaceReq&gt;0,_xlpm.Coniferous&gt;0,$H15=""),
Error!$B$50,
IF(AND(_xlpm.baseRow,$D15&lt;&gt;"",$E15&lt;&gt;"",_xlpm.Street&gt;0,$G15=""),
Error!$B$49,
IF(AND(_xlpm.baseRow,$D15&lt;&gt;"",$E15&lt;&gt;"",$H15&lt;&gt;"",$H15&lt;4,OR(ISNA(MATCH($C15,'Tree List'!$C$3:$C$601,0)),$C15=""),_xlpm.Green&gt;0,COUNTA(_xlpm.FRange)&gt;0),
Error!$B$51,
IF(AND(_xlpm.baseRow,$D15&lt;&gt;"",$E15&lt;&gt;"",$H15&lt;&gt;"",$H15&lt;4,_xlpm.DecBroad&gt;0,_xlpm.Green&gt;0,COUNTA(_xlpm.FRange)&gt;0),
Error!$B$51,
IF(AND(_xlpm.baseRow,$D15&lt;&gt;"",$E15&lt;&gt;"",$G15="",$H15="",OR(_xlpm.ReplaceReq&gt;0,_xlpm.Green&gt;0,_xlpm.Points&gt;0,_xlpm.Street&gt;0)),
Error!$B$38,
IF(AND(_xlpm.baseRow,$D15&lt;&gt;"",$E15&lt;&gt;"",$H15&lt;&gt;"",$H15&lt;4,_xlpm.Street=0,_xlpm.Coniferous&gt;0,COUNTA(_xlpm.FRange)&gt;0),
Error!$B$32,
IF(AND(_xlpm.baseRow,_xlpm.DecBroad&gt;0,$D15&lt;&gt;"",$E15&lt;&gt;"",$G15&lt;&gt;"",$G15&lt;1.5,_xlpm.Street=0,COUNTA(_xlpm.FRange)&gt;0),
Error!$B$42,
IF(AND(_xlpm.baseRow,$I15="",$H15="",_xlpm.ECA&gt;0,_xlpm.ReplaceReq=0),
Error!$B$33,
IF(AND(_xlpm.baseRow,OR($J15="",$J15&lt;=0),_xlpm.ReplaceReq&gt;0),
Error!$B$34,
IF(AND(_xlpm.baseRow,$K15&lt;&gt;"",_xlpm.Points&gt;0,ISNA(MATCH($K15,Tables!$B$242:$B$253,0))),
Error!$B$58,
IF(AND($K15="Small",$L15&lt;&gt;"",ISNA(MATCH($L15,Tables2!$C$35:$C$36,0))),
Error!$B$60,
IF(AND($K15="Small/Medium",$L15&lt;&gt;"",ISNA(MATCH($L15,Tables2!$C$38:$C$39,0))),
Error!$B$60,
IF(AND($K15="Medium/Large",$L15&lt;&gt;"",ISNA(MATCH($L15,Tables2!$C$41:$C$42,0))),
Error!$B$60,
IF(AND($K15="Large",$L15&lt;&gt;"",ISNA(MATCH($L15,Tables2!$C$44:$C$45,0))),
Error!$B$60,
IF(AND(_xlpm.baseRow,$B15&lt;&gt;"", $C15&lt;&gt;"", $D15&lt;&gt;"", $E15&lt;&gt;"", OR($M15="",$K15="",$L15=""),_xlpm.Points&gt;0),
Error!$B$35,
IF(AND(_xlpm.baseRow,$D15&lt;&gt;"",$E15&lt;&gt;"",$N15=""),
Error!$B$36,
""))))))))))))))))))))))))))))))))))))))))))),Error!$B$37))</f>
        <v/>
      </c>
      <c r="P15" s="355" t="str" cm="1">
        <f t="array" aca="1" ref="P15" ca="1">IFERROR(_xlfn.LET(
    _xlpm.txt, $C15,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6" spans="1:16" x14ac:dyDescent="0.3">
      <c r="A16" s="92"/>
      <c r="B16" s="439" t="str">
        <f>IF($B15="", "", $B15)</f>
        <v/>
      </c>
      <c r="C16" s="309"/>
      <c r="D16" s="157" t="str">
        <f>IF($D15="", "", $D15)</f>
        <v/>
      </c>
      <c r="E16" s="157" t="str">
        <f>IF($E15="", "", $E15)</f>
        <v/>
      </c>
      <c r="F16" s="300"/>
      <c r="G16" s="159"/>
      <c r="H16" s="182"/>
      <c r="I16" s="179"/>
      <c r="J16" s="458"/>
      <c r="K16" s="174" t="str">
        <f>IFERROR(
IF(
    AND(
        MOD(ROW()-11,4)=0,
        COUNTIF(INDEX(F:F, 11 + 4*INT((ROW()-11)/4)):INDEX(F:F, 14 + 4*INT((ROW()-11)/4)),"Zoning: Tree Points")&gt;0,
        COUNTIFS('Tree List'!$C$3:$C$601,$C16,'Tree List'!$H$3:$H$601,"sp.")=0
    ),
    VLOOKUP($C16,'Tree List'!$C$3:$F$601,4,FALSE),
    ""
),
"")</f>
        <v/>
      </c>
      <c r="L16" s="175" t="str" cm="1">
        <f t="array" ref="L16">IFERROR(
IF(
    AND(
        COUNTIF(INDEX(F:F, 11 + 4*INT((ROW()-11)/4)):INDEX(F:F, 14 + 4*INT((ROW()-11)/4)),"Zoning: Tree Points")&gt;0,
        COUNTIFS('Tree List'!$C$3:$C$601,$C16,'Tree List'!$H$3:$H$601,"sp.")&gt;0
    ),
    "",
    _xlfn.IFS(
        (COUNTIFS('Tree List'!$C$3:$C$601,$C16,'Tree List'!$D$3:$D$601,"Coniferous")
        + COUNTIFS('Tree List'!$C$3:$C$601,$C16,'Tree List'!$D$3:$D$601,"Deciduous Conifer")) &gt; 0,
            _xlfn.IFS($K16="Small",1.25,$K16="Small/Medium",2.5,$K16="Medium/Large",3.75,$K16="Large",5),
        (COUNTIFS('Tree List'!$C$3:$C$601,$C16,'Tree List'!$D$3:$D$601,"Deciduous")
        + COUNTIFS('Tree List'!$C$3:$C$601,$C16,'Tree List'!$D$3:$D$601,"Broadleaf Evergreen")) &gt; 0,
            _xlfn.IFS($K16="Small",1,$K16="Small/Medium",2,$K16="Medium/Large",3,$K16="Large",4)
    )
),
"")</f>
        <v/>
      </c>
      <c r="M16" s="471"/>
      <c r="N16" s="434"/>
      <c r="O16" s="340" t="str" cm="1">
        <f t="array" aca="1" ref="O16"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List'!$C$3:$C$601,$C16,'Tree List'!$D$3:$D$601,{"Deciduous","Broadleaf Evergreen"})),
_xlpm.Coniferous,SUM(COUNTIFS('Tree List'!$C$3:$C$601,$C16,'Tree List'!$D$3:$D$601,{"Coniferous","Deciduous Conifer"})),
IFERROR(
IF(AND(_xlpm.baseRow,ISNA(MATCH($C16,'Tree List'!$C$3:$C$601,0)),SUMPRODUCT(--ISNUMBER(SEARCH(Tables2!$C$677:$C$825,$P16)))&gt;0),
Error!$B$64,
IF(AND(_xlpm.baseRow,COUNTIF(_xlpm.FRange,"ECA / Shoreline")&gt;0,$D16&lt;&gt;"",$E16&lt;&gt;"",$N16=""),
Error!$B$55,
IF(AND(_xlpm.baseRow,$D16&lt;&gt;"",$E16&lt;&gt;"",COUNTBLANK($B16:$C16)&gt;0,COUNTBLANK($F16:$F19)&lt;&gt;4),
Error!$B$22,
IF(AND(_xlpm.baseRow,$D16="Right-of-Way", $E16=""),
Error!$B$67,
IF(AND(_xlpm.baseRow,$D16&lt;&gt;"",ISNA(MATCH($D16,Tables2!$B$66:$B$68,0))),
Error!$B$63,
IF(AND(_xlpm.baseRow,$D16="Off Site",$E16&lt;&gt;"",$E16&lt;&gt;"Yes"),
Error!$B$28,
IF(AND(_xlpm.baseRow,OR($D16="On Site",$D16="Right-of-Way"),$E16&lt;&gt;"",ISNA(MATCH($E16,MultiSelect2[TreeMitigation],0))),
Error!$B$28,
IF(AND(_xlpm.baseRow,$D16&lt;&gt;"",$E16&lt;&gt;"",COUNTIF(_xlpm.FRange,"&lt;&gt;")=0),
Error!$B$26,
IF(AND($E16="No",$F16&lt;&gt;"",ISNA(MATCH($F16,Tables2!$B$55:$B$57,0))),
Error!$B$27,
IF(AND($E16="Yes",$F16&lt;&gt;"",ISNA(MATCH($F16,Tables2!$B$48:$B$52,0))),
Error!$B$27,
IF(AND($D16="Off Site",$E16="Yes",$F16&lt;&gt;"",ISNA(MATCH($F16,Tables2!$B$60:$B$62,0))),
Error!$B$27,
IF(AND(_xlpm.baseRow,_xlpm.Street&gt;0,_xlpm.ECA&gt;0),
Error!$B$29,
IF(AND(_xlpm.baseRow,_xlpm.Street&gt;0,_xlpm.Points&gt;0),
Error!$B$30,
IF(AND(_xlpm.baseRow,_xlpm.Street&gt;0,_xlpm.ReplaceReq&gt;0),
Error!$B$31,
IF(AND(_xlpm.baseRow,$D16&lt;&gt;"",$E16&lt;&gt;"",$G16&lt;&gt;"",_xlpm.DecBroad&gt;0,OR(_xlpm.Points&gt;0,_xlpm.Green&gt;0,_xlpm.ReplaceReq&gt;0),_xlpm.Street=0,$G16&lt;1.5),
Error!$B$42,
IF(AND(_xlpm.baseRow,$D16&lt;&gt;"",$E16&lt;&gt;"",$H16&lt;&gt;"",$H16&lt;4,_xlpm.Street&gt;0,_xlpm.Green&gt;0,COUNTA(_xlpm.FRange)&gt;0),
Error!$B$32,
IF(AND(_xlpm.baseRow,$G16="",_xlpm.ECA&gt;0,_xlpm.DecBroad&gt;0,_xlpm.ReplaceReq&gt;0),
Error!$B$52,
IF(AND(_xlpm.baseRow,$E16&lt;&gt;"", $H16="",_xlpm.ECA&gt;0,_xlpm.Coniferous&gt;0,_xlpm.ReplaceReq&gt;0),
Error!$B$53,
IF(AND(_xlpm.baseRow,$G16="",$H16="",_xlpm.ECA&gt;0,_xlpm.ReplaceReq&gt;0),
Error!$B$39,
IF(AND(_xlpm.baseRow,$D16&lt;&gt;"",$E16&lt;&gt;"",$G16="",$H16="",_xlpm.Coniferous&gt;0,_xlpm.ReplaceReq&gt;0,_xlpm.ECA&gt;0),
Error!$B$50,
IF(AND(_xlpm.baseRow,$D16&lt;&gt;"",$E16&lt;&gt;"",$G16&lt;&gt;"",_xlpm.Street&gt;0,$G16&lt;2),
Error!$B$43,
IF(AND(_xlpm.baseRow,$D16&lt;&gt;"",$E16&lt;&gt;"",_xlpm.Green&gt;0,_xlpm.DecBroad&gt;0,$G16=""),
Error!$B$49,
IF(AND(_xlpm.baseRow,$D16&lt;&gt;"",$E16&lt;&gt;"",$H16&lt;&gt;"",$H16&lt;4,_xlpm.Green&gt;0,_xlpm.DecBroad&gt;0,$G16=""),
Error!$B$51,
IF(AND(_xlpm.baseRow,$D16&lt;&gt;"",$E16&lt;&gt;"",_xlpm.Green&gt;0,_xlpm.Coniferous&gt;0,$H16=""),
Error!$B$50,
IF(AND(_xlpm.baseRow,$D16&lt;&gt;"",$E16&lt;&gt;"",_xlpm.Points&gt;0,_xlpm.DecBroad&gt;0,$G16=""),
Error!$B$49,
IF(AND(_xlpm.baseRow,$D16&lt;&gt;"",$E16&lt;&gt;"",_xlpm.Points&gt;0,_xlpm.Coniferous&gt;0,$H16=""),
Error!$B$50,
IF(AND(_xlpm.baseRow,$D16&lt;&gt;"",$E16&lt;&gt;"",_xlpm.ReplaceReq&gt;0,_xlpm.DecBroad&gt;0,$G16=""),
Error!$B$49,
IF(AND(_xlpm.baseRow,$D16&lt;&gt;"",$E16&lt;&gt;"",_xlpm.ReplaceReq&gt;0,_xlpm.Coniferous&gt;0,$H16=""),
Error!$B$50,
IF(AND(_xlpm.baseRow,$D16&lt;&gt;"",$E16&lt;&gt;"",_xlpm.Street&gt;0,$G16=""),
Error!$B$49,
IF(AND(_xlpm.baseRow,$D16&lt;&gt;"",$E16&lt;&gt;"",$H16&lt;&gt;"",$H16&lt;4,OR(ISNA(MATCH($C16,'Tree List'!$C$3:$C$601,0)),$C16=""),_xlpm.Green&gt;0,COUNTA(_xlpm.FRange)&gt;0),
Error!$B$51,
IF(AND(_xlpm.baseRow,$D16&lt;&gt;"",$E16&lt;&gt;"",$H16&lt;&gt;"",$H16&lt;4,_xlpm.DecBroad&gt;0,_xlpm.Green&gt;0,COUNTA(_xlpm.FRange)&gt;0),
Error!$B$51,
IF(AND(_xlpm.baseRow,$D16&lt;&gt;"",$E16&lt;&gt;"",$G16="",$H16="",OR(_xlpm.ReplaceReq&gt;0,_xlpm.Green&gt;0,_xlpm.Points&gt;0,_xlpm.Street&gt;0)),
Error!$B$38,
IF(AND(_xlpm.baseRow,$D16&lt;&gt;"",$E16&lt;&gt;"",$H16&lt;&gt;"",$H16&lt;4,_xlpm.Street=0,_xlpm.Coniferous&gt;0,COUNTA(_xlpm.FRange)&gt;0),
Error!$B$32,
IF(AND(_xlpm.baseRow,_xlpm.DecBroad&gt;0,$D16&lt;&gt;"",$E16&lt;&gt;"",$G16&lt;&gt;"",$G16&lt;1.5,_xlpm.Street=0,COUNTA(_xlpm.FRange)&gt;0),
Error!$B$42,
IF(AND(_xlpm.baseRow,$I16="",$H16="",_xlpm.ECA&gt;0,_xlpm.ReplaceReq=0),
Error!$B$33,
IF(AND(_xlpm.baseRow,OR($J16="",$J16&lt;=0),_xlpm.ReplaceReq&gt;0),
Error!$B$34,
IF(AND(_xlpm.baseRow,$K16&lt;&gt;"",_xlpm.Points&gt;0,ISNA(MATCH($K16,Tables!$B$242:$B$253,0))),
Error!$B$58,
IF(AND($K16="Small",$L16&lt;&gt;"",ISNA(MATCH($L16,Tables2!$C$35:$C$36,0))),
Error!$B$60,
IF(AND($K16="Small/Medium",$L16&lt;&gt;"",ISNA(MATCH($L16,Tables2!$C$38:$C$39,0))),
Error!$B$60,
IF(AND($K16="Medium/Large",$L16&lt;&gt;"",ISNA(MATCH($L16,Tables2!$C$41:$C$42,0))),
Error!$B$60,
IF(AND($K16="Large",$L16&lt;&gt;"",ISNA(MATCH($L16,Tables2!$C$44:$C$45,0))),
Error!$B$60,
IF(AND(_xlpm.baseRow,$B16&lt;&gt;"", $C16&lt;&gt;"", $D16&lt;&gt;"", $E16&lt;&gt;"", OR($M16="",$K16="",$L16=""),_xlpm.Points&gt;0),
Error!$B$35,
IF(AND(_xlpm.baseRow,$D16&lt;&gt;"",$E16&lt;&gt;"",$N16=""),
Error!$B$36,
""))))))))))))))))))))))))))))))))))))))))))),Error!$B$37))</f>
        <v/>
      </c>
      <c r="P16" s="355" t="str" cm="1">
        <f t="array" aca="1" ref="P16" ca="1">IFERROR(_xlfn.LET(
    _xlpm.txt, $C16,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7" spans="1:16" x14ac:dyDescent="0.3">
      <c r="A17" s="92"/>
      <c r="B17" s="439" t="str">
        <f>IF($B15="", "", $B15)</f>
        <v/>
      </c>
      <c r="C17" s="438"/>
      <c r="D17" s="439" t="str">
        <f>IF($D15="", "", $D15)</f>
        <v/>
      </c>
      <c r="E17" s="439" t="str">
        <f>IF($E15="", "", $E15)</f>
        <v/>
      </c>
      <c r="F17" s="300"/>
      <c r="G17" s="160"/>
      <c r="H17" s="440"/>
      <c r="I17" s="441"/>
      <c r="J17" s="459"/>
      <c r="K17" s="442" t="str">
        <f>IFERROR(
IF(
    AND(
        MOD(ROW()-11,4)=0,
        COUNTIF(INDEX(F:F, 11 + 4*INT((ROW()-11)/4)):INDEX(F:F, 14 + 4*INT((ROW()-11)/4)),"Zoning: Tree Points")&gt;0,
        COUNTIFS('Tree List'!$C$3:$C$601,$C17,'Tree List'!$H$3:$H$601,"sp.")=0
    ),
    VLOOKUP($C17,'Tree List'!$C$3:$F$601,4,FALSE),
    ""
),
"")</f>
        <v/>
      </c>
      <c r="L17" s="443" t="str" cm="1">
        <f t="array" ref="L17">IFERROR(
IF(
    AND(
        COUNTIF(INDEX(F:F, 11 + 4*INT((ROW()-11)/4)):INDEX(F:F, 14 + 4*INT((ROW()-11)/4)),"Zoning: Tree Points")&gt;0,
        COUNTIFS('Tree List'!$C$3:$C$601,$C17,'Tree List'!$H$3:$H$601,"sp.")&gt;0
    ),
    "",
    _xlfn.IFS(
        (COUNTIFS('Tree List'!$C$3:$C$601,$C17,'Tree List'!$D$3:$D$601,"Coniferous")
        + COUNTIFS('Tree List'!$C$3:$C$601,$C17,'Tree List'!$D$3:$D$601,"Deciduous Conifer")) &gt; 0,
            _xlfn.IFS($K17="Small",1.25,$K17="Small/Medium",2.5,$K17="Medium/Large",3.75,$K17="Large",5),
        (COUNTIFS('Tree List'!$C$3:$C$601,$C17,'Tree List'!$D$3:$D$601,"Deciduous")
        + COUNTIFS('Tree List'!$C$3:$C$601,$C17,'Tree List'!$D$3:$D$601,"Broadleaf Evergreen")) &gt; 0,
            _xlfn.IFS($K17="Small",1,$K17="Small/Medium",2,$K17="Medium/Large",3,$K17="Large",4)
    )
),
"")</f>
        <v/>
      </c>
      <c r="M17" s="472"/>
      <c r="N17" s="434"/>
      <c r="O17" s="340" t="str" cm="1">
        <f t="array" aca="1" ref="O17"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List'!$C$3:$C$601,$C17,'Tree List'!$D$3:$D$601,{"Deciduous","Broadleaf Evergreen"})),
_xlpm.Coniferous,SUM(COUNTIFS('Tree List'!$C$3:$C$601,$C17,'Tree List'!$D$3:$D$601,{"Coniferous","Deciduous Conifer"})),
IFERROR(
IF(AND(_xlpm.baseRow,ISNA(MATCH($C17,'Tree List'!$C$3:$C$601,0)),SUMPRODUCT(--ISNUMBER(SEARCH(Tables2!$C$677:$C$825,$P17)))&gt;0),
Error!$B$64,
IF(AND(_xlpm.baseRow,COUNTIF(_xlpm.FRange,"ECA / Shoreline")&gt;0,$D17&lt;&gt;"",$E17&lt;&gt;"",$N17=""),
Error!$B$55,
IF(AND(_xlpm.baseRow,$D17&lt;&gt;"",$E17&lt;&gt;"",COUNTBLANK($B17:$C17)&gt;0,COUNTBLANK($F17:$F20)&lt;&gt;4),
Error!$B$22,
IF(AND(_xlpm.baseRow,$D17="Right-of-Way", $E17=""),
Error!$B$67,
IF(AND(_xlpm.baseRow,$D17&lt;&gt;"",ISNA(MATCH($D17,Tables2!$B$66:$B$68,0))),
Error!$B$63,
IF(AND(_xlpm.baseRow,$D17="Off Site",$E17&lt;&gt;"",$E17&lt;&gt;"Yes"),
Error!$B$28,
IF(AND(_xlpm.baseRow,OR($D17="On Site",$D17="Right-of-Way"),$E17&lt;&gt;"",ISNA(MATCH($E17,MultiSelect2[TreeMitigation],0))),
Error!$B$28,
IF(AND(_xlpm.baseRow,$D17&lt;&gt;"",$E17&lt;&gt;"",COUNTIF(_xlpm.FRange,"&lt;&gt;")=0),
Error!$B$26,
IF(AND($E17="No",$F17&lt;&gt;"",ISNA(MATCH($F17,Tables2!$B$55:$B$57,0))),
Error!$B$27,
IF(AND($E17="Yes",$F17&lt;&gt;"",ISNA(MATCH($F17,Tables2!$B$48:$B$52,0))),
Error!$B$27,
IF(AND($D17="Off Site",$E17="Yes",$F17&lt;&gt;"",ISNA(MATCH($F17,Tables2!$B$60:$B$62,0))),
Error!$B$27,
IF(AND(_xlpm.baseRow,_xlpm.Street&gt;0,_xlpm.ECA&gt;0),
Error!$B$29,
IF(AND(_xlpm.baseRow,_xlpm.Street&gt;0,_xlpm.Points&gt;0),
Error!$B$30,
IF(AND(_xlpm.baseRow,_xlpm.Street&gt;0,_xlpm.ReplaceReq&gt;0),
Error!$B$31,
IF(AND(_xlpm.baseRow,$D17&lt;&gt;"",$E17&lt;&gt;"",$G17&lt;&gt;"",_xlpm.DecBroad&gt;0,OR(_xlpm.Points&gt;0,_xlpm.Green&gt;0,_xlpm.ReplaceReq&gt;0),_xlpm.Street=0,$G17&lt;1.5),
Error!$B$42,
IF(AND(_xlpm.baseRow,$D17&lt;&gt;"",$E17&lt;&gt;"",$H17&lt;&gt;"",$H17&lt;4,_xlpm.Street&gt;0,_xlpm.Green&gt;0,COUNTA(_xlpm.FRange)&gt;0),
Error!$B$32,
IF(AND(_xlpm.baseRow,$G17="",_xlpm.ECA&gt;0,_xlpm.DecBroad&gt;0,_xlpm.ReplaceReq&gt;0),
Error!$B$52,
IF(AND(_xlpm.baseRow,$E17&lt;&gt;"", $H17="",_xlpm.ECA&gt;0,_xlpm.Coniferous&gt;0,_xlpm.ReplaceReq&gt;0),
Error!$B$53,
IF(AND(_xlpm.baseRow,$G17="",$H17="",_xlpm.ECA&gt;0,_xlpm.ReplaceReq&gt;0),
Error!$B$39,
IF(AND(_xlpm.baseRow,$D17&lt;&gt;"",$E17&lt;&gt;"",$G17="",$H17="",_xlpm.Coniferous&gt;0,_xlpm.ReplaceReq&gt;0,_xlpm.ECA&gt;0),
Error!$B$50,
IF(AND(_xlpm.baseRow,$D17&lt;&gt;"",$E17&lt;&gt;"",$G17&lt;&gt;"",_xlpm.Street&gt;0,$G17&lt;2),
Error!$B$43,
IF(AND(_xlpm.baseRow,$D17&lt;&gt;"",$E17&lt;&gt;"",_xlpm.Green&gt;0,_xlpm.DecBroad&gt;0,$G17=""),
Error!$B$49,
IF(AND(_xlpm.baseRow,$D17&lt;&gt;"",$E17&lt;&gt;"",$H17&lt;&gt;"",$H17&lt;4,_xlpm.Green&gt;0,_xlpm.DecBroad&gt;0,$G17=""),
Error!$B$51,
IF(AND(_xlpm.baseRow,$D17&lt;&gt;"",$E17&lt;&gt;"",_xlpm.Green&gt;0,_xlpm.Coniferous&gt;0,$H17=""),
Error!$B$50,
IF(AND(_xlpm.baseRow,$D17&lt;&gt;"",$E17&lt;&gt;"",_xlpm.Points&gt;0,_xlpm.DecBroad&gt;0,$G17=""),
Error!$B$49,
IF(AND(_xlpm.baseRow,$D17&lt;&gt;"",$E17&lt;&gt;"",_xlpm.Points&gt;0,_xlpm.Coniferous&gt;0,$H17=""),
Error!$B$50,
IF(AND(_xlpm.baseRow,$D17&lt;&gt;"",$E17&lt;&gt;"",_xlpm.ReplaceReq&gt;0,_xlpm.DecBroad&gt;0,$G17=""),
Error!$B$49,
IF(AND(_xlpm.baseRow,$D17&lt;&gt;"",$E17&lt;&gt;"",_xlpm.ReplaceReq&gt;0,_xlpm.Coniferous&gt;0,$H17=""),
Error!$B$50,
IF(AND(_xlpm.baseRow,$D17&lt;&gt;"",$E17&lt;&gt;"",_xlpm.Street&gt;0,$G17=""),
Error!$B$49,
IF(AND(_xlpm.baseRow,$D17&lt;&gt;"",$E17&lt;&gt;"",$H17&lt;&gt;"",$H17&lt;4,OR(ISNA(MATCH($C17,'Tree List'!$C$3:$C$601,0)),$C17=""),_xlpm.Green&gt;0,COUNTA(_xlpm.FRange)&gt;0),
Error!$B$51,
IF(AND(_xlpm.baseRow,$D17&lt;&gt;"",$E17&lt;&gt;"",$H17&lt;&gt;"",$H17&lt;4,_xlpm.DecBroad&gt;0,_xlpm.Green&gt;0,COUNTA(_xlpm.FRange)&gt;0),
Error!$B$51,
IF(AND(_xlpm.baseRow,$D17&lt;&gt;"",$E17&lt;&gt;"",$G17="",$H17="",OR(_xlpm.ReplaceReq&gt;0,_xlpm.Green&gt;0,_xlpm.Points&gt;0,_xlpm.Street&gt;0)),
Error!$B$38,
IF(AND(_xlpm.baseRow,$D17&lt;&gt;"",$E17&lt;&gt;"",$H17&lt;&gt;"",$H17&lt;4,_xlpm.Street=0,_xlpm.Coniferous&gt;0,COUNTA(_xlpm.FRange)&gt;0),
Error!$B$32,
IF(AND(_xlpm.baseRow,_xlpm.DecBroad&gt;0,$D17&lt;&gt;"",$E17&lt;&gt;"",$G17&lt;&gt;"",$G17&lt;1.5,_xlpm.Street=0,COUNTA(_xlpm.FRange)&gt;0),
Error!$B$42,
IF(AND(_xlpm.baseRow,$I17="",$H17="",_xlpm.ECA&gt;0,_xlpm.ReplaceReq=0),
Error!$B$33,
IF(AND(_xlpm.baseRow,OR($J17="",$J17&lt;=0),_xlpm.ReplaceReq&gt;0),
Error!$B$34,
IF(AND(_xlpm.baseRow,$K17&lt;&gt;"",_xlpm.Points&gt;0,ISNA(MATCH($K17,Tables!$B$242:$B$253,0))),
Error!$B$58,
IF(AND($K17="Small",$L17&lt;&gt;"",ISNA(MATCH($L17,Tables2!$C$35:$C$36,0))),
Error!$B$60,
IF(AND($K17="Small/Medium",$L17&lt;&gt;"",ISNA(MATCH($L17,Tables2!$C$38:$C$39,0))),
Error!$B$60,
IF(AND($K17="Medium/Large",$L17&lt;&gt;"",ISNA(MATCH($L17,Tables2!$C$41:$C$42,0))),
Error!$B$60,
IF(AND($K17="Large",$L17&lt;&gt;"",ISNA(MATCH($L17,Tables2!$C$44:$C$45,0))),
Error!$B$60,
IF(AND(_xlpm.baseRow,$B17&lt;&gt;"", $C17&lt;&gt;"", $D17&lt;&gt;"", $E17&lt;&gt;"", OR($M17="",$K17="",$L17=""),_xlpm.Points&gt;0),
Error!$B$35,
IF(AND(_xlpm.baseRow,$D17&lt;&gt;"",$E17&lt;&gt;"",$N17=""),
Error!$B$36,
""))))))))))))))))))))))))))))))))))))))))))),Error!$B$37))</f>
        <v/>
      </c>
      <c r="P17" s="355" t="str" cm="1">
        <f t="array" aca="1" ref="P17" ca="1">IFERROR(_xlfn.LET(
    _xlpm.txt, $C17,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8" spans="1:16" ht="15" thickBot="1" x14ac:dyDescent="0.35">
      <c r="A18" s="92"/>
      <c r="B18" s="439" t="str">
        <f>IF($B15="", "", $B15)</f>
        <v/>
      </c>
      <c r="C18" s="438"/>
      <c r="D18" s="439" t="str">
        <f>IF($D15="", "", $D15)</f>
        <v/>
      </c>
      <c r="E18" s="439" t="str">
        <f>IF($E15="", "", $E15)</f>
        <v/>
      </c>
      <c r="F18" s="300"/>
      <c r="G18" s="161"/>
      <c r="H18" s="183"/>
      <c r="I18" s="180"/>
      <c r="J18" s="460"/>
      <c r="K18" s="176" t="str">
        <f>IFERROR(
IF(
    AND(
        MOD(ROW()-11,4)=0,
        COUNTIF(INDEX(F:F, 11 + 4*INT((ROW()-11)/4)):INDEX(F:F, 14 + 4*INT((ROW()-11)/4)),"Zoning: Tree Points")&gt;0,
        COUNTIFS('Tree List'!$C$3:$C$601,$C18,'Tree List'!$H$3:$H$601,"sp.")=0
    ),
    VLOOKUP($C18,'Tree List'!$C$3:$F$601,4,FALSE),
    ""
),
"")</f>
        <v/>
      </c>
      <c r="L18" s="177" t="str" cm="1">
        <f t="array" ref="L18">IFERROR(
IF(
    AND(
        COUNTIF(INDEX(F:F, 11 + 4*INT((ROW()-11)/4)):INDEX(F:F, 14 + 4*INT((ROW()-11)/4)),"Zoning: Tree Points")&gt;0,
        COUNTIFS('Tree List'!$C$3:$C$601,$C18,'Tree List'!$H$3:$H$601,"sp.")&gt;0
    ),
    "",
    _xlfn.IFS(
        (COUNTIFS('Tree List'!$C$3:$C$601,$C18,'Tree List'!$D$3:$D$601,"Coniferous")
        + COUNTIFS('Tree List'!$C$3:$C$601,$C18,'Tree List'!$D$3:$D$601,"Deciduous Conifer")) &gt; 0,
            _xlfn.IFS($K18="Small",1.25,$K18="Small/Medium",2.5,$K18="Medium/Large",3.75,$K18="Large",5),
        (COUNTIFS('Tree List'!$C$3:$C$601,$C18,'Tree List'!$D$3:$D$601,"Deciduous")
        + COUNTIFS('Tree List'!$C$3:$C$601,$C18,'Tree List'!$D$3:$D$601,"Broadleaf Evergreen")) &gt; 0,
            _xlfn.IFS($K18="Small",1,$K18="Small/Medium",2,$K18="Medium/Large",3,$K18="Large",4)
    )
),
"")</f>
        <v/>
      </c>
      <c r="M18" s="473"/>
      <c r="N18" s="434"/>
      <c r="O18" s="341" t="str" cm="1">
        <f t="array" aca="1" ref="O18"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List'!$C$3:$C$601,$C18,'Tree List'!$D$3:$D$601,{"Deciduous","Broadleaf Evergreen"})),
_xlpm.Coniferous,SUM(COUNTIFS('Tree List'!$C$3:$C$601,$C18,'Tree List'!$D$3:$D$601,{"Coniferous","Deciduous Conifer"})),
IFERROR(
IF(AND(_xlpm.baseRow,ISNA(MATCH($C18,'Tree List'!$C$3:$C$601,0)),SUMPRODUCT(--ISNUMBER(SEARCH(Tables2!$C$677:$C$825,$P18)))&gt;0),
Error!$B$64,
IF(AND(_xlpm.baseRow,COUNTIF(_xlpm.FRange,"ECA / Shoreline")&gt;0,$D18&lt;&gt;"",$E18&lt;&gt;"",$N18=""),
Error!$B$55,
IF(AND(_xlpm.baseRow,$D18&lt;&gt;"",$E18&lt;&gt;"",COUNTBLANK($B18:$C18)&gt;0,COUNTBLANK($F18:$F21)&lt;&gt;4),
Error!$B$22,
IF(AND(_xlpm.baseRow,$D18="Right-of-Way", $E18=""),
Error!$B$67,
IF(AND(_xlpm.baseRow,$D18&lt;&gt;"",ISNA(MATCH($D18,Tables2!$B$66:$B$68,0))),
Error!$B$63,
IF(AND(_xlpm.baseRow,$D18="Off Site",$E18&lt;&gt;"",$E18&lt;&gt;"Yes"),
Error!$B$28,
IF(AND(_xlpm.baseRow,OR($D18="On Site",$D18="Right-of-Way"),$E18&lt;&gt;"",ISNA(MATCH($E18,MultiSelect2[TreeMitigation],0))),
Error!$B$28,
IF(AND(_xlpm.baseRow,$D18&lt;&gt;"",$E18&lt;&gt;"",COUNTIF(_xlpm.FRange,"&lt;&gt;")=0),
Error!$B$26,
IF(AND($E18="No",$F18&lt;&gt;"",ISNA(MATCH($F18,Tables2!$B$55:$B$57,0))),
Error!$B$27,
IF(AND($E18="Yes",$F18&lt;&gt;"",ISNA(MATCH($F18,Tables2!$B$48:$B$52,0))),
Error!$B$27,
IF(AND($D18="Off Site",$E18="Yes",$F18&lt;&gt;"",ISNA(MATCH($F18,Tables2!$B$60:$B$62,0))),
Error!$B$27,
IF(AND(_xlpm.baseRow,_xlpm.Street&gt;0,_xlpm.ECA&gt;0),
Error!$B$29,
IF(AND(_xlpm.baseRow,_xlpm.Street&gt;0,_xlpm.Points&gt;0),
Error!$B$30,
IF(AND(_xlpm.baseRow,_xlpm.Street&gt;0,_xlpm.ReplaceReq&gt;0),
Error!$B$31,
IF(AND(_xlpm.baseRow,$D18&lt;&gt;"",$E18&lt;&gt;"",$G18&lt;&gt;"",_xlpm.DecBroad&gt;0,OR(_xlpm.Points&gt;0,_xlpm.Green&gt;0,_xlpm.ReplaceReq&gt;0),_xlpm.Street=0,$G18&lt;1.5),
Error!$B$42,
IF(AND(_xlpm.baseRow,$D18&lt;&gt;"",$E18&lt;&gt;"",$H18&lt;&gt;"",$H18&lt;4,_xlpm.Street&gt;0,_xlpm.Green&gt;0,COUNTA(_xlpm.FRange)&gt;0),
Error!$B$32,
IF(AND(_xlpm.baseRow,$G18="",_xlpm.ECA&gt;0,_xlpm.DecBroad&gt;0,_xlpm.ReplaceReq&gt;0),
Error!$B$52,
IF(AND(_xlpm.baseRow,$E18&lt;&gt;"", $H18="",_xlpm.ECA&gt;0,_xlpm.Coniferous&gt;0,_xlpm.ReplaceReq&gt;0),
Error!$B$53,
IF(AND(_xlpm.baseRow,$G18="",$H18="",_xlpm.ECA&gt;0,_xlpm.ReplaceReq&gt;0),
Error!$B$39,
IF(AND(_xlpm.baseRow,$D18&lt;&gt;"",$E18&lt;&gt;"",$G18="",$H18="",_xlpm.Coniferous&gt;0,_xlpm.ReplaceReq&gt;0,_xlpm.ECA&gt;0),
Error!$B$50,
IF(AND(_xlpm.baseRow,$D18&lt;&gt;"",$E18&lt;&gt;"",$G18&lt;&gt;"",_xlpm.Street&gt;0,$G18&lt;2),
Error!$B$43,
IF(AND(_xlpm.baseRow,$D18&lt;&gt;"",$E18&lt;&gt;"",_xlpm.Green&gt;0,_xlpm.DecBroad&gt;0,$G18=""),
Error!$B$49,
IF(AND(_xlpm.baseRow,$D18&lt;&gt;"",$E18&lt;&gt;"",$H18&lt;&gt;"",$H18&lt;4,_xlpm.Green&gt;0,_xlpm.DecBroad&gt;0,$G18=""),
Error!$B$51,
IF(AND(_xlpm.baseRow,$D18&lt;&gt;"",$E18&lt;&gt;"",_xlpm.Green&gt;0,_xlpm.Coniferous&gt;0,$H18=""),
Error!$B$50,
IF(AND(_xlpm.baseRow,$D18&lt;&gt;"",$E18&lt;&gt;"",_xlpm.Points&gt;0,_xlpm.DecBroad&gt;0,$G18=""),
Error!$B$49,
IF(AND(_xlpm.baseRow,$D18&lt;&gt;"",$E18&lt;&gt;"",_xlpm.Points&gt;0,_xlpm.Coniferous&gt;0,$H18=""),
Error!$B$50,
IF(AND(_xlpm.baseRow,$D18&lt;&gt;"",$E18&lt;&gt;"",_xlpm.ReplaceReq&gt;0,_xlpm.DecBroad&gt;0,$G18=""),
Error!$B$49,
IF(AND(_xlpm.baseRow,$D18&lt;&gt;"",$E18&lt;&gt;"",_xlpm.ReplaceReq&gt;0,_xlpm.Coniferous&gt;0,$H18=""),
Error!$B$50,
IF(AND(_xlpm.baseRow,$D18&lt;&gt;"",$E18&lt;&gt;"",_xlpm.Street&gt;0,$G18=""),
Error!$B$49,
IF(AND(_xlpm.baseRow,$D18&lt;&gt;"",$E18&lt;&gt;"",$H18&lt;&gt;"",$H18&lt;4,OR(ISNA(MATCH($C18,'Tree List'!$C$3:$C$601,0)),$C18=""),_xlpm.Green&gt;0,COUNTA(_xlpm.FRange)&gt;0),
Error!$B$51,
IF(AND(_xlpm.baseRow,$D18&lt;&gt;"",$E18&lt;&gt;"",$H18&lt;&gt;"",$H18&lt;4,_xlpm.DecBroad&gt;0,_xlpm.Green&gt;0,COUNTA(_xlpm.FRange)&gt;0),
Error!$B$51,
IF(AND(_xlpm.baseRow,$D18&lt;&gt;"",$E18&lt;&gt;"",$G18="",$H18="",OR(_xlpm.ReplaceReq&gt;0,_xlpm.Green&gt;0,_xlpm.Points&gt;0,_xlpm.Street&gt;0)),
Error!$B$38,
IF(AND(_xlpm.baseRow,$D18&lt;&gt;"",$E18&lt;&gt;"",$H18&lt;&gt;"",$H18&lt;4,_xlpm.Street=0,_xlpm.Coniferous&gt;0,COUNTA(_xlpm.FRange)&gt;0),
Error!$B$32,
IF(AND(_xlpm.baseRow,_xlpm.DecBroad&gt;0,$D18&lt;&gt;"",$E18&lt;&gt;"",$G18&lt;&gt;"",$G18&lt;1.5,_xlpm.Street=0,COUNTA(_xlpm.FRange)&gt;0),
Error!$B$42,
IF(AND(_xlpm.baseRow,$I18="",$H18="",_xlpm.ECA&gt;0,_xlpm.ReplaceReq=0),
Error!$B$33,
IF(AND(_xlpm.baseRow,OR($J18="",$J18&lt;=0),_xlpm.ReplaceReq&gt;0),
Error!$B$34,
IF(AND(_xlpm.baseRow,$K18&lt;&gt;"",_xlpm.Points&gt;0,ISNA(MATCH($K18,Tables!$B$242:$B$253,0))),
Error!$B$58,
IF(AND($K18="Small",$L18&lt;&gt;"",ISNA(MATCH($L18,Tables2!$C$35:$C$36,0))),
Error!$B$60,
IF(AND($K18="Small/Medium",$L18&lt;&gt;"",ISNA(MATCH($L18,Tables2!$C$38:$C$39,0))),
Error!$B$60,
IF(AND($K18="Medium/Large",$L18&lt;&gt;"",ISNA(MATCH($L18,Tables2!$C$41:$C$42,0))),
Error!$B$60,
IF(AND($K18="Large",$L18&lt;&gt;"",ISNA(MATCH($L18,Tables2!$C$44:$C$45,0))),
Error!$B$60,
IF(AND(_xlpm.baseRow,$B18&lt;&gt;"", $C18&lt;&gt;"", $D18&lt;&gt;"", $E18&lt;&gt;"", OR($M18="",$K18="",$L18=""),_xlpm.Points&gt;0),
Error!$B$35,
IF(AND(_xlpm.baseRow,$D18&lt;&gt;"",$E18&lt;&gt;"",$N18=""),
Error!$B$36,
""))))))))))))))))))))))))))))))))))))))))))),Error!$B$37))</f>
        <v/>
      </c>
      <c r="P18" s="355" t="str" cm="1">
        <f t="array" aca="1" ref="P18" ca="1">IFERROR(_xlfn.LET(
    _xlpm.txt, $C18,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9" spans="1:16" ht="15" thickBot="1" x14ac:dyDescent="0.35">
      <c r="A19" s="437">
        <v>3</v>
      </c>
      <c r="B19" s="448"/>
      <c r="C19" s="444"/>
      <c r="D19" s="295"/>
      <c r="E19" s="295"/>
      <c r="F19" s="301"/>
      <c r="G19" s="257"/>
      <c r="H19" s="181"/>
      <c r="I19" s="178"/>
      <c r="J19" s="457"/>
      <c r="K19" s="172" t="str">
        <f>IFERROR(
IF(
    AND(
        MOD(ROW()-11,4)=0,
        COUNTIF(INDEX(F:F, 11 + 4*INT((ROW()-11)/4)):INDEX(F:F, 14 + 4*INT((ROW()-11)/4)),"Zoning: Tree Points")&gt;0,
        COUNTIFS('Tree List'!$C$3:$C$601,$C19,'Tree List'!$H$3:$H$601,"sp.")=0
    ),
    VLOOKUP($C19,'Tree List'!$C$3:$F$601,4,FALSE),
    ""
),
"")</f>
        <v/>
      </c>
      <c r="L19" s="173" t="str" cm="1">
        <f t="array" ref="L19">IFERROR(
IF(
    AND(
        COUNTIF(INDEX(F:F, 11 + 4*INT((ROW()-11)/4)):INDEX(F:F, 14 + 4*INT((ROW()-11)/4)),"Zoning: Tree Points")&gt;0,
        COUNTIFS('Tree List'!$C$3:$C$601,$C19,'Tree List'!$H$3:$H$601,"sp.")&gt;0
    ),
    "",
    _xlfn.IFS(
        (COUNTIFS('Tree List'!$C$3:$C$601,$C19,'Tree List'!$D$3:$D$601,"Coniferous")
        + COUNTIFS('Tree List'!$C$3:$C$601,$C19,'Tree List'!$D$3:$D$601,"Deciduous Conifer")) &gt; 0,
            _xlfn.IFS($K19="Small",1.25,$K19="Small/Medium",2.5,$K19="Medium/Large",3.75,$K19="Large",5),
        (COUNTIFS('Tree List'!$C$3:$C$601,$C19,'Tree List'!$D$3:$D$601,"Deciduous")
        + COUNTIFS('Tree List'!$C$3:$C$601,$C19,'Tree List'!$D$3:$D$601,"Broadleaf Evergreen")) &gt; 0,
            _xlfn.IFS($K19="Small",1,$K19="Small/Medium",2,$K19="Medium/Large",3,$K19="Large",4)
    )
),
"")</f>
        <v/>
      </c>
      <c r="M19" s="470" t="str">
        <f t="shared" si="0"/>
        <v/>
      </c>
      <c r="N19" s="744"/>
      <c r="O19" s="737" t="str" cm="1">
        <f t="array" aca="1" ref="O19"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List'!$C$3:$C$601,$C19,'Tree List'!$D$3:$D$601,{"Deciduous","Broadleaf Evergreen"})),
_xlpm.Coniferous,SUM(COUNTIFS('Tree List'!$C$3:$C$601,$C19,'Tree List'!$D$3:$D$601,{"Coniferous","Deciduous Conifer"})),
IFERROR(
IF(AND(_xlpm.baseRow,ISNA(MATCH($C19,'Tree List'!$C$3:$C$601,0)),SUMPRODUCT(--ISNUMBER(SEARCH(Tables2!$C$677:$C$825,$P19)))&gt;0),
Error!$B$64,
IF(AND(_xlpm.baseRow,COUNTIF(_xlpm.FRange,"ECA / Shoreline")&gt;0,$D19&lt;&gt;"",$E19&lt;&gt;"",$N19=""),
Error!$B$55,
IF(AND(_xlpm.baseRow,$D19&lt;&gt;"",$E19&lt;&gt;"",COUNTBLANK($B19:$C19)&gt;0,COUNTBLANK($F19:$F22)&lt;&gt;4),
Error!$B$22,
IF(AND(_xlpm.baseRow,$D19="Right-of-Way", $E19=""),
Error!$B$67,
IF(AND(_xlpm.baseRow,$D19&lt;&gt;"",ISNA(MATCH($D19,Tables2!$B$66:$B$68,0))),
Error!$B$63,
IF(AND(_xlpm.baseRow,$D19="Off Site",$E19&lt;&gt;"",$E19&lt;&gt;"Yes"),
Error!$B$28,
IF(AND(_xlpm.baseRow,OR($D19="On Site",$D19="Right-of-Way"),$E19&lt;&gt;"",ISNA(MATCH($E19,MultiSelect2[TreeMitigation],0))),
Error!$B$28,
IF(AND(_xlpm.baseRow,$D19&lt;&gt;"",$E19&lt;&gt;"",COUNTIF(_xlpm.FRange,"&lt;&gt;")=0),
Error!$B$26,
IF(AND($E19="No",$F19&lt;&gt;"",ISNA(MATCH($F19,Tables2!$B$55:$B$57,0))),
Error!$B$27,
IF(AND($E19="Yes",$F19&lt;&gt;"",ISNA(MATCH($F19,Tables2!$B$48:$B$52,0))),
Error!$B$27,
IF(AND($D19="Off Site",$E19="Yes",$F19&lt;&gt;"",ISNA(MATCH($F19,Tables2!$B$60:$B$62,0))),
Error!$B$27,
IF(AND(_xlpm.baseRow,_xlpm.Street&gt;0,_xlpm.ECA&gt;0),
Error!$B$29,
IF(AND(_xlpm.baseRow,_xlpm.Street&gt;0,_xlpm.Points&gt;0),
Error!$B$30,
IF(AND(_xlpm.baseRow,_xlpm.Street&gt;0,_xlpm.ReplaceReq&gt;0),
Error!$B$31,
IF(AND(_xlpm.baseRow,$D19&lt;&gt;"",$E19&lt;&gt;"",$G19&lt;&gt;"",_xlpm.DecBroad&gt;0,OR(_xlpm.Points&gt;0,_xlpm.Green&gt;0,_xlpm.ReplaceReq&gt;0),_xlpm.Street=0,$G19&lt;1.5),
Error!$B$42,
IF(AND(_xlpm.baseRow,$D19&lt;&gt;"",$E19&lt;&gt;"",$H19&lt;&gt;"",$H19&lt;4,_xlpm.Street&gt;0,_xlpm.Green&gt;0,COUNTA(_xlpm.FRange)&gt;0),
Error!$B$32,
IF(AND(_xlpm.baseRow,$G19="",_xlpm.ECA&gt;0,_xlpm.DecBroad&gt;0,_xlpm.ReplaceReq&gt;0),
Error!$B$52,
IF(AND(_xlpm.baseRow,$E19&lt;&gt;"", $H19="",_xlpm.ECA&gt;0,_xlpm.Coniferous&gt;0,_xlpm.ReplaceReq&gt;0),
Error!$B$53,
IF(AND(_xlpm.baseRow,$G19="",$H19="",_xlpm.ECA&gt;0,_xlpm.ReplaceReq&gt;0),
Error!$B$39,
IF(AND(_xlpm.baseRow,$D19&lt;&gt;"",$E19&lt;&gt;"",$G19="",$H19="",_xlpm.Coniferous&gt;0,_xlpm.ReplaceReq&gt;0,_xlpm.ECA&gt;0),
Error!$B$50,
IF(AND(_xlpm.baseRow,$D19&lt;&gt;"",$E19&lt;&gt;"",$G19&lt;&gt;"",_xlpm.Street&gt;0,$G19&lt;2),
Error!$B$43,
IF(AND(_xlpm.baseRow,$D19&lt;&gt;"",$E19&lt;&gt;"",_xlpm.Green&gt;0,_xlpm.DecBroad&gt;0,$G19=""),
Error!$B$49,
IF(AND(_xlpm.baseRow,$D19&lt;&gt;"",$E19&lt;&gt;"",$H19&lt;&gt;"",$H19&lt;4,_xlpm.Green&gt;0,_xlpm.DecBroad&gt;0,$G19=""),
Error!$B$51,
IF(AND(_xlpm.baseRow,$D19&lt;&gt;"",$E19&lt;&gt;"",_xlpm.Green&gt;0,_xlpm.Coniferous&gt;0,$H19=""),
Error!$B$50,
IF(AND(_xlpm.baseRow,$D19&lt;&gt;"",$E19&lt;&gt;"",_xlpm.Points&gt;0,_xlpm.DecBroad&gt;0,$G19=""),
Error!$B$49,
IF(AND(_xlpm.baseRow,$D19&lt;&gt;"",$E19&lt;&gt;"",_xlpm.Points&gt;0,_xlpm.Coniferous&gt;0,$H19=""),
Error!$B$50,
IF(AND(_xlpm.baseRow,$D19&lt;&gt;"",$E19&lt;&gt;"",_xlpm.ReplaceReq&gt;0,_xlpm.DecBroad&gt;0,$G19=""),
Error!$B$49,
IF(AND(_xlpm.baseRow,$D19&lt;&gt;"",$E19&lt;&gt;"",_xlpm.ReplaceReq&gt;0,_xlpm.Coniferous&gt;0,$H19=""),
Error!$B$50,
IF(AND(_xlpm.baseRow,$D19&lt;&gt;"",$E19&lt;&gt;"",_xlpm.Street&gt;0,$G19=""),
Error!$B$49,
IF(AND(_xlpm.baseRow,$D19&lt;&gt;"",$E19&lt;&gt;"",$H19&lt;&gt;"",$H19&lt;4,OR(ISNA(MATCH($C19,'Tree List'!$C$3:$C$601,0)),$C19=""),_xlpm.Green&gt;0,COUNTA(_xlpm.FRange)&gt;0),
Error!$B$51,
IF(AND(_xlpm.baseRow,$D19&lt;&gt;"",$E19&lt;&gt;"",$H19&lt;&gt;"",$H19&lt;4,_xlpm.DecBroad&gt;0,_xlpm.Green&gt;0,COUNTA(_xlpm.FRange)&gt;0),
Error!$B$51,
IF(AND(_xlpm.baseRow,$D19&lt;&gt;"",$E19&lt;&gt;"",$G19="",$H19="",OR(_xlpm.ReplaceReq&gt;0,_xlpm.Green&gt;0,_xlpm.Points&gt;0,_xlpm.Street&gt;0)),
Error!$B$38,
IF(AND(_xlpm.baseRow,$D19&lt;&gt;"",$E19&lt;&gt;"",$H19&lt;&gt;"",$H19&lt;4,_xlpm.Street=0,_xlpm.Coniferous&gt;0,COUNTA(_xlpm.FRange)&gt;0),
Error!$B$32,
IF(AND(_xlpm.baseRow,_xlpm.DecBroad&gt;0,$D19&lt;&gt;"",$E19&lt;&gt;"",$G19&lt;&gt;"",$G19&lt;1.5,_xlpm.Street=0,COUNTA(_xlpm.FRange)&gt;0),
Error!$B$42,
IF(AND(_xlpm.baseRow,$I19="",$H19="",_xlpm.ECA&gt;0,_xlpm.ReplaceReq=0),
Error!$B$33,
IF(AND(_xlpm.baseRow,OR($J19="",$J19&lt;=0),_xlpm.ReplaceReq&gt;0),
Error!$B$34,
IF(AND(_xlpm.baseRow,$K19&lt;&gt;"",_xlpm.Points&gt;0,ISNA(MATCH($K19,Tables!$B$242:$B$253,0))),
Error!$B$58,
IF(AND($K19="Small",$L19&lt;&gt;"",ISNA(MATCH($L19,Tables2!$C$35:$C$36,0))),
Error!$B$60,
IF(AND($K19="Small/Medium",$L19&lt;&gt;"",ISNA(MATCH($L19,Tables2!$C$38:$C$39,0))),
Error!$B$60,
IF(AND($K19="Medium/Large",$L19&lt;&gt;"",ISNA(MATCH($L19,Tables2!$C$41:$C$42,0))),
Error!$B$60,
IF(AND($K19="Large",$L19&lt;&gt;"",ISNA(MATCH($L19,Tables2!$C$44:$C$45,0))),
Error!$B$60,
IF(AND(_xlpm.baseRow,$B19&lt;&gt;"", $C19&lt;&gt;"", $D19&lt;&gt;"", $E19&lt;&gt;"", OR($M19="",$K19="",$L19=""),_xlpm.Points&gt;0),
Error!$B$35,
IF(AND(_xlpm.baseRow,$D19&lt;&gt;"",$E19&lt;&gt;"",$N19=""),
Error!$B$36,
""))))))))))))))))))))))))))))))))))))))))))),Error!$B$37))</f>
        <v/>
      </c>
      <c r="P19" s="355" t="str" cm="1">
        <f t="array" aca="1" ref="P19" ca="1">IFERROR(_xlfn.LET(
    _xlpm.txt, $C19,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0" spans="1:16" x14ac:dyDescent="0.3">
      <c r="A20" s="92"/>
      <c r="B20" s="439" t="str">
        <f>IF($B19="", "", $B19)</f>
        <v/>
      </c>
      <c r="C20" s="309"/>
      <c r="D20" s="157" t="str">
        <f>IF($D19="", "", $D19)</f>
        <v/>
      </c>
      <c r="E20" s="157" t="str">
        <f>IF($E19="", "", $E19)</f>
        <v/>
      </c>
      <c r="F20" s="300"/>
      <c r="G20" s="159"/>
      <c r="H20" s="182"/>
      <c r="I20" s="179"/>
      <c r="J20" s="458"/>
      <c r="K20" s="174" t="str">
        <f>IFERROR(
IF(
    AND(
        MOD(ROW()-11,4)=0,
        COUNTIF(INDEX(F:F, 11 + 4*INT((ROW()-11)/4)):INDEX(F:F, 14 + 4*INT((ROW()-11)/4)),"Zoning: Tree Points")&gt;0,
        COUNTIFS('Tree List'!$C$3:$C$601,$C20,'Tree List'!$H$3:$H$601,"sp.")=0
    ),
    VLOOKUP($C20,'Tree List'!$C$3:$F$601,4,FALSE),
    ""
),
"")</f>
        <v/>
      </c>
      <c r="L20" s="175" t="str" cm="1">
        <f t="array" ref="L20">IFERROR(
IF(
    AND(
        COUNTIF(INDEX(F:F, 11 + 4*INT((ROW()-11)/4)):INDEX(F:F, 14 + 4*INT((ROW()-11)/4)),"Zoning: Tree Points")&gt;0,
        COUNTIFS('Tree List'!$C$3:$C$601,$C20,'Tree List'!$H$3:$H$601,"sp.")&gt;0
    ),
    "",
    _xlfn.IFS(
        (COUNTIFS('Tree List'!$C$3:$C$601,$C20,'Tree List'!$D$3:$D$601,"Coniferous")
        + COUNTIFS('Tree List'!$C$3:$C$601,$C20,'Tree List'!$D$3:$D$601,"Deciduous Conifer")) &gt; 0,
            _xlfn.IFS($K20="Small",1.25,$K20="Small/Medium",2.5,$K20="Medium/Large",3.75,$K20="Large",5),
        (COUNTIFS('Tree List'!$C$3:$C$601,$C20,'Tree List'!$D$3:$D$601,"Deciduous")
        + COUNTIFS('Tree List'!$C$3:$C$601,$C20,'Tree List'!$D$3:$D$601,"Broadleaf Evergreen")) &gt; 0,
            _xlfn.IFS($K20="Small",1,$K20="Small/Medium",2,$K20="Medium/Large",3,$K20="Large",4)
    )
),
"")</f>
        <v/>
      </c>
      <c r="M20" s="471"/>
      <c r="N20" s="434"/>
      <c r="O20" s="340" t="str" cm="1">
        <f t="array" aca="1" ref="O20"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List'!$C$3:$C$601,$C20,'Tree List'!$D$3:$D$601,{"Deciduous","Broadleaf Evergreen"})),
_xlpm.Coniferous,SUM(COUNTIFS('Tree List'!$C$3:$C$601,$C20,'Tree List'!$D$3:$D$601,{"Coniferous","Deciduous Conifer"})),
IFERROR(
IF(AND(_xlpm.baseRow,ISNA(MATCH($C20,'Tree List'!$C$3:$C$601,0)),SUMPRODUCT(--ISNUMBER(SEARCH(Tables2!$C$677:$C$825,$P20)))&gt;0),
Error!$B$64,
IF(AND(_xlpm.baseRow,COUNTIF(_xlpm.FRange,"ECA / Shoreline")&gt;0,$D20&lt;&gt;"",$E20&lt;&gt;"",$N20=""),
Error!$B$55,
IF(AND(_xlpm.baseRow,$D20&lt;&gt;"",$E20&lt;&gt;"",COUNTBLANK($B20:$C20)&gt;0,COUNTBLANK($F20:$F23)&lt;&gt;4),
Error!$B$22,
IF(AND(_xlpm.baseRow,$D20="Right-of-Way", $E20=""),
Error!$B$67,
IF(AND(_xlpm.baseRow,$D20&lt;&gt;"",ISNA(MATCH($D20,Tables2!$B$66:$B$68,0))),
Error!$B$63,
IF(AND(_xlpm.baseRow,$D20="Off Site",$E20&lt;&gt;"",$E20&lt;&gt;"Yes"),
Error!$B$28,
IF(AND(_xlpm.baseRow,OR($D20="On Site",$D20="Right-of-Way"),$E20&lt;&gt;"",ISNA(MATCH($E20,MultiSelect2[TreeMitigation],0))),
Error!$B$28,
IF(AND(_xlpm.baseRow,$D20&lt;&gt;"",$E20&lt;&gt;"",COUNTIF(_xlpm.FRange,"&lt;&gt;")=0),
Error!$B$26,
IF(AND($E20="No",$F20&lt;&gt;"",ISNA(MATCH($F20,Tables2!$B$55:$B$57,0))),
Error!$B$27,
IF(AND($E20="Yes",$F20&lt;&gt;"",ISNA(MATCH($F20,Tables2!$B$48:$B$52,0))),
Error!$B$27,
IF(AND($D20="Off Site",$E20="Yes",$F20&lt;&gt;"",ISNA(MATCH($F20,Tables2!$B$60:$B$62,0))),
Error!$B$27,
IF(AND(_xlpm.baseRow,_xlpm.Street&gt;0,_xlpm.ECA&gt;0),
Error!$B$29,
IF(AND(_xlpm.baseRow,_xlpm.Street&gt;0,_xlpm.Points&gt;0),
Error!$B$30,
IF(AND(_xlpm.baseRow,_xlpm.Street&gt;0,_xlpm.ReplaceReq&gt;0),
Error!$B$31,
IF(AND(_xlpm.baseRow,$D20&lt;&gt;"",$E20&lt;&gt;"",$G20&lt;&gt;"",_xlpm.DecBroad&gt;0,OR(_xlpm.Points&gt;0,_xlpm.Green&gt;0,_xlpm.ReplaceReq&gt;0),_xlpm.Street=0,$G20&lt;1.5),
Error!$B$42,
IF(AND(_xlpm.baseRow,$D20&lt;&gt;"",$E20&lt;&gt;"",$H20&lt;&gt;"",$H20&lt;4,_xlpm.Street&gt;0,_xlpm.Green&gt;0,COUNTA(_xlpm.FRange)&gt;0),
Error!$B$32,
IF(AND(_xlpm.baseRow,$G20="",_xlpm.ECA&gt;0,_xlpm.DecBroad&gt;0,_xlpm.ReplaceReq&gt;0),
Error!$B$52,
IF(AND(_xlpm.baseRow,$E20&lt;&gt;"", $H20="",_xlpm.ECA&gt;0,_xlpm.Coniferous&gt;0,_xlpm.ReplaceReq&gt;0),
Error!$B$53,
IF(AND(_xlpm.baseRow,$G20="",$H20="",_xlpm.ECA&gt;0,_xlpm.ReplaceReq&gt;0),
Error!$B$39,
IF(AND(_xlpm.baseRow,$D20&lt;&gt;"",$E20&lt;&gt;"",$G20="",$H20="",_xlpm.Coniferous&gt;0,_xlpm.ReplaceReq&gt;0,_xlpm.ECA&gt;0),
Error!$B$50,
IF(AND(_xlpm.baseRow,$D20&lt;&gt;"",$E20&lt;&gt;"",$G20&lt;&gt;"",_xlpm.Street&gt;0,$G20&lt;2),
Error!$B$43,
IF(AND(_xlpm.baseRow,$D20&lt;&gt;"",$E20&lt;&gt;"",_xlpm.Green&gt;0,_xlpm.DecBroad&gt;0,$G20=""),
Error!$B$49,
IF(AND(_xlpm.baseRow,$D20&lt;&gt;"",$E20&lt;&gt;"",$H20&lt;&gt;"",$H20&lt;4,_xlpm.Green&gt;0,_xlpm.DecBroad&gt;0,$G20=""),
Error!$B$51,
IF(AND(_xlpm.baseRow,$D20&lt;&gt;"",$E20&lt;&gt;"",_xlpm.Green&gt;0,_xlpm.Coniferous&gt;0,$H20=""),
Error!$B$50,
IF(AND(_xlpm.baseRow,$D20&lt;&gt;"",$E20&lt;&gt;"",_xlpm.Points&gt;0,_xlpm.DecBroad&gt;0,$G20=""),
Error!$B$49,
IF(AND(_xlpm.baseRow,$D20&lt;&gt;"",$E20&lt;&gt;"",_xlpm.Points&gt;0,_xlpm.Coniferous&gt;0,$H20=""),
Error!$B$50,
IF(AND(_xlpm.baseRow,$D20&lt;&gt;"",$E20&lt;&gt;"",_xlpm.ReplaceReq&gt;0,_xlpm.DecBroad&gt;0,$G20=""),
Error!$B$49,
IF(AND(_xlpm.baseRow,$D20&lt;&gt;"",$E20&lt;&gt;"",_xlpm.ReplaceReq&gt;0,_xlpm.Coniferous&gt;0,$H20=""),
Error!$B$50,
IF(AND(_xlpm.baseRow,$D20&lt;&gt;"",$E20&lt;&gt;"",_xlpm.Street&gt;0,$G20=""),
Error!$B$49,
IF(AND(_xlpm.baseRow,$D20&lt;&gt;"",$E20&lt;&gt;"",$H20&lt;&gt;"",$H20&lt;4,OR(ISNA(MATCH($C20,'Tree List'!$C$3:$C$601,0)),$C20=""),_xlpm.Green&gt;0,COUNTA(_xlpm.FRange)&gt;0),
Error!$B$51,
IF(AND(_xlpm.baseRow,$D20&lt;&gt;"",$E20&lt;&gt;"",$H20&lt;&gt;"",$H20&lt;4,_xlpm.DecBroad&gt;0,_xlpm.Green&gt;0,COUNTA(_xlpm.FRange)&gt;0),
Error!$B$51,
IF(AND(_xlpm.baseRow,$D20&lt;&gt;"",$E20&lt;&gt;"",$G20="",$H20="",OR(_xlpm.ReplaceReq&gt;0,_xlpm.Green&gt;0,_xlpm.Points&gt;0,_xlpm.Street&gt;0)),
Error!$B$38,
IF(AND(_xlpm.baseRow,$D20&lt;&gt;"",$E20&lt;&gt;"",$H20&lt;&gt;"",$H20&lt;4,_xlpm.Street=0,_xlpm.Coniferous&gt;0,COUNTA(_xlpm.FRange)&gt;0),
Error!$B$32,
IF(AND(_xlpm.baseRow,_xlpm.DecBroad&gt;0,$D20&lt;&gt;"",$E20&lt;&gt;"",$G20&lt;&gt;"",$G20&lt;1.5,_xlpm.Street=0,COUNTA(_xlpm.FRange)&gt;0),
Error!$B$42,
IF(AND(_xlpm.baseRow,$I20="",$H20="",_xlpm.ECA&gt;0,_xlpm.ReplaceReq=0),
Error!$B$33,
IF(AND(_xlpm.baseRow,OR($J20="",$J20&lt;=0),_xlpm.ReplaceReq&gt;0),
Error!$B$34,
IF(AND(_xlpm.baseRow,$K20&lt;&gt;"",_xlpm.Points&gt;0,ISNA(MATCH($K20,Tables!$B$242:$B$253,0))),
Error!$B$58,
IF(AND($K20="Small",$L20&lt;&gt;"",ISNA(MATCH($L20,Tables2!$C$35:$C$36,0))),
Error!$B$60,
IF(AND($K20="Small/Medium",$L20&lt;&gt;"",ISNA(MATCH($L20,Tables2!$C$38:$C$39,0))),
Error!$B$60,
IF(AND($K20="Medium/Large",$L20&lt;&gt;"",ISNA(MATCH($L20,Tables2!$C$41:$C$42,0))),
Error!$B$60,
IF(AND($K20="Large",$L20&lt;&gt;"",ISNA(MATCH($L20,Tables2!$C$44:$C$45,0))),
Error!$B$60,
IF(AND(_xlpm.baseRow,$B20&lt;&gt;"", $C20&lt;&gt;"", $D20&lt;&gt;"", $E20&lt;&gt;"", OR($M20="",$K20="",$L20=""),_xlpm.Points&gt;0),
Error!$B$35,
IF(AND(_xlpm.baseRow,$D20&lt;&gt;"",$E20&lt;&gt;"",$N20=""),
Error!$B$36,
""))))))))))))))))))))))))))))))))))))))))))),Error!$B$37))</f>
        <v/>
      </c>
      <c r="P20" s="355" t="str" cm="1">
        <f t="array" aca="1" ref="P20" ca="1">IFERROR(_xlfn.LET(
    _xlpm.txt, $C20,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1" spans="1:16" x14ac:dyDescent="0.3">
      <c r="A21" s="92"/>
      <c r="B21" s="439" t="str">
        <f>IF($B19="", "", $B19)</f>
        <v/>
      </c>
      <c r="C21" s="438"/>
      <c r="D21" s="439" t="str">
        <f>IF($D19="", "", $D19)</f>
        <v/>
      </c>
      <c r="E21" s="439" t="str">
        <f>IF($E19="", "", $E19)</f>
        <v/>
      </c>
      <c r="F21" s="300"/>
      <c r="G21" s="160"/>
      <c r="H21" s="440"/>
      <c r="I21" s="441"/>
      <c r="J21" s="459"/>
      <c r="K21" s="442" t="str">
        <f>IFERROR(
IF(
    AND(
        MOD(ROW()-11,4)=0,
        COUNTIF(INDEX(F:F, 11 + 4*INT((ROW()-11)/4)):INDEX(F:F, 14 + 4*INT((ROW()-11)/4)),"Zoning: Tree Points")&gt;0,
        COUNTIFS('Tree List'!$C$3:$C$601,$C21,'Tree List'!$H$3:$H$601,"sp.")=0
    ),
    VLOOKUP($C21,'Tree List'!$C$3:$F$601,4,FALSE),
    ""
),
"")</f>
        <v/>
      </c>
      <c r="L21" s="443" t="str" cm="1">
        <f t="array" ref="L21">IFERROR(
IF(
    AND(
        COUNTIF(INDEX(F:F, 11 + 4*INT((ROW()-11)/4)):INDEX(F:F, 14 + 4*INT((ROW()-11)/4)),"Zoning: Tree Points")&gt;0,
        COUNTIFS('Tree List'!$C$3:$C$601,$C21,'Tree List'!$H$3:$H$601,"sp.")&gt;0
    ),
    "",
    _xlfn.IFS(
        (COUNTIFS('Tree List'!$C$3:$C$601,$C21,'Tree List'!$D$3:$D$601,"Coniferous")
        + COUNTIFS('Tree List'!$C$3:$C$601,$C21,'Tree List'!$D$3:$D$601,"Deciduous Conifer")) &gt; 0,
            _xlfn.IFS($K21="Small",1.25,$K21="Small/Medium",2.5,$K21="Medium/Large",3.75,$K21="Large",5),
        (COUNTIFS('Tree List'!$C$3:$C$601,$C21,'Tree List'!$D$3:$D$601,"Deciduous")
        + COUNTIFS('Tree List'!$C$3:$C$601,$C21,'Tree List'!$D$3:$D$601,"Broadleaf Evergreen")) &gt; 0,
            _xlfn.IFS($K21="Small",1,$K21="Small/Medium",2,$K21="Medium/Large",3,$K21="Large",4)
    )
),
"")</f>
        <v/>
      </c>
      <c r="M21" s="472"/>
      <c r="N21" s="434"/>
      <c r="O21" s="340" t="str" cm="1">
        <f t="array" aca="1" ref="O21"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List'!$C$3:$C$601,$C21,'Tree List'!$D$3:$D$601,{"Deciduous","Broadleaf Evergreen"})),
_xlpm.Coniferous,SUM(COUNTIFS('Tree List'!$C$3:$C$601,$C21,'Tree List'!$D$3:$D$601,{"Coniferous","Deciduous Conifer"})),
IFERROR(
IF(AND(_xlpm.baseRow,ISNA(MATCH($C21,'Tree List'!$C$3:$C$601,0)),SUMPRODUCT(--ISNUMBER(SEARCH(Tables2!$C$677:$C$825,$P21)))&gt;0),
Error!$B$64,
IF(AND(_xlpm.baseRow,COUNTIF(_xlpm.FRange,"ECA / Shoreline")&gt;0,$D21&lt;&gt;"",$E21&lt;&gt;"",$N21=""),
Error!$B$55,
IF(AND(_xlpm.baseRow,$D21&lt;&gt;"",$E21&lt;&gt;"",COUNTBLANK($B21:$C21)&gt;0,COUNTBLANK($F21:$F24)&lt;&gt;4),
Error!$B$22,
IF(AND(_xlpm.baseRow,$D21="Right-of-Way", $E21=""),
Error!$B$67,
IF(AND(_xlpm.baseRow,$D21&lt;&gt;"",ISNA(MATCH($D21,Tables2!$B$66:$B$68,0))),
Error!$B$63,
IF(AND(_xlpm.baseRow,$D21="Off Site",$E21&lt;&gt;"",$E21&lt;&gt;"Yes"),
Error!$B$28,
IF(AND(_xlpm.baseRow,OR($D21="On Site",$D21="Right-of-Way"),$E21&lt;&gt;"",ISNA(MATCH($E21,MultiSelect2[TreeMitigation],0))),
Error!$B$28,
IF(AND(_xlpm.baseRow,$D21&lt;&gt;"",$E21&lt;&gt;"",COUNTIF(_xlpm.FRange,"&lt;&gt;")=0),
Error!$B$26,
IF(AND($E21="No",$F21&lt;&gt;"",ISNA(MATCH($F21,Tables2!$B$55:$B$57,0))),
Error!$B$27,
IF(AND($E21="Yes",$F21&lt;&gt;"",ISNA(MATCH($F21,Tables2!$B$48:$B$52,0))),
Error!$B$27,
IF(AND($D21="Off Site",$E21="Yes",$F21&lt;&gt;"",ISNA(MATCH($F21,Tables2!$B$60:$B$62,0))),
Error!$B$27,
IF(AND(_xlpm.baseRow,_xlpm.Street&gt;0,_xlpm.ECA&gt;0),
Error!$B$29,
IF(AND(_xlpm.baseRow,_xlpm.Street&gt;0,_xlpm.Points&gt;0),
Error!$B$30,
IF(AND(_xlpm.baseRow,_xlpm.Street&gt;0,_xlpm.ReplaceReq&gt;0),
Error!$B$31,
IF(AND(_xlpm.baseRow,$D21&lt;&gt;"",$E21&lt;&gt;"",$G21&lt;&gt;"",_xlpm.DecBroad&gt;0,OR(_xlpm.Points&gt;0,_xlpm.Green&gt;0,_xlpm.ReplaceReq&gt;0),_xlpm.Street=0,$G21&lt;1.5),
Error!$B$42,
IF(AND(_xlpm.baseRow,$D21&lt;&gt;"",$E21&lt;&gt;"",$H21&lt;&gt;"",$H21&lt;4,_xlpm.Street&gt;0,_xlpm.Green&gt;0,COUNTA(_xlpm.FRange)&gt;0),
Error!$B$32,
IF(AND(_xlpm.baseRow,$G21="",_xlpm.ECA&gt;0,_xlpm.DecBroad&gt;0,_xlpm.ReplaceReq&gt;0),
Error!$B$52,
IF(AND(_xlpm.baseRow,$E21&lt;&gt;"", $H21="",_xlpm.ECA&gt;0,_xlpm.Coniferous&gt;0,_xlpm.ReplaceReq&gt;0),
Error!$B$53,
IF(AND(_xlpm.baseRow,$G21="",$H21="",_xlpm.ECA&gt;0,_xlpm.ReplaceReq&gt;0),
Error!$B$39,
IF(AND(_xlpm.baseRow,$D21&lt;&gt;"",$E21&lt;&gt;"",$G21="",$H21="",_xlpm.Coniferous&gt;0,_xlpm.ReplaceReq&gt;0,_xlpm.ECA&gt;0),
Error!$B$50,
IF(AND(_xlpm.baseRow,$D21&lt;&gt;"",$E21&lt;&gt;"",$G21&lt;&gt;"",_xlpm.Street&gt;0,$G21&lt;2),
Error!$B$43,
IF(AND(_xlpm.baseRow,$D21&lt;&gt;"",$E21&lt;&gt;"",_xlpm.Green&gt;0,_xlpm.DecBroad&gt;0,$G21=""),
Error!$B$49,
IF(AND(_xlpm.baseRow,$D21&lt;&gt;"",$E21&lt;&gt;"",$H21&lt;&gt;"",$H21&lt;4,_xlpm.Green&gt;0,_xlpm.DecBroad&gt;0,$G21=""),
Error!$B$51,
IF(AND(_xlpm.baseRow,$D21&lt;&gt;"",$E21&lt;&gt;"",_xlpm.Green&gt;0,_xlpm.Coniferous&gt;0,$H21=""),
Error!$B$50,
IF(AND(_xlpm.baseRow,$D21&lt;&gt;"",$E21&lt;&gt;"",_xlpm.Points&gt;0,_xlpm.DecBroad&gt;0,$G21=""),
Error!$B$49,
IF(AND(_xlpm.baseRow,$D21&lt;&gt;"",$E21&lt;&gt;"",_xlpm.Points&gt;0,_xlpm.Coniferous&gt;0,$H21=""),
Error!$B$50,
IF(AND(_xlpm.baseRow,$D21&lt;&gt;"",$E21&lt;&gt;"",_xlpm.ReplaceReq&gt;0,_xlpm.DecBroad&gt;0,$G21=""),
Error!$B$49,
IF(AND(_xlpm.baseRow,$D21&lt;&gt;"",$E21&lt;&gt;"",_xlpm.ReplaceReq&gt;0,_xlpm.Coniferous&gt;0,$H21=""),
Error!$B$50,
IF(AND(_xlpm.baseRow,$D21&lt;&gt;"",$E21&lt;&gt;"",_xlpm.Street&gt;0,$G21=""),
Error!$B$49,
IF(AND(_xlpm.baseRow,$D21&lt;&gt;"",$E21&lt;&gt;"",$H21&lt;&gt;"",$H21&lt;4,OR(ISNA(MATCH($C21,'Tree List'!$C$3:$C$601,0)),$C21=""),_xlpm.Green&gt;0,COUNTA(_xlpm.FRange)&gt;0),
Error!$B$51,
IF(AND(_xlpm.baseRow,$D21&lt;&gt;"",$E21&lt;&gt;"",$H21&lt;&gt;"",$H21&lt;4,_xlpm.DecBroad&gt;0,_xlpm.Green&gt;0,COUNTA(_xlpm.FRange)&gt;0),
Error!$B$51,
IF(AND(_xlpm.baseRow,$D21&lt;&gt;"",$E21&lt;&gt;"",$G21="",$H21="",OR(_xlpm.ReplaceReq&gt;0,_xlpm.Green&gt;0,_xlpm.Points&gt;0,_xlpm.Street&gt;0)),
Error!$B$38,
IF(AND(_xlpm.baseRow,$D21&lt;&gt;"",$E21&lt;&gt;"",$H21&lt;&gt;"",$H21&lt;4,_xlpm.Street=0,_xlpm.Coniferous&gt;0,COUNTA(_xlpm.FRange)&gt;0),
Error!$B$32,
IF(AND(_xlpm.baseRow,_xlpm.DecBroad&gt;0,$D21&lt;&gt;"",$E21&lt;&gt;"",$G21&lt;&gt;"",$G21&lt;1.5,_xlpm.Street=0,COUNTA(_xlpm.FRange)&gt;0),
Error!$B$42,
IF(AND(_xlpm.baseRow,$I21="",$H21="",_xlpm.ECA&gt;0,_xlpm.ReplaceReq=0),
Error!$B$33,
IF(AND(_xlpm.baseRow,OR($J21="",$J21&lt;=0),_xlpm.ReplaceReq&gt;0),
Error!$B$34,
IF(AND(_xlpm.baseRow,$K21&lt;&gt;"",_xlpm.Points&gt;0,ISNA(MATCH($K21,Tables!$B$242:$B$253,0))),
Error!$B$58,
IF(AND($K21="Small",$L21&lt;&gt;"",ISNA(MATCH($L21,Tables2!$C$35:$C$36,0))),
Error!$B$60,
IF(AND($K21="Small/Medium",$L21&lt;&gt;"",ISNA(MATCH($L21,Tables2!$C$38:$C$39,0))),
Error!$B$60,
IF(AND($K21="Medium/Large",$L21&lt;&gt;"",ISNA(MATCH($L21,Tables2!$C$41:$C$42,0))),
Error!$B$60,
IF(AND($K21="Large",$L21&lt;&gt;"",ISNA(MATCH($L21,Tables2!$C$44:$C$45,0))),
Error!$B$60,
IF(AND(_xlpm.baseRow,$B21&lt;&gt;"", $C21&lt;&gt;"", $D21&lt;&gt;"", $E21&lt;&gt;"", OR($M21="",$K21="",$L21=""),_xlpm.Points&gt;0),
Error!$B$35,
IF(AND(_xlpm.baseRow,$D21&lt;&gt;"",$E21&lt;&gt;"",$N21=""),
Error!$B$36,
""))))))))))))))))))))))))))))))))))))))))))),Error!$B$37))</f>
        <v/>
      </c>
      <c r="P21" s="355" t="str" cm="1">
        <f t="array" aca="1" ref="P21" ca="1">IFERROR(_xlfn.LET(
    _xlpm.txt, $C21,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2" spans="1:16" ht="15" thickBot="1" x14ac:dyDescent="0.35">
      <c r="A22" s="92"/>
      <c r="B22" s="439" t="str">
        <f>IF($B19="", "", $B19)</f>
        <v/>
      </c>
      <c r="C22" s="438"/>
      <c r="D22" s="439" t="str">
        <f>IF($D19="", "", $D19)</f>
        <v/>
      </c>
      <c r="E22" s="439" t="str">
        <f>IF($E19="", "", $E19)</f>
        <v/>
      </c>
      <c r="F22" s="300"/>
      <c r="G22" s="161"/>
      <c r="H22" s="183"/>
      <c r="I22" s="180"/>
      <c r="J22" s="460"/>
      <c r="K22" s="176" t="str">
        <f>IFERROR(
IF(
    AND(
        MOD(ROW()-11,4)=0,
        COUNTIF(INDEX(F:F, 11 + 4*INT((ROW()-11)/4)):INDEX(F:F, 14 + 4*INT((ROW()-11)/4)),"Zoning: Tree Points")&gt;0,
        COUNTIFS('Tree List'!$C$3:$C$601,$C22,'Tree List'!$H$3:$H$601,"sp.")=0
    ),
    VLOOKUP($C22,'Tree List'!$C$3:$F$601,4,FALSE),
    ""
),
"")</f>
        <v/>
      </c>
      <c r="L22" s="177" t="str" cm="1">
        <f t="array" ref="L22">IFERROR(
IF(
    AND(
        COUNTIF(INDEX(F:F, 11 + 4*INT((ROW()-11)/4)):INDEX(F:F, 14 + 4*INT((ROW()-11)/4)),"Zoning: Tree Points")&gt;0,
        COUNTIFS('Tree List'!$C$3:$C$601,$C22,'Tree List'!$H$3:$H$601,"sp.")&gt;0
    ),
    "",
    _xlfn.IFS(
        (COUNTIFS('Tree List'!$C$3:$C$601,$C22,'Tree List'!$D$3:$D$601,"Coniferous")
        + COUNTIFS('Tree List'!$C$3:$C$601,$C22,'Tree List'!$D$3:$D$601,"Deciduous Conifer")) &gt; 0,
            _xlfn.IFS($K22="Small",1.25,$K22="Small/Medium",2.5,$K22="Medium/Large",3.75,$K22="Large",5),
        (COUNTIFS('Tree List'!$C$3:$C$601,$C22,'Tree List'!$D$3:$D$601,"Deciduous")
        + COUNTIFS('Tree List'!$C$3:$C$601,$C22,'Tree List'!$D$3:$D$601,"Broadleaf Evergreen")) &gt; 0,
            _xlfn.IFS($K22="Small",1,$K22="Small/Medium",2,$K22="Medium/Large",3,$K22="Large",4)
    )
),
"")</f>
        <v/>
      </c>
      <c r="M22" s="473"/>
      <c r="N22" s="434"/>
      <c r="O22" s="341" t="str" cm="1">
        <f t="array" aca="1" ref="O22"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List'!$C$3:$C$601,$C22,'Tree List'!$D$3:$D$601,{"Deciduous","Broadleaf Evergreen"})),
_xlpm.Coniferous,SUM(COUNTIFS('Tree List'!$C$3:$C$601,$C22,'Tree List'!$D$3:$D$601,{"Coniferous","Deciduous Conifer"})),
IFERROR(
IF(AND(_xlpm.baseRow,ISNA(MATCH($C22,'Tree List'!$C$3:$C$601,0)),SUMPRODUCT(--ISNUMBER(SEARCH(Tables2!$C$677:$C$825,$P22)))&gt;0),
Error!$B$64,
IF(AND(_xlpm.baseRow,COUNTIF(_xlpm.FRange,"ECA / Shoreline")&gt;0,$D22&lt;&gt;"",$E22&lt;&gt;"",$N22=""),
Error!$B$55,
IF(AND(_xlpm.baseRow,$D22&lt;&gt;"",$E22&lt;&gt;"",COUNTBLANK($B22:$C22)&gt;0,COUNTBLANK($F22:$F25)&lt;&gt;4),
Error!$B$22,
IF(AND(_xlpm.baseRow,$D22="Right-of-Way", $E22=""),
Error!$B$67,
IF(AND(_xlpm.baseRow,$D22&lt;&gt;"",ISNA(MATCH($D22,Tables2!$B$66:$B$68,0))),
Error!$B$63,
IF(AND(_xlpm.baseRow,$D22="Off Site",$E22&lt;&gt;"",$E22&lt;&gt;"Yes"),
Error!$B$28,
IF(AND(_xlpm.baseRow,OR($D22="On Site",$D22="Right-of-Way"),$E22&lt;&gt;"",ISNA(MATCH($E22,MultiSelect2[TreeMitigation],0))),
Error!$B$28,
IF(AND(_xlpm.baseRow,$D22&lt;&gt;"",$E22&lt;&gt;"",COUNTIF(_xlpm.FRange,"&lt;&gt;")=0),
Error!$B$26,
IF(AND($E22="No",$F22&lt;&gt;"",ISNA(MATCH($F22,Tables2!$B$55:$B$57,0))),
Error!$B$27,
IF(AND($E22="Yes",$F22&lt;&gt;"",ISNA(MATCH($F22,Tables2!$B$48:$B$52,0))),
Error!$B$27,
IF(AND($D22="Off Site",$E22="Yes",$F22&lt;&gt;"",ISNA(MATCH($F22,Tables2!$B$60:$B$62,0))),
Error!$B$27,
IF(AND(_xlpm.baseRow,_xlpm.Street&gt;0,_xlpm.ECA&gt;0),
Error!$B$29,
IF(AND(_xlpm.baseRow,_xlpm.Street&gt;0,_xlpm.Points&gt;0),
Error!$B$30,
IF(AND(_xlpm.baseRow,_xlpm.Street&gt;0,_xlpm.ReplaceReq&gt;0),
Error!$B$31,
IF(AND(_xlpm.baseRow,$D22&lt;&gt;"",$E22&lt;&gt;"",$G22&lt;&gt;"",_xlpm.DecBroad&gt;0,OR(_xlpm.Points&gt;0,_xlpm.Green&gt;0,_xlpm.ReplaceReq&gt;0),_xlpm.Street=0,$G22&lt;1.5),
Error!$B$42,
IF(AND(_xlpm.baseRow,$D22&lt;&gt;"",$E22&lt;&gt;"",$H22&lt;&gt;"",$H22&lt;4,_xlpm.Street&gt;0,_xlpm.Green&gt;0,COUNTA(_xlpm.FRange)&gt;0),
Error!$B$32,
IF(AND(_xlpm.baseRow,$G22="",_xlpm.ECA&gt;0,_xlpm.DecBroad&gt;0,_xlpm.ReplaceReq&gt;0),
Error!$B$52,
IF(AND(_xlpm.baseRow,$E22&lt;&gt;"", $H22="",_xlpm.ECA&gt;0,_xlpm.Coniferous&gt;0,_xlpm.ReplaceReq&gt;0),
Error!$B$53,
IF(AND(_xlpm.baseRow,$G22="",$H22="",_xlpm.ECA&gt;0,_xlpm.ReplaceReq&gt;0),
Error!$B$39,
IF(AND(_xlpm.baseRow,$D22&lt;&gt;"",$E22&lt;&gt;"",$G22="",$H22="",_xlpm.Coniferous&gt;0,_xlpm.ReplaceReq&gt;0,_xlpm.ECA&gt;0),
Error!$B$50,
IF(AND(_xlpm.baseRow,$D22&lt;&gt;"",$E22&lt;&gt;"",$G22&lt;&gt;"",_xlpm.Street&gt;0,$G22&lt;2),
Error!$B$43,
IF(AND(_xlpm.baseRow,$D22&lt;&gt;"",$E22&lt;&gt;"",_xlpm.Green&gt;0,_xlpm.DecBroad&gt;0,$G22=""),
Error!$B$49,
IF(AND(_xlpm.baseRow,$D22&lt;&gt;"",$E22&lt;&gt;"",$H22&lt;&gt;"",$H22&lt;4,_xlpm.Green&gt;0,_xlpm.DecBroad&gt;0,$G22=""),
Error!$B$51,
IF(AND(_xlpm.baseRow,$D22&lt;&gt;"",$E22&lt;&gt;"",_xlpm.Green&gt;0,_xlpm.Coniferous&gt;0,$H22=""),
Error!$B$50,
IF(AND(_xlpm.baseRow,$D22&lt;&gt;"",$E22&lt;&gt;"",_xlpm.Points&gt;0,_xlpm.DecBroad&gt;0,$G22=""),
Error!$B$49,
IF(AND(_xlpm.baseRow,$D22&lt;&gt;"",$E22&lt;&gt;"",_xlpm.Points&gt;0,_xlpm.Coniferous&gt;0,$H22=""),
Error!$B$50,
IF(AND(_xlpm.baseRow,$D22&lt;&gt;"",$E22&lt;&gt;"",_xlpm.ReplaceReq&gt;0,_xlpm.DecBroad&gt;0,$G22=""),
Error!$B$49,
IF(AND(_xlpm.baseRow,$D22&lt;&gt;"",$E22&lt;&gt;"",_xlpm.ReplaceReq&gt;0,_xlpm.Coniferous&gt;0,$H22=""),
Error!$B$50,
IF(AND(_xlpm.baseRow,$D22&lt;&gt;"",$E22&lt;&gt;"",_xlpm.Street&gt;0,$G22=""),
Error!$B$49,
IF(AND(_xlpm.baseRow,$D22&lt;&gt;"",$E22&lt;&gt;"",$H22&lt;&gt;"",$H22&lt;4,OR(ISNA(MATCH($C22,'Tree List'!$C$3:$C$601,0)),$C22=""),_xlpm.Green&gt;0,COUNTA(_xlpm.FRange)&gt;0),
Error!$B$51,
IF(AND(_xlpm.baseRow,$D22&lt;&gt;"",$E22&lt;&gt;"",$H22&lt;&gt;"",$H22&lt;4,_xlpm.DecBroad&gt;0,_xlpm.Green&gt;0,COUNTA(_xlpm.FRange)&gt;0),
Error!$B$51,
IF(AND(_xlpm.baseRow,$D22&lt;&gt;"",$E22&lt;&gt;"",$G22="",$H22="",OR(_xlpm.ReplaceReq&gt;0,_xlpm.Green&gt;0,_xlpm.Points&gt;0,_xlpm.Street&gt;0)),
Error!$B$38,
IF(AND(_xlpm.baseRow,$D22&lt;&gt;"",$E22&lt;&gt;"",$H22&lt;&gt;"",$H22&lt;4,_xlpm.Street=0,_xlpm.Coniferous&gt;0,COUNTA(_xlpm.FRange)&gt;0),
Error!$B$32,
IF(AND(_xlpm.baseRow,_xlpm.DecBroad&gt;0,$D22&lt;&gt;"",$E22&lt;&gt;"",$G22&lt;&gt;"",$G22&lt;1.5,_xlpm.Street=0,COUNTA(_xlpm.FRange)&gt;0),
Error!$B$42,
IF(AND(_xlpm.baseRow,$I22="",$H22="",_xlpm.ECA&gt;0,_xlpm.ReplaceReq=0),
Error!$B$33,
IF(AND(_xlpm.baseRow,OR($J22="",$J22&lt;=0),_xlpm.ReplaceReq&gt;0),
Error!$B$34,
IF(AND(_xlpm.baseRow,$K22&lt;&gt;"",_xlpm.Points&gt;0,ISNA(MATCH($K22,Tables!$B$242:$B$253,0))),
Error!$B$58,
IF(AND($K22="Small",$L22&lt;&gt;"",ISNA(MATCH($L22,Tables2!$C$35:$C$36,0))),
Error!$B$60,
IF(AND($K22="Small/Medium",$L22&lt;&gt;"",ISNA(MATCH($L22,Tables2!$C$38:$C$39,0))),
Error!$B$60,
IF(AND($K22="Medium/Large",$L22&lt;&gt;"",ISNA(MATCH($L22,Tables2!$C$41:$C$42,0))),
Error!$B$60,
IF(AND($K22="Large",$L22&lt;&gt;"",ISNA(MATCH($L22,Tables2!$C$44:$C$45,0))),
Error!$B$60,
IF(AND(_xlpm.baseRow,$B22&lt;&gt;"", $C22&lt;&gt;"", $D22&lt;&gt;"", $E22&lt;&gt;"", OR($M22="",$K22="",$L22=""),_xlpm.Points&gt;0),
Error!$B$35,
IF(AND(_xlpm.baseRow,$D22&lt;&gt;"",$E22&lt;&gt;"",$N22=""),
Error!$B$36,
""))))))))))))))))))))))))))))))))))))))))))),Error!$B$37))</f>
        <v/>
      </c>
      <c r="P22" s="355" t="str" cm="1">
        <f t="array" aca="1" ref="P22" ca="1">IFERROR(_xlfn.LET(
    _xlpm.txt, $C22,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3" spans="1:16" ht="15" thickBot="1" x14ac:dyDescent="0.35">
      <c r="A23" s="437">
        <v>4</v>
      </c>
      <c r="B23" s="448"/>
      <c r="C23" s="444"/>
      <c r="D23" s="295"/>
      <c r="E23" s="295"/>
      <c r="F23" s="301"/>
      <c r="G23" s="257"/>
      <c r="H23" s="181"/>
      <c r="I23" s="178"/>
      <c r="J23" s="457"/>
      <c r="K23" s="172" t="str">
        <f>IFERROR(
IF(
    AND(
        MOD(ROW()-11,4)=0,
        COUNTIF(INDEX(F:F, 11 + 4*INT((ROW()-11)/4)):INDEX(F:F, 14 + 4*INT((ROW()-11)/4)),"Zoning: Tree Points")&gt;0,
        COUNTIFS('Tree List'!$C$3:$C$601,$C23,'Tree List'!$H$3:$H$601,"sp.")=0
    ),
    VLOOKUP($C23,'Tree List'!$C$3:$F$601,4,FALSE),
    ""
),
"")</f>
        <v/>
      </c>
      <c r="L23" s="173" t="str" cm="1">
        <f t="array" ref="L23">IFERROR(
IF(
    AND(
        COUNTIF(INDEX(F:F, 11 + 4*INT((ROW()-11)/4)):INDEX(F:F, 14 + 4*INT((ROW()-11)/4)),"Zoning: Tree Points")&gt;0,
        COUNTIFS('Tree List'!$C$3:$C$601,$C23,'Tree List'!$H$3:$H$601,"sp.")&gt;0
    ),
    "",
    _xlfn.IFS(
        (COUNTIFS('Tree List'!$C$3:$C$601,$C23,'Tree List'!$D$3:$D$601,"Coniferous")
        + COUNTIFS('Tree List'!$C$3:$C$601,$C23,'Tree List'!$D$3:$D$601,"Deciduous Conifer")) &gt; 0,
            _xlfn.IFS($K23="Small",1.25,$K23="Small/Medium",2.5,$K23="Medium/Large",3.75,$K23="Large",5),
        (COUNTIFS('Tree List'!$C$3:$C$601,$C23,'Tree List'!$D$3:$D$601,"Deciduous")
        + COUNTIFS('Tree List'!$C$3:$C$601,$C23,'Tree List'!$D$3:$D$601,"Broadleaf Evergreen")) &gt; 0,
            _xlfn.IFS($K23="Small",1,$K23="Small/Medium",2,$K23="Medium/Large",3,$K23="Large",4)
    )
),
"")</f>
        <v/>
      </c>
      <c r="M23" s="470" t="str">
        <f t="shared" si="0"/>
        <v/>
      </c>
      <c r="N23" s="744"/>
      <c r="O23" s="737" t="str" cm="1">
        <f t="array" aca="1" ref="O23"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List'!$C$3:$C$601,$C23,'Tree List'!$D$3:$D$601,{"Deciduous","Broadleaf Evergreen"})),
_xlpm.Coniferous,SUM(COUNTIFS('Tree List'!$C$3:$C$601,$C23,'Tree List'!$D$3:$D$601,{"Coniferous","Deciduous Conifer"})),
IFERROR(
IF(AND(_xlpm.baseRow,ISNA(MATCH($C23,'Tree List'!$C$3:$C$601,0)),SUMPRODUCT(--ISNUMBER(SEARCH(Tables2!$C$677:$C$825,$P23)))&gt;0),
Error!$B$64,
IF(AND(_xlpm.baseRow,COUNTIF(_xlpm.FRange,"ECA / Shoreline")&gt;0,$D23&lt;&gt;"",$E23&lt;&gt;"",$N23=""),
Error!$B$55,
IF(AND(_xlpm.baseRow,$D23&lt;&gt;"",$E23&lt;&gt;"",COUNTBLANK($B23:$C23)&gt;0,COUNTBLANK($F23:$F26)&lt;&gt;4),
Error!$B$22,
IF(AND(_xlpm.baseRow,$D23="Right-of-Way", $E23=""),
Error!$B$67,
IF(AND(_xlpm.baseRow,$D23&lt;&gt;"",ISNA(MATCH($D23,Tables2!$B$66:$B$68,0))),
Error!$B$63,
IF(AND(_xlpm.baseRow,$D23="Off Site",$E23&lt;&gt;"",$E23&lt;&gt;"Yes"),
Error!$B$28,
IF(AND(_xlpm.baseRow,OR($D23="On Site",$D23="Right-of-Way"),$E23&lt;&gt;"",ISNA(MATCH($E23,MultiSelect2[TreeMitigation],0))),
Error!$B$28,
IF(AND(_xlpm.baseRow,$D23&lt;&gt;"",$E23&lt;&gt;"",COUNTIF(_xlpm.FRange,"&lt;&gt;")=0),
Error!$B$26,
IF(AND($E23="No",$F23&lt;&gt;"",ISNA(MATCH($F23,Tables2!$B$55:$B$57,0))),
Error!$B$27,
IF(AND($E23="Yes",$F23&lt;&gt;"",ISNA(MATCH($F23,Tables2!$B$48:$B$52,0))),
Error!$B$27,
IF(AND($D23="Off Site",$E23="Yes",$F23&lt;&gt;"",ISNA(MATCH($F23,Tables2!$B$60:$B$62,0))),
Error!$B$27,
IF(AND(_xlpm.baseRow,_xlpm.Street&gt;0,_xlpm.ECA&gt;0),
Error!$B$29,
IF(AND(_xlpm.baseRow,_xlpm.Street&gt;0,_xlpm.Points&gt;0),
Error!$B$30,
IF(AND(_xlpm.baseRow,_xlpm.Street&gt;0,_xlpm.ReplaceReq&gt;0),
Error!$B$31,
IF(AND(_xlpm.baseRow,$D23&lt;&gt;"",$E23&lt;&gt;"",$G23&lt;&gt;"",_xlpm.DecBroad&gt;0,OR(_xlpm.Points&gt;0,_xlpm.Green&gt;0,_xlpm.ReplaceReq&gt;0),_xlpm.Street=0,$G23&lt;1.5),
Error!$B$42,
IF(AND(_xlpm.baseRow,$D23&lt;&gt;"",$E23&lt;&gt;"",$H23&lt;&gt;"",$H23&lt;4,_xlpm.Street&gt;0,_xlpm.Green&gt;0,COUNTA(_xlpm.FRange)&gt;0),
Error!$B$32,
IF(AND(_xlpm.baseRow,$G23="",_xlpm.ECA&gt;0,_xlpm.DecBroad&gt;0,_xlpm.ReplaceReq&gt;0),
Error!$B$52,
IF(AND(_xlpm.baseRow,$E23&lt;&gt;"", $H23="",_xlpm.ECA&gt;0,_xlpm.Coniferous&gt;0,_xlpm.ReplaceReq&gt;0),
Error!$B$53,
IF(AND(_xlpm.baseRow,$G23="",$H23="",_xlpm.ECA&gt;0,_xlpm.ReplaceReq&gt;0),
Error!$B$39,
IF(AND(_xlpm.baseRow,$D23&lt;&gt;"",$E23&lt;&gt;"",$G23="",$H23="",_xlpm.Coniferous&gt;0,_xlpm.ReplaceReq&gt;0,_xlpm.ECA&gt;0),
Error!$B$50,
IF(AND(_xlpm.baseRow,$D23&lt;&gt;"",$E23&lt;&gt;"",$G23&lt;&gt;"",_xlpm.Street&gt;0,$G23&lt;2),
Error!$B$43,
IF(AND(_xlpm.baseRow,$D23&lt;&gt;"",$E23&lt;&gt;"",_xlpm.Green&gt;0,_xlpm.DecBroad&gt;0,$G23=""),
Error!$B$49,
IF(AND(_xlpm.baseRow,$D23&lt;&gt;"",$E23&lt;&gt;"",$H23&lt;&gt;"",$H23&lt;4,_xlpm.Green&gt;0,_xlpm.DecBroad&gt;0,$G23=""),
Error!$B$51,
IF(AND(_xlpm.baseRow,$D23&lt;&gt;"",$E23&lt;&gt;"",_xlpm.Green&gt;0,_xlpm.Coniferous&gt;0,$H23=""),
Error!$B$50,
IF(AND(_xlpm.baseRow,$D23&lt;&gt;"",$E23&lt;&gt;"",_xlpm.Points&gt;0,_xlpm.DecBroad&gt;0,$G23=""),
Error!$B$49,
IF(AND(_xlpm.baseRow,$D23&lt;&gt;"",$E23&lt;&gt;"",_xlpm.Points&gt;0,_xlpm.Coniferous&gt;0,$H23=""),
Error!$B$50,
IF(AND(_xlpm.baseRow,$D23&lt;&gt;"",$E23&lt;&gt;"",_xlpm.ReplaceReq&gt;0,_xlpm.DecBroad&gt;0,$G23=""),
Error!$B$49,
IF(AND(_xlpm.baseRow,$D23&lt;&gt;"",$E23&lt;&gt;"",_xlpm.ReplaceReq&gt;0,_xlpm.Coniferous&gt;0,$H23=""),
Error!$B$50,
IF(AND(_xlpm.baseRow,$D23&lt;&gt;"",$E23&lt;&gt;"",_xlpm.Street&gt;0,$G23=""),
Error!$B$49,
IF(AND(_xlpm.baseRow,$D23&lt;&gt;"",$E23&lt;&gt;"",$H23&lt;&gt;"",$H23&lt;4,OR(ISNA(MATCH($C23,'Tree List'!$C$3:$C$601,0)),$C23=""),_xlpm.Green&gt;0,COUNTA(_xlpm.FRange)&gt;0),
Error!$B$51,
IF(AND(_xlpm.baseRow,$D23&lt;&gt;"",$E23&lt;&gt;"",$H23&lt;&gt;"",$H23&lt;4,_xlpm.DecBroad&gt;0,_xlpm.Green&gt;0,COUNTA(_xlpm.FRange)&gt;0),
Error!$B$51,
IF(AND(_xlpm.baseRow,$D23&lt;&gt;"",$E23&lt;&gt;"",$G23="",$H23="",OR(_xlpm.ReplaceReq&gt;0,_xlpm.Green&gt;0,_xlpm.Points&gt;0,_xlpm.Street&gt;0)),
Error!$B$38,
IF(AND(_xlpm.baseRow,$D23&lt;&gt;"",$E23&lt;&gt;"",$H23&lt;&gt;"",$H23&lt;4,_xlpm.Street=0,_xlpm.Coniferous&gt;0,COUNTA(_xlpm.FRange)&gt;0),
Error!$B$32,
IF(AND(_xlpm.baseRow,_xlpm.DecBroad&gt;0,$D23&lt;&gt;"",$E23&lt;&gt;"",$G23&lt;&gt;"",$G23&lt;1.5,_xlpm.Street=0,COUNTA(_xlpm.FRange)&gt;0),
Error!$B$42,
IF(AND(_xlpm.baseRow,$I23="",$H23="",_xlpm.ECA&gt;0,_xlpm.ReplaceReq=0),
Error!$B$33,
IF(AND(_xlpm.baseRow,OR($J23="",$J23&lt;=0),_xlpm.ReplaceReq&gt;0),
Error!$B$34,
IF(AND(_xlpm.baseRow,$K23&lt;&gt;"",_xlpm.Points&gt;0,ISNA(MATCH($K23,Tables!$B$242:$B$253,0))),
Error!$B$58,
IF(AND($K23="Small",$L23&lt;&gt;"",ISNA(MATCH($L23,Tables2!$C$35:$C$36,0))),
Error!$B$60,
IF(AND($K23="Small/Medium",$L23&lt;&gt;"",ISNA(MATCH($L23,Tables2!$C$38:$C$39,0))),
Error!$B$60,
IF(AND($K23="Medium/Large",$L23&lt;&gt;"",ISNA(MATCH($L23,Tables2!$C$41:$C$42,0))),
Error!$B$60,
IF(AND($K23="Large",$L23&lt;&gt;"",ISNA(MATCH($L23,Tables2!$C$44:$C$45,0))),
Error!$B$60,
IF(AND(_xlpm.baseRow,$B23&lt;&gt;"", $C23&lt;&gt;"", $D23&lt;&gt;"", $E23&lt;&gt;"", OR($M23="",$K23="",$L23=""),_xlpm.Points&gt;0),
Error!$B$35,
IF(AND(_xlpm.baseRow,$D23&lt;&gt;"",$E23&lt;&gt;"",$N23=""),
Error!$B$36,
""))))))))))))))))))))))))))))))))))))))))))),Error!$B$37))</f>
        <v/>
      </c>
      <c r="P23" s="355" t="str" cm="1">
        <f t="array" aca="1" ref="P23" ca="1">IFERROR(_xlfn.LET(
    _xlpm.txt, $C23,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4" spans="1:16" x14ac:dyDescent="0.3">
      <c r="A24" s="92"/>
      <c r="B24" s="439" t="str">
        <f>IF($B23="", "", $B23)</f>
        <v/>
      </c>
      <c r="C24" s="309"/>
      <c r="D24" s="157" t="str">
        <f>IF($D23="", "", $D23)</f>
        <v/>
      </c>
      <c r="E24" s="157" t="str">
        <f>IF($E23="", "", $E23)</f>
        <v/>
      </c>
      <c r="F24" s="300"/>
      <c r="G24" s="159"/>
      <c r="H24" s="182"/>
      <c r="I24" s="179"/>
      <c r="J24" s="458"/>
      <c r="K24" s="174" t="str">
        <f>IFERROR(
IF(
    AND(
        MOD(ROW()-11,4)=0,
        COUNTIF(INDEX(F:F, 11 + 4*INT((ROW()-11)/4)):INDEX(F:F, 14 + 4*INT((ROW()-11)/4)),"Zoning: Tree Points")&gt;0,
        COUNTIFS('Tree List'!$C$3:$C$601,$C24,'Tree List'!$H$3:$H$601,"sp.")=0
    ),
    VLOOKUP($C24,'Tree List'!$C$3:$F$601,4,FALSE),
    ""
),
"")</f>
        <v/>
      </c>
      <c r="L24" s="175" t="str" cm="1">
        <f t="array" ref="L24">IFERROR(
IF(
    AND(
        COUNTIF(INDEX(F:F, 11 + 4*INT((ROW()-11)/4)):INDEX(F:F, 14 + 4*INT((ROW()-11)/4)),"Zoning: Tree Points")&gt;0,
        COUNTIFS('Tree List'!$C$3:$C$601,$C24,'Tree List'!$H$3:$H$601,"sp.")&gt;0
    ),
    "",
    _xlfn.IFS(
        (COUNTIFS('Tree List'!$C$3:$C$601,$C24,'Tree List'!$D$3:$D$601,"Coniferous")
        + COUNTIFS('Tree List'!$C$3:$C$601,$C24,'Tree List'!$D$3:$D$601,"Deciduous Conifer")) &gt; 0,
            _xlfn.IFS($K24="Small",1.25,$K24="Small/Medium",2.5,$K24="Medium/Large",3.75,$K24="Large",5),
        (COUNTIFS('Tree List'!$C$3:$C$601,$C24,'Tree List'!$D$3:$D$601,"Deciduous")
        + COUNTIFS('Tree List'!$C$3:$C$601,$C24,'Tree List'!$D$3:$D$601,"Broadleaf Evergreen")) &gt; 0,
            _xlfn.IFS($K24="Small",1,$K24="Small/Medium",2,$K24="Medium/Large",3,$K24="Large",4)
    )
),
"")</f>
        <v/>
      </c>
      <c r="M24" s="471"/>
      <c r="N24" s="434"/>
      <c r="O24" s="340" t="str" cm="1">
        <f t="array" aca="1" ref="O24"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List'!$C$3:$C$601,$C24,'Tree List'!$D$3:$D$601,{"Deciduous","Broadleaf Evergreen"})),
_xlpm.Coniferous,SUM(COUNTIFS('Tree List'!$C$3:$C$601,$C24,'Tree List'!$D$3:$D$601,{"Coniferous","Deciduous Conifer"})),
IFERROR(
IF(AND(_xlpm.baseRow,ISNA(MATCH($C24,'Tree List'!$C$3:$C$601,0)),SUMPRODUCT(--ISNUMBER(SEARCH(Tables2!$C$677:$C$825,$P24)))&gt;0),
Error!$B$64,
IF(AND(_xlpm.baseRow,COUNTIF(_xlpm.FRange,"ECA / Shoreline")&gt;0,$D24&lt;&gt;"",$E24&lt;&gt;"",$N24=""),
Error!$B$55,
IF(AND(_xlpm.baseRow,$D24&lt;&gt;"",$E24&lt;&gt;"",COUNTBLANK($B24:$C24)&gt;0,COUNTBLANK($F24:$F27)&lt;&gt;4),
Error!$B$22,
IF(AND(_xlpm.baseRow,$D24="Right-of-Way", $E24=""),
Error!$B$67,
IF(AND(_xlpm.baseRow,$D24&lt;&gt;"",ISNA(MATCH($D24,Tables2!$B$66:$B$68,0))),
Error!$B$63,
IF(AND(_xlpm.baseRow,$D24="Off Site",$E24&lt;&gt;"",$E24&lt;&gt;"Yes"),
Error!$B$28,
IF(AND(_xlpm.baseRow,OR($D24="On Site",$D24="Right-of-Way"),$E24&lt;&gt;"",ISNA(MATCH($E24,MultiSelect2[TreeMitigation],0))),
Error!$B$28,
IF(AND(_xlpm.baseRow,$D24&lt;&gt;"",$E24&lt;&gt;"",COUNTIF(_xlpm.FRange,"&lt;&gt;")=0),
Error!$B$26,
IF(AND($E24="No",$F24&lt;&gt;"",ISNA(MATCH($F24,Tables2!$B$55:$B$57,0))),
Error!$B$27,
IF(AND($E24="Yes",$F24&lt;&gt;"",ISNA(MATCH($F24,Tables2!$B$48:$B$52,0))),
Error!$B$27,
IF(AND($D24="Off Site",$E24="Yes",$F24&lt;&gt;"",ISNA(MATCH($F24,Tables2!$B$60:$B$62,0))),
Error!$B$27,
IF(AND(_xlpm.baseRow,_xlpm.Street&gt;0,_xlpm.ECA&gt;0),
Error!$B$29,
IF(AND(_xlpm.baseRow,_xlpm.Street&gt;0,_xlpm.Points&gt;0),
Error!$B$30,
IF(AND(_xlpm.baseRow,_xlpm.Street&gt;0,_xlpm.ReplaceReq&gt;0),
Error!$B$31,
IF(AND(_xlpm.baseRow,$D24&lt;&gt;"",$E24&lt;&gt;"",$G24&lt;&gt;"",_xlpm.DecBroad&gt;0,OR(_xlpm.Points&gt;0,_xlpm.Green&gt;0,_xlpm.ReplaceReq&gt;0),_xlpm.Street=0,$G24&lt;1.5),
Error!$B$42,
IF(AND(_xlpm.baseRow,$D24&lt;&gt;"",$E24&lt;&gt;"",$H24&lt;&gt;"",$H24&lt;4,_xlpm.Street&gt;0,_xlpm.Green&gt;0,COUNTA(_xlpm.FRange)&gt;0),
Error!$B$32,
IF(AND(_xlpm.baseRow,$G24="",_xlpm.ECA&gt;0,_xlpm.DecBroad&gt;0,_xlpm.ReplaceReq&gt;0),
Error!$B$52,
IF(AND(_xlpm.baseRow,$E24&lt;&gt;"", $H24="",_xlpm.ECA&gt;0,_xlpm.Coniferous&gt;0,_xlpm.ReplaceReq&gt;0),
Error!$B$53,
IF(AND(_xlpm.baseRow,$G24="",$H24="",_xlpm.ECA&gt;0,_xlpm.ReplaceReq&gt;0),
Error!$B$39,
IF(AND(_xlpm.baseRow,$D24&lt;&gt;"",$E24&lt;&gt;"",$G24="",$H24="",_xlpm.Coniferous&gt;0,_xlpm.ReplaceReq&gt;0,_xlpm.ECA&gt;0),
Error!$B$50,
IF(AND(_xlpm.baseRow,$D24&lt;&gt;"",$E24&lt;&gt;"",$G24&lt;&gt;"",_xlpm.Street&gt;0,$G24&lt;2),
Error!$B$43,
IF(AND(_xlpm.baseRow,$D24&lt;&gt;"",$E24&lt;&gt;"",_xlpm.Green&gt;0,_xlpm.DecBroad&gt;0,$G24=""),
Error!$B$49,
IF(AND(_xlpm.baseRow,$D24&lt;&gt;"",$E24&lt;&gt;"",$H24&lt;&gt;"",$H24&lt;4,_xlpm.Green&gt;0,_xlpm.DecBroad&gt;0,$G24=""),
Error!$B$51,
IF(AND(_xlpm.baseRow,$D24&lt;&gt;"",$E24&lt;&gt;"",_xlpm.Green&gt;0,_xlpm.Coniferous&gt;0,$H24=""),
Error!$B$50,
IF(AND(_xlpm.baseRow,$D24&lt;&gt;"",$E24&lt;&gt;"",_xlpm.Points&gt;0,_xlpm.DecBroad&gt;0,$G24=""),
Error!$B$49,
IF(AND(_xlpm.baseRow,$D24&lt;&gt;"",$E24&lt;&gt;"",_xlpm.Points&gt;0,_xlpm.Coniferous&gt;0,$H24=""),
Error!$B$50,
IF(AND(_xlpm.baseRow,$D24&lt;&gt;"",$E24&lt;&gt;"",_xlpm.ReplaceReq&gt;0,_xlpm.DecBroad&gt;0,$G24=""),
Error!$B$49,
IF(AND(_xlpm.baseRow,$D24&lt;&gt;"",$E24&lt;&gt;"",_xlpm.ReplaceReq&gt;0,_xlpm.Coniferous&gt;0,$H24=""),
Error!$B$50,
IF(AND(_xlpm.baseRow,$D24&lt;&gt;"",$E24&lt;&gt;"",_xlpm.Street&gt;0,$G24=""),
Error!$B$49,
IF(AND(_xlpm.baseRow,$D24&lt;&gt;"",$E24&lt;&gt;"",$H24&lt;&gt;"",$H24&lt;4,OR(ISNA(MATCH($C24,'Tree List'!$C$3:$C$601,0)),$C24=""),_xlpm.Green&gt;0,COUNTA(_xlpm.FRange)&gt;0),
Error!$B$51,
IF(AND(_xlpm.baseRow,$D24&lt;&gt;"",$E24&lt;&gt;"",$H24&lt;&gt;"",$H24&lt;4,_xlpm.DecBroad&gt;0,_xlpm.Green&gt;0,COUNTA(_xlpm.FRange)&gt;0),
Error!$B$51,
IF(AND(_xlpm.baseRow,$D24&lt;&gt;"",$E24&lt;&gt;"",$G24="",$H24="",OR(_xlpm.ReplaceReq&gt;0,_xlpm.Green&gt;0,_xlpm.Points&gt;0,_xlpm.Street&gt;0)),
Error!$B$38,
IF(AND(_xlpm.baseRow,$D24&lt;&gt;"",$E24&lt;&gt;"",$H24&lt;&gt;"",$H24&lt;4,_xlpm.Street=0,_xlpm.Coniferous&gt;0,COUNTA(_xlpm.FRange)&gt;0),
Error!$B$32,
IF(AND(_xlpm.baseRow,_xlpm.DecBroad&gt;0,$D24&lt;&gt;"",$E24&lt;&gt;"",$G24&lt;&gt;"",$G24&lt;1.5,_xlpm.Street=0,COUNTA(_xlpm.FRange)&gt;0),
Error!$B$42,
IF(AND(_xlpm.baseRow,$I24="",$H24="",_xlpm.ECA&gt;0,_xlpm.ReplaceReq=0),
Error!$B$33,
IF(AND(_xlpm.baseRow,OR($J24="",$J24&lt;=0),_xlpm.ReplaceReq&gt;0),
Error!$B$34,
IF(AND(_xlpm.baseRow,$K24&lt;&gt;"",_xlpm.Points&gt;0,ISNA(MATCH($K24,Tables!$B$242:$B$253,0))),
Error!$B$58,
IF(AND($K24="Small",$L24&lt;&gt;"",ISNA(MATCH($L24,Tables2!$C$35:$C$36,0))),
Error!$B$60,
IF(AND($K24="Small/Medium",$L24&lt;&gt;"",ISNA(MATCH($L24,Tables2!$C$38:$C$39,0))),
Error!$B$60,
IF(AND($K24="Medium/Large",$L24&lt;&gt;"",ISNA(MATCH($L24,Tables2!$C$41:$C$42,0))),
Error!$B$60,
IF(AND($K24="Large",$L24&lt;&gt;"",ISNA(MATCH($L24,Tables2!$C$44:$C$45,0))),
Error!$B$60,
IF(AND(_xlpm.baseRow,$B24&lt;&gt;"", $C24&lt;&gt;"", $D24&lt;&gt;"", $E24&lt;&gt;"", OR($M24="",$K24="",$L24=""),_xlpm.Points&gt;0),
Error!$B$35,
IF(AND(_xlpm.baseRow,$D24&lt;&gt;"",$E24&lt;&gt;"",$N24=""),
Error!$B$36,
""))))))))))))))))))))))))))))))))))))))))))),Error!$B$37))</f>
        <v/>
      </c>
      <c r="P24" s="355" t="str" cm="1">
        <f t="array" aca="1" ref="P24" ca="1">IFERROR(_xlfn.LET(
    _xlpm.txt, $C24,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5" spans="1:16" x14ac:dyDescent="0.3">
      <c r="A25" s="92"/>
      <c r="B25" s="439" t="str">
        <f>IF($B23="", "", $B23)</f>
        <v/>
      </c>
      <c r="C25" s="438"/>
      <c r="D25" s="439" t="str">
        <f>IF($D23="", "", $D23)</f>
        <v/>
      </c>
      <c r="E25" s="439" t="str">
        <f>IF($E23="", "", $E23)</f>
        <v/>
      </c>
      <c r="F25" s="300"/>
      <c r="G25" s="160"/>
      <c r="H25" s="440"/>
      <c r="I25" s="441"/>
      <c r="J25" s="459"/>
      <c r="K25" s="442" t="str">
        <f>IFERROR(
IF(
    AND(
        MOD(ROW()-11,4)=0,
        COUNTIF(INDEX(F:F, 11 + 4*INT((ROW()-11)/4)):INDEX(F:F, 14 + 4*INT((ROW()-11)/4)),"Zoning: Tree Points")&gt;0,
        COUNTIFS('Tree List'!$C$3:$C$601,$C25,'Tree List'!$H$3:$H$601,"sp.")=0
    ),
    VLOOKUP($C25,'Tree List'!$C$3:$F$601,4,FALSE),
    ""
),
"")</f>
        <v/>
      </c>
      <c r="L25" s="443" t="str" cm="1">
        <f t="array" ref="L25">IFERROR(
IF(
    AND(
        COUNTIF(INDEX(F:F, 11 + 4*INT((ROW()-11)/4)):INDEX(F:F, 14 + 4*INT((ROW()-11)/4)),"Zoning: Tree Points")&gt;0,
        COUNTIFS('Tree List'!$C$3:$C$601,$C25,'Tree List'!$H$3:$H$601,"sp.")&gt;0
    ),
    "",
    _xlfn.IFS(
        (COUNTIFS('Tree List'!$C$3:$C$601,$C25,'Tree List'!$D$3:$D$601,"Coniferous")
        + COUNTIFS('Tree List'!$C$3:$C$601,$C25,'Tree List'!$D$3:$D$601,"Deciduous Conifer")) &gt; 0,
            _xlfn.IFS($K25="Small",1.25,$K25="Small/Medium",2.5,$K25="Medium/Large",3.75,$K25="Large",5),
        (COUNTIFS('Tree List'!$C$3:$C$601,$C25,'Tree List'!$D$3:$D$601,"Deciduous")
        + COUNTIFS('Tree List'!$C$3:$C$601,$C25,'Tree List'!$D$3:$D$601,"Broadleaf Evergreen")) &gt; 0,
            _xlfn.IFS($K25="Small",1,$K25="Small/Medium",2,$K25="Medium/Large",3,$K25="Large",4)
    )
),
"")</f>
        <v/>
      </c>
      <c r="M25" s="472"/>
      <c r="N25" s="434"/>
      <c r="O25" s="340" t="str" cm="1">
        <f t="array" aca="1" ref="O25"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List'!$C$3:$C$601,$C25,'Tree List'!$D$3:$D$601,{"Deciduous","Broadleaf Evergreen"})),
_xlpm.Coniferous,SUM(COUNTIFS('Tree List'!$C$3:$C$601,$C25,'Tree List'!$D$3:$D$601,{"Coniferous","Deciduous Conifer"})),
IFERROR(
IF(AND(_xlpm.baseRow,ISNA(MATCH($C25,'Tree List'!$C$3:$C$601,0)),SUMPRODUCT(--ISNUMBER(SEARCH(Tables2!$C$677:$C$825,$P25)))&gt;0),
Error!$B$64,
IF(AND(_xlpm.baseRow,COUNTIF(_xlpm.FRange,"ECA / Shoreline")&gt;0,$D25&lt;&gt;"",$E25&lt;&gt;"",$N25=""),
Error!$B$55,
IF(AND(_xlpm.baseRow,$D25&lt;&gt;"",$E25&lt;&gt;"",COUNTBLANK($B25:$C25)&gt;0,COUNTBLANK($F25:$F28)&lt;&gt;4),
Error!$B$22,
IF(AND(_xlpm.baseRow,$D25="Right-of-Way", $E25=""),
Error!$B$67,
IF(AND(_xlpm.baseRow,$D25&lt;&gt;"",ISNA(MATCH($D25,Tables2!$B$66:$B$68,0))),
Error!$B$63,
IF(AND(_xlpm.baseRow,$D25="Off Site",$E25&lt;&gt;"",$E25&lt;&gt;"Yes"),
Error!$B$28,
IF(AND(_xlpm.baseRow,OR($D25="On Site",$D25="Right-of-Way"),$E25&lt;&gt;"",ISNA(MATCH($E25,MultiSelect2[TreeMitigation],0))),
Error!$B$28,
IF(AND(_xlpm.baseRow,$D25&lt;&gt;"",$E25&lt;&gt;"",COUNTIF(_xlpm.FRange,"&lt;&gt;")=0),
Error!$B$26,
IF(AND($E25="No",$F25&lt;&gt;"",ISNA(MATCH($F25,Tables2!$B$55:$B$57,0))),
Error!$B$27,
IF(AND($E25="Yes",$F25&lt;&gt;"",ISNA(MATCH($F25,Tables2!$B$48:$B$52,0))),
Error!$B$27,
IF(AND($D25="Off Site",$E25="Yes",$F25&lt;&gt;"",ISNA(MATCH($F25,Tables2!$B$60:$B$62,0))),
Error!$B$27,
IF(AND(_xlpm.baseRow,_xlpm.Street&gt;0,_xlpm.ECA&gt;0),
Error!$B$29,
IF(AND(_xlpm.baseRow,_xlpm.Street&gt;0,_xlpm.Points&gt;0),
Error!$B$30,
IF(AND(_xlpm.baseRow,_xlpm.Street&gt;0,_xlpm.ReplaceReq&gt;0),
Error!$B$31,
IF(AND(_xlpm.baseRow,$D25&lt;&gt;"",$E25&lt;&gt;"",$G25&lt;&gt;"",_xlpm.DecBroad&gt;0,OR(_xlpm.Points&gt;0,_xlpm.Green&gt;0,_xlpm.ReplaceReq&gt;0),_xlpm.Street=0,$G25&lt;1.5),
Error!$B$42,
IF(AND(_xlpm.baseRow,$D25&lt;&gt;"",$E25&lt;&gt;"",$H25&lt;&gt;"",$H25&lt;4,_xlpm.Street&gt;0,_xlpm.Green&gt;0,COUNTA(_xlpm.FRange)&gt;0),
Error!$B$32,
IF(AND(_xlpm.baseRow,$G25="",_xlpm.ECA&gt;0,_xlpm.DecBroad&gt;0,_xlpm.ReplaceReq&gt;0),
Error!$B$52,
IF(AND(_xlpm.baseRow,$E25&lt;&gt;"", $H25="",_xlpm.ECA&gt;0,_xlpm.Coniferous&gt;0,_xlpm.ReplaceReq&gt;0),
Error!$B$53,
IF(AND(_xlpm.baseRow,$G25="",$H25="",_xlpm.ECA&gt;0,_xlpm.ReplaceReq&gt;0),
Error!$B$39,
IF(AND(_xlpm.baseRow,$D25&lt;&gt;"",$E25&lt;&gt;"",$G25="",$H25="",_xlpm.Coniferous&gt;0,_xlpm.ReplaceReq&gt;0,_xlpm.ECA&gt;0),
Error!$B$50,
IF(AND(_xlpm.baseRow,$D25&lt;&gt;"",$E25&lt;&gt;"",$G25&lt;&gt;"",_xlpm.Street&gt;0,$G25&lt;2),
Error!$B$43,
IF(AND(_xlpm.baseRow,$D25&lt;&gt;"",$E25&lt;&gt;"",_xlpm.Green&gt;0,_xlpm.DecBroad&gt;0,$G25=""),
Error!$B$49,
IF(AND(_xlpm.baseRow,$D25&lt;&gt;"",$E25&lt;&gt;"",$H25&lt;&gt;"",$H25&lt;4,_xlpm.Green&gt;0,_xlpm.DecBroad&gt;0,$G25=""),
Error!$B$51,
IF(AND(_xlpm.baseRow,$D25&lt;&gt;"",$E25&lt;&gt;"",_xlpm.Green&gt;0,_xlpm.Coniferous&gt;0,$H25=""),
Error!$B$50,
IF(AND(_xlpm.baseRow,$D25&lt;&gt;"",$E25&lt;&gt;"",_xlpm.Points&gt;0,_xlpm.DecBroad&gt;0,$G25=""),
Error!$B$49,
IF(AND(_xlpm.baseRow,$D25&lt;&gt;"",$E25&lt;&gt;"",_xlpm.Points&gt;0,_xlpm.Coniferous&gt;0,$H25=""),
Error!$B$50,
IF(AND(_xlpm.baseRow,$D25&lt;&gt;"",$E25&lt;&gt;"",_xlpm.ReplaceReq&gt;0,_xlpm.DecBroad&gt;0,$G25=""),
Error!$B$49,
IF(AND(_xlpm.baseRow,$D25&lt;&gt;"",$E25&lt;&gt;"",_xlpm.ReplaceReq&gt;0,_xlpm.Coniferous&gt;0,$H25=""),
Error!$B$50,
IF(AND(_xlpm.baseRow,$D25&lt;&gt;"",$E25&lt;&gt;"",_xlpm.Street&gt;0,$G25=""),
Error!$B$49,
IF(AND(_xlpm.baseRow,$D25&lt;&gt;"",$E25&lt;&gt;"",$H25&lt;&gt;"",$H25&lt;4,OR(ISNA(MATCH($C25,'Tree List'!$C$3:$C$601,0)),$C25=""),_xlpm.Green&gt;0,COUNTA(_xlpm.FRange)&gt;0),
Error!$B$51,
IF(AND(_xlpm.baseRow,$D25&lt;&gt;"",$E25&lt;&gt;"",$H25&lt;&gt;"",$H25&lt;4,_xlpm.DecBroad&gt;0,_xlpm.Green&gt;0,COUNTA(_xlpm.FRange)&gt;0),
Error!$B$51,
IF(AND(_xlpm.baseRow,$D25&lt;&gt;"",$E25&lt;&gt;"",$G25="",$H25="",OR(_xlpm.ReplaceReq&gt;0,_xlpm.Green&gt;0,_xlpm.Points&gt;0,_xlpm.Street&gt;0)),
Error!$B$38,
IF(AND(_xlpm.baseRow,$D25&lt;&gt;"",$E25&lt;&gt;"",$H25&lt;&gt;"",$H25&lt;4,_xlpm.Street=0,_xlpm.Coniferous&gt;0,COUNTA(_xlpm.FRange)&gt;0),
Error!$B$32,
IF(AND(_xlpm.baseRow,_xlpm.DecBroad&gt;0,$D25&lt;&gt;"",$E25&lt;&gt;"",$G25&lt;&gt;"",$G25&lt;1.5,_xlpm.Street=0,COUNTA(_xlpm.FRange)&gt;0),
Error!$B$42,
IF(AND(_xlpm.baseRow,$I25="",$H25="",_xlpm.ECA&gt;0,_xlpm.ReplaceReq=0),
Error!$B$33,
IF(AND(_xlpm.baseRow,OR($J25="",$J25&lt;=0),_xlpm.ReplaceReq&gt;0),
Error!$B$34,
IF(AND(_xlpm.baseRow,$K25&lt;&gt;"",_xlpm.Points&gt;0,ISNA(MATCH($K25,Tables!$B$242:$B$253,0))),
Error!$B$58,
IF(AND($K25="Small",$L25&lt;&gt;"",ISNA(MATCH($L25,Tables2!$C$35:$C$36,0))),
Error!$B$60,
IF(AND($K25="Small/Medium",$L25&lt;&gt;"",ISNA(MATCH($L25,Tables2!$C$38:$C$39,0))),
Error!$B$60,
IF(AND($K25="Medium/Large",$L25&lt;&gt;"",ISNA(MATCH($L25,Tables2!$C$41:$C$42,0))),
Error!$B$60,
IF(AND($K25="Large",$L25&lt;&gt;"",ISNA(MATCH($L25,Tables2!$C$44:$C$45,0))),
Error!$B$60,
IF(AND(_xlpm.baseRow,$B25&lt;&gt;"", $C25&lt;&gt;"", $D25&lt;&gt;"", $E25&lt;&gt;"", OR($M25="",$K25="",$L25=""),_xlpm.Points&gt;0),
Error!$B$35,
IF(AND(_xlpm.baseRow,$D25&lt;&gt;"",$E25&lt;&gt;"",$N25=""),
Error!$B$36,
""))))))))))))))))))))))))))))))))))))))))))),Error!$B$37))</f>
        <v/>
      </c>
      <c r="P25" s="355" t="str" cm="1">
        <f t="array" aca="1" ref="P25" ca="1">IFERROR(_xlfn.LET(
    _xlpm.txt, $C25,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6" spans="1:16" ht="15" thickBot="1" x14ac:dyDescent="0.35">
      <c r="A26" s="92"/>
      <c r="B26" s="439" t="str">
        <f>IF($B23="", "", $B23)</f>
        <v/>
      </c>
      <c r="C26" s="438"/>
      <c r="D26" s="439" t="str">
        <f>IF($D23="", "", $D23)</f>
        <v/>
      </c>
      <c r="E26" s="439" t="str">
        <f>IF($E23="", "", $E23)</f>
        <v/>
      </c>
      <c r="F26" s="300"/>
      <c r="G26" s="161"/>
      <c r="H26" s="183"/>
      <c r="I26" s="180"/>
      <c r="J26" s="460"/>
      <c r="K26" s="176" t="str">
        <f>IFERROR(
IF(
    AND(
        MOD(ROW()-11,4)=0,
        COUNTIF(INDEX(F:F, 11 + 4*INT((ROW()-11)/4)):INDEX(F:F, 14 + 4*INT((ROW()-11)/4)),"Zoning: Tree Points")&gt;0,
        COUNTIFS('Tree List'!$C$3:$C$601,$C26,'Tree List'!$H$3:$H$601,"sp.")=0
    ),
    VLOOKUP($C26,'Tree List'!$C$3:$F$601,4,FALSE),
    ""
),
"")</f>
        <v/>
      </c>
      <c r="L26" s="177" t="str" cm="1">
        <f t="array" ref="L26">IFERROR(
IF(
    AND(
        COUNTIF(INDEX(F:F, 11 + 4*INT((ROW()-11)/4)):INDEX(F:F, 14 + 4*INT((ROW()-11)/4)),"Zoning: Tree Points")&gt;0,
        COUNTIFS('Tree List'!$C$3:$C$601,$C26,'Tree List'!$H$3:$H$601,"sp.")&gt;0
    ),
    "",
    _xlfn.IFS(
        (COUNTIFS('Tree List'!$C$3:$C$601,$C26,'Tree List'!$D$3:$D$601,"Coniferous")
        + COUNTIFS('Tree List'!$C$3:$C$601,$C26,'Tree List'!$D$3:$D$601,"Deciduous Conifer")) &gt; 0,
            _xlfn.IFS($K26="Small",1.25,$K26="Small/Medium",2.5,$K26="Medium/Large",3.75,$K26="Large",5),
        (COUNTIFS('Tree List'!$C$3:$C$601,$C26,'Tree List'!$D$3:$D$601,"Deciduous")
        + COUNTIFS('Tree List'!$C$3:$C$601,$C26,'Tree List'!$D$3:$D$601,"Broadleaf Evergreen")) &gt; 0,
            _xlfn.IFS($K26="Small",1,$K26="Small/Medium",2,$K26="Medium/Large",3,$K26="Large",4)
    )
),
"")</f>
        <v/>
      </c>
      <c r="M26" s="473"/>
      <c r="N26" s="434"/>
      <c r="O26" s="341" t="str" cm="1">
        <f t="array" aca="1" ref="O26"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List'!$C$3:$C$601,$C26,'Tree List'!$D$3:$D$601,{"Deciduous","Broadleaf Evergreen"})),
_xlpm.Coniferous,SUM(COUNTIFS('Tree List'!$C$3:$C$601,$C26,'Tree List'!$D$3:$D$601,{"Coniferous","Deciduous Conifer"})),
IFERROR(
IF(AND(_xlpm.baseRow,ISNA(MATCH($C26,'Tree List'!$C$3:$C$601,0)),SUMPRODUCT(--ISNUMBER(SEARCH(Tables2!$C$677:$C$825,$P26)))&gt;0),
Error!$B$64,
IF(AND(_xlpm.baseRow,COUNTIF(_xlpm.FRange,"ECA / Shoreline")&gt;0,$D26&lt;&gt;"",$E26&lt;&gt;"",$N26=""),
Error!$B$55,
IF(AND(_xlpm.baseRow,$D26&lt;&gt;"",$E26&lt;&gt;"",COUNTBLANK($B26:$C26)&gt;0,COUNTBLANK($F26:$F29)&lt;&gt;4),
Error!$B$22,
IF(AND(_xlpm.baseRow,$D26="Right-of-Way", $E26=""),
Error!$B$67,
IF(AND(_xlpm.baseRow,$D26&lt;&gt;"",ISNA(MATCH($D26,Tables2!$B$66:$B$68,0))),
Error!$B$63,
IF(AND(_xlpm.baseRow,$D26="Off Site",$E26&lt;&gt;"",$E26&lt;&gt;"Yes"),
Error!$B$28,
IF(AND(_xlpm.baseRow,OR($D26="On Site",$D26="Right-of-Way"),$E26&lt;&gt;"",ISNA(MATCH($E26,MultiSelect2[TreeMitigation],0))),
Error!$B$28,
IF(AND(_xlpm.baseRow,$D26&lt;&gt;"",$E26&lt;&gt;"",COUNTIF(_xlpm.FRange,"&lt;&gt;")=0),
Error!$B$26,
IF(AND($E26="No",$F26&lt;&gt;"",ISNA(MATCH($F26,Tables2!$B$55:$B$57,0))),
Error!$B$27,
IF(AND($E26="Yes",$F26&lt;&gt;"",ISNA(MATCH($F26,Tables2!$B$48:$B$52,0))),
Error!$B$27,
IF(AND($D26="Off Site",$E26="Yes",$F26&lt;&gt;"",ISNA(MATCH($F26,Tables2!$B$60:$B$62,0))),
Error!$B$27,
IF(AND(_xlpm.baseRow,_xlpm.Street&gt;0,_xlpm.ECA&gt;0),
Error!$B$29,
IF(AND(_xlpm.baseRow,_xlpm.Street&gt;0,_xlpm.Points&gt;0),
Error!$B$30,
IF(AND(_xlpm.baseRow,_xlpm.Street&gt;0,_xlpm.ReplaceReq&gt;0),
Error!$B$31,
IF(AND(_xlpm.baseRow,$D26&lt;&gt;"",$E26&lt;&gt;"",$G26&lt;&gt;"",_xlpm.DecBroad&gt;0,OR(_xlpm.Points&gt;0,_xlpm.Green&gt;0,_xlpm.ReplaceReq&gt;0),_xlpm.Street=0,$G26&lt;1.5),
Error!$B$42,
IF(AND(_xlpm.baseRow,$D26&lt;&gt;"",$E26&lt;&gt;"",$H26&lt;&gt;"",$H26&lt;4,_xlpm.Street&gt;0,_xlpm.Green&gt;0,COUNTA(_xlpm.FRange)&gt;0),
Error!$B$32,
IF(AND(_xlpm.baseRow,$G26="",_xlpm.ECA&gt;0,_xlpm.DecBroad&gt;0,_xlpm.ReplaceReq&gt;0),
Error!$B$52,
IF(AND(_xlpm.baseRow,$E26&lt;&gt;"", $H26="",_xlpm.ECA&gt;0,_xlpm.Coniferous&gt;0,_xlpm.ReplaceReq&gt;0),
Error!$B$53,
IF(AND(_xlpm.baseRow,$G26="",$H26="",_xlpm.ECA&gt;0,_xlpm.ReplaceReq&gt;0),
Error!$B$39,
IF(AND(_xlpm.baseRow,$D26&lt;&gt;"",$E26&lt;&gt;"",$G26="",$H26="",_xlpm.Coniferous&gt;0,_xlpm.ReplaceReq&gt;0,_xlpm.ECA&gt;0),
Error!$B$50,
IF(AND(_xlpm.baseRow,$D26&lt;&gt;"",$E26&lt;&gt;"",$G26&lt;&gt;"",_xlpm.Street&gt;0,$G26&lt;2),
Error!$B$43,
IF(AND(_xlpm.baseRow,$D26&lt;&gt;"",$E26&lt;&gt;"",_xlpm.Green&gt;0,_xlpm.DecBroad&gt;0,$G26=""),
Error!$B$49,
IF(AND(_xlpm.baseRow,$D26&lt;&gt;"",$E26&lt;&gt;"",$H26&lt;&gt;"",$H26&lt;4,_xlpm.Green&gt;0,_xlpm.DecBroad&gt;0,$G26=""),
Error!$B$51,
IF(AND(_xlpm.baseRow,$D26&lt;&gt;"",$E26&lt;&gt;"",_xlpm.Green&gt;0,_xlpm.Coniferous&gt;0,$H26=""),
Error!$B$50,
IF(AND(_xlpm.baseRow,$D26&lt;&gt;"",$E26&lt;&gt;"",_xlpm.Points&gt;0,_xlpm.DecBroad&gt;0,$G26=""),
Error!$B$49,
IF(AND(_xlpm.baseRow,$D26&lt;&gt;"",$E26&lt;&gt;"",_xlpm.Points&gt;0,_xlpm.Coniferous&gt;0,$H26=""),
Error!$B$50,
IF(AND(_xlpm.baseRow,$D26&lt;&gt;"",$E26&lt;&gt;"",_xlpm.ReplaceReq&gt;0,_xlpm.DecBroad&gt;0,$G26=""),
Error!$B$49,
IF(AND(_xlpm.baseRow,$D26&lt;&gt;"",$E26&lt;&gt;"",_xlpm.ReplaceReq&gt;0,_xlpm.Coniferous&gt;0,$H26=""),
Error!$B$50,
IF(AND(_xlpm.baseRow,$D26&lt;&gt;"",$E26&lt;&gt;"",_xlpm.Street&gt;0,$G26=""),
Error!$B$49,
IF(AND(_xlpm.baseRow,$D26&lt;&gt;"",$E26&lt;&gt;"",$H26&lt;&gt;"",$H26&lt;4,OR(ISNA(MATCH($C26,'Tree List'!$C$3:$C$601,0)),$C26=""),_xlpm.Green&gt;0,COUNTA(_xlpm.FRange)&gt;0),
Error!$B$51,
IF(AND(_xlpm.baseRow,$D26&lt;&gt;"",$E26&lt;&gt;"",$H26&lt;&gt;"",$H26&lt;4,_xlpm.DecBroad&gt;0,_xlpm.Green&gt;0,COUNTA(_xlpm.FRange)&gt;0),
Error!$B$51,
IF(AND(_xlpm.baseRow,$D26&lt;&gt;"",$E26&lt;&gt;"",$G26="",$H26="",OR(_xlpm.ReplaceReq&gt;0,_xlpm.Green&gt;0,_xlpm.Points&gt;0,_xlpm.Street&gt;0)),
Error!$B$38,
IF(AND(_xlpm.baseRow,$D26&lt;&gt;"",$E26&lt;&gt;"",$H26&lt;&gt;"",$H26&lt;4,_xlpm.Street=0,_xlpm.Coniferous&gt;0,COUNTA(_xlpm.FRange)&gt;0),
Error!$B$32,
IF(AND(_xlpm.baseRow,_xlpm.DecBroad&gt;0,$D26&lt;&gt;"",$E26&lt;&gt;"",$G26&lt;&gt;"",$G26&lt;1.5,_xlpm.Street=0,COUNTA(_xlpm.FRange)&gt;0),
Error!$B$42,
IF(AND(_xlpm.baseRow,$I26="",$H26="",_xlpm.ECA&gt;0,_xlpm.ReplaceReq=0),
Error!$B$33,
IF(AND(_xlpm.baseRow,OR($J26="",$J26&lt;=0),_xlpm.ReplaceReq&gt;0),
Error!$B$34,
IF(AND(_xlpm.baseRow,$K26&lt;&gt;"",_xlpm.Points&gt;0,ISNA(MATCH($K26,Tables!$B$242:$B$253,0))),
Error!$B$58,
IF(AND($K26="Small",$L26&lt;&gt;"",ISNA(MATCH($L26,Tables2!$C$35:$C$36,0))),
Error!$B$60,
IF(AND($K26="Small/Medium",$L26&lt;&gt;"",ISNA(MATCH($L26,Tables2!$C$38:$C$39,0))),
Error!$B$60,
IF(AND($K26="Medium/Large",$L26&lt;&gt;"",ISNA(MATCH($L26,Tables2!$C$41:$C$42,0))),
Error!$B$60,
IF(AND($K26="Large",$L26&lt;&gt;"",ISNA(MATCH($L26,Tables2!$C$44:$C$45,0))),
Error!$B$60,
IF(AND(_xlpm.baseRow,$B26&lt;&gt;"", $C26&lt;&gt;"", $D26&lt;&gt;"", $E26&lt;&gt;"", OR($M26="",$K26="",$L26=""),_xlpm.Points&gt;0),
Error!$B$35,
IF(AND(_xlpm.baseRow,$D26&lt;&gt;"",$E26&lt;&gt;"",$N26=""),
Error!$B$36,
""))))))))))))))))))))))))))))))))))))))))))),Error!$B$37))</f>
        <v/>
      </c>
      <c r="P26" s="355" t="str" cm="1">
        <f t="array" aca="1" ref="P26" ca="1">IFERROR(_xlfn.LET(
    _xlpm.txt, $C26,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7" spans="1:16" ht="15" thickBot="1" x14ac:dyDescent="0.35">
      <c r="A27" s="437">
        <v>5</v>
      </c>
      <c r="B27" s="448"/>
      <c r="C27" s="444"/>
      <c r="D27" s="295"/>
      <c r="E27" s="295"/>
      <c r="F27" s="301"/>
      <c r="G27" s="257"/>
      <c r="H27" s="181"/>
      <c r="I27" s="178"/>
      <c r="J27" s="457"/>
      <c r="K27" s="172" t="str">
        <f>IFERROR(
IF(
    AND(
        MOD(ROW()-11,4)=0,
        COUNTIF(INDEX(F:F, 11 + 4*INT((ROW()-11)/4)):INDEX(F:F, 14 + 4*INT((ROW()-11)/4)),"Zoning: Tree Points")&gt;0,
        COUNTIFS('Tree List'!$C$3:$C$601,$C27,'Tree List'!$H$3:$H$601,"sp.")=0
    ),
    VLOOKUP($C27,'Tree List'!$C$3:$F$601,4,FALSE),
    ""
),
"")</f>
        <v/>
      </c>
      <c r="L27" s="173" t="str" cm="1">
        <f t="array" ref="L27">IFERROR(
IF(
    AND(
        COUNTIF(INDEX(F:F, 11 + 4*INT((ROW()-11)/4)):INDEX(F:F, 14 + 4*INT((ROW()-11)/4)),"Zoning: Tree Points")&gt;0,
        COUNTIFS('Tree List'!$C$3:$C$601,$C27,'Tree List'!$H$3:$H$601,"sp.")&gt;0
    ),
    "",
    _xlfn.IFS(
        (COUNTIFS('Tree List'!$C$3:$C$601,$C27,'Tree List'!$D$3:$D$601,"Coniferous")
        + COUNTIFS('Tree List'!$C$3:$C$601,$C27,'Tree List'!$D$3:$D$601,"Deciduous Conifer")) &gt; 0,
            _xlfn.IFS($K27="Small",1.25,$K27="Small/Medium",2.5,$K27="Medium/Large",3.75,$K27="Large",5),
        (COUNTIFS('Tree List'!$C$3:$C$601,$C27,'Tree List'!$D$3:$D$601,"Deciduous")
        + COUNTIFS('Tree List'!$C$3:$C$601,$C27,'Tree List'!$D$3:$D$601,"Broadleaf Evergreen")) &gt; 0,
            _xlfn.IFS($K27="Small",1,$K27="Small/Medium",2,$K27="Medium/Large",3,$K27="Large",4)
    )
),
"")</f>
        <v/>
      </c>
      <c r="M27" s="470" t="str">
        <f t="shared" si="0"/>
        <v/>
      </c>
      <c r="N27" s="744"/>
      <c r="O27" s="737" t="str" cm="1">
        <f t="array" aca="1" ref="O27"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List'!$C$3:$C$601,$C27,'Tree List'!$D$3:$D$601,{"Deciduous","Broadleaf Evergreen"})),
_xlpm.Coniferous,SUM(COUNTIFS('Tree List'!$C$3:$C$601,$C27,'Tree List'!$D$3:$D$601,{"Coniferous","Deciduous Conifer"})),
IFERROR(
IF(AND(_xlpm.baseRow,ISNA(MATCH($C27,'Tree List'!$C$3:$C$601,0)),SUMPRODUCT(--ISNUMBER(SEARCH(Tables2!$C$677:$C$825,$P27)))&gt;0),
Error!$B$64,
IF(AND(_xlpm.baseRow,COUNTIF(_xlpm.FRange,"ECA / Shoreline")&gt;0,$D27&lt;&gt;"",$E27&lt;&gt;"",$N27=""),
Error!$B$55,
IF(AND(_xlpm.baseRow,$D27&lt;&gt;"",$E27&lt;&gt;"",COUNTBLANK($B27:$C27)&gt;0,COUNTBLANK($F27:$F30)&lt;&gt;4),
Error!$B$22,
IF(AND(_xlpm.baseRow,$D27="Right-of-Way", $E27=""),
Error!$B$67,
IF(AND(_xlpm.baseRow,$D27&lt;&gt;"",ISNA(MATCH($D27,Tables2!$B$66:$B$68,0))),
Error!$B$63,
IF(AND(_xlpm.baseRow,$D27="Off Site",$E27&lt;&gt;"",$E27&lt;&gt;"Yes"),
Error!$B$28,
IF(AND(_xlpm.baseRow,OR($D27="On Site",$D27="Right-of-Way"),$E27&lt;&gt;"",ISNA(MATCH($E27,MultiSelect2[TreeMitigation],0))),
Error!$B$28,
IF(AND(_xlpm.baseRow,$D27&lt;&gt;"",$E27&lt;&gt;"",COUNTIF(_xlpm.FRange,"&lt;&gt;")=0),
Error!$B$26,
IF(AND($E27="No",$F27&lt;&gt;"",ISNA(MATCH($F27,Tables2!$B$55:$B$57,0))),
Error!$B$27,
IF(AND($E27="Yes",$F27&lt;&gt;"",ISNA(MATCH($F27,Tables2!$B$48:$B$52,0))),
Error!$B$27,
IF(AND($D27="Off Site",$E27="Yes",$F27&lt;&gt;"",ISNA(MATCH($F27,Tables2!$B$60:$B$62,0))),
Error!$B$27,
IF(AND(_xlpm.baseRow,_xlpm.Street&gt;0,_xlpm.ECA&gt;0),
Error!$B$29,
IF(AND(_xlpm.baseRow,_xlpm.Street&gt;0,_xlpm.Points&gt;0),
Error!$B$30,
IF(AND(_xlpm.baseRow,_xlpm.Street&gt;0,_xlpm.ReplaceReq&gt;0),
Error!$B$31,
IF(AND(_xlpm.baseRow,$D27&lt;&gt;"",$E27&lt;&gt;"",$G27&lt;&gt;"",_xlpm.DecBroad&gt;0,OR(_xlpm.Points&gt;0,_xlpm.Green&gt;0,_xlpm.ReplaceReq&gt;0),_xlpm.Street=0,$G27&lt;1.5),
Error!$B$42,
IF(AND(_xlpm.baseRow,$D27&lt;&gt;"",$E27&lt;&gt;"",$H27&lt;&gt;"",$H27&lt;4,_xlpm.Street&gt;0,_xlpm.Green&gt;0,COUNTA(_xlpm.FRange)&gt;0),
Error!$B$32,
IF(AND(_xlpm.baseRow,$G27="",_xlpm.ECA&gt;0,_xlpm.DecBroad&gt;0,_xlpm.ReplaceReq&gt;0),
Error!$B$52,
IF(AND(_xlpm.baseRow,$E27&lt;&gt;"", $H27="",_xlpm.ECA&gt;0,_xlpm.Coniferous&gt;0,_xlpm.ReplaceReq&gt;0),
Error!$B$53,
IF(AND(_xlpm.baseRow,$G27="",$H27="",_xlpm.ECA&gt;0,_xlpm.ReplaceReq&gt;0),
Error!$B$39,
IF(AND(_xlpm.baseRow,$D27&lt;&gt;"",$E27&lt;&gt;"",$G27="",$H27="",_xlpm.Coniferous&gt;0,_xlpm.ReplaceReq&gt;0,_xlpm.ECA&gt;0),
Error!$B$50,
IF(AND(_xlpm.baseRow,$D27&lt;&gt;"",$E27&lt;&gt;"",$G27&lt;&gt;"",_xlpm.Street&gt;0,$G27&lt;2),
Error!$B$43,
IF(AND(_xlpm.baseRow,$D27&lt;&gt;"",$E27&lt;&gt;"",_xlpm.Green&gt;0,_xlpm.DecBroad&gt;0,$G27=""),
Error!$B$49,
IF(AND(_xlpm.baseRow,$D27&lt;&gt;"",$E27&lt;&gt;"",$H27&lt;&gt;"",$H27&lt;4,_xlpm.Green&gt;0,_xlpm.DecBroad&gt;0,$G27=""),
Error!$B$51,
IF(AND(_xlpm.baseRow,$D27&lt;&gt;"",$E27&lt;&gt;"",_xlpm.Green&gt;0,_xlpm.Coniferous&gt;0,$H27=""),
Error!$B$50,
IF(AND(_xlpm.baseRow,$D27&lt;&gt;"",$E27&lt;&gt;"",_xlpm.Points&gt;0,_xlpm.DecBroad&gt;0,$G27=""),
Error!$B$49,
IF(AND(_xlpm.baseRow,$D27&lt;&gt;"",$E27&lt;&gt;"",_xlpm.Points&gt;0,_xlpm.Coniferous&gt;0,$H27=""),
Error!$B$50,
IF(AND(_xlpm.baseRow,$D27&lt;&gt;"",$E27&lt;&gt;"",_xlpm.ReplaceReq&gt;0,_xlpm.DecBroad&gt;0,$G27=""),
Error!$B$49,
IF(AND(_xlpm.baseRow,$D27&lt;&gt;"",$E27&lt;&gt;"",_xlpm.ReplaceReq&gt;0,_xlpm.Coniferous&gt;0,$H27=""),
Error!$B$50,
IF(AND(_xlpm.baseRow,$D27&lt;&gt;"",$E27&lt;&gt;"",_xlpm.Street&gt;0,$G27=""),
Error!$B$49,
IF(AND(_xlpm.baseRow,$D27&lt;&gt;"",$E27&lt;&gt;"",$H27&lt;&gt;"",$H27&lt;4,OR(ISNA(MATCH($C27,'Tree List'!$C$3:$C$601,0)),$C27=""),_xlpm.Green&gt;0,COUNTA(_xlpm.FRange)&gt;0),
Error!$B$51,
IF(AND(_xlpm.baseRow,$D27&lt;&gt;"",$E27&lt;&gt;"",$H27&lt;&gt;"",$H27&lt;4,_xlpm.DecBroad&gt;0,_xlpm.Green&gt;0,COUNTA(_xlpm.FRange)&gt;0),
Error!$B$51,
IF(AND(_xlpm.baseRow,$D27&lt;&gt;"",$E27&lt;&gt;"",$G27="",$H27="",OR(_xlpm.ReplaceReq&gt;0,_xlpm.Green&gt;0,_xlpm.Points&gt;0,_xlpm.Street&gt;0)),
Error!$B$38,
IF(AND(_xlpm.baseRow,$D27&lt;&gt;"",$E27&lt;&gt;"",$H27&lt;&gt;"",$H27&lt;4,_xlpm.Street=0,_xlpm.Coniferous&gt;0,COUNTA(_xlpm.FRange)&gt;0),
Error!$B$32,
IF(AND(_xlpm.baseRow,_xlpm.DecBroad&gt;0,$D27&lt;&gt;"",$E27&lt;&gt;"",$G27&lt;&gt;"",$G27&lt;1.5,_xlpm.Street=0,COUNTA(_xlpm.FRange)&gt;0),
Error!$B$42,
IF(AND(_xlpm.baseRow,$I27="",$H27="",_xlpm.ECA&gt;0,_xlpm.ReplaceReq=0),
Error!$B$33,
IF(AND(_xlpm.baseRow,OR($J27="",$J27&lt;=0),_xlpm.ReplaceReq&gt;0),
Error!$B$34,
IF(AND(_xlpm.baseRow,$K27&lt;&gt;"",_xlpm.Points&gt;0,ISNA(MATCH($K27,Tables!$B$242:$B$253,0))),
Error!$B$58,
IF(AND($K27="Small",$L27&lt;&gt;"",ISNA(MATCH($L27,Tables2!$C$35:$C$36,0))),
Error!$B$60,
IF(AND($K27="Small/Medium",$L27&lt;&gt;"",ISNA(MATCH($L27,Tables2!$C$38:$C$39,0))),
Error!$B$60,
IF(AND($K27="Medium/Large",$L27&lt;&gt;"",ISNA(MATCH($L27,Tables2!$C$41:$C$42,0))),
Error!$B$60,
IF(AND($K27="Large",$L27&lt;&gt;"",ISNA(MATCH($L27,Tables2!$C$44:$C$45,0))),
Error!$B$60,
IF(AND(_xlpm.baseRow,$B27&lt;&gt;"", $C27&lt;&gt;"", $D27&lt;&gt;"", $E27&lt;&gt;"", OR($M27="",$K27="",$L27=""),_xlpm.Points&gt;0),
Error!$B$35,
IF(AND(_xlpm.baseRow,$D27&lt;&gt;"",$E27&lt;&gt;"",$N27=""),
Error!$B$36,
""))))))))))))))))))))))))))))))))))))))))))),Error!$B$37))</f>
        <v/>
      </c>
      <c r="P27" s="355" t="str" cm="1">
        <f t="array" aca="1" ref="P27" ca="1">IFERROR(_xlfn.LET(
    _xlpm.txt, $C27,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8" spans="1:16" x14ac:dyDescent="0.3">
      <c r="A28" s="92"/>
      <c r="B28" s="439" t="str">
        <f>IF($B27="", "", $B27)</f>
        <v/>
      </c>
      <c r="C28" s="309"/>
      <c r="D28" s="157" t="str">
        <f>IF($D27="", "", $D27)</f>
        <v/>
      </c>
      <c r="E28" s="157" t="str">
        <f>IF($E27="", "", $E27)</f>
        <v/>
      </c>
      <c r="F28" s="300"/>
      <c r="G28" s="159"/>
      <c r="H28" s="182"/>
      <c r="I28" s="179"/>
      <c r="J28" s="458"/>
      <c r="K28" s="174" t="str">
        <f>IFERROR(
IF(
    AND(
        MOD(ROW()-11,4)=0,
        COUNTIF(INDEX(F:F, 11 + 4*INT((ROW()-11)/4)):INDEX(F:F, 14 + 4*INT((ROW()-11)/4)),"Zoning: Tree Points")&gt;0,
        COUNTIFS('Tree List'!$C$3:$C$601,$C28,'Tree List'!$H$3:$H$601,"sp.")=0
    ),
    VLOOKUP($C28,'Tree List'!$C$3:$F$601,4,FALSE),
    ""
),
"")</f>
        <v/>
      </c>
      <c r="L28" s="175" t="str" cm="1">
        <f t="array" ref="L28">IFERROR(
IF(
    AND(
        COUNTIF(INDEX(F:F, 11 + 4*INT((ROW()-11)/4)):INDEX(F:F, 14 + 4*INT((ROW()-11)/4)),"Zoning: Tree Points")&gt;0,
        COUNTIFS('Tree List'!$C$3:$C$601,$C28,'Tree List'!$H$3:$H$601,"sp.")&gt;0
    ),
    "",
    _xlfn.IFS(
        (COUNTIFS('Tree List'!$C$3:$C$601,$C28,'Tree List'!$D$3:$D$601,"Coniferous")
        + COUNTIFS('Tree List'!$C$3:$C$601,$C28,'Tree List'!$D$3:$D$601,"Deciduous Conifer")) &gt; 0,
            _xlfn.IFS($K28="Small",1.25,$K28="Small/Medium",2.5,$K28="Medium/Large",3.75,$K28="Large",5),
        (COUNTIFS('Tree List'!$C$3:$C$601,$C28,'Tree List'!$D$3:$D$601,"Deciduous")
        + COUNTIFS('Tree List'!$C$3:$C$601,$C28,'Tree List'!$D$3:$D$601,"Broadleaf Evergreen")) &gt; 0,
            _xlfn.IFS($K28="Small",1,$K28="Small/Medium",2,$K28="Medium/Large",3,$K28="Large",4)
    )
),
"")</f>
        <v/>
      </c>
      <c r="M28" s="471"/>
      <c r="N28" s="434"/>
      <c r="O28" s="340" t="str" cm="1">
        <f t="array" aca="1" ref="O28"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List'!$C$3:$C$601,$C28,'Tree List'!$D$3:$D$601,{"Deciduous","Broadleaf Evergreen"})),
_xlpm.Coniferous,SUM(COUNTIFS('Tree List'!$C$3:$C$601,$C28,'Tree List'!$D$3:$D$601,{"Coniferous","Deciduous Conifer"})),
IFERROR(
IF(AND(_xlpm.baseRow,ISNA(MATCH($C28,'Tree List'!$C$3:$C$601,0)),SUMPRODUCT(--ISNUMBER(SEARCH(Tables2!$C$677:$C$825,$P28)))&gt;0),
Error!$B$64,
IF(AND(_xlpm.baseRow,COUNTIF(_xlpm.FRange,"ECA / Shoreline")&gt;0,$D28&lt;&gt;"",$E28&lt;&gt;"",$N28=""),
Error!$B$55,
IF(AND(_xlpm.baseRow,$D28&lt;&gt;"",$E28&lt;&gt;"",COUNTBLANK($B28:$C28)&gt;0,COUNTBLANK($F28:$F31)&lt;&gt;4),
Error!$B$22,
IF(AND(_xlpm.baseRow,$D28="Right-of-Way", $E28=""),
Error!$B$67,
IF(AND(_xlpm.baseRow,$D28&lt;&gt;"",ISNA(MATCH($D28,Tables2!$B$66:$B$68,0))),
Error!$B$63,
IF(AND(_xlpm.baseRow,$D28="Off Site",$E28&lt;&gt;"",$E28&lt;&gt;"Yes"),
Error!$B$28,
IF(AND(_xlpm.baseRow,OR($D28="On Site",$D28="Right-of-Way"),$E28&lt;&gt;"",ISNA(MATCH($E28,MultiSelect2[TreeMitigation],0))),
Error!$B$28,
IF(AND(_xlpm.baseRow,$D28&lt;&gt;"",$E28&lt;&gt;"",COUNTIF(_xlpm.FRange,"&lt;&gt;")=0),
Error!$B$26,
IF(AND($E28="No",$F28&lt;&gt;"",ISNA(MATCH($F28,Tables2!$B$55:$B$57,0))),
Error!$B$27,
IF(AND($E28="Yes",$F28&lt;&gt;"",ISNA(MATCH($F28,Tables2!$B$48:$B$52,0))),
Error!$B$27,
IF(AND($D28="Off Site",$E28="Yes",$F28&lt;&gt;"",ISNA(MATCH($F28,Tables2!$B$60:$B$62,0))),
Error!$B$27,
IF(AND(_xlpm.baseRow,_xlpm.Street&gt;0,_xlpm.ECA&gt;0),
Error!$B$29,
IF(AND(_xlpm.baseRow,_xlpm.Street&gt;0,_xlpm.Points&gt;0),
Error!$B$30,
IF(AND(_xlpm.baseRow,_xlpm.Street&gt;0,_xlpm.ReplaceReq&gt;0),
Error!$B$31,
IF(AND(_xlpm.baseRow,$D28&lt;&gt;"",$E28&lt;&gt;"",$G28&lt;&gt;"",_xlpm.DecBroad&gt;0,OR(_xlpm.Points&gt;0,_xlpm.Green&gt;0,_xlpm.ReplaceReq&gt;0),_xlpm.Street=0,$G28&lt;1.5),
Error!$B$42,
IF(AND(_xlpm.baseRow,$D28&lt;&gt;"",$E28&lt;&gt;"",$H28&lt;&gt;"",$H28&lt;4,_xlpm.Street&gt;0,_xlpm.Green&gt;0,COUNTA(_xlpm.FRange)&gt;0),
Error!$B$32,
IF(AND(_xlpm.baseRow,$G28="",_xlpm.ECA&gt;0,_xlpm.DecBroad&gt;0,_xlpm.ReplaceReq&gt;0),
Error!$B$52,
IF(AND(_xlpm.baseRow,$E28&lt;&gt;"", $H28="",_xlpm.ECA&gt;0,_xlpm.Coniferous&gt;0,_xlpm.ReplaceReq&gt;0),
Error!$B$53,
IF(AND(_xlpm.baseRow,$G28="",$H28="",_xlpm.ECA&gt;0,_xlpm.ReplaceReq&gt;0),
Error!$B$39,
IF(AND(_xlpm.baseRow,$D28&lt;&gt;"",$E28&lt;&gt;"",$G28="",$H28="",_xlpm.Coniferous&gt;0,_xlpm.ReplaceReq&gt;0,_xlpm.ECA&gt;0),
Error!$B$50,
IF(AND(_xlpm.baseRow,$D28&lt;&gt;"",$E28&lt;&gt;"",$G28&lt;&gt;"",_xlpm.Street&gt;0,$G28&lt;2),
Error!$B$43,
IF(AND(_xlpm.baseRow,$D28&lt;&gt;"",$E28&lt;&gt;"",_xlpm.Green&gt;0,_xlpm.DecBroad&gt;0,$G28=""),
Error!$B$49,
IF(AND(_xlpm.baseRow,$D28&lt;&gt;"",$E28&lt;&gt;"",$H28&lt;&gt;"",$H28&lt;4,_xlpm.Green&gt;0,_xlpm.DecBroad&gt;0,$G28=""),
Error!$B$51,
IF(AND(_xlpm.baseRow,$D28&lt;&gt;"",$E28&lt;&gt;"",_xlpm.Green&gt;0,_xlpm.Coniferous&gt;0,$H28=""),
Error!$B$50,
IF(AND(_xlpm.baseRow,$D28&lt;&gt;"",$E28&lt;&gt;"",_xlpm.Points&gt;0,_xlpm.DecBroad&gt;0,$G28=""),
Error!$B$49,
IF(AND(_xlpm.baseRow,$D28&lt;&gt;"",$E28&lt;&gt;"",_xlpm.Points&gt;0,_xlpm.Coniferous&gt;0,$H28=""),
Error!$B$50,
IF(AND(_xlpm.baseRow,$D28&lt;&gt;"",$E28&lt;&gt;"",_xlpm.ReplaceReq&gt;0,_xlpm.DecBroad&gt;0,$G28=""),
Error!$B$49,
IF(AND(_xlpm.baseRow,$D28&lt;&gt;"",$E28&lt;&gt;"",_xlpm.ReplaceReq&gt;0,_xlpm.Coniferous&gt;0,$H28=""),
Error!$B$50,
IF(AND(_xlpm.baseRow,$D28&lt;&gt;"",$E28&lt;&gt;"",_xlpm.Street&gt;0,$G28=""),
Error!$B$49,
IF(AND(_xlpm.baseRow,$D28&lt;&gt;"",$E28&lt;&gt;"",$H28&lt;&gt;"",$H28&lt;4,OR(ISNA(MATCH($C28,'Tree List'!$C$3:$C$601,0)),$C28=""),_xlpm.Green&gt;0,COUNTA(_xlpm.FRange)&gt;0),
Error!$B$51,
IF(AND(_xlpm.baseRow,$D28&lt;&gt;"",$E28&lt;&gt;"",$H28&lt;&gt;"",$H28&lt;4,_xlpm.DecBroad&gt;0,_xlpm.Green&gt;0,COUNTA(_xlpm.FRange)&gt;0),
Error!$B$51,
IF(AND(_xlpm.baseRow,$D28&lt;&gt;"",$E28&lt;&gt;"",$G28="",$H28="",OR(_xlpm.ReplaceReq&gt;0,_xlpm.Green&gt;0,_xlpm.Points&gt;0,_xlpm.Street&gt;0)),
Error!$B$38,
IF(AND(_xlpm.baseRow,$D28&lt;&gt;"",$E28&lt;&gt;"",$H28&lt;&gt;"",$H28&lt;4,_xlpm.Street=0,_xlpm.Coniferous&gt;0,COUNTA(_xlpm.FRange)&gt;0),
Error!$B$32,
IF(AND(_xlpm.baseRow,_xlpm.DecBroad&gt;0,$D28&lt;&gt;"",$E28&lt;&gt;"",$G28&lt;&gt;"",$G28&lt;1.5,_xlpm.Street=0,COUNTA(_xlpm.FRange)&gt;0),
Error!$B$42,
IF(AND(_xlpm.baseRow,$I28="",$H28="",_xlpm.ECA&gt;0,_xlpm.ReplaceReq=0),
Error!$B$33,
IF(AND(_xlpm.baseRow,OR($J28="",$J28&lt;=0),_xlpm.ReplaceReq&gt;0),
Error!$B$34,
IF(AND(_xlpm.baseRow,$K28&lt;&gt;"",_xlpm.Points&gt;0,ISNA(MATCH($K28,Tables!$B$242:$B$253,0))),
Error!$B$58,
IF(AND($K28="Small",$L28&lt;&gt;"",ISNA(MATCH($L28,Tables2!$C$35:$C$36,0))),
Error!$B$60,
IF(AND($K28="Small/Medium",$L28&lt;&gt;"",ISNA(MATCH($L28,Tables2!$C$38:$C$39,0))),
Error!$B$60,
IF(AND($K28="Medium/Large",$L28&lt;&gt;"",ISNA(MATCH($L28,Tables2!$C$41:$C$42,0))),
Error!$B$60,
IF(AND($K28="Large",$L28&lt;&gt;"",ISNA(MATCH($L28,Tables2!$C$44:$C$45,0))),
Error!$B$60,
IF(AND(_xlpm.baseRow,$B28&lt;&gt;"", $C28&lt;&gt;"", $D28&lt;&gt;"", $E28&lt;&gt;"", OR($M28="",$K28="",$L28=""),_xlpm.Points&gt;0),
Error!$B$35,
IF(AND(_xlpm.baseRow,$D28&lt;&gt;"",$E28&lt;&gt;"",$N28=""),
Error!$B$36,
""))))))))))))))))))))))))))))))))))))))))))),Error!$B$37))</f>
        <v/>
      </c>
      <c r="P28" s="355" t="str" cm="1">
        <f t="array" aca="1" ref="P28" ca="1">IFERROR(_xlfn.LET(
    _xlpm.txt, $C28,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29" spans="1:16" x14ac:dyDescent="0.3">
      <c r="A29" s="92"/>
      <c r="B29" s="439" t="str">
        <f>IF($B27="", "", $B27)</f>
        <v/>
      </c>
      <c r="C29" s="438"/>
      <c r="D29" s="439" t="str">
        <f>IF($D27="", "", $D27)</f>
        <v/>
      </c>
      <c r="E29" s="439" t="str">
        <f>IF($E27="", "", $E27)</f>
        <v/>
      </c>
      <c r="F29" s="300"/>
      <c r="G29" s="160"/>
      <c r="H29" s="440"/>
      <c r="I29" s="441"/>
      <c r="J29" s="459"/>
      <c r="K29" s="442" t="str">
        <f>IFERROR(
IF(
    AND(
        MOD(ROW()-11,4)=0,
        COUNTIF(INDEX(F:F, 11 + 4*INT((ROW()-11)/4)):INDEX(F:F, 14 + 4*INT((ROW()-11)/4)),"Zoning: Tree Points")&gt;0,
        COUNTIFS('Tree List'!$C$3:$C$601,$C29,'Tree List'!$H$3:$H$601,"sp.")=0
    ),
    VLOOKUP($C29,'Tree List'!$C$3:$F$601,4,FALSE),
    ""
),
"")</f>
        <v/>
      </c>
      <c r="L29" s="443" t="str" cm="1">
        <f t="array" ref="L29">IFERROR(
IF(
    AND(
        COUNTIF(INDEX(F:F, 11 + 4*INT((ROW()-11)/4)):INDEX(F:F, 14 + 4*INT((ROW()-11)/4)),"Zoning: Tree Points")&gt;0,
        COUNTIFS('Tree List'!$C$3:$C$601,$C29,'Tree List'!$H$3:$H$601,"sp.")&gt;0
    ),
    "",
    _xlfn.IFS(
        (COUNTIFS('Tree List'!$C$3:$C$601,$C29,'Tree List'!$D$3:$D$601,"Coniferous")
        + COUNTIFS('Tree List'!$C$3:$C$601,$C29,'Tree List'!$D$3:$D$601,"Deciduous Conifer")) &gt; 0,
            _xlfn.IFS($K29="Small",1.25,$K29="Small/Medium",2.5,$K29="Medium/Large",3.75,$K29="Large",5),
        (COUNTIFS('Tree List'!$C$3:$C$601,$C29,'Tree List'!$D$3:$D$601,"Deciduous")
        + COUNTIFS('Tree List'!$C$3:$C$601,$C29,'Tree List'!$D$3:$D$601,"Broadleaf Evergreen")) &gt; 0,
            _xlfn.IFS($K29="Small",1,$K29="Small/Medium",2,$K29="Medium/Large",3,$K29="Large",4)
    )
),
"")</f>
        <v/>
      </c>
      <c r="M29" s="472"/>
      <c r="N29" s="434"/>
      <c r="O29" s="340" t="str" cm="1">
        <f t="array" aca="1" ref="O29"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List'!$C$3:$C$601,$C29,'Tree List'!$D$3:$D$601,{"Deciduous","Broadleaf Evergreen"})),
_xlpm.Coniferous,SUM(COUNTIFS('Tree List'!$C$3:$C$601,$C29,'Tree List'!$D$3:$D$601,{"Coniferous","Deciduous Conifer"})),
IFERROR(
IF(AND(_xlpm.baseRow,ISNA(MATCH($C29,'Tree List'!$C$3:$C$601,0)),SUMPRODUCT(--ISNUMBER(SEARCH(Tables2!$C$677:$C$825,$P29)))&gt;0),
Error!$B$64,
IF(AND(_xlpm.baseRow,COUNTIF(_xlpm.FRange,"ECA / Shoreline")&gt;0,$D29&lt;&gt;"",$E29&lt;&gt;"",$N29=""),
Error!$B$55,
IF(AND(_xlpm.baseRow,$D29&lt;&gt;"",$E29&lt;&gt;"",COUNTBLANK($B29:$C29)&gt;0,COUNTBLANK($F29:$F32)&lt;&gt;4),
Error!$B$22,
IF(AND(_xlpm.baseRow,$D29="Right-of-Way", $E29=""),
Error!$B$67,
IF(AND(_xlpm.baseRow,$D29&lt;&gt;"",ISNA(MATCH($D29,Tables2!$B$66:$B$68,0))),
Error!$B$63,
IF(AND(_xlpm.baseRow,$D29="Off Site",$E29&lt;&gt;"",$E29&lt;&gt;"Yes"),
Error!$B$28,
IF(AND(_xlpm.baseRow,OR($D29="On Site",$D29="Right-of-Way"),$E29&lt;&gt;"",ISNA(MATCH($E29,MultiSelect2[TreeMitigation],0))),
Error!$B$28,
IF(AND(_xlpm.baseRow,$D29&lt;&gt;"",$E29&lt;&gt;"",COUNTIF(_xlpm.FRange,"&lt;&gt;")=0),
Error!$B$26,
IF(AND($E29="No",$F29&lt;&gt;"",ISNA(MATCH($F29,Tables2!$B$55:$B$57,0))),
Error!$B$27,
IF(AND($E29="Yes",$F29&lt;&gt;"",ISNA(MATCH($F29,Tables2!$B$48:$B$52,0))),
Error!$B$27,
IF(AND($D29="Off Site",$E29="Yes",$F29&lt;&gt;"",ISNA(MATCH($F29,Tables2!$B$60:$B$62,0))),
Error!$B$27,
IF(AND(_xlpm.baseRow,_xlpm.Street&gt;0,_xlpm.ECA&gt;0),
Error!$B$29,
IF(AND(_xlpm.baseRow,_xlpm.Street&gt;0,_xlpm.Points&gt;0),
Error!$B$30,
IF(AND(_xlpm.baseRow,_xlpm.Street&gt;0,_xlpm.ReplaceReq&gt;0),
Error!$B$31,
IF(AND(_xlpm.baseRow,$D29&lt;&gt;"",$E29&lt;&gt;"",$G29&lt;&gt;"",_xlpm.DecBroad&gt;0,OR(_xlpm.Points&gt;0,_xlpm.Green&gt;0,_xlpm.ReplaceReq&gt;0),_xlpm.Street=0,$G29&lt;1.5),
Error!$B$42,
IF(AND(_xlpm.baseRow,$D29&lt;&gt;"",$E29&lt;&gt;"",$H29&lt;&gt;"",$H29&lt;4,_xlpm.Street&gt;0,_xlpm.Green&gt;0,COUNTA(_xlpm.FRange)&gt;0),
Error!$B$32,
IF(AND(_xlpm.baseRow,$G29="",_xlpm.ECA&gt;0,_xlpm.DecBroad&gt;0,_xlpm.ReplaceReq&gt;0),
Error!$B$52,
IF(AND(_xlpm.baseRow,$E29&lt;&gt;"", $H29="",_xlpm.ECA&gt;0,_xlpm.Coniferous&gt;0,_xlpm.ReplaceReq&gt;0),
Error!$B$53,
IF(AND(_xlpm.baseRow,$G29="",$H29="",_xlpm.ECA&gt;0,_xlpm.ReplaceReq&gt;0),
Error!$B$39,
IF(AND(_xlpm.baseRow,$D29&lt;&gt;"",$E29&lt;&gt;"",$G29="",$H29="",_xlpm.Coniferous&gt;0,_xlpm.ReplaceReq&gt;0,_xlpm.ECA&gt;0),
Error!$B$50,
IF(AND(_xlpm.baseRow,$D29&lt;&gt;"",$E29&lt;&gt;"",$G29&lt;&gt;"",_xlpm.Street&gt;0,$G29&lt;2),
Error!$B$43,
IF(AND(_xlpm.baseRow,$D29&lt;&gt;"",$E29&lt;&gt;"",_xlpm.Green&gt;0,_xlpm.DecBroad&gt;0,$G29=""),
Error!$B$49,
IF(AND(_xlpm.baseRow,$D29&lt;&gt;"",$E29&lt;&gt;"",$H29&lt;&gt;"",$H29&lt;4,_xlpm.Green&gt;0,_xlpm.DecBroad&gt;0,$G29=""),
Error!$B$51,
IF(AND(_xlpm.baseRow,$D29&lt;&gt;"",$E29&lt;&gt;"",_xlpm.Green&gt;0,_xlpm.Coniferous&gt;0,$H29=""),
Error!$B$50,
IF(AND(_xlpm.baseRow,$D29&lt;&gt;"",$E29&lt;&gt;"",_xlpm.Points&gt;0,_xlpm.DecBroad&gt;0,$G29=""),
Error!$B$49,
IF(AND(_xlpm.baseRow,$D29&lt;&gt;"",$E29&lt;&gt;"",_xlpm.Points&gt;0,_xlpm.Coniferous&gt;0,$H29=""),
Error!$B$50,
IF(AND(_xlpm.baseRow,$D29&lt;&gt;"",$E29&lt;&gt;"",_xlpm.ReplaceReq&gt;0,_xlpm.DecBroad&gt;0,$G29=""),
Error!$B$49,
IF(AND(_xlpm.baseRow,$D29&lt;&gt;"",$E29&lt;&gt;"",_xlpm.ReplaceReq&gt;0,_xlpm.Coniferous&gt;0,$H29=""),
Error!$B$50,
IF(AND(_xlpm.baseRow,$D29&lt;&gt;"",$E29&lt;&gt;"",_xlpm.Street&gt;0,$G29=""),
Error!$B$49,
IF(AND(_xlpm.baseRow,$D29&lt;&gt;"",$E29&lt;&gt;"",$H29&lt;&gt;"",$H29&lt;4,OR(ISNA(MATCH($C29,'Tree List'!$C$3:$C$601,0)),$C29=""),_xlpm.Green&gt;0,COUNTA(_xlpm.FRange)&gt;0),
Error!$B$51,
IF(AND(_xlpm.baseRow,$D29&lt;&gt;"",$E29&lt;&gt;"",$H29&lt;&gt;"",$H29&lt;4,_xlpm.DecBroad&gt;0,_xlpm.Green&gt;0,COUNTA(_xlpm.FRange)&gt;0),
Error!$B$51,
IF(AND(_xlpm.baseRow,$D29&lt;&gt;"",$E29&lt;&gt;"",$G29="",$H29="",OR(_xlpm.ReplaceReq&gt;0,_xlpm.Green&gt;0,_xlpm.Points&gt;0,_xlpm.Street&gt;0)),
Error!$B$38,
IF(AND(_xlpm.baseRow,$D29&lt;&gt;"",$E29&lt;&gt;"",$H29&lt;&gt;"",$H29&lt;4,_xlpm.Street=0,_xlpm.Coniferous&gt;0,COUNTA(_xlpm.FRange)&gt;0),
Error!$B$32,
IF(AND(_xlpm.baseRow,_xlpm.DecBroad&gt;0,$D29&lt;&gt;"",$E29&lt;&gt;"",$G29&lt;&gt;"",$G29&lt;1.5,_xlpm.Street=0,COUNTA(_xlpm.FRange)&gt;0),
Error!$B$42,
IF(AND(_xlpm.baseRow,$I29="",$H29="",_xlpm.ECA&gt;0,_xlpm.ReplaceReq=0),
Error!$B$33,
IF(AND(_xlpm.baseRow,OR($J29="",$J29&lt;=0),_xlpm.ReplaceReq&gt;0),
Error!$B$34,
IF(AND(_xlpm.baseRow,$K29&lt;&gt;"",_xlpm.Points&gt;0,ISNA(MATCH($K29,Tables!$B$242:$B$253,0))),
Error!$B$58,
IF(AND($K29="Small",$L29&lt;&gt;"",ISNA(MATCH($L29,Tables2!$C$35:$C$36,0))),
Error!$B$60,
IF(AND($K29="Small/Medium",$L29&lt;&gt;"",ISNA(MATCH($L29,Tables2!$C$38:$C$39,0))),
Error!$B$60,
IF(AND($K29="Medium/Large",$L29&lt;&gt;"",ISNA(MATCH($L29,Tables2!$C$41:$C$42,0))),
Error!$B$60,
IF(AND($K29="Large",$L29&lt;&gt;"",ISNA(MATCH($L29,Tables2!$C$44:$C$45,0))),
Error!$B$60,
IF(AND(_xlpm.baseRow,$B29&lt;&gt;"", $C29&lt;&gt;"", $D29&lt;&gt;"", $E29&lt;&gt;"", OR($M29="",$K29="",$L29=""),_xlpm.Points&gt;0),
Error!$B$35,
IF(AND(_xlpm.baseRow,$D29&lt;&gt;"",$E29&lt;&gt;"",$N29=""),
Error!$B$36,
""))))))))))))))))))))))))))))))))))))))))))),Error!$B$37))</f>
        <v/>
      </c>
      <c r="P29" s="355" t="str" cm="1">
        <f t="array" aca="1" ref="P29" ca="1">IFERROR(_xlfn.LET(
    _xlpm.txt, $C29,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0" spans="1:16" ht="15" thickBot="1" x14ac:dyDescent="0.35">
      <c r="A30" s="92"/>
      <c r="B30" s="439" t="str">
        <f>IF($B27="", "", $B27)</f>
        <v/>
      </c>
      <c r="C30" s="438"/>
      <c r="D30" s="439" t="str">
        <f>IF($D27="", "", $D27)</f>
        <v/>
      </c>
      <c r="E30" s="439" t="str">
        <f>IF($E27="", "", $E27)</f>
        <v/>
      </c>
      <c r="F30" s="300"/>
      <c r="G30" s="161"/>
      <c r="H30" s="183"/>
      <c r="I30" s="180"/>
      <c r="J30" s="460"/>
      <c r="K30" s="176" t="str">
        <f>IFERROR(
IF(
    AND(
        MOD(ROW()-11,4)=0,
        COUNTIF(INDEX(F:F, 11 + 4*INT((ROW()-11)/4)):INDEX(F:F, 14 + 4*INT((ROW()-11)/4)),"Zoning: Tree Points")&gt;0,
        COUNTIFS('Tree List'!$C$3:$C$601,$C30,'Tree List'!$H$3:$H$601,"sp.")=0
    ),
    VLOOKUP($C30,'Tree List'!$C$3:$F$601,4,FALSE),
    ""
),
"")</f>
        <v/>
      </c>
      <c r="L30" s="177" t="str" cm="1">
        <f t="array" ref="L30">IFERROR(
IF(
    AND(
        COUNTIF(INDEX(F:F, 11 + 4*INT((ROW()-11)/4)):INDEX(F:F, 14 + 4*INT((ROW()-11)/4)),"Zoning: Tree Points")&gt;0,
        COUNTIFS('Tree List'!$C$3:$C$601,$C30,'Tree List'!$H$3:$H$601,"sp.")&gt;0
    ),
    "",
    _xlfn.IFS(
        (COUNTIFS('Tree List'!$C$3:$C$601,$C30,'Tree List'!$D$3:$D$601,"Coniferous")
        + COUNTIFS('Tree List'!$C$3:$C$601,$C30,'Tree List'!$D$3:$D$601,"Deciduous Conifer")) &gt; 0,
            _xlfn.IFS($K30="Small",1.25,$K30="Small/Medium",2.5,$K30="Medium/Large",3.75,$K30="Large",5),
        (COUNTIFS('Tree List'!$C$3:$C$601,$C30,'Tree List'!$D$3:$D$601,"Deciduous")
        + COUNTIFS('Tree List'!$C$3:$C$601,$C30,'Tree List'!$D$3:$D$601,"Broadleaf Evergreen")) &gt; 0,
            _xlfn.IFS($K30="Small",1,$K30="Small/Medium",2,$K30="Medium/Large",3,$K30="Large",4)
    )
),
"")</f>
        <v/>
      </c>
      <c r="M30" s="473"/>
      <c r="N30" s="434"/>
      <c r="O30" s="341" t="str" cm="1">
        <f t="array" aca="1" ref="O30"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List'!$C$3:$C$601,$C30,'Tree List'!$D$3:$D$601,{"Deciduous","Broadleaf Evergreen"})),
_xlpm.Coniferous,SUM(COUNTIFS('Tree List'!$C$3:$C$601,$C30,'Tree List'!$D$3:$D$601,{"Coniferous","Deciduous Conifer"})),
IFERROR(
IF(AND(_xlpm.baseRow,ISNA(MATCH($C30,'Tree List'!$C$3:$C$601,0)),SUMPRODUCT(--ISNUMBER(SEARCH(Tables2!$C$677:$C$825,$P30)))&gt;0),
Error!$B$64,
IF(AND(_xlpm.baseRow,COUNTIF(_xlpm.FRange,"ECA / Shoreline")&gt;0,$D30&lt;&gt;"",$E30&lt;&gt;"",$N30=""),
Error!$B$55,
IF(AND(_xlpm.baseRow,$D30&lt;&gt;"",$E30&lt;&gt;"",COUNTBLANK($B30:$C30)&gt;0,COUNTBLANK($F30:$F33)&lt;&gt;4),
Error!$B$22,
IF(AND(_xlpm.baseRow,$D30="Right-of-Way", $E30=""),
Error!$B$67,
IF(AND(_xlpm.baseRow,$D30&lt;&gt;"",ISNA(MATCH($D30,Tables2!$B$66:$B$68,0))),
Error!$B$63,
IF(AND(_xlpm.baseRow,$D30="Off Site",$E30&lt;&gt;"",$E30&lt;&gt;"Yes"),
Error!$B$28,
IF(AND(_xlpm.baseRow,OR($D30="On Site",$D30="Right-of-Way"),$E30&lt;&gt;"",ISNA(MATCH($E30,MultiSelect2[TreeMitigation],0))),
Error!$B$28,
IF(AND(_xlpm.baseRow,$D30&lt;&gt;"",$E30&lt;&gt;"",COUNTIF(_xlpm.FRange,"&lt;&gt;")=0),
Error!$B$26,
IF(AND($E30="No",$F30&lt;&gt;"",ISNA(MATCH($F30,Tables2!$B$55:$B$57,0))),
Error!$B$27,
IF(AND($E30="Yes",$F30&lt;&gt;"",ISNA(MATCH($F30,Tables2!$B$48:$B$52,0))),
Error!$B$27,
IF(AND($D30="Off Site",$E30="Yes",$F30&lt;&gt;"",ISNA(MATCH($F30,Tables2!$B$60:$B$62,0))),
Error!$B$27,
IF(AND(_xlpm.baseRow,_xlpm.Street&gt;0,_xlpm.ECA&gt;0),
Error!$B$29,
IF(AND(_xlpm.baseRow,_xlpm.Street&gt;0,_xlpm.Points&gt;0),
Error!$B$30,
IF(AND(_xlpm.baseRow,_xlpm.Street&gt;0,_xlpm.ReplaceReq&gt;0),
Error!$B$31,
IF(AND(_xlpm.baseRow,$D30&lt;&gt;"",$E30&lt;&gt;"",$G30&lt;&gt;"",_xlpm.DecBroad&gt;0,OR(_xlpm.Points&gt;0,_xlpm.Green&gt;0,_xlpm.ReplaceReq&gt;0),_xlpm.Street=0,$G30&lt;1.5),
Error!$B$42,
IF(AND(_xlpm.baseRow,$D30&lt;&gt;"",$E30&lt;&gt;"",$H30&lt;&gt;"",$H30&lt;4,_xlpm.Street&gt;0,_xlpm.Green&gt;0,COUNTA(_xlpm.FRange)&gt;0),
Error!$B$32,
IF(AND(_xlpm.baseRow,$G30="",_xlpm.ECA&gt;0,_xlpm.DecBroad&gt;0,_xlpm.ReplaceReq&gt;0),
Error!$B$52,
IF(AND(_xlpm.baseRow,$E30&lt;&gt;"", $H30="",_xlpm.ECA&gt;0,_xlpm.Coniferous&gt;0,_xlpm.ReplaceReq&gt;0),
Error!$B$53,
IF(AND(_xlpm.baseRow,$G30="",$H30="",_xlpm.ECA&gt;0,_xlpm.ReplaceReq&gt;0),
Error!$B$39,
IF(AND(_xlpm.baseRow,$D30&lt;&gt;"",$E30&lt;&gt;"",$G30="",$H30="",_xlpm.Coniferous&gt;0,_xlpm.ReplaceReq&gt;0,_xlpm.ECA&gt;0),
Error!$B$50,
IF(AND(_xlpm.baseRow,$D30&lt;&gt;"",$E30&lt;&gt;"",$G30&lt;&gt;"",_xlpm.Street&gt;0,$G30&lt;2),
Error!$B$43,
IF(AND(_xlpm.baseRow,$D30&lt;&gt;"",$E30&lt;&gt;"",_xlpm.Green&gt;0,_xlpm.DecBroad&gt;0,$G30=""),
Error!$B$49,
IF(AND(_xlpm.baseRow,$D30&lt;&gt;"",$E30&lt;&gt;"",$H30&lt;&gt;"",$H30&lt;4,_xlpm.Green&gt;0,_xlpm.DecBroad&gt;0,$G30=""),
Error!$B$51,
IF(AND(_xlpm.baseRow,$D30&lt;&gt;"",$E30&lt;&gt;"",_xlpm.Green&gt;0,_xlpm.Coniferous&gt;0,$H30=""),
Error!$B$50,
IF(AND(_xlpm.baseRow,$D30&lt;&gt;"",$E30&lt;&gt;"",_xlpm.Points&gt;0,_xlpm.DecBroad&gt;0,$G30=""),
Error!$B$49,
IF(AND(_xlpm.baseRow,$D30&lt;&gt;"",$E30&lt;&gt;"",_xlpm.Points&gt;0,_xlpm.Coniferous&gt;0,$H30=""),
Error!$B$50,
IF(AND(_xlpm.baseRow,$D30&lt;&gt;"",$E30&lt;&gt;"",_xlpm.ReplaceReq&gt;0,_xlpm.DecBroad&gt;0,$G30=""),
Error!$B$49,
IF(AND(_xlpm.baseRow,$D30&lt;&gt;"",$E30&lt;&gt;"",_xlpm.ReplaceReq&gt;0,_xlpm.Coniferous&gt;0,$H30=""),
Error!$B$50,
IF(AND(_xlpm.baseRow,$D30&lt;&gt;"",$E30&lt;&gt;"",_xlpm.Street&gt;0,$G30=""),
Error!$B$49,
IF(AND(_xlpm.baseRow,$D30&lt;&gt;"",$E30&lt;&gt;"",$H30&lt;&gt;"",$H30&lt;4,OR(ISNA(MATCH($C30,'Tree List'!$C$3:$C$601,0)),$C30=""),_xlpm.Green&gt;0,COUNTA(_xlpm.FRange)&gt;0),
Error!$B$51,
IF(AND(_xlpm.baseRow,$D30&lt;&gt;"",$E30&lt;&gt;"",$H30&lt;&gt;"",$H30&lt;4,_xlpm.DecBroad&gt;0,_xlpm.Green&gt;0,COUNTA(_xlpm.FRange)&gt;0),
Error!$B$51,
IF(AND(_xlpm.baseRow,$D30&lt;&gt;"",$E30&lt;&gt;"",$G30="",$H30="",OR(_xlpm.ReplaceReq&gt;0,_xlpm.Green&gt;0,_xlpm.Points&gt;0,_xlpm.Street&gt;0)),
Error!$B$38,
IF(AND(_xlpm.baseRow,$D30&lt;&gt;"",$E30&lt;&gt;"",$H30&lt;&gt;"",$H30&lt;4,_xlpm.Street=0,_xlpm.Coniferous&gt;0,COUNTA(_xlpm.FRange)&gt;0),
Error!$B$32,
IF(AND(_xlpm.baseRow,_xlpm.DecBroad&gt;0,$D30&lt;&gt;"",$E30&lt;&gt;"",$G30&lt;&gt;"",$G30&lt;1.5,_xlpm.Street=0,COUNTA(_xlpm.FRange)&gt;0),
Error!$B$42,
IF(AND(_xlpm.baseRow,$I30="",$H30="",_xlpm.ECA&gt;0,_xlpm.ReplaceReq=0),
Error!$B$33,
IF(AND(_xlpm.baseRow,OR($J30="",$J30&lt;=0),_xlpm.ReplaceReq&gt;0),
Error!$B$34,
IF(AND(_xlpm.baseRow,$K30&lt;&gt;"",_xlpm.Points&gt;0,ISNA(MATCH($K30,Tables!$B$242:$B$253,0))),
Error!$B$58,
IF(AND($K30="Small",$L30&lt;&gt;"",ISNA(MATCH($L30,Tables2!$C$35:$C$36,0))),
Error!$B$60,
IF(AND($K30="Small/Medium",$L30&lt;&gt;"",ISNA(MATCH($L30,Tables2!$C$38:$C$39,0))),
Error!$B$60,
IF(AND($K30="Medium/Large",$L30&lt;&gt;"",ISNA(MATCH($L30,Tables2!$C$41:$C$42,0))),
Error!$B$60,
IF(AND($K30="Large",$L30&lt;&gt;"",ISNA(MATCH($L30,Tables2!$C$44:$C$45,0))),
Error!$B$60,
IF(AND(_xlpm.baseRow,$B30&lt;&gt;"", $C30&lt;&gt;"", $D30&lt;&gt;"", $E30&lt;&gt;"", OR($M30="",$K30="",$L30=""),_xlpm.Points&gt;0),
Error!$B$35,
IF(AND(_xlpm.baseRow,$D30&lt;&gt;"",$E30&lt;&gt;"",$N30=""),
Error!$B$36,
""))))))))))))))))))))))))))))))))))))))))))),Error!$B$37))</f>
        <v/>
      </c>
      <c r="P30" s="355" t="str" cm="1">
        <f t="array" aca="1" ref="P30" ca="1">IFERROR(_xlfn.LET(
    _xlpm.txt, $C30,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1" spans="1:16" ht="15" thickBot="1" x14ac:dyDescent="0.35">
      <c r="A31" s="437">
        <v>6</v>
      </c>
      <c r="B31" s="448"/>
      <c r="C31" s="444"/>
      <c r="D31" s="295"/>
      <c r="E31" s="295"/>
      <c r="F31" s="301"/>
      <c r="G31" s="257"/>
      <c r="H31" s="181"/>
      <c r="I31" s="178"/>
      <c r="J31" s="457"/>
      <c r="K31" s="172" t="str">
        <f>IFERROR(
IF(
    AND(
        MOD(ROW()-11,4)=0,
        COUNTIF(INDEX(F:F, 11 + 4*INT((ROW()-11)/4)):INDEX(F:F, 14 + 4*INT((ROW()-11)/4)),"Zoning: Tree Points")&gt;0,
        COUNTIFS('Tree List'!$C$3:$C$601,$C31,'Tree List'!$H$3:$H$601,"sp.")=0
    ),
    VLOOKUP($C31,'Tree List'!$C$3:$F$601,4,FALSE),
    ""
),
"")</f>
        <v/>
      </c>
      <c r="L31" s="173" t="str" cm="1">
        <f t="array" ref="L31">IFERROR(
IF(
    AND(
        COUNTIF(INDEX(F:F, 11 + 4*INT((ROW()-11)/4)):INDEX(F:F, 14 + 4*INT((ROW()-11)/4)),"Zoning: Tree Points")&gt;0,
        COUNTIFS('Tree List'!$C$3:$C$601,$C31,'Tree List'!$H$3:$H$601,"sp.")&gt;0
    ),
    "",
    _xlfn.IFS(
        (COUNTIFS('Tree List'!$C$3:$C$601,$C31,'Tree List'!$D$3:$D$601,"Coniferous")
        + COUNTIFS('Tree List'!$C$3:$C$601,$C31,'Tree List'!$D$3:$D$601,"Deciduous Conifer")) &gt; 0,
            _xlfn.IFS($K31="Small",1.25,$K31="Small/Medium",2.5,$K31="Medium/Large",3.75,$K31="Large",5),
        (COUNTIFS('Tree List'!$C$3:$C$601,$C31,'Tree List'!$D$3:$D$601,"Deciduous")
        + COUNTIFS('Tree List'!$C$3:$C$601,$C31,'Tree List'!$D$3:$D$601,"Broadleaf Evergreen")) &gt; 0,
            _xlfn.IFS($K31="Small",1,$K31="Small/Medium",2,$K31="Medium/Large",3,$K31="Large",4)
    )
),
"")</f>
        <v/>
      </c>
      <c r="M31" s="470" t="str">
        <f t="shared" si="0"/>
        <v/>
      </c>
      <c r="N31" s="744"/>
      <c r="O31" s="737" t="str" cm="1">
        <f t="array" aca="1" ref="O31"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List'!$C$3:$C$601,$C31,'Tree List'!$D$3:$D$601,{"Deciduous","Broadleaf Evergreen"})),
_xlpm.Coniferous,SUM(COUNTIFS('Tree List'!$C$3:$C$601,$C31,'Tree List'!$D$3:$D$601,{"Coniferous","Deciduous Conifer"})),
IFERROR(
IF(AND(_xlpm.baseRow,ISNA(MATCH($C31,'Tree List'!$C$3:$C$601,0)),SUMPRODUCT(--ISNUMBER(SEARCH(Tables2!$C$677:$C$825,$P31)))&gt;0),
Error!$B$64,
IF(AND(_xlpm.baseRow,COUNTIF(_xlpm.FRange,"ECA / Shoreline")&gt;0,$D31&lt;&gt;"",$E31&lt;&gt;"",$N31=""),
Error!$B$55,
IF(AND(_xlpm.baseRow,$D31&lt;&gt;"",$E31&lt;&gt;"",COUNTBLANK($B31:$C31)&gt;0,COUNTBLANK($F31:$F34)&lt;&gt;4),
Error!$B$22,
IF(AND(_xlpm.baseRow,$D31="Right-of-Way", $E31=""),
Error!$B$67,
IF(AND(_xlpm.baseRow,$D31&lt;&gt;"",ISNA(MATCH($D31,Tables2!$B$66:$B$68,0))),
Error!$B$63,
IF(AND(_xlpm.baseRow,$D31="Off Site",$E31&lt;&gt;"",$E31&lt;&gt;"Yes"),
Error!$B$28,
IF(AND(_xlpm.baseRow,OR($D31="On Site",$D31="Right-of-Way"),$E31&lt;&gt;"",ISNA(MATCH($E31,MultiSelect2[TreeMitigation],0))),
Error!$B$28,
IF(AND(_xlpm.baseRow,$D31&lt;&gt;"",$E31&lt;&gt;"",COUNTIF(_xlpm.FRange,"&lt;&gt;")=0),
Error!$B$26,
IF(AND($E31="No",$F31&lt;&gt;"",ISNA(MATCH($F31,Tables2!$B$55:$B$57,0))),
Error!$B$27,
IF(AND($E31="Yes",$F31&lt;&gt;"",ISNA(MATCH($F31,Tables2!$B$48:$B$52,0))),
Error!$B$27,
IF(AND($D31="Off Site",$E31="Yes",$F31&lt;&gt;"",ISNA(MATCH($F31,Tables2!$B$60:$B$62,0))),
Error!$B$27,
IF(AND(_xlpm.baseRow,_xlpm.Street&gt;0,_xlpm.ECA&gt;0),
Error!$B$29,
IF(AND(_xlpm.baseRow,_xlpm.Street&gt;0,_xlpm.Points&gt;0),
Error!$B$30,
IF(AND(_xlpm.baseRow,_xlpm.Street&gt;0,_xlpm.ReplaceReq&gt;0),
Error!$B$31,
IF(AND(_xlpm.baseRow,$D31&lt;&gt;"",$E31&lt;&gt;"",$G31&lt;&gt;"",_xlpm.DecBroad&gt;0,OR(_xlpm.Points&gt;0,_xlpm.Green&gt;0,_xlpm.ReplaceReq&gt;0),_xlpm.Street=0,$G31&lt;1.5),
Error!$B$42,
IF(AND(_xlpm.baseRow,$D31&lt;&gt;"",$E31&lt;&gt;"",$H31&lt;&gt;"",$H31&lt;4,_xlpm.Street&gt;0,_xlpm.Green&gt;0,COUNTA(_xlpm.FRange)&gt;0),
Error!$B$32,
IF(AND(_xlpm.baseRow,$G31="",_xlpm.ECA&gt;0,_xlpm.DecBroad&gt;0,_xlpm.ReplaceReq&gt;0),
Error!$B$52,
IF(AND(_xlpm.baseRow,$E31&lt;&gt;"", $H31="",_xlpm.ECA&gt;0,_xlpm.Coniferous&gt;0,_xlpm.ReplaceReq&gt;0),
Error!$B$53,
IF(AND(_xlpm.baseRow,$G31="",$H31="",_xlpm.ECA&gt;0,_xlpm.ReplaceReq&gt;0),
Error!$B$39,
IF(AND(_xlpm.baseRow,$D31&lt;&gt;"",$E31&lt;&gt;"",$G31="",$H31="",_xlpm.Coniferous&gt;0,_xlpm.ReplaceReq&gt;0,_xlpm.ECA&gt;0),
Error!$B$50,
IF(AND(_xlpm.baseRow,$D31&lt;&gt;"",$E31&lt;&gt;"",$G31&lt;&gt;"",_xlpm.Street&gt;0,$G31&lt;2),
Error!$B$43,
IF(AND(_xlpm.baseRow,$D31&lt;&gt;"",$E31&lt;&gt;"",_xlpm.Green&gt;0,_xlpm.DecBroad&gt;0,$G31=""),
Error!$B$49,
IF(AND(_xlpm.baseRow,$D31&lt;&gt;"",$E31&lt;&gt;"",$H31&lt;&gt;"",$H31&lt;4,_xlpm.Green&gt;0,_xlpm.DecBroad&gt;0,$G31=""),
Error!$B$51,
IF(AND(_xlpm.baseRow,$D31&lt;&gt;"",$E31&lt;&gt;"",_xlpm.Green&gt;0,_xlpm.Coniferous&gt;0,$H31=""),
Error!$B$50,
IF(AND(_xlpm.baseRow,$D31&lt;&gt;"",$E31&lt;&gt;"",_xlpm.Points&gt;0,_xlpm.DecBroad&gt;0,$G31=""),
Error!$B$49,
IF(AND(_xlpm.baseRow,$D31&lt;&gt;"",$E31&lt;&gt;"",_xlpm.Points&gt;0,_xlpm.Coniferous&gt;0,$H31=""),
Error!$B$50,
IF(AND(_xlpm.baseRow,$D31&lt;&gt;"",$E31&lt;&gt;"",_xlpm.ReplaceReq&gt;0,_xlpm.DecBroad&gt;0,$G31=""),
Error!$B$49,
IF(AND(_xlpm.baseRow,$D31&lt;&gt;"",$E31&lt;&gt;"",_xlpm.ReplaceReq&gt;0,_xlpm.Coniferous&gt;0,$H31=""),
Error!$B$50,
IF(AND(_xlpm.baseRow,$D31&lt;&gt;"",$E31&lt;&gt;"",_xlpm.Street&gt;0,$G31=""),
Error!$B$49,
IF(AND(_xlpm.baseRow,$D31&lt;&gt;"",$E31&lt;&gt;"",$H31&lt;&gt;"",$H31&lt;4,OR(ISNA(MATCH($C31,'Tree List'!$C$3:$C$601,0)),$C31=""),_xlpm.Green&gt;0,COUNTA(_xlpm.FRange)&gt;0),
Error!$B$51,
IF(AND(_xlpm.baseRow,$D31&lt;&gt;"",$E31&lt;&gt;"",$H31&lt;&gt;"",$H31&lt;4,_xlpm.DecBroad&gt;0,_xlpm.Green&gt;0,COUNTA(_xlpm.FRange)&gt;0),
Error!$B$51,
IF(AND(_xlpm.baseRow,$D31&lt;&gt;"",$E31&lt;&gt;"",$G31="",$H31="",OR(_xlpm.ReplaceReq&gt;0,_xlpm.Green&gt;0,_xlpm.Points&gt;0,_xlpm.Street&gt;0)),
Error!$B$38,
IF(AND(_xlpm.baseRow,$D31&lt;&gt;"",$E31&lt;&gt;"",$H31&lt;&gt;"",$H31&lt;4,_xlpm.Street=0,_xlpm.Coniferous&gt;0,COUNTA(_xlpm.FRange)&gt;0),
Error!$B$32,
IF(AND(_xlpm.baseRow,_xlpm.DecBroad&gt;0,$D31&lt;&gt;"",$E31&lt;&gt;"",$G31&lt;&gt;"",$G31&lt;1.5,_xlpm.Street=0,COUNTA(_xlpm.FRange)&gt;0),
Error!$B$42,
IF(AND(_xlpm.baseRow,$I31="",$H31="",_xlpm.ECA&gt;0,_xlpm.ReplaceReq=0),
Error!$B$33,
IF(AND(_xlpm.baseRow,OR($J31="",$J31&lt;=0),_xlpm.ReplaceReq&gt;0),
Error!$B$34,
IF(AND(_xlpm.baseRow,$K31&lt;&gt;"",_xlpm.Points&gt;0,ISNA(MATCH($K31,Tables!$B$242:$B$253,0))),
Error!$B$58,
IF(AND($K31="Small",$L31&lt;&gt;"",ISNA(MATCH($L31,Tables2!$C$35:$C$36,0))),
Error!$B$60,
IF(AND($K31="Small/Medium",$L31&lt;&gt;"",ISNA(MATCH($L31,Tables2!$C$38:$C$39,0))),
Error!$B$60,
IF(AND($K31="Medium/Large",$L31&lt;&gt;"",ISNA(MATCH($L31,Tables2!$C$41:$C$42,0))),
Error!$B$60,
IF(AND($K31="Large",$L31&lt;&gt;"",ISNA(MATCH($L31,Tables2!$C$44:$C$45,0))),
Error!$B$60,
IF(AND(_xlpm.baseRow,$B31&lt;&gt;"", $C31&lt;&gt;"", $D31&lt;&gt;"", $E31&lt;&gt;"", OR($M31="",$K31="",$L31=""),_xlpm.Points&gt;0),
Error!$B$35,
IF(AND(_xlpm.baseRow,$D31&lt;&gt;"",$E31&lt;&gt;"",$N31=""),
Error!$B$36,
""))))))))))))))))))))))))))))))))))))))))))),Error!$B$37))</f>
        <v/>
      </c>
      <c r="P31" s="355" t="str" cm="1">
        <f t="array" aca="1" ref="P31" ca="1">IFERROR(_xlfn.LET(
    _xlpm.txt, $C31,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2" spans="1:16" x14ac:dyDescent="0.3">
      <c r="A32" s="92"/>
      <c r="B32" s="439" t="str">
        <f>IF($B31="", "", $B31)</f>
        <v/>
      </c>
      <c r="C32" s="309"/>
      <c r="D32" s="157" t="str">
        <f>IF($D31="", "", $D31)</f>
        <v/>
      </c>
      <c r="E32" s="157" t="str">
        <f>IF($E31="", "", $E31)</f>
        <v/>
      </c>
      <c r="F32" s="300"/>
      <c r="G32" s="159"/>
      <c r="H32" s="182"/>
      <c r="I32" s="179"/>
      <c r="J32" s="458"/>
      <c r="K32" s="174" t="str">
        <f>IFERROR(
IF(
    AND(
        MOD(ROW()-11,4)=0,
        COUNTIF(INDEX(F:F, 11 + 4*INT((ROW()-11)/4)):INDEX(F:F, 14 + 4*INT((ROW()-11)/4)),"Zoning: Tree Points")&gt;0,
        COUNTIFS('Tree List'!$C$3:$C$601,$C32,'Tree List'!$H$3:$H$601,"sp.")=0
    ),
    VLOOKUP($C32,'Tree List'!$C$3:$F$601,4,FALSE),
    ""
),
"")</f>
        <v/>
      </c>
      <c r="L32" s="175" t="str" cm="1">
        <f t="array" ref="L32">IFERROR(
IF(
    AND(
        COUNTIF(INDEX(F:F, 11 + 4*INT((ROW()-11)/4)):INDEX(F:F, 14 + 4*INT((ROW()-11)/4)),"Zoning: Tree Points")&gt;0,
        COUNTIFS('Tree List'!$C$3:$C$601,$C32,'Tree List'!$H$3:$H$601,"sp.")&gt;0
    ),
    "",
    _xlfn.IFS(
        (COUNTIFS('Tree List'!$C$3:$C$601,$C32,'Tree List'!$D$3:$D$601,"Coniferous")
        + COUNTIFS('Tree List'!$C$3:$C$601,$C32,'Tree List'!$D$3:$D$601,"Deciduous Conifer")) &gt; 0,
            _xlfn.IFS($K32="Small",1.25,$K32="Small/Medium",2.5,$K32="Medium/Large",3.75,$K32="Large",5),
        (COUNTIFS('Tree List'!$C$3:$C$601,$C32,'Tree List'!$D$3:$D$601,"Deciduous")
        + COUNTIFS('Tree List'!$C$3:$C$601,$C32,'Tree List'!$D$3:$D$601,"Broadleaf Evergreen")) &gt; 0,
            _xlfn.IFS($K32="Small",1,$K32="Small/Medium",2,$K32="Medium/Large",3,$K32="Large",4)
    )
),
"")</f>
        <v/>
      </c>
      <c r="M32" s="471"/>
      <c r="N32" s="434"/>
      <c r="O32" s="340" t="str" cm="1">
        <f t="array" aca="1" ref="O32"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List'!$C$3:$C$601,$C32,'Tree List'!$D$3:$D$601,{"Deciduous","Broadleaf Evergreen"})),
_xlpm.Coniferous,SUM(COUNTIFS('Tree List'!$C$3:$C$601,$C32,'Tree List'!$D$3:$D$601,{"Coniferous","Deciduous Conifer"})),
IFERROR(
IF(AND(_xlpm.baseRow,ISNA(MATCH($C32,'Tree List'!$C$3:$C$601,0)),SUMPRODUCT(--ISNUMBER(SEARCH(Tables2!$C$677:$C$825,$P32)))&gt;0),
Error!$B$64,
IF(AND(_xlpm.baseRow,COUNTIF(_xlpm.FRange,"ECA / Shoreline")&gt;0,$D32&lt;&gt;"",$E32&lt;&gt;"",$N32=""),
Error!$B$55,
IF(AND(_xlpm.baseRow,$D32&lt;&gt;"",$E32&lt;&gt;"",COUNTBLANK($B32:$C32)&gt;0,COUNTBLANK($F32:$F35)&lt;&gt;4),
Error!$B$22,
IF(AND(_xlpm.baseRow,$D32="Right-of-Way", $E32=""),
Error!$B$67,
IF(AND(_xlpm.baseRow,$D32&lt;&gt;"",ISNA(MATCH($D32,Tables2!$B$66:$B$68,0))),
Error!$B$63,
IF(AND(_xlpm.baseRow,$D32="Off Site",$E32&lt;&gt;"",$E32&lt;&gt;"Yes"),
Error!$B$28,
IF(AND(_xlpm.baseRow,OR($D32="On Site",$D32="Right-of-Way"),$E32&lt;&gt;"",ISNA(MATCH($E32,MultiSelect2[TreeMitigation],0))),
Error!$B$28,
IF(AND(_xlpm.baseRow,$D32&lt;&gt;"",$E32&lt;&gt;"",COUNTIF(_xlpm.FRange,"&lt;&gt;")=0),
Error!$B$26,
IF(AND($E32="No",$F32&lt;&gt;"",ISNA(MATCH($F32,Tables2!$B$55:$B$57,0))),
Error!$B$27,
IF(AND($E32="Yes",$F32&lt;&gt;"",ISNA(MATCH($F32,Tables2!$B$48:$B$52,0))),
Error!$B$27,
IF(AND($D32="Off Site",$E32="Yes",$F32&lt;&gt;"",ISNA(MATCH($F32,Tables2!$B$60:$B$62,0))),
Error!$B$27,
IF(AND(_xlpm.baseRow,_xlpm.Street&gt;0,_xlpm.ECA&gt;0),
Error!$B$29,
IF(AND(_xlpm.baseRow,_xlpm.Street&gt;0,_xlpm.Points&gt;0),
Error!$B$30,
IF(AND(_xlpm.baseRow,_xlpm.Street&gt;0,_xlpm.ReplaceReq&gt;0),
Error!$B$31,
IF(AND(_xlpm.baseRow,$D32&lt;&gt;"",$E32&lt;&gt;"",$G32&lt;&gt;"",_xlpm.DecBroad&gt;0,OR(_xlpm.Points&gt;0,_xlpm.Green&gt;0,_xlpm.ReplaceReq&gt;0),_xlpm.Street=0,$G32&lt;1.5),
Error!$B$42,
IF(AND(_xlpm.baseRow,$D32&lt;&gt;"",$E32&lt;&gt;"",$H32&lt;&gt;"",$H32&lt;4,_xlpm.Street&gt;0,_xlpm.Green&gt;0,COUNTA(_xlpm.FRange)&gt;0),
Error!$B$32,
IF(AND(_xlpm.baseRow,$G32="",_xlpm.ECA&gt;0,_xlpm.DecBroad&gt;0,_xlpm.ReplaceReq&gt;0),
Error!$B$52,
IF(AND(_xlpm.baseRow,$E32&lt;&gt;"", $H32="",_xlpm.ECA&gt;0,_xlpm.Coniferous&gt;0,_xlpm.ReplaceReq&gt;0),
Error!$B$53,
IF(AND(_xlpm.baseRow,$G32="",$H32="",_xlpm.ECA&gt;0,_xlpm.ReplaceReq&gt;0),
Error!$B$39,
IF(AND(_xlpm.baseRow,$D32&lt;&gt;"",$E32&lt;&gt;"",$G32="",$H32="",_xlpm.Coniferous&gt;0,_xlpm.ReplaceReq&gt;0,_xlpm.ECA&gt;0),
Error!$B$50,
IF(AND(_xlpm.baseRow,$D32&lt;&gt;"",$E32&lt;&gt;"",$G32&lt;&gt;"",_xlpm.Street&gt;0,$G32&lt;2),
Error!$B$43,
IF(AND(_xlpm.baseRow,$D32&lt;&gt;"",$E32&lt;&gt;"",_xlpm.Green&gt;0,_xlpm.DecBroad&gt;0,$G32=""),
Error!$B$49,
IF(AND(_xlpm.baseRow,$D32&lt;&gt;"",$E32&lt;&gt;"",$H32&lt;&gt;"",$H32&lt;4,_xlpm.Green&gt;0,_xlpm.DecBroad&gt;0,$G32=""),
Error!$B$51,
IF(AND(_xlpm.baseRow,$D32&lt;&gt;"",$E32&lt;&gt;"",_xlpm.Green&gt;0,_xlpm.Coniferous&gt;0,$H32=""),
Error!$B$50,
IF(AND(_xlpm.baseRow,$D32&lt;&gt;"",$E32&lt;&gt;"",_xlpm.Points&gt;0,_xlpm.DecBroad&gt;0,$G32=""),
Error!$B$49,
IF(AND(_xlpm.baseRow,$D32&lt;&gt;"",$E32&lt;&gt;"",_xlpm.Points&gt;0,_xlpm.Coniferous&gt;0,$H32=""),
Error!$B$50,
IF(AND(_xlpm.baseRow,$D32&lt;&gt;"",$E32&lt;&gt;"",_xlpm.ReplaceReq&gt;0,_xlpm.DecBroad&gt;0,$G32=""),
Error!$B$49,
IF(AND(_xlpm.baseRow,$D32&lt;&gt;"",$E32&lt;&gt;"",_xlpm.ReplaceReq&gt;0,_xlpm.Coniferous&gt;0,$H32=""),
Error!$B$50,
IF(AND(_xlpm.baseRow,$D32&lt;&gt;"",$E32&lt;&gt;"",_xlpm.Street&gt;0,$G32=""),
Error!$B$49,
IF(AND(_xlpm.baseRow,$D32&lt;&gt;"",$E32&lt;&gt;"",$H32&lt;&gt;"",$H32&lt;4,OR(ISNA(MATCH($C32,'Tree List'!$C$3:$C$601,0)),$C32=""),_xlpm.Green&gt;0,COUNTA(_xlpm.FRange)&gt;0),
Error!$B$51,
IF(AND(_xlpm.baseRow,$D32&lt;&gt;"",$E32&lt;&gt;"",$H32&lt;&gt;"",$H32&lt;4,_xlpm.DecBroad&gt;0,_xlpm.Green&gt;0,COUNTA(_xlpm.FRange)&gt;0),
Error!$B$51,
IF(AND(_xlpm.baseRow,$D32&lt;&gt;"",$E32&lt;&gt;"",$G32="",$H32="",OR(_xlpm.ReplaceReq&gt;0,_xlpm.Green&gt;0,_xlpm.Points&gt;0,_xlpm.Street&gt;0)),
Error!$B$38,
IF(AND(_xlpm.baseRow,$D32&lt;&gt;"",$E32&lt;&gt;"",$H32&lt;&gt;"",$H32&lt;4,_xlpm.Street=0,_xlpm.Coniferous&gt;0,COUNTA(_xlpm.FRange)&gt;0),
Error!$B$32,
IF(AND(_xlpm.baseRow,_xlpm.DecBroad&gt;0,$D32&lt;&gt;"",$E32&lt;&gt;"",$G32&lt;&gt;"",$G32&lt;1.5,_xlpm.Street=0,COUNTA(_xlpm.FRange)&gt;0),
Error!$B$42,
IF(AND(_xlpm.baseRow,$I32="",$H32="",_xlpm.ECA&gt;0,_xlpm.ReplaceReq=0),
Error!$B$33,
IF(AND(_xlpm.baseRow,OR($J32="",$J32&lt;=0),_xlpm.ReplaceReq&gt;0),
Error!$B$34,
IF(AND(_xlpm.baseRow,$K32&lt;&gt;"",_xlpm.Points&gt;0,ISNA(MATCH($K32,Tables!$B$242:$B$253,0))),
Error!$B$58,
IF(AND($K32="Small",$L32&lt;&gt;"",ISNA(MATCH($L32,Tables2!$C$35:$C$36,0))),
Error!$B$60,
IF(AND($K32="Small/Medium",$L32&lt;&gt;"",ISNA(MATCH($L32,Tables2!$C$38:$C$39,0))),
Error!$B$60,
IF(AND($K32="Medium/Large",$L32&lt;&gt;"",ISNA(MATCH($L32,Tables2!$C$41:$C$42,0))),
Error!$B$60,
IF(AND($K32="Large",$L32&lt;&gt;"",ISNA(MATCH($L32,Tables2!$C$44:$C$45,0))),
Error!$B$60,
IF(AND(_xlpm.baseRow,$B32&lt;&gt;"", $C32&lt;&gt;"", $D32&lt;&gt;"", $E32&lt;&gt;"", OR($M32="",$K32="",$L32=""),_xlpm.Points&gt;0),
Error!$B$35,
IF(AND(_xlpm.baseRow,$D32&lt;&gt;"",$E32&lt;&gt;"",$N32=""),
Error!$B$36,
""))))))))))))))))))))))))))))))))))))))))))),Error!$B$37))</f>
        <v/>
      </c>
      <c r="P32" s="355" t="str" cm="1">
        <f t="array" aca="1" ref="P32" ca="1">IFERROR(_xlfn.LET(
    _xlpm.txt, $C32,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3" spans="1:16" x14ac:dyDescent="0.3">
      <c r="A33" s="92"/>
      <c r="B33" s="439" t="str">
        <f>IF($B31="", "", $B31)</f>
        <v/>
      </c>
      <c r="C33" s="438"/>
      <c r="D33" s="439" t="str">
        <f>IF($D31="", "", $D31)</f>
        <v/>
      </c>
      <c r="E33" s="439" t="str">
        <f>IF($E31="", "", $E31)</f>
        <v/>
      </c>
      <c r="F33" s="300"/>
      <c r="G33" s="160"/>
      <c r="H33" s="440"/>
      <c r="I33" s="441"/>
      <c r="J33" s="459"/>
      <c r="K33" s="442" t="str">
        <f>IFERROR(
IF(
    AND(
        MOD(ROW()-11,4)=0,
        COUNTIF(INDEX(F:F, 11 + 4*INT((ROW()-11)/4)):INDEX(F:F, 14 + 4*INT((ROW()-11)/4)),"Zoning: Tree Points")&gt;0,
        COUNTIFS('Tree List'!$C$3:$C$601,$C33,'Tree List'!$H$3:$H$601,"sp.")=0
    ),
    VLOOKUP($C33,'Tree List'!$C$3:$F$601,4,FALSE),
    ""
),
"")</f>
        <v/>
      </c>
      <c r="L33" s="443" t="str" cm="1">
        <f t="array" ref="L33">IFERROR(
IF(
    AND(
        COUNTIF(INDEX(F:F, 11 + 4*INT((ROW()-11)/4)):INDEX(F:F, 14 + 4*INT((ROW()-11)/4)),"Zoning: Tree Points")&gt;0,
        COUNTIFS('Tree List'!$C$3:$C$601,$C33,'Tree List'!$H$3:$H$601,"sp.")&gt;0
    ),
    "",
    _xlfn.IFS(
        (COUNTIFS('Tree List'!$C$3:$C$601,$C33,'Tree List'!$D$3:$D$601,"Coniferous")
        + COUNTIFS('Tree List'!$C$3:$C$601,$C33,'Tree List'!$D$3:$D$601,"Deciduous Conifer")) &gt; 0,
            _xlfn.IFS($K33="Small",1.25,$K33="Small/Medium",2.5,$K33="Medium/Large",3.75,$K33="Large",5),
        (COUNTIFS('Tree List'!$C$3:$C$601,$C33,'Tree List'!$D$3:$D$601,"Deciduous")
        + COUNTIFS('Tree List'!$C$3:$C$601,$C33,'Tree List'!$D$3:$D$601,"Broadleaf Evergreen")) &gt; 0,
            _xlfn.IFS($K33="Small",1,$K33="Small/Medium",2,$K33="Medium/Large",3,$K33="Large",4)
    )
),
"")</f>
        <v/>
      </c>
      <c r="M33" s="472"/>
      <c r="N33" s="434"/>
      <c r="O33" s="340" t="str" cm="1">
        <f t="array" aca="1" ref="O33"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List'!$C$3:$C$601,$C33,'Tree List'!$D$3:$D$601,{"Deciduous","Broadleaf Evergreen"})),
_xlpm.Coniferous,SUM(COUNTIFS('Tree List'!$C$3:$C$601,$C33,'Tree List'!$D$3:$D$601,{"Coniferous","Deciduous Conifer"})),
IFERROR(
IF(AND(_xlpm.baseRow,ISNA(MATCH($C33,'Tree List'!$C$3:$C$601,0)),SUMPRODUCT(--ISNUMBER(SEARCH(Tables2!$C$677:$C$825,$P33)))&gt;0),
Error!$B$64,
IF(AND(_xlpm.baseRow,COUNTIF(_xlpm.FRange,"ECA / Shoreline")&gt;0,$D33&lt;&gt;"",$E33&lt;&gt;"",$N33=""),
Error!$B$55,
IF(AND(_xlpm.baseRow,$D33&lt;&gt;"",$E33&lt;&gt;"",COUNTBLANK($B33:$C33)&gt;0,COUNTBLANK($F33:$F36)&lt;&gt;4),
Error!$B$22,
IF(AND(_xlpm.baseRow,$D33="Right-of-Way", $E33=""),
Error!$B$67,
IF(AND(_xlpm.baseRow,$D33&lt;&gt;"",ISNA(MATCH($D33,Tables2!$B$66:$B$68,0))),
Error!$B$63,
IF(AND(_xlpm.baseRow,$D33="Off Site",$E33&lt;&gt;"",$E33&lt;&gt;"Yes"),
Error!$B$28,
IF(AND(_xlpm.baseRow,OR($D33="On Site",$D33="Right-of-Way"),$E33&lt;&gt;"",ISNA(MATCH($E33,MultiSelect2[TreeMitigation],0))),
Error!$B$28,
IF(AND(_xlpm.baseRow,$D33&lt;&gt;"",$E33&lt;&gt;"",COUNTIF(_xlpm.FRange,"&lt;&gt;")=0),
Error!$B$26,
IF(AND($E33="No",$F33&lt;&gt;"",ISNA(MATCH($F33,Tables2!$B$55:$B$57,0))),
Error!$B$27,
IF(AND($E33="Yes",$F33&lt;&gt;"",ISNA(MATCH($F33,Tables2!$B$48:$B$52,0))),
Error!$B$27,
IF(AND($D33="Off Site",$E33="Yes",$F33&lt;&gt;"",ISNA(MATCH($F33,Tables2!$B$60:$B$62,0))),
Error!$B$27,
IF(AND(_xlpm.baseRow,_xlpm.Street&gt;0,_xlpm.ECA&gt;0),
Error!$B$29,
IF(AND(_xlpm.baseRow,_xlpm.Street&gt;0,_xlpm.Points&gt;0),
Error!$B$30,
IF(AND(_xlpm.baseRow,_xlpm.Street&gt;0,_xlpm.ReplaceReq&gt;0),
Error!$B$31,
IF(AND(_xlpm.baseRow,$D33&lt;&gt;"",$E33&lt;&gt;"",$G33&lt;&gt;"",_xlpm.DecBroad&gt;0,OR(_xlpm.Points&gt;0,_xlpm.Green&gt;0,_xlpm.ReplaceReq&gt;0),_xlpm.Street=0,$G33&lt;1.5),
Error!$B$42,
IF(AND(_xlpm.baseRow,$D33&lt;&gt;"",$E33&lt;&gt;"",$H33&lt;&gt;"",$H33&lt;4,_xlpm.Street&gt;0,_xlpm.Green&gt;0,COUNTA(_xlpm.FRange)&gt;0),
Error!$B$32,
IF(AND(_xlpm.baseRow,$G33="",_xlpm.ECA&gt;0,_xlpm.DecBroad&gt;0,_xlpm.ReplaceReq&gt;0),
Error!$B$52,
IF(AND(_xlpm.baseRow,$E33&lt;&gt;"", $H33="",_xlpm.ECA&gt;0,_xlpm.Coniferous&gt;0,_xlpm.ReplaceReq&gt;0),
Error!$B$53,
IF(AND(_xlpm.baseRow,$G33="",$H33="",_xlpm.ECA&gt;0,_xlpm.ReplaceReq&gt;0),
Error!$B$39,
IF(AND(_xlpm.baseRow,$D33&lt;&gt;"",$E33&lt;&gt;"",$G33="",$H33="",_xlpm.Coniferous&gt;0,_xlpm.ReplaceReq&gt;0,_xlpm.ECA&gt;0),
Error!$B$50,
IF(AND(_xlpm.baseRow,$D33&lt;&gt;"",$E33&lt;&gt;"",$G33&lt;&gt;"",_xlpm.Street&gt;0,$G33&lt;2),
Error!$B$43,
IF(AND(_xlpm.baseRow,$D33&lt;&gt;"",$E33&lt;&gt;"",_xlpm.Green&gt;0,_xlpm.DecBroad&gt;0,$G33=""),
Error!$B$49,
IF(AND(_xlpm.baseRow,$D33&lt;&gt;"",$E33&lt;&gt;"",$H33&lt;&gt;"",$H33&lt;4,_xlpm.Green&gt;0,_xlpm.DecBroad&gt;0,$G33=""),
Error!$B$51,
IF(AND(_xlpm.baseRow,$D33&lt;&gt;"",$E33&lt;&gt;"",_xlpm.Green&gt;0,_xlpm.Coniferous&gt;0,$H33=""),
Error!$B$50,
IF(AND(_xlpm.baseRow,$D33&lt;&gt;"",$E33&lt;&gt;"",_xlpm.Points&gt;0,_xlpm.DecBroad&gt;0,$G33=""),
Error!$B$49,
IF(AND(_xlpm.baseRow,$D33&lt;&gt;"",$E33&lt;&gt;"",_xlpm.Points&gt;0,_xlpm.Coniferous&gt;0,$H33=""),
Error!$B$50,
IF(AND(_xlpm.baseRow,$D33&lt;&gt;"",$E33&lt;&gt;"",_xlpm.ReplaceReq&gt;0,_xlpm.DecBroad&gt;0,$G33=""),
Error!$B$49,
IF(AND(_xlpm.baseRow,$D33&lt;&gt;"",$E33&lt;&gt;"",_xlpm.ReplaceReq&gt;0,_xlpm.Coniferous&gt;0,$H33=""),
Error!$B$50,
IF(AND(_xlpm.baseRow,$D33&lt;&gt;"",$E33&lt;&gt;"",_xlpm.Street&gt;0,$G33=""),
Error!$B$49,
IF(AND(_xlpm.baseRow,$D33&lt;&gt;"",$E33&lt;&gt;"",$H33&lt;&gt;"",$H33&lt;4,OR(ISNA(MATCH($C33,'Tree List'!$C$3:$C$601,0)),$C33=""),_xlpm.Green&gt;0,COUNTA(_xlpm.FRange)&gt;0),
Error!$B$51,
IF(AND(_xlpm.baseRow,$D33&lt;&gt;"",$E33&lt;&gt;"",$H33&lt;&gt;"",$H33&lt;4,_xlpm.DecBroad&gt;0,_xlpm.Green&gt;0,COUNTA(_xlpm.FRange)&gt;0),
Error!$B$51,
IF(AND(_xlpm.baseRow,$D33&lt;&gt;"",$E33&lt;&gt;"",$G33="",$H33="",OR(_xlpm.ReplaceReq&gt;0,_xlpm.Green&gt;0,_xlpm.Points&gt;0,_xlpm.Street&gt;0)),
Error!$B$38,
IF(AND(_xlpm.baseRow,$D33&lt;&gt;"",$E33&lt;&gt;"",$H33&lt;&gt;"",$H33&lt;4,_xlpm.Street=0,_xlpm.Coniferous&gt;0,COUNTA(_xlpm.FRange)&gt;0),
Error!$B$32,
IF(AND(_xlpm.baseRow,_xlpm.DecBroad&gt;0,$D33&lt;&gt;"",$E33&lt;&gt;"",$G33&lt;&gt;"",$G33&lt;1.5,_xlpm.Street=0,COUNTA(_xlpm.FRange)&gt;0),
Error!$B$42,
IF(AND(_xlpm.baseRow,$I33="",$H33="",_xlpm.ECA&gt;0,_xlpm.ReplaceReq=0),
Error!$B$33,
IF(AND(_xlpm.baseRow,OR($J33="",$J33&lt;=0),_xlpm.ReplaceReq&gt;0),
Error!$B$34,
IF(AND(_xlpm.baseRow,$K33&lt;&gt;"",_xlpm.Points&gt;0,ISNA(MATCH($K33,Tables!$B$242:$B$253,0))),
Error!$B$58,
IF(AND($K33="Small",$L33&lt;&gt;"",ISNA(MATCH($L33,Tables2!$C$35:$C$36,0))),
Error!$B$60,
IF(AND($K33="Small/Medium",$L33&lt;&gt;"",ISNA(MATCH($L33,Tables2!$C$38:$C$39,0))),
Error!$B$60,
IF(AND($K33="Medium/Large",$L33&lt;&gt;"",ISNA(MATCH($L33,Tables2!$C$41:$C$42,0))),
Error!$B$60,
IF(AND($K33="Large",$L33&lt;&gt;"",ISNA(MATCH($L33,Tables2!$C$44:$C$45,0))),
Error!$B$60,
IF(AND(_xlpm.baseRow,$B33&lt;&gt;"", $C33&lt;&gt;"", $D33&lt;&gt;"", $E33&lt;&gt;"", OR($M33="",$K33="",$L33=""),_xlpm.Points&gt;0),
Error!$B$35,
IF(AND(_xlpm.baseRow,$D33&lt;&gt;"",$E33&lt;&gt;"",$N33=""),
Error!$B$36,
""))))))))))))))))))))))))))))))))))))))))))),Error!$B$37))</f>
        <v/>
      </c>
      <c r="P33" s="355" t="str" cm="1">
        <f t="array" aca="1" ref="P33" ca="1">IFERROR(_xlfn.LET(
    _xlpm.txt, $C33,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4" spans="1:16" ht="15" thickBot="1" x14ac:dyDescent="0.35">
      <c r="A34" s="96"/>
      <c r="B34" s="439" t="str">
        <f>IF($B31="", "", $B31)</f>
        <v/>
      </c>
      <c r="C34" s="438"/>
      <c r="D34" s="439" t="str">
        <f>IF($D31="", "", $D31)</f>
        <v/>
      </c>
      <c r="E34" s="439" t="str">
        <f>IF($E31="", "", $E31)</f>
        <v/>
      </c>
      <c r="F34" s="300"/>
      <c r="G34" s="161"/>
      <c r="H34" s="183"/>
      <c r="I34" s="180"/>
      <c r="J34" s="460"/>
      <c r="K34" s="176" t="str">
        <f>IFERROR(
IF(
    AND(
        MOD(ROW()-11,4)=0,
        COUNTIF(INDEX(F:F, 11 + 4*INT((ROW()-11)/4)):INDEX(F:F, 14 + 4*INT((ROW()-11)/4)),"Zoning: Tree Points")&gt;0,
        COUNTIFS('Tree List'!$C$3:$C$601,$C34,'Tree List'!$H$3:$H$601,"sp.")=0
    ),
    VLOOKUP($C34,'Tree List'!$C$3:$F$601,4,FALSE),
    ""
),
"")</f>
        <v/>
      </c>
      <c r="L34" s="177" t="str" cm="1">
        <f t="array" ref="L34">IFERROR(
IF(
    AND(
        COUNTIF(INDEX(F:F, 11 + 4*INT((ROW()-11)/4)):INDEX(F:F, 14 + 4*INT((ROW()-11)/4)),"Zoning: Tree Points")&gt;0,
        COUNTIFS('Tree List'!$C$3:$C$601,$C34,'Tree List'!$H$3:$H$601,"sp.")&gt;0
    ),
    "",
    _xlfn.IFS(
        (COUNTIFS('Tree List'!$C$3:$C$601,$C34,'Tree List'!$D$3:$D$601,"Coniferous")
        + COUNTIFS('Tree List'!$C$3:$C$601,$C34,'Tree List'!$D$3:$D$601,"Deciduous Conifer")) &gt; 0,
            _xlfn.IFS($K34="Small",1.25,$K34="Small/Medium",2.5,$K34="Medium/Large",3.75,$K34="Large",5),
        (COUNTIFS('Tree List'!$C$3:$C$601,$C34,'Tree List'!$D$3:$D$601,"Deciduous")
        + COUNTIFS('Tree List'!$C$3:$C$601,$C34,'Tree List'!$D$3:$D$601,"Broadleaf Evergreen")) &gt; 0,
            _xlfn.IFS($K34="Small",1,$K34="Small/Medium",2,$K34="Medium/Large",3,$K34="Large",4)
    )
),
"")</f>
        <v/>
      </c>
      <c r="M34" s="473"/>
      <c r="N34" s="434"/>
      <c r="O34" s="341" t="str" cm="1">
        <f t="array" aca="1" ref="O34"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List'!$C$3:$C$601,$C34,'Tree List'!$D$3:$D$601,{"Deciduous","Broadleaf Evergreen"})),
_xlpm.Coniferous,SUM(COUNTIFS('Tree List'!$C$3:$C$601,$C34,'Tree List'!$D$3:$D$601,{"Coniferous","Deciduous Conifer"})),
IFERROR(
IF(AND(_xlpm.baseRow,ISNA(MATCH($C34,'Tree List'!$C$3:$C$601,0)),SUMPRODUCT(--ISNUMBER(SEARCH(Tables2!$C$677:$C$825,$P34)))&gt;0),
Error!$B$64,
IF(AND(_xlpm.baseRow,COUNTIF(_xlpm.FRange,"ECA / Shoreline")&gt;0,$D34&lt;&gt;"",$E34&lt;&gt;"",$N34=""),
Error!$B$55,
IF(AND(_xlpm.baseRow,$D34&lt;&gt;"",$E34&lt;&gt;"",COUNTBLANK($B34:$C34)&gt;0,COUNTBLANK($F34:$F37)&lt;&gt;4),
Error!$B$22,
IF(AND(_xlpm.baseRow,$D34="Right-of-Way", $E34=""),
Error!$B$67,
IF(AND(_xlpm.baseRow,$D34&lt;&gt;"",ISNA(MATCH($D34,Tables2!$B$66:$B$68,0))),
Error!$B$63,
IF(AND(_xlpm.baseRow,$D34="Off Site",$E34&lt;&gt;"",$E34&lt;&gt;"Yes"),
Error!$B$28,
IF(AND(_xlpm.baseRow,OR($D34="On Site",$D34="Right-of-Way"),$E34&lt;&gt;"",ISNA(MATCH($E34,MultiSelect2[TreeMitigation],0))),
Error!$B$28,
IF(AND(_xlpm.baseRow,$D34&lt;&gt;"",$E34&lt;&gt;"",COUNTIF(_xlpm.FRange,"&lt;&gt;")=0),
Error!$B$26,
IF(AND($E34="No",$F34&lt;&gt;"",ISNA(MATCH($F34,Tables2!$B$55:$B$57,0))),
Error!$B$27,
IF(AND($E34="Yes",$F34&lt;&gt;"",ISNA(MATCH($F34,Tables2!$B$48:$B$52,0))),
Error!$B$27,
IF(AND($D34="Off Site",$E34="Yes",$F34&lt;&gt;"",ISNA(MATCH($F34,Tables2!$B$60:$B$62,0))),
Error!$B$27,
IF(AND(_xlpm.baseRow,_xlpm.Street&gt;0,_xlpm.ECA&gt;0),
Error!$B$29,
IF(AND(_xlpm.baseRow,_xlpm.Street&gt;0,_xlpm.Points&gt;0),
Error!$B$30,
IF(AND(_xlpm.baseRow,_xlpm.Street&gt;0,_xlpm.ReplaceReq&gt;0),
Error!$B$31,
IF(AND(_xlpm.baseRow,$D34&lt;&gt;"",$E34&lt;&gt;"",$G34&lt;&gt;"",_xlpm.DecBroad&gt;0,OR(_xlpm.Points&gt;0,_xlpm.Green&gt;0,_xlpm.ReplaceReq&gt;0),_xlpm.Street=0,$G34&lt;1.5),
Error!$B$42,
IF(AND(_xlpm.baseRow,$D34&lt;&gt;"",$E34&lt;&gt;"",$H34&lt;&gt;"",$H34&lt;4,_xlpm.Street&gt;0,_xlpm.Green&gt;0,COUNTA(_xlpm.FRange)&gt;0),
Error!$B$32,
IF(AND(_xlpm.baseRow,$G34="",_xlpm.ECA&gt;0,_xlpm.DecBroad&gt;0,_xlpm.ReplaceReq&gt;0),
Error!$B$52,
IF(AND(_xlpm.baseRow,$E34&lt;&gt;"", $H34="",_xlpm.ECA&gt;0,_xlpm.Coniferous&gt;0,_xlpm.ReplaceReq&gt;0),
Error!$B$53,
IF(AND(_xlpm.baseRow,$G34="",$H34="",_xlpm.ECA&gt;0,_xlpm.ReplaceReq&gt;0),
Error!$B$39,
IF(AND(_xlpm.baseRow,$D34&lt;&gt;"",$E34&lt;&gt;"",$G34="",$H34="",_xlpm.Coniferous&gt;0,_xlpm.ReplaceReq&gt;0,_xlpm.ECA&gt;0),
Error!$B$50,
IF(AND(_xlpm.baseRow,$D34&lt;&gt;"",$E34&lt;&gt;"",$G34&lt;&gt;"",_xlpm.Street&gt;0,$G34&lt;2),
Error!$B$43,
IF(AND(_xlpm.baseRow,$D34&lt;&gt;"",$E34&lt;&gt;"",_xlpm.Green&gt;0,_xlpm.DecBroad&gt;0,$G34=""),
Error!$B$49,
IF(AND(_xlpm.baseRow,$D34&lt;&gt;"",$E34&lt;&gt;"",$H34&lt;&gt;"",$H34&lt;4,_xlpm.Green&gt;0,_xlpm.DecBroad&gt;0,$G34=""),
Error!$B$51,
IF(AND(_xlpm.baseRow,$D34&lt;&gt;"",$E34&lt;&gt;"",_xlpm.Green&gt;0,_xlpm.Coniferous&gt;0,$H34=""),
Error!$B$50,
IF(AND(_xlpm.baseRow,$D34&lt;&gt;"",$E34&lt;&gt;"",_xlpm.Points&gt;0,_xlpm.DecBroad&gt;0,$G34=""),
Error!$B$49,
IF(AND(_xlpm.baseRow,$D34&lt;&gt;"",$E34&lt;&gt;"",_xlpm.Points&gt;0,_xlpm.Coniferous&gt;0,$H34=""),
Error!$B$50,
IF(AND(_xlpm.baseRow,$D34&lt;&gt;"",$E34&lt;&gt;"",_xlpm.ReplaceReq&gt;0,_xlpm.DecBroad&gt;0,$G34=""),
Error!$B$49,
IF(AND(_xlpm.baseRow,$D34&lt;&gt;"",$E34&lt;&gt;"",_xlpm.ReplaceReq&gt;0,_xlpm.Coniferous&gt;0,$H34=""),
Error!$B$50,
IF(AND(_xlpm.baseRow,$D34&lt;&gt;"",$E34&lt;&gt;"",_xlpm.Street&gt;0,$G34=""),
Error!$B$49,
IF(AND(_xlpm.baseRow,$D34&lt;&gt;"",$E34&lt;&gt;"",$H34&lt;&gt;"",$H34&lt;4,OR(ISNA(MATCH($C34,'Tree List'!$C$3:$C$601,0)),$C34=""),_xlpm.Green&gt;0,COUNTA(_xlpm.FRange)&gt;0),
Error!$B$51,
IF(AND(_xlpm.baseRow,$D34&lt;&gt;"",$E34&lt;&gt;"",$H34&lt;&gt;"",$H34&lt;4,_xlpm.DecBroad&gt;0,_xlpm.Green&gt;0,COUNTA(_xlpm.FRange)&gt;0),
Error!$B$51,
IF(AND(_xlpm.baseRow,$D34&lt;&gt;"",$E34&lt;&gt;"",$G34="",$H34="",OR(_xlpm.ReplaceReq&gt;0,_xlpm.Green&gt;0,_xlpm.Points&gt;0,_xlpm.Street&gt;0)),
Error!$B$38,
IF(AND(_xlpm.baseRow,$D34&lt;&gt;"",$E34&lt;&gt;"",$H34&lt;&gt;"",$H34&lt;4,_xlpm.Street=0,_xlpm.Coniferous&gt;0,COUNTA(_xlpm.FRange)&gt;0),
Error!$B$32,
IF(AND(_xlpm.baseRow,_xlpm.DecBroad&gt;0,$D34&lt;&gt;"",$E34&lt;&gt;"",$G34&lt;&gt;"",$G34&lt;1.5,_xlpm.Street=0,COUNTA(_xlpm.FRange)&gt;0),
Error!$B$42,
IF(AND(_xlpm.baseRow,$I34="",$H34="",_xlpm.ECA&gt;0,_xlpm.ReplaceReq=0),
Error!$B$33,
IF(AND(_xlpm.baseRow,OR($J34="",$J34&lt;=0),_xlpm.ReplaceReq&gt;0),
Error!$B$34,
IF(AND(_xlpm.baseRow,$K34&lt;&gt;"",_xlpm.Points&gt;0,ISNA(MATCH($K34,Tables!$B$242:$B$253,0))),
Error!$B$58,
IF(AND($K34="Small",$L34&lt;&gt;"",ISNA(MATCH($L34,Tables2!$C$35:$C$36,0))),
Error!$B$60,
IF(AND($K34="Small/Medium",$L34&lt;&gt;"",ISNA(MATCH($L34,Tables2!$C$38:$C$39,0))),
Error!$B$60,
IF(AND($K34="Medium/Large",$L34&lt;&gt;"",ISNA(MATCH($L34,Tables2!$C$41:$C$42,0))),
Error!$B$60,
IF(AND($K34="Large",$L34&lt;&gt;"",ISNA(MATCH($L34,Tables2!$C$44:$C$45,0))),
Error!$B$60,
IF(AND(_xlpm.baseRow,$B34&lt;&gt;"", $C34&lt;&gt;"", $D34&lt;&gt;"", $E34&lt;&gt;"", OR($M34="",$K34="",$L34=""),_xlpm.Points&gt;0),
Error!$B$35,
IF(AND(_xlpm.baseRow,$D34&lt;&gt;"",$E34&lt;&gt;"",$N34=""),
Error!$B$36,
""))))))))))))))))))))))))))))))))))))))))))),Error!$B$37))</f>
        <v/>
      </c>
      <c r="P34" s="355" t="str" cm="1">
        <f t="array" aca="1" ref="P34" ca="1">IFERROR(_xlfn.LET(
    _xlpm.txt, $C34,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5" spans="1:16" ht="15" thickBot="1" x14ac:dyDescent="0.35">
      <c r="A35" s="437">
        <v>7</v>
      </c>
      <c r="B35" s="448"/>
      <c r="C35" s="444"/>
      <c r="D35" s="295"/>
      <c r="E35" s="295"/>
      <c r="F35" s="301"/>
      <c r="G35" s="257"/>
      <c r="H35" s="181"/>
      <c r="I35" s="178"/>
      <c r="J35" s="457"/>
      <c r="K35" s="172" t="str">
        <f>IFERROR(
IF(
    AND(
        MOD(ROW()-11,4)=0,
        COUNTIF(INDEX(F:F, 11 + 4*INT((ROW()-11)/4)):INDEX(F:F, 14 + 4*INT((ROW()-11)/4)),"Zoning: Tree Points")&gt;0,
        COUNTIFS('Tree List'!$C$3:$C$601,$C35,'Tree List'!$H$3:$H$601,"sp.")=0
    ),
    VLOOKUP($C35,'Tree List'!$C$3:$F$601,4,FALSE),
    ""
),
"")</f>
        <v/>
      </c>
      <c r="L35" s="173" t="str" cm="1">
        <f t="array" ref="L35">IFERROR(
IF(
    AND(
        COUNTIF(INDEX(F:F, 11 + 4*INT((ROW()-11)/4)):INDEX(F:F, 14 + 4*INT((ROW()-11)/4)),"Zoning: Tree Points")&gt;0,
        COUNTIFS('Tree List'!$C$3:$C$601,$C35,'Tree List'!$H$3:$H$601,"sp.")&gt;0
    ),
    "",
    _xlfn.IFS(
        (COUNTIFS('Tree List'!$C$3:$C$601,$C35,'Tree List'!$D$3:$D$601,"Coniferous")
        + COUNTIFS('Tree List'!$C$3:$C$601,$C35,'Tree List'!$D$3:$D$601,"Deciduous Conifer")) &gt; 0,
            _xlfn.IFS($K35="Small",1.25,$K35="Small/Medium",2.5,$K35="Medium/Large",3.75,$K35="Large",5),
        (COUNTIFS('Tree List'!$C$3:$C$601,$C35,'Tree List'!$D$3:$D$601,"Deciduous")
        + COUNTIFS('Tree List'!$C$3:$C$601,$C35,'Tree List'!$D$3:$D$601,"Broadleaf Evergreen")) &gt; 0,
            _xlfn.IFS($K35="Small",1,$K35="Small/Medium",2,$K35="Medium/Large",3,$K35="Large",4)
    )
),
"")</f>
        <v/>
      </c>
      <c r="M35" s="470" t="str">
        <f t="shared" si="0"/>
        <v/>
      </c>
      <c r="N35" s="744"/>
      <c r="O35" s="737" t="str" cm="1">
        <f t="array" aca="1" ref="O35"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List'!$C$3:$C$601,$C35,'Tree List'!$D$3:$D$601,{"Deciduous","Broadleaf Evergreen"})),
_xlpm.Coniferous,SUM(COUNTIFS('Tree List'!$C$3:$C$601,$C35,'Tree List'!$D$3:$D$601,{"Coniferous","Deciduous Conifer"})),
IFERROR(
IF(AND(_xlpm.baseRow,ISNA(MATCH($C35,'Tree List'!$C$3:$C$601,0)),SUMPRODUCT(--ISNUMBER(SEARCH(Tables2!$C$677:$C$825,$P35)))&gt;0),
Error!$B$64,
IF(AND(_xlpm.baseRow,COUNTIF(_xlpm.FRange,"ECA / Shoreline")&gt;0,$D35&lt;&gt;"",$E35&lt;&gt;"",$N35=""),
Error!$B$55,
IF(AND(_xlpm.baseRow,$D35&lt;&gt;"",$E35&lt;&gt;"",COUNTBLANK($B35:$C35)&gt;0,COUNTBLANK($F35:$F38)&lt;&gt;4),
Error!$B$22,
IF(AND(_xlpm.baseRow,$D35="Right-of-Way", $E35=""),
Error!$B$67,
IF(AND(_xlpm.baseRow,$D35&lt;&gt;"",ISNA(MATCH($D35,Tables2!$B$66:$B$68,0))),
Error!$B$63,
IF(AND(_xlpm.baseRow,$D35="Off Site",$E35&lt;&gt;"",$E35&lt;&gt;"Yes"),
Error!$B$28,
IF(AND(_xlpm.baseRow,OR($D35="On Site",$D35="Right-of-Way"),$E35&lt;&gt;"",ISNA(MATCH($E35,MultiSelect2[TreeMitigation],0))),
Error!$B$28,
IF(AND(_xlpm.baseRow,$D35&lt;&gt;"",$E35&lt;&gt;"",COUNTIF(_xlpm.FRange,"&lt;&gt;")=0),
Error!$B$26,
IF(AND($E35="No",$F35&lt;&gt;"",ISNA(MATCH($F35,Tables2!$B$55:$B$57,0))),
Error!$B$27,
IF(AND($E35="Yes",$F35&lt;&gt;"",ISNA(MATCH($F35,Tables2!$B$48:$B$52,0))),
Error!$B$27,
IF(AND($D35="Off Site",$E35="Yes",$F35&lt;&gt;"",ISNA(MATCH($F35,Tables2!$B$60:$B$62,0))),
Error!$B$27,
IF(AND(_xlpm.baseRow,_xlpm.Street&gt;0,_xlpm.ECA&gt;0),
Error!$B$29,
IF(AND(_xlpm.baseRow,_xlpm.Street&gt;0,_xlpm.Points&gt;0),
Error!$B$30,
IF(AND(_xlpm.baseRow,_xlpm.Street&gt;0,_xlpm.ReplaceReq&gt;0),
Error!$B$31,
IF(AND(_xlpm.baseRow,$D35&lt;&gt;"",$E35&lt;&gt;"",$G35&lt;&gt;"",_xlpm.DecBroad&gt;0,OR(_xlpm.Points&gt;0,_xlpm.Green&gt;0,_xlpm.ReplaceReq&gt;0),_xlpm.Street=0,$G35&lt;1.5),
Error!$B$42,
IF(AND(_xlpm.baseRow,$D35&lt;&gt;"",$E35&lt;&gt;"",$H35&lt;&gt;"",$H35&lt;4,_xlpm.Street&gt;0,_xlpm.Green&gt;0,COUNTA(_xlpm.FRange)&gt;0),
Error!$B$32,
IF(AND(_xlpm.baseRow,$G35="",_xlpm.ECA&gt;0,_xlpm.DecBroad&gt;0,_xlpm.ReplaceReq&gt;0),
Error!$B$52,
IF(AND(_xlpm.baseRow,$E35&lt;&gt;"", $H35="",_xlpm.ECA&gt;0,_xlpm.Coniferous&gt;0,_xlpm.ReplaceReq&gt;0),
Error!$B$53,
IF(AND(_xlpm.baseRow,$G35="",$H35="",_xlpm.ECA&gt;0,_xlpm.ReplaceReq&gt;0),
Error!$B$39,
IF(AND(_xlpm.baseRow,$D35&lt;&gt;"",$E35&lt;&gt;"",$G35="",$H35="",_xlpm.Coniferous&gt;0,_xlpm.ReplaceReq&gt;0,_xlpm.ECA&gt;0),
Error!$B$50,
IF(AND(_xlpm.baseRow,$D35&lt;&gt;"",$E35&lt;&gt;"",$G35&lt;&gt;"",_xlpm.Street&gt;0,$G35&lt;2),
Error!$B$43,
IF(AND(_xlpm.baseRow,$D35&lt;&gt;"",$E35&lt;&gt;"",_xlpm.Green&gt;0,_xlpm.DecBroad&gt;0,$G35=""),
Error!$B$49,
IF(AND(_xlpm.baseRow,$D35&lt;&gt;"",$E35&lt;&gt;"",$H35&lt;&gt;"",$H35&lt;4,_xlpm.Green&gt;0,_xlpm.DecBroad&gt;0,$G35=""),
Error!$B$51,
IF(AND(_xlpm.baseRow,$D35&lt;&gt;"",$E35&lt;&gt;"",_xlpm.Green&gt;0,_xlpm.Coniferous&gt;0,$H35=""),
Error!$B$50,
IF(AND(_xlpm.baseRow,$D35&lt;&gt;"",$E35&lt;&gt;"",_xlpm.Points&gt;0,_xlpm.DecBroad&gt;0,$G35=""),
Error!$B$49,
IF(AND(_xlpm.baseRow,$D35&lt;&gt;"",$E35&lt;&gt;"",_xlpm.Points&gt;0,_xlpm.Coniferous&gt;0,$H35=""),
Error!$B$50,
IF(AND(_xlpm.baseRow,$D35&lt;&gt;"",$E35&lt;&gt;"",_xlpm.ReplaceReq&gt;0,_xlpm.DecBroad&gt;0,$G35=""),
Error!$B$49,
IF(AND(_xlpm.baseRow,$D35&lt;&gt;"",$E35&lt;&gt;"",_xlpm.ReplaceReq&gt;0,_xlpm.Coniferous&gt;0,$H35=""),
Error!$B$50,
IF(AND(_xlpm.baseRow,$D35&lt;&gt;"",$E35&lt;&gt;"",_xlpm.Street&gt;0,$G35=""),
Error!$B$49,
IF(AND(_xlpm.baseRow,$D35&lt;&gt;"",$E35&lt;&gt;"",$H35&lt;&gt;"",$H35&lt;4,OR(ISNA(MATCH($C35,'Tree List'!$C$3:$C$601,0)),$C35=""),_xlpm.Green&gt;0,COUNTA(_xlpm.FRange)&gt;0),
Error!$B$51,
IF(AND(_xlpm.baseRow,$D35&lt;&gt;"",$E35&lt;&gt;"",$H35&lt;&gt;"",$H35&lt;4,_xlpm.DecBroad&gt;0,_xlpm.Green&gt;0,COUNTA(_xlpm.FRange)&gt;0),
Error!$B$51,
IF(AND(_xlpm.baseRow,$D35&lt;&gt;"",$E35&lt;&gt;"",$G35="",$H35="",OR(_xlpm.ReplaceReq&gt;0,_xlpm.Green&gt;0,_xlpm.Points&gt;0,_xlpm.Street&gt;0)),
Error!$B$38,
IF(AND(_xlpm.baseRow,$D35&lt;&gt;"",$E35&lt;&gt;"",$H35&lt;&gt;"",$H35&lt;4,_xlpm.Street=0,_xlpm.Coniferous&gt;0,COUNTA(_xlpm.FRange)&gt;0),
Error!$B$32,
IF(AND(_xlpm.baseRow,_xlpm.DecBroad&gt;0,$D35&lt;&gt;"",$E35&lt;&gt;"",$G35&lt;&gt;"",$G35&lt;1.5,_xlpm.Street=0,COUNTA(_xlpm.FRange)&gt;0),
Error!$B$42,
IF(AND(_xlpm.baseRow,$I35="",$H35="",_xlpm.ECA&gt;0,_xlpm.ReplaceReq=0),
Error!$B$33,
IF(AND(_xlpm.baseRow,OR($J35="",$J35&lt;=0),_xlpm.ReplaceReq&gt;0),
Error!$B$34,
IF(AND(_xlpm.baseRow,$K35&lt;&gt;"",_xlpm.Points&gt;0,ISNA(MATCH($K35,Tables!$B$242:$B$253,0))),
Error!$B$58,
IF(AND($K35="Small",$L35&lt;&gt;"",ISNA(MATCH($L35,Tables2!$C$35:$C$36,0))),
Error!$B$60,
IF(AND($K35="Small/Medium",$L35&lt;&gt;"",ISNA(MATCH($L35,Tables2!$C$38:$C$39,0))),
Error!$B$60,
IF(AND($K35="Medium/Large",$L35&lt;&gt;"",ISNA(MATCH($L35,Tables2!$C$41:$C$42,0))),
Error!$B$60,
IF(AND($K35="Large",$L35&lt;&gt;"",ISNA(MATCH($L35,Tables2!$C$44:$C$45,0))),
Error!$B$60,
IF(AND(_xlpm.baseRow,$B35&lt;&gt;"", $C35&lt;&gt;"", $D35&lt;&gt;"", $E35&lt;&gt;"", OR($M35="",$K35="",$L35=""),_xlpm.Points&gt;0),
Error!$B$35,
IF(AND(_xlpm.baseRow,$D35&lt;&gt;"",$E35&lt;&gt;"",$N35=""),
Error!$B$36,
""))))))))))))))))))))))))))))))))))))))))))),Error!$B$37))</f>
        <v/>
      </c>
      <c r="P35" s="355" t="str" cm="1">
        <f t="array" aca="1" ref="P35" ca="1">IFERROR(_xlfn.LET(
    _xlpm.txt, $C35,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6" spans="1:16" x14ac:dyDescent="0.3">
      <c r="A36" s="92"/>
      <c r="B36" s="439" t="str">
        <f>IF($B35="", "", $B35)</f>
        <v/>
      </c>
      <c r="C36" s="309"/>
      <c r="D36" s="157" t="str">
        <f>IF($D35="", "", $D35)</f>
        <v/>
      </c>
      <c r="E36" s="157" t="str">
        <f>IF($E35="", "", $E35)</f>
        <v/>
      </c>
      <c r="F36" s="300"/>
      <c r="G36" s="159"/>
      <c r="H36" s="182"/>
      <c r="I36" s="179"/>
      <c r="J36" s="458"/>
      <c r="K36" s="174" t="str">
        <f>IFERROR(
IF(
    AND(
        MOD(ROW()-11,4)=0,
        COUNTIF(INDEX(F:F, 11 + 4*INT((ROW()-11)/4)):INDEX(F:F, 14 + 4*INT((ROW()-11)/4)),"Zoning: Tree Points")&gt;0,
        COUNTIFS('Tree List'!$C$3:$C$601,$C36,'Tree List'!$H$3:$H$601,"sp.")=0
    ),
    VLOOKUP($C36,'Tree List'!$C$3:$F$601,4,FALSE),
    ""
),
"")</f>
        <v/>
      </c>
      <c r="L36" s="175" t="str" cm="1">
        <f t="array" ref="L36">IFERROR(
IF(
    AND(
        COUNTIF(INDEX(F:F, 11 + 4*INT((ROW()-11)/4)):INDEX(F:F, 14 + 4*INT((ROW()-11)/4)),"Zoning: Tree Points")&gt;0,
        COUNTIFS('Tree List'!$C$3:$C$601,$C36,'Tree List'!$H$3:$H$601,"sp.")&gt;0
    ),
    "",
    _xlfn.IFS(
        (COUNTIFS('Tree List'!$C$3:$C$601,$C36,'Tree List'!$D$3:$D$601,"Coniferous")
        + COUNTIFS('Tree List'!$C$3:$C$601,$C36,'Tree List'!$D$3:$D$601,"Deciduous Conifer")) &gt; 0,
            _xlfn.IFS($K36="Small",1.25,$K36="Small/Medium",2.5,$K36="Medium/Large",3.75,$K36="Large",5),
        (COUNTIFS('Tree List'!$C$3:$C$601,$C36,'Tree List'!$D$3:$D$601,"Deciduous")
        + COUNTIFS('Tree List'!$C$3:$C$601,$C36,'Tree List'!$D$3:$D$601,"Broadleaf Evergreen")) &gt; 0,
            _xlfn.IFS($K36="Small",1,$K36="Small/Medium",2,$K36="Medium/Large",3,$K36="Large",4)
    )
),
"")</f>
        <v/>
      </c>
      <c r="M36" s="471"/>
      <c r="N36" s="434"/>
      <c r="O36" s="340" t="str" cm="1">
        <f t="array" aca="1" ref="O36"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List'!$C$3:$C$601,$C36,'Tree List'!$D$3:$D$601,{"Deciduous","Broadleaf Evergreen"})),
_xlpm.Coniferous,SUM(COUNTIFS('Tree List'!$C$3:$C$601,$C36,'Tree List'!$D$3:$D$601,{"Coniferous","Deciduous Conifer"})),
IFERROR(
IF(AND(_xlpm.baseRow,ISNA(MATCH($C36,'Tree List'!$C$3:$C$601,0)),SUMPRODUCT(--ISNUMBER(SEARCH(Tables2!$C$677:$C$825,$P36)))&gt;0),
Error!$B$64,
IF(AND(_xlpm.baseRow,COUNTIF(_xlpm.FRange,"ECA / Shoreline")&gt;0,$D36&lt;&gt;"",$E36&lt;&gt;"",$N36=""),
Error!$B$55,
IF(AND(_xlpm.baseRow,$D36&lt;&gt;"",$E36&lt;&gt;"",COUNTBLANK($B36:$C36)&gt;0,COUNTBLANK($F36:$F39)&lt;&gt;4),
Error!$B$22,
IF(AND(_xlpm.baseRow,$D36="Right-of-Way", $E36=""),
Error!$B$67,
IF(AND(_xlpm.baseRow,$D36&lt;&gt;"",ISNA(MATCH($D36,Tables2!$B$66:$B$68,0))),
Error!$B$63,
IF(AND(_xlpm.baseRow,$D36="Off Site",$E36&lt;&gt;"",$E36&lt;&gt;"Yes"),
Error!$B$28,
IF(AND(_xlpm.baseRow,OR($D36="On Site",$D36="Right-of-Way"),$E36&lt;&gt;"",ISNA(MATCH($E36,MultiSelect2[TreeMitigation],0))),
Error!$B$28,
IF(AND(_xlpm.baseRow,$D36&lt;&gt;"",$E36&lt;&gt;"",COUNTIF(_xlpm.FRange,"&lt;&gt;")=0),
Error!$B$26,
IF(AND($E36="No",$F36&lt;&gt;"",ISNA(MATCH($F36,Tables2!$B$55:$B$57,0))),
Error!$B$27,
IF(AND($E36="Yes",$F36&lt;&gt;"",ISNA(MATCH($F36,Tables2!$B$48:$B$52,0))),
Error!$B$27,
IF(AND($D36="Off Site",$E36="Yes",$F36&lt;&gt;"",ISNA(MATCH($F36,Tables2!$B$60:$B$62,0))),
Error!$B$27,
IF(AND(_xlpm.baseRow,_xlpm.Street&gt;0,_xlpm.ECA&gt;0),
Error!$B$29,
IF(AND(_xlpm.baseRow,_xlpm.Street&gt;0,_xlpm.Points&gt;0),
Error!$B$30,
IF(AND(_xlpm.baseRow,_xlpm.Street&gt;0,_xlpm.ReplaceReq&gt;0),
Error!$B$31,
IF(AND(_xlpm.baseRow,$D36&lt;&gt;"",$E36&lt;&gt;"",$G36&lt;&gt;"",_xlpm.DecBroad&gt;0,OR(_xlpm.Points&gt;0,_xlpm.Green&gt;0,_xlpm.ReplaceReq&gt;0),_xlpm.Street=0,$G36&lt;1.5),
Error!$B$42,
IF(AND(_xlpm.baseRow,$D36&lt;&gt;"",$E36&lt;&gt;"",$H36&lt;&gt;"",$H36&lt;4,_xlpm.Street&gt;0,_xlpm.Green&gt;0,COUNTA(_xlpm.FRange)&gt;0),
Error!$B$32,
IF(AND(_xlpm.baseRow,$G36="",_xlpm.ECA&gt;0,_xlpm.DecBroad&gt;0,_xlpm.ReplaceReq&gt;0),
Error!$B$52,
IF(AND(_xlpm.baseRow,$E36&lt;&gt;"", $H36="",_xlpm.ECA&gt;0,_xlpm.Coniferous&gt;0,_xlpm.ReplaceReq&gt;0),
Error!$B$53,
IF(AND(_xlpm.baseRow,$G36="",$H36="",_xlpm.ECA&gt;0,_xlpm.ReplaceReq&gt;0),
Error!$B$39,
IF(AND(_xlpm.baseRow,$D36&lt;&gt;"",$E36&lt;&gt;"",$G36="",$H36="",_xlpm.Coniferous&gt;0,_xlpm.ReplaceReq&gt;0,_xlpm.ECA&gt;0),
Error!$B$50,
IF(AND(_xlpm.baseRow,$D36&lt;&gt;"",$E36&lt;&gt;"",$G36&lt;&gt;"",_xlpm.Street&gt;0,$G36&lt;2),
Error!$B$43,
IF(AND(_xlpm.baseRow,$D36&lt;&gt;"",$E36&lt;&gt;"",_xlpm.Green&gt;0,_xlpm.DecBroad&gt;0,$G36=""),
Error!$B$49,
IF(AND(_xlpm.baseRow,$D36&lt;&gt;"",$E36&lt;&gt;"",$H36&lt;&gt;"",$H36&lt;4,_xlpm.Green&gt;0,_xlpm.DecBroad&gt;0,$G36=""),
Error!$B$51,
IF(AND(_xlpm.baseRow,$D36&lt;&gt;"",$E36&lt;&gt;"",_xlpm.Green&gt;0,_xlpm.Coniferous&gt;0,$H36=""),
Error!$B$50,
IF(AND(_xlpm.baseRow,$D36&lt;&gt;"",$E36&lt;&gt;"",_xlpm.Points&gt;0,_xlpm.DecBroad&gt;0,$G36=""),
Error!$B$49,
IF(AND(_xlpm.baseRow,$D36&lt;&gt;"",$E36&lt;&gt;"",_xlpm.Points&gt;0,_xlpm.Coniferous&gt;0,$H36=""),
Error!$B$50,
IF(AND(_xlpm.baseRow,$D36&lt;&gt;"",$E36&lt;&gt;"",_xlpm.ReplaceReq&gt;0,_xlpm.DecBroad&gt;0,$G36=""),
Error!$B$49,
IF(AND(_xlpm.baseRow,$D36&lt;&gt;"",$E36&lt;&gt;"",_xlpm.ReplaceReq&gt;0,_xlpm.Coniferous&gt;0,$H36=""),
Error!$B$50,
IF(AND(_xlpm.baseRow,$D36&lt;&gt;"",$E36&lt;&gt;"",_xlpm.Street&gt;0,$G36=""),
Error!$B$49,
IF(AND(_xlpm.baseRow,$D36&lt;&gt;"",$E36&lt;&gt;"",$H36&lt;&gt;"",$H36&lt;4,OR(ISNA(MATCH($C36,'Tree List'!$C$3:$C$601,0)),$C36=""),_xlpm.Green&gt;0,COUNTA(_xlpm.FRange)&gt;0),
Error!$B$51,
IF(AND(_xlpm.baseRow,$D36&lt;&gt;"",$E36&lt;&gt;"",$H36&lt;&gt;"",$H36&lt;4,_xlpm.DecBroad&gt;0,_xlpm.Green&gt;0,COUNTA(_xlpm.FRange)&gt;0),
Error!$B$51,
IF(AND(_xlpm.baseRow,$D36&lt;&gt;"",$E36&lt;&gt;"",$G36="",$H36="",OR(_xlpm.ReplaceReq&gt;0,_xlpm.Green&gt;0,_xlpm.Points&gt;0,_xlpm.Street&gt;0)),
Error!$B$38,
IF(AND(_xlpm.baseRow,$D36&lt;&gt;"",$E36&lt;&gt;"",$H36&lt;&gt;"",$H36&lt;4,_xlpm.Street=0,_xlpm.Coniferous&gt;0,COUNTA(_xlpm.FRange)&gt;0),
Error!$B$32,
IF(AND(_xlpm.baseRow,_xlpm.DecBroad&gt;0,$D36&lt;&gt;"",$E36&lt;&gt;"",$G36&lt;&gt;"",$G36&lt;1.5,_xlpm.Street=0,COUNTA(_xlpm.FRange)&gt;0),
Error!$B$42,
IF(AND(_xlpm.baseRow,$I36="",$H36="",_xlpm.ECA&gt;0,_xlpm.ReplaceReq=0),
Error!$B$33,
IF(AND(_xlpm.baseRow,OR($J36="",$J36&lt;=0),_xlpm.ReplaceReq&gt;0),
Error!$B$34,
IF(AND(_xlpm.baseRow,$K36&lt;&gt;"",_xlpm.Points&gt;0,ISNA(MATCH($K36,Tables!$B$242:$B$253,0))),
Error!$B$58,
IF(AND($K36="Small",$L36&lt;&gt;"",ISNA(MATCH($L36,Tables2!$C$35:$C$36,0))),
Error!$B$60,
IF(AND($K36="Small/Medium",$L36&lt;&gt;"",ISNA(MATCH($L36,Tables2!$C$38:$C$39,0))),
Error!$B$60,
IF(AND($K36="Medium/Large",$L36&lt;&gt;"",ISNA(MATCH($L36,Tables2!$C$41:$C$42,0))),
Error!$B$60,
IF(AND($K36="Large",$L36&lt;&gt;"",ISNA(MATCH($L36,Tables2!$C$44:$C$45,0))),
Error!$B$60,
IF(AND(_xlpm.baseRow,$B36&lt;&gt;"", $C36&lt;&gt;"", $D36&lt;&gt;"", $E36&lt;&gt;"", OR($M36="",$K36="",$L36=""),_xlpm.Points&gt;0),
Error!$B$35,
IF(AND(_xlpm.baseRow,$D36&lt;&gt;"",$E36&lt;&gt;"",$N36=""),
Error!$B$36,
""))))))))))))))))))))))))))))))))))))))))))),Error!$B$37))</f>
        <v/>
      </c>
      <c r="P36" s="355" t="str" cm="1">
        <f t="array" aca="1" ref="P36" ca="1">IFERROR(_xlfn.LET(
    _xlpm.txt, $C36,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7" spans="1:16" x14ac:dyDescent="0.3">
      <c r="A37" s="92"/>
      <c r="B37" s="439" t="str">
        <f>IF($B35="", "", $B35)</f>
        <v/>
      </c>
      <c r="C37" s="438"/>
      <c r="D37" s="439" t="str">
        <f>IF($D35="", "", $D35)</f>
        <v/>
      </c>
      <c r="E37" s="439" t="str">
        <f>IF($E35="", "", $E35)</f>
        <v/>
      </c>
      <c r="F37" s="300"/>
      <c r="G37" s="160"/>
      <c r="H37" s="440"/>
      <c r="I37" s="441"/>
      <c r="J37" s="459"/>
      <c r="K37" s="442" t="str">
        <f>IFERROR(
IF(
    AND(
        MOD(ROW()-11,4)=0,
        COUNTIF(INDEX(F:F, 11 + 4*INT((ROW()-11)/4)):INDEX(F:F, 14 + 4*INT((ROW()-11)/4)),"Zoning: Tree Points")&gt;0,
        COUNTIFS('Tree List'!$C$3:$C$601,$C37,'Tree List'!$H$3:$H$601,"sp.")=0
    ),
    VLOOKUP($C37,'Tree List'!$C$3:$F$601,4,FALSE),
    ""
),
"")</f>
        <v/>
      </c>
      <c r="L37" s="443" t="str" cm="1">
        <f t="array" ref="L37">IFERROR(
IF(
    AND(
        COUNTIF(INDEX(F:F, 11 + 4*INT((ROW()-11)/4)):INDEX(F:F, 14 + 4*INT((ROW()-11)/4)),"Zoning: Tree Points")&gt;0,
        COUNTIFS('Tree List'!$C$3:$C$601,$C37,'Tree List'!$H$3:$H$601,"sp.")&gt;0
    ),
    "",
    _xlfn.IFS(
        (COUNTIFS('Tree List'!$C$3:$C$601,$C37,'Tree List'!$D$3:$D$601,"Coniferous")
        + COUNTIFS('Tree List'!$C$3:$C$601,$C37,'Tree List'!$D$3:$D$601,"Deciduous Conifer")) &gt; 0,
            _xlfn.IFS($K37="Small",1.25,$K37="Small/Medium",2.5,$K37="Medium/Large",3.75,$K37="Large",5),
        (COUNTIFS('Tree List'!$C$3:$C$601,$C37,'Tree List'!$D$3:$D$601,"Deciduous")
        + COUNTIFS('Tree List'!$C$3:$C$601,$C37,'Tree List'!$D$3:$D$601,"Broadleaf Evergreen")) &gt; 0,
            _xlfn.IFS($K37="Small",1,$K37="Small/Medium",2,$K37="Medium/Large",3,$K37="Large",4)
    )
),
"")</f>
        <v/>
      </c>
      <c r="M37" s="472"/>
      <c r="N37" s="434"/>
      <c r="O37" s="340" t="str" cm="1">
        <f t="array" aca="1" ref="O37"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List'!$C$3:$C$601,$C37,'Tree List'!$D$3:$D$601,{"Deciduous","Broadleaf Evergreen"})),
_xlpm.Coniferous,SUM(COUNTIFS('Tree List'!$C$3:$C$601,$C37,'Tree List'!$D$3:$D$601,{"Coniferous","Deciduous Conifer"})),
IFERROR(
IF(AND(_xlpm.baseRow,ISNA(MATCH($C37,'Tree List'!$C$3:$C$601,0)),SUMPRODUCT(--ISNUMBER(SEARCH(Tables2!$C$677:$C$825,$P37)))&gt;0),
Error!$B$64,
IF(AND(_xlpm.baseRow,COUNTIF(_xlpm.FRange,"ECA / Shoreline")&gt;0,$D37&lt;&gt;"",$E37&lt;&gt;"",$N37=""),
Error!$B$55,
IF(AND(_xlpm.baseRow,$D37&lt;&gt;"",$E37&lt;&gt;"",COUNTBLANK($B37:$C37)&gt;0,COUNTBLANK($F37:$F40)&lt;&gt;4),
Error!$B$22,
IF(AND(_xlpm.baseRow,$D37="Right-of-Way", $E37=""),
Error!$B$67,
IF(AND(_xlpm.baseRow,$D37&lt;&gt;"",ISNA(MATCH($D37,Tables2!$B$66:$B$68,0))),
Error!$B$63,
IF(AND(_xlpm.baseRow,$D37="Off Site",$E37&lt;&gt;"",$E37&lt;&gt;"Yes"),
Error!$B$28,
IF(AND(_xlpm.baseRow,OR($D37="On Site",$D37="Right-of-Way"),$E37&lt;&gt;"",ISNA(MATCH($E37,MultiSelect2[TreeMitigation],0))),
Error!$B$28,
IF(AND(_xlpm.baseRow,$D37&lt;&gt;"",$E37&lt;&gt;"",COUNTIF(_xlpm.FRange,"&lt;&gt;")=0),
Error!$B$26,
IF(AND($E37="No",$F37&lt;&gt;"",ISNA(MATCH($F37,Tables2!$B$55:$B$57,0))),
Error!$B$27,
IF(AND($E37="Yes",$F37&lt;&gt;"",ISNA(MATCH($F37,Tables2!$B$48:$B$52,0))),
Error!$B$27,
IF(AND($D37="Off Site",$E37="Yes",$F37&lt;&gt;"",ISNA(MATCH($F37,Tables2!$B$60:$B$62,0))),
Error!$B$27,
IF(AND(_xlpm.baseRow,_xlpm.Street&gt;0,_xlpm.ECA&gt;0),
Error!$B$29,
IF(AND(_xlpm.baseRow,_xlpm.Street&gt;0,_xlpm.Points&gt;0),
Error!$B$30,
IF(AND(_xlpm.baseRow,_xlpm.Street&gt;0,_xlpm.ReplaceReq&gt;0),
Error!$B$31,
IF(AND(_xlpm.baseRow,$D37&lt;&gt;"",$E37&lt;&gt;"",$G37&lt;&gt;"",_xlpm.DecBroad&gt;0,OR(_xlpm.Points&gt;0,_xlpm.Green&gt;0,_xlpm.ReplaceReq&gt;0),_xlpm.Street=0,$G37&lt;1.5),
Error!$B$42,
IF(AND(_xlpm.baseRow,$D37&lt;&gt;"",$E37&lt;&gt;"",$H37&lt;&gt;"",$H37&lt;4,_xlpm.Street&gt;0,_xlpm.Green&gt;0,COUNTA(_xlpm.FRange)&gt;0),
Error!$B$32,
IF(AND(_xlpm.baseRow,$G37="",_xlpm.ECA&gt;0,_xlpm.DecBroad&gt;0,_xlpm.ReplaceReq&gt;0),
Error!$B$52,
IF(AND(_xlpm.baseRow,$E37&lt;&gt;"", $H37="",_xlpm.ECA&gt;0,_xlpm.Coniferous&gt;0,_xlpm.ReplaceReq&gt;0),
Error!$B$53,
IF(AND(_xlpm.baseRow,$G37="",$H37="",_xlpm.ECA&gt;0,_xlpm.ReplaceReq&gt;0),
Error!$B$39,
IF(AND(_xlpm.baseRow,$D37&lt;&gt;"",$E37&lt;&gt;"",$G37="",$H37="",_xlpm.Coniferous&gt;0,_xlpm.ReplaceReq&gt;0,_xlpm.ECA&gt;0),
Error!$B$50,
IF(AND(_xlpm.baseRow,$D37&lt;&gt;"",$E37&lt;&gt;"",$G37&lt;&gt;"",_xlpm.Street&gt;0,$G37&lt;2),
Error!$B$43,
IF(AND(_xlpm.baseRow,$D37&lt;&gt;"",$E37&lt;&gt;"",_xlpm.Green&gt;0,_xlpm.DecBroad&gt;0,$G37=""),
Error!$B$49,
IF(AND(_xlpm.baseRow,$D37&lt;&gt;"",$E37&lt;&gt;"",$H37&lt;&gt;"",$H37&lt;4,_xlpm.Green&gt;0,_xlpm.DecBroad&gt;0,$G37=""),
Error!$B$51,
IF(AND(_xlpm.baseRow,$D37&lt;&gt;"",$E37&lt;&gt;"",_xlpm.Green&gt;0,_xlpm.Coniferous&gt;0,$H37=""),
Error!$B$50,
IF(AND(_xlpm.baseRow,$D37&lt;&gt;"",$E37&lt;&gt;"",_xlpm.Points&gt;0,_xlpm.DecBroad&gt;0,$G37=""),
Error!$B$49,
IF(AND(_xlpm.baseRow,$D37&lt;&gt;"",$E37&lt;&gt;"",_xlpm.Points&gt;0,_xlpm.Coniferous&gt;0,$H37=""),
Error!$B$50,
IF(AND(_xlpm.baseRow,$D37&lt;&gt;"",$E37&lt;&gt;"",_xlpm.ReplaceReq&gt;0,_xlpm.DecBroad&gt;0,$G37=""),
Error!$B$49,
IF(AND(_xlpm.baseRow,$D37&lt;&gt;"",$E37&lt;&gt;"",_xlpm.ReplaceReq&gt;0,_xlpm.Coniferous&gt;0,$H37=""),
Error!$B$50,
IF(AND(_xlpm.baseRow,$D37&lt;&gt;"",$E37&lt;&gt;"",_xlpm.Street&gt;0,$G37=""),
Error!$B$49,
IF(AND(_xlpm.baseRow,$D37&lt;&gt;"",$E37&lt;&gt;"",$H37&lt;&gt;"",$H37&lt;4,OR(ISNA(MATCH($C37,'Tree List'!$C$3:$C$601,0)),$C37=""),_xlpm.Green&gt;0,COUNTA(_xlpm.FRange)&gt;0),
Error!$B$51,
IF(AND(_xlpm.baseRow,$D37&lt;&gt;"",$E37&lt;&gt;"",$H37&lt;&gt;"",$H37&lt;4,_xlpm.DecBroad&gt;0,_xlpm.Green&gt;0,COUNTA(_xlpm.FRange)&gt;0),
Error!$B$51,
IF(AND(_xlpm.baseRow,$D37&lt;&gt;"",$E37&lt;&gt;"",$G37="",$H37="",OR(_xlpm.ReplaceReq&gt;0,_xlpm.Green&gt;0,_xlpm.Points&gt;0,_xlpm.Street&gt;0)),
Error!$B$38,
IF(AND(_xlpm.baseRow,$D37&lt;&gt;"",$E37&lt;&gt;"",$H37&lt;&gt;"",$H37&lt;4,_xlpm.Street=0,_xlpm.Coniferous&gt;0,COUNTA(_xlpm.FRange)&gt;0),
Error!$B$32,
IF(AND(_xlpm.baseRow,_xlpm.DecBroad&gt;0,$D37&lt;&gt;"",$E37&lt;&gt;"",$G37&lt;&gt;"",$G37&lt;1.5,_xlpm.Street=0,COUNTA(_xlpm.FRange)&gt;0),
Error!$B$42,
IF(AND(_xlpm.baseRow,$I37="",$H37="",_xlpm.ECA&gt;0,_xlpm.ReplaceReq=0),
Error!$B$33,
IF(AND(_xlpm.baseRow,OR($J37="",$J37&lt;=0),_xlpm.ReplaceReq&gt;0),
Error!$B$34,
IF(AND(_xlpm.baseRow,$K37&lt;&gt;"",_xlpm.Points&gt;0,ISNA(MATCH($K37,Tables!$B$242:$B$253,0))),
Error!$B$58,
IF(AND($K37="Small",$L37&lt;&gt;"",ISNA(MATCH($L37,Tables2!$C$35:$C$36,0))),
Error!$B$60,
IF(AND($K37="Small/Medium",$L37&lt;&gt;"",ISNA(MATCH($L37,Tables2!$C$38:$C$39,0))),
Error!$B$60,
IF(AND($K37="Medium/Large",$L37&lt;&gt;"",ISNA(MATCH($L37,Tables2!$C$41:$C$42,0))),
Error!$B$60,
IF(AND($K37="Large",$L37&lt;&gt;"",ISNA(MATCH($L37,Tables2!$C$44:$C$45,0))),
Error!$B$60,
IF(AND(_xlpm.baseRow,$B37&lt;&gt;"", $C37&lt;&gt;"", $D37&lt;&gt;"", $E37&lt;&gt;"", OR($M37="",$K37="",$L37=""),_xlpm.Points&gt;0),
Error!$B$35,
IF(AND(_xlpm.baseRow,$D37&lt;&gt;"",$E37&lt;&gt;"",$N37=""),
Error!$B$36,
""))))))))))))))))))))))))))))))))))))))))))),Error!$B$37))</f>
        <v/>
      </c>
      <c r="P37" s="355" t="str" cm="1">
        <f t="array" aca="1" ref="P37" ca="1">IFERROR(_xlfn.LET(
    _xlpm.txt, $C37,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8" spans="1:16" ht="15" thickBot="1" x14ac:dyDescent="0.35">
      <c r="A38" s="96"/>
      <c r="B38" s="439" t="str">
        <f>IF($B35="", "", $B35)</f>
        <v/>
      </c>
      <c r="C38" s="438"/>
      <c r="D38" s="439" t="str">
        <f>IF($D35="", "", $D35)</f>
        <v/>
      </c>
      <c r="E38" s="439" t="str">
        <f>IF($E35="", "", $E35)</f>
        <v/>
      </c>
      <c r="F38" s="300"/>
      <c r="G38" s="161"/>
      <c r="H38" s="183"/>
      <c r="I38" s="180"/>
      <c r="J38" s="460"/>
      <c r="K38" s="176" t="str">
        <f>IFERROR(
IF(
    AND(
        MOD(ROW()-11,4)=0,
        COUNTIF(INDEX(F:F, 11 + 4*INT((ROW()-11)/4)):INDEX(F:F, 14 + 4*INT((ROW()-11)/4)),"Zoning: Tree Points")&gt;0,
        COUNTIFS('Tree List'!$C$3:$C$601,$C38,'Tree List'!$H$3:$H$601,"sp.")=0
    ),
    VLOOKUP($C38,'Tree List'!$C$3:$F$601,4,FALSE),
    ""
),
"")</f>
        <v/>
      </c>
      <c r="L38" s="177" t="str" cm="1">
        <f t="array" ref="L38">IFERROR(
IF(
    AND(
        COUNTIF(INDEX(F:F, 11 + 4*INT((ROW()-11)/4)):INDEX(F:F, 14 + 4*INT((ROW()-11)/4)),"Zoning: Tree Points")&gt;0,
        COUNTIFS('Tree List'!$C$3:$C$601,$C38,'Tree List'!$H$3:$H$601,"sp.")&gt;0
    ),
    "",
    _xlfn.IFS(
        (COUNTIFS('Tree List'!$C$3:$C$601,$C38,'Tree List'!$D$3:$D$601,"Coniferous")
        + COUNTIFS('Tree List'!$C$3:$C$601,$C38,'Tree List'!$D$3:$D$601,"Deciduous Conifer")) &gt; 0,
            _xlfn.IFS($K38="Small",1.25,$K38="Small/Medium",2.5,$K38="Medium/Large",3.75,$K38="Large",5),
        (COUNTIFS('Tree List'!$C$3:$C$601,$C38,'Tree List'!$D$3:$D$601,"Deciduous")
        + COUNTIFS('Tree List'!$C$3:$C$601,$C38,'Tree List'!$D$3:$D$601,"Broadleaf Evergreen")) &gt; 0,
            _xlfn.IFS($K38="Small",1,$K38="Small/Medium",2,$K38="Medium/Large",3,$K38="Large",4)
    )
),
"")</f>
        <v/>
      </c>
      <c r="M38" s="473"/>
      <c r="N38" s="434"/>
      <c r="O38" s="341" t="str" cm="1">
        <f t="array" aca="1" ref="O38"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List'!$C$3:$C$601,$C38,'Tree List'!$D$3:$D$601,{"Deciduous","Broadleaf Evergreen"})),
_xlpm.Coniferous,SUM(COUNTIFS('Tree List'!$C$3:$C$601,$C38,'Tree List'!$D$3:$D$601,{"Coniferous","Deciduous Conifer"})),
IFERROR(
IF(AND(_xlpm.baseRow,ISNA(MATCH($C38,'Tree List'!$C$3:$C$601,0)),SUMPRODUCT(--ISNUMBER(SEARCH(Tables2!$C$677:$C$825,$P38)))&gt;0),
Error!$B$64,
IF(AND(_xlpm.baseRow,COUNTIF(_xlpm.FRange,"ECA / Shoreline")&gt;0,$D38&lt;&gt;"",$E38&lt;&gt;"",$N38=""),
Error!$B$55,
IF(AND(_xlpm.baseRow,$D38&lt;&gt;"",$E38&lt;&gt;"",COUNTBLANK($B38:$C38)&gt;0,COUNTBLANK($F38:$F41)&lt;&gt;4),
Error!$B$22,
IF(AND(_xlpm.baseRow,$D38="Right-of-Way", $E38=""),
Error!$B$67,
IF(AND(_xlpm.baseRow,$D38&lt;&gt;"",ISNA(MATCH($D38,Tables2!$B$66:$B$68,0))),
Error!$B$63,
IF(AND(_xlpm.baseRow,$D38="Off Site",$E38&lt;&gt;"",$E38&lt;&gt;"Yes"),
Error!$B$28,
IF(AND(_xlpm.baseRow,OR($D38="On Site",$D38="Right-of-Way"),$E38&lt;&gt;"",ISNA(MATCH($E38,MultiSelect2[TreeMitigation],0))),
Error!$B$28,
IF(AND(_xlpm.baseRow,$D38&lt;&gt;"",$E38&lt;&gt;"",COUNTIF(_xlpm.FRange,"&lt;&gt;")=0),
Error!$B$26,
IF(AND($E38="No",$F38&lt;&gt;"",ISNA(MATCH($F38,Tables2!$B$55:$B$57,0))),
Error!$B$27,
IF(AND($E38="Yes",$F38&lt;&gt;"",ISNA(MATCH($F38,Tables2!$B$48:$B$52,0))),
Error!$B$27,
IF(AND($D38="Off Site",$E38="Yes",$F38&lt;&gt;"",ISNA(MATCH($F38,Tables2!$B$60:$B$62,0))),
Error!$B$27,
IF(AND(_xlpm.baseRow,_xlpm.Street&gt;0,_xlpm.ECA&gt;0),
Error!$B$29,
IF(AND(_xlpm.baseRow,_xlpm.Street&gt;0,_xlpm.Points&gt;0),
Error!$B$30,
IF(AND(_xlpm.baseRow,_xlpm.Street&gt;0,_xlpm.ReplaceReq&gt;0),
Error!$B$31,
IF(AND(_xlpm.baseRow,$D38&lt;&gt;"",$E38&lt;&gt;"",$G38&lt;&gt;"",_xlpm.DecBroad&gt;0,OR(_xlpm.Points&gt;0,_xlpm.Green&gt;0,_xlpm.ReplaceReq&gt;0),_xlpm.Street=0,$G38&lt;1.5),
Error!$B$42,
IF(AND(_xlpm.baseRow,$D38&lt;&gt;"",$E38&lt;&gt;"",$H38&lt;&gt;"",$H38&lt;4,_xlpm.Street&gt;0,_xlpm.Green&gt;0,COUNTA(_xlpm.FRange)&gt;0),
Error!$B$32,
IF(AND(_xlpm.baseRow,$G38="",_xlpm.ECA&gt;0,_xlpm.DecBroad&gt;0,_xlpm.ReplaceReq&gt;0),
Error!$B$52,
IF(AND(_xlpm.baseRow,$E38&lt;&gt;"", $H38="",_xlpm.ECA&gt;0,_xlpm.Coniferous&gt;0,_xlpm.ReplaceReq&gt;0),
Error!$B$53,
IF(AND(_xlpm.baseRow,$G38="",$H38="",_xlpm.ECA&gt;0,_xlpm.ReplaceReq&gt;0),
Error!$B$39,
IF(AND(_xlpm.baseRow,$D38&lt;&gt;"",$E38&lt;&gt;"",$G38="",$H38="",_xlpm.Coniferous&gt;0,_xlpm.ReplaceReq&gt;0,_xlpm.ECA&gt;0),
Error!$B$50,
IF(AND(_xlpm.baseRow,$D38&lt;&gt;"",$E38&lt;&gt;"",$G38&lt;&gt;"",_xlpm.Street&gt;0,$G38&lt;2),
Error!$B$43,
IF(AND(_xlpm.baseRow,$D38&lt;&gt;"",$E38&lt;&gt;"",_xlpm.Green&gt;0,_xlpm.DecBroad&gt;0,$G38=""),
Error!$B$49,
IF(AND(_xlpm.baseRow,$D38&lt;&gt;"",$E38&lt;&gt;"",$H38&lt;&gt;"",$H38&lt;4,_xlpm.Green&gt;0,_xlpm.DecBroad&gt;0,$G38=""),
Error!$B$51,
IF(AND(_xlpm.baseRow,$D38&lt;&gt;"",$E38&lt;&gt;"",_xlpm.Green&gt;0,_xlpm.Coniferous&gt;0,$H38=""),
Error!$B$50,
IF(AND(_xlpm.baseRow,$D38&lt;&gt;"",$E38&lt;&gt;"",_xlpm.Points&gt;0,_xlpm.DecBroad&gt;0,$G38=""),
Error!$B$49,
IF(AND(_xlpm.baseRow,$D38&lt;&gt;"",$E38&lt;&gt;"",_xlpm.Points&gt;0,_xlpm.Coniferous&gt;0,$H38=""),
Error!$B$50,
IF(AND(_xlpm.baseRow,$D38&lt;&gt;"",$E38&lt;&gt;"",_xlpm.ReplaceReq&gt;0,_xlpm.DecBroad&gt;0,$G38=""),
Error!$B$49,
IF(AND(_xlpm.baseRow,$D38&lt;&gt;"",$E38&lt;&gt;"",_xlpm.ReplaceReq&gt;0,_xlpm.Coniferous&gt;0,$H38=""),
Error!$B$50,
IF(AND(_xlpm.baseRow,$D38&lt;&gt;"",$E38&lt;&gt;"",_xlpm.Street&gt;0,$G38=""),
Error!$B$49,
IF(AND(_xlpm.baseRow,$D38&lt;&gt;"",$E38&lt;&gt;"",$H38&lt;&gt;"",$H38&lt;4,OR(ISNA(MATCH($C38,'Tree List'!$C$3:$C$601,0)),$C38=""),_xlpm.Green&gt;0,COUNTA(_xlpm.FRange)&gt;0),
Error!$B$51,
IF(AND(_xlpm.baseRow,$D38&lt;&gt;"",$E38&lt;&gt;"",$H38&lt;&gt;"",$H38&lt;4,_xlpm.DecBroad&gt;0,_xlpm.Green&gt;0,COUNTA(_xlpm.FRange)&gt;0),
Error!$B$51,
IF(AND(_xlpm.baseRow,$D38&lt;&gt;"",$E38&lt;&gt;"",$G38="",$H38="",OR(_xlpm.ReplaceReq&gt;0,_xlpm.Green&gt;0,_xlpm.Points&gt;0,_xlpm.Street&gt;0)),
Error!$B$38,
IF(AND(_xlpm.baseRow,$D38&lt;&gt;"",$E38&lt;&gt;"",$H38&lt;&gt;"",$H38&lt;4,_xlpm.Street=0,_xlpm.Coniferous&gt;0,COUNTA(_xlpm.FRange)&gt;0),
Error!$B$32,
IF(AND(_xlpm.baseRow,_xlpm.DecBroad&gt;0,$D38&lt;&gt;"",$E38&lt;&gt;"",$G38&lt;&gt;"",$G38&lt;1.5,_xlpm.Street=0,COUNTA(_xlpm.FRange)&gt;0),
Error!$B$42,
IF(AND(_xlpm.baseRow,$I38="",$H38="",_xlpm.ECA&gt;0,_xlpm.ReplaceReq=0),
Error!$B$33,
IF(AND(_xlpm.baseRow,OR($J38="",$J38&lt;=0),_xlpm.ReplaceReq&gt;0),
Error!$B$34,
IF(AND(_xlpm.baseRow,$K38&lt;&gt;"",_xlpm.Points&gt;0,ISNA(MATCH($K38,Tables!$B$242:$B$253,0))),
Error!$B$58,
IF(AND($K38="Small",$L38&lt;&gt;"",ISNA(MATCH($L38,Tables2!$C$35:$C$36,0))),
Error!$B$60,
IF(AND($K38="Small/Medium",$L38&lt;&gt;"",ISNA(MATCH($L38,Tables2!$C$38:$C$39,0))),
Error!$B$60,
IF(AND($K38="Medium/Large",$L38&lt;&gt;"",ISNA(MATCH($L38,Tables2!$C$41:$C$42,0))),
Error!$B$60,
IF(AND($K38="Large",$L38&lt;&gt;"",ISNA(MATCH($L38,Tables2!$C$44:$C$45,0))),
Error!$B$60,
IF(AND(_xlpm.baseRow,$B38&lt;&gt;"", $C38&lt;&gt;"", $D38&lt;&gt;"", $E38&lt;&gt;"", OR($M38="",$K38="",$L38=""),_xlpm.Points&gt;0),
Error!$B$35,
IF(AND(_xlpm.baseRow,$D38&lt;&gt;"",$E38&lt;&gt;"",$N38=""),
Error!$B$36,
""))))))))))))))))))))))))))))))))))))))))))),Error!$B$37))</f>
        <v/>
      </c>
      <c r="P38" s="355" t="str" cm="1">
        <f t="array" aca="1" ref="P38" ca="1">IFERROR(_xlfn.LET(
    _xlpm.txt, $C38,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39" spans="1:16" ht="15" thickBot="1" x14ac:dyDescent="0.35">
      <c r="A39" s="437">
        <v>8</v>
      </c>
      <c r="B39" s="448"/>
      <c r="C39" s="444"/>
      <c r="D39" s="295"/>
      <c r="E39" s="295"/>
      <c r="F39" s="301"/>
      <c r="G39" s="257"/>
      <c r="H39" s="181"/>
      <c r="I39" s="178"/>
      <c r="J39" s="457"/>
      <c r="K39" s="172" t="str">
        <f>IFERROR(
IF(
    AND(
        MOD(ROW()-11,4)=0,
        COUNTIF(INDEX(F:F, 11 + 4*INT((ROW()-11)/4)):INDEX(F:F, 14 + 4*INT((ROW()-11)/4)),"Zoning: Tree Points")&gt;0,
        COUNTIFS('Tree List'!$C$3:$C$601,$C39,'Tree List'!$H$3:$H$601,"sp.")=0
    ),
    VLOOKUP($C39,'Tree List'!$C$3:$F$601,4,FALSE),
    ""
),
"")</f>
        <v/>
      </c>
      <c r="L39" s="173" t="str" cm="1">
        <f t="array" ref="L39">IFERROR(
IF(
    AND(
        COUNTIF(INDEX(F:F, 11 + 4*INT((ROW()-11)/4)):INDEX(F:F, 14 + 4*INT((ROW()-11)/4)),"Zoning: Tree Points")&gt;0,
        COUNTIFS('Tree List'!$C$3:$C$601,$C39,'Tree List'!$H$3:$H$601,"sp.")&gt;0
    ),
    "",
    _xlfn.IFS(
        (COUNTIFS('Tree List'!$C$3:$C$601,$C39,'Tree List'!$D$3:$D$601,"Coniferous")
        + COUNTIFS('Tree List'!$C$3:$C$601,$C39,'Tree List'!$D$3:$D$601,"Deciduous Conifer")) &gt; 0,
            _xlfn.IFS($K39="Small",1.25,$K39="Small/Medium",2.5,$K39="Medium/Large",3.75,$K39="Large",5),
        (COUNTIFS('Tree List'!$C$3:$C$601,$C39,'Tree List'!$D$3:$D$601,"Deciduous")
        + COUNTIFS('Tree List'!$C$3:$C$601,$C39,'Tree List'!$D$3:$D$601,"Broadleaf Evergreen")) &gt; 0,
            _xlfn.IFS($K39="Small",1,$K39="Small/Medium",2,$K39="Medium/Large",3,$K39="Large",4)
    )
),
"")</f>
        <v/>
      </c>
      <c r="M39" s="470" t="str">
        <f t="shared" si="0"/>
        <v/>
      </c>
      <c r="N39" s="744"/>
      <c r="O39" s="737" t="str" cm="1">
        <f t="array" aca="1" ref="O39"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List'!$C$3:$C$601,$C39,'Tree List'!$D$3:$D$601,{"Deciduous","Broadleaf Evergreen"})),
_xlpm.Coniferous,SUM(COUNTIFS('Tree List'!$C$3:$C$601,$C39,'Tree List'!$D$3:$D$601,{"Coniferous","Deciduous Conifer"})),
IFERROR(
IF(AND(_xlpm.baseRow,ISNA(MATCH($C39,'Tree List'!$C$3:$C$601,0)),SUMPRODUCT(--ISNUMBER(SEARCH(Tables2!$C$677:$C$825,$P39)))&gt;0),
Error!$B$64,
IF(AND(_xlpm.baseRow,COUNTIF(_xlpm.FRange,"ECA / Shoreline")&gt;0,$D39&lt;&gt;"",$E39&lt;&gt;"",$N39=""),
Error!$B$55,
IF(AND(_xlpm.baseRow,$D39&lt;&gt;"",$E39&lt;&gt;"",COUNTBLANK($B39:$C39)&gt;0,COUNTBLANK($F39:$F42)&lt;&gt;4),
Error!$B$22,
IF(AND(_xlpm.baseRow,$D39="Right-of-Way", $E39=""),
Error!$B$67,
IF(AND(_xlpm.baseRow,$D39&lt;&gt;"",ISNA(MATCH($D39,Tables2!$B$66:$B$68,0))),
Error!$B$63,
IF(AND(_xlpm.baseRow,$D39="Off Site",$E39&lt;&gt;"",$E39&lt;&gt;"Yes"),
Error!$B$28,
IF(AND(_xlpm.baseRow,OR($D39="On Site",$D39="Right-of-Way"),$E39&lt;&gt;"",ISNA(MATCH($E39,MultiSelect2[TreeMitigation],0))),
Error!$B$28,
IF(AND(_xlpm.baseRow,$D39&lt;&gt;"",$E39&lt;&gt;"",COUNTIF(_xlpm.FRange,"&lt;&gt;")=0),
Error!$B$26,
IF(AND($E39="No",$F39&lt;&gt;"",ISNA(MATCH($F39,Tables2!$B$55:$B$57,0))),
Error!$B$27,
IF(AND($E39="Yes",$F39&lt;&gt;"",ISNA(MATCH($F39,Tables2!$B$48:$B$52,0))),
Error!$B$27,
IF(AND($D39="Off Site",$E39="Yes",$F39&lt;&gt;"",ISNA(MATCH($F39,Tables2!$B$60:$B$62,0))),
Error!$B$27,
IF(AND(_xlpm.baseRow,_xlpm.Street&gt;0,_xlpm.ECA&gt;0),
Error!$B$29,
IF(AND(_xlpm.baseRow,_xlpm.Street&gt;0,_xlpm.Points&gt;0),
Error!$B$30,
IF(AND(_xlpm.baseRow,_xlpm.Street&gt;0,_xlpm.ReplaceReq&gt;0),
Error!$B$31,
IF(AND(_xlpm.baseRow,$D39&lt;&gt;"",$E39&lt;&gt;"",$G39&lt;&gt;"",_xlpm.DecBroad&gt;0,OR(_xlpm.Points&gt;0,_xlpm.Green&gt;0,_xlpm.ReplaceReq&gt;0),_xlpm.Street=0,$G39&lt;1.5),
Error!$B$42,
IF(AND(_xlpm.baseRow,$D39&lt;&gt;"",$E39&lt;&gt;"",$H39&lt;&gt;"",$H39&lt;4,_xlpm.Street&gt;0,_xlpm.Green&gt;0,COUNTA(_xlpm.FRange)&gt;0),
Error!$B$32,
IF(AND(_xlpm.baseRow,$G39="",_xlpm.ECA&gt;0,_xlpm.DecBroad&gt;0,_xlpm.ReplaceReq&gt;0),
Error!$B$52,
IF(AND(_xlpm.baseRow,$E39&lt;&gt;"", $H39="",_xlpm.ECA&gt;0,_xlpm.Coniferous&gt;0,_xlpm.ReplaceReq&gt;0),
Error!$B$53,
IF(AND(_xlpm.baseRow,$G39="",$H39="",_xlpm.ECA&gt;0,_xlpm.ReplaceReq&gt;0),
Error!$B$39,
IF(AND(_xlpm.baseRow,$D39&lt;&gt;"",$E39&lt;&gt;"",$G39="",$H39="",_xlpm.Coniferous&gt;0,_xlpm.ReplaceReq&gt;0,_xlpm.ECA&gt;0),
Error!$B$50,
IF(AND(_xlpm.baseRow,$D39&lt;&gt;"",$E39&lt;&gt;"",$G39&lt;&gt;"",_xlpm.Street&gt;0,$G39&lt;2),
Error!$B$43,
IF(AND(_xlpm.baseRow,$D39&lt;&gt;"",$E39&lt;&gt;"",_xlpm.Green&gt;0,_xlpm.DecBroad&gt;0,$G39=""),
Error!$B$49,
IF(AND(_xlpm.baseRow,$D39&lt;&gt;"",$E39&lt;&gt;"",$H39&lt;&gt;"",$H39&lt;4,_xlpm.Green&gt;0,_xlpm.DecBroad&gt;0,$G39=""),
Error!$B$51,
IF(AND(_xlpm.baseRow,$D39&lt;&gt;"",$E39&lt;&gt;"",_xlpm.Green&gt;0,_xlpm.Coniferous&gt;0,$H39=""),
Error!$B$50,
IF(AND(_xlpm.baseRow,$D39&lt;&gt;"",$E39&lt;&gt;"",_xlpm.Points&gt;0,_xlpm.DecBroad&gt;0,$G39=""),
Error!$B$49,
IF(AND(_xlpm.baseRow,$D39&lt;&gt;"",$E39&lt;&gt;"",_xlpm.Points&gt;0,_xlpm.Coniferous&gt;0,$H39=""),
Error!$B$50,
IF(AND(_xlpm.baseRow,$D39&lt;&gt;"",$E39&lt;&gt;"",_xlpm.ReplaceReq&gt;0,_xlpm.DecBroad&gt;0,$G39=""),
Error!$B$49,
IF(AND(_xlpm.baseRow,$D39&lt;&gt;"",$E39&lt;&gt;"",_xlpm.ReplaceReq&gt;0,_xlpm.Coniferous&gt;0,$H39=""),
Error!$B$50,
IF(AND(_xlpm.baseRow,$D39&lt;&gt;"",$E39&lt;&gt;"",_xlpm.Street&gt;0,$G39=""),
Error!$B$49,
IF(AND(_xlpm.baseRow,$D39&lt;&gt;"",$E39&lt;&gt;"",$H39&lt;&gt;"",$H39&lt;4,OR(ISNA(MATCH($C39,'Tree List'!$C$3:$C$601,0)),$C39=""),_xlpm.Green&gt;0,COUNTA(_xlpm.FRange)&gt;0),
Error!$B$51,
IF(AND(_xlpm.baseRow,$D39&lt;&gt;"",$E39&lt;&gt;"",$H39&lt;&gt;"",$H39&lt;4,_xlpm.DecBroad&gt;0,_xlpm.Green&gt;0,COUNTA(_xlpm.FRange)&gt;0),
Error!$B$51,
IF(AND(_xlpm.baseRow,$D39&lt;&gt;"",$E39&lt;&gt;"",$G39="",$H39="",OR(_xlpm.ReplaceReq&gt;0,_xlpm.Green&gt;0,_xlpm.Points&gt;0,_xlpm.Street&gt;0)),
Error!$B$38,
IF(AND(_xlpm.baseRow,$D39&lt;&gt;"",$E39&lt;&gt;"",$H39&lt;&gt;"",$H39&lt;4,_xlpm.Street=0,_xlpm.Coniferous&gt;0,COUNTA(_xlpm.FRange)&gt;0),
Error!$B$32,
IF(AND(_xlpm.baseRow,_xlpm.DecBroad&gt;0,$D39&lt;&gt;"",$E39&lt;&gt;"",$G39&lt;&gt;"",$G39&lt;1.5,_xlpm.Street=0,COUNTA(_xlpm.FRange)&gt;0),
Error!$B$42,
IF(AND(_xlpm.baseRow,$I39="",$H39="",_xlpm.ECA&gt;0,_xlpm.ReplaceReq=0),
Error!$B$33,
IF(AND(_xlpm.baseRow,OR($J39="",$J39&lt;=0),_xlpm.ReplaceReq&gt;0),
Error!$B$34,
IF(AND(_xlpm.baseRow,$K39&lt;&gt;"",_xlpm.Points&gt;0,ISNA(MATCH($K39,Tables!$B$242:$B$253,0))),
Error!$B$58,
IF(AND($K39="Small",$L39&lt;&gt;"",ISNA(MATCH($L39,Tables2!$C$35:$C$36,0))),
Error!$B$60,
IF(AND($K39="Small/Medium",$L39&lt;&gt;"",ISNA(MATCH($L39,Tables2!$C$38:$C$39,0))),
Error!$B$60,
IF(AND($K39="Medium/Large",$L39&lt;&gt;"",ISNA(MATCH($L39,Tables2!$C$41:$C$42,0))),
Error!$B$60,
IF(AND($K39="Large",$L39&lt;&gt;"",ISNA(MATCH($L39,Tables2!$C$44:$C$45,0))),
Error!$B$60,
IF(AND(_xlpm.baseRow,$B39&lt;&gt;"", $C39&lt;&gt;"", $D39&lt;&gt;"", $E39&lt;&gt;"", OR($M39="",$K39="",$L39=""),_xlpm.Points&gt;0),
Error!$B$35,
IF(AND(_xlpm.baseRow,$D39&lt;&gt;"",$E39&lt;&gt;"",$N39=""),
Error!$B$36,
""))))))))))))))))))))))))))))))))))))))))))),Error!$B$37))</f>
        <v/>
      </c>
      <c r="P39" s="355" t="str" cm="1">
        <f t="array" aca="1" ref="P39" ca="1">IFERROR(_xlfn.LET(
    _xlpm.txt, $C39,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0" spans="1:16" x14ac:dyDescent="0.3">
      <c r="A40" s="92"/>
      <c r="B40" s="439" t="str">
        <f>IF($B39="", "", $B39)</f>
        <v/>
      </c>
      <c r="C40" s="309"/>
      <c r="D40" s="157" t="str">
        <f>IF($D39="", "", $D39)</f>
        <v/>
      </c>
      <c r="E40" s="157" t="str">
        <f>IF($E39="", "", $E39)</f>
        <v/>
      </c>
      <c r="F40" s="300"/>
      <c r="G40" s="159"/>
      <c r="H40" s="182"/>
      <c r="I40" s="179"/>
      <c r="J40" s="458"/>
      <c r="K40" s="174" t="str">
        <f>IFERROR(
IF(
    AND(
        MOD(ROW()-11,4)=0,
        COUNTIF(INDEX(F:F, 11 + 4*INT((ROW()-11)/4)):INDEX(F:F, 14 + 4*INT((ROW()-11)/4)),"Zoning: Tree Points")&gt;0,
        COUNTIFS('Tree List'!$C$3:$C$601,$C40,'Tree List'!$H$3:$H$601,"sp.")=0
    ),
    VLOOKUP($C40,'Tree List'!$C$3:$F$601,4,FALSE),
    ""
),
"")</f>
        <v/>
      </c>
      <c r="L40" s="175" t="str" cm="1">
        <f t="array" ref="L40">IFERROR(
IF(
    AND(
        COUNTIF(INDEX(F:F, 11 + 4*INT((ROW()-11)/4)):INDEX(F:F, 14 + 4*INT((ROW()-11)/4)),"Zoning: Tree Points")&gt;0,
        COUNTIFS('Tree List'!$C$3:$C$601,$C40,'Tree List'!$H$3:$H$601,"sp.")&gt;0
    ),
    "",
    _xlfn.IFS(
        (COUNTIFS('Tree List'!$C$3:$C$601,$C40,'Tree List'!$D$3:$D$601,"Coniferous")
        + COUNTIFS('Tree List'!$C$3:$C$601,$C40,'Tree List'!$D$3:$D$601,"Deciduous Conifer")) &gt; 0,
            _xlfn.IFS($K40="Small",1.25,$K40="Small/Medium",2.5,$K40="Medium/Large",3.75,$K40="Large",5),
        (COUNTIFS('Tree List'!$C$3:$C$601,$C40,'Tree List'!$D$3:$D$601,"Deciduous")
        + COUNTIFS('Tree List'!$C$3:$C$601,$C40,'Tree List'!$D$3:$D$601,"Broadleaf Evergreen")) &gt; 0,
            _xlfn.IFS($K40="Small",1,$K40="Small/Medium",2,$K40="Medium/Large",3,$K40="Large",4)
    )
),
"")</f>
        <v/>
      </c>
      <c r="M40" s="471"/>
      <c r="N40" s="434"/>
      <c r="O40" s="340" t="str" cm="1">
        <f t="array" aca="1" ref="O40"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List'!$C$3:$C$601,$C40,'Tree List'!$D$3:$D$601,{"Deciduous","Broadleaf Evergreen"})),
_xlpm.Coniferous,SUM(COUNTIFS('Tree List'!$C$3:$C$601,$C40,'Tree List'!$D$3:$D$601,{"Coniferous","Deciduous Conifer"})),
IFERROR(
IF(AND(_xlpm.baseRow,ISNA(MATCH($C40,'Tree List'!$C$3:$C$601,0)),SUMPRODUCT(--ISNUMBER(SEARCH(Tables2!$C$677:$C$825,$P40)))&gt;0),
Error!$B$64,
IF(AND(_xlpm.baseRow,COUNTIF(_xlpm.FRange,"ECA / Shoreline")&gt;0,$D40&lt;&gt;"",$E40&lt;&gt;"",$N40=""),
Error!$B$55,
IF(AND(_xlpm.baseRow,$D40&lt;&gt;"",$E40&lt;&gt;"",COUNTBLANK($B40:$C40)&gt;0,COUNTBLANK($F40:$F43)&lt;&gt;4),
Error!$B$22,
IF(AND(_xlpm.baseRow,$D40="Right-of-Way", $E40=""),
Error!$B$67,
IF(AND(_xlpm.baseRow,$D40&lt;&gt;"",ISNA(MATCH($D40,Tables2!$B$66:$B$68,0))),
Error!$B$63,
IF(AND(_xlpm.baseRow,$D40="Off Site",$E40&lt;&gt;"",$E40&lt;&gt;"Yes"),
Error!$B$28,
IF(AND(_xlpm.baseRow,OR($D40="On Site",$D40="Right-of-Way"),$E40&lt;&gt;"",ISNA(MATCH($E40,MultiSelect2[TreeMitigation],0))),
Error!$B$28,
IF(AND(_xlpm.baseRow,$D40&lt;&gt;"",$E40&lt;&gt;"",COUNTIF(_xlpm.FRange,"&lt;&gt;")=0),
Error!$B$26,
IF(AND($E40="No",$F40&lt;&gt;"",ISNA(MATCH($F40,Tables2!$B$55:$B$57,0))),
Error!$B$27,
IF(AND($E40="Yes",$F40&lt;&gt;"",ISNA(MATCH($F40,Tables2!$B$48:$B$52,0))),
Error!$B$27,
IF(AND($D40="Off Site",$E40="Yes",$F40&lt;&gt;"",ISNA(MATCH($F40,Tables2!$B$60:$B$62,0))),
Error!$B$27,
IF(AND(_xlpm.baseRow,_xlpm.Street&gt;0,_xlpm.ECA&gt;0),
Error!$B$29,
IF(AND(_xlpm.baseRow,_xlpm.Street&gt;0,_xlpm.Points&gt;0),
Error!$B$30,
IF(AND(_xlpm.baseRow,_xlpm.Street&gt;0,_xlpm.ReplaceReq&gt;0),
Error!$B$31,
IF(AND(_xlpm.baseRow,$D40&lt;&gt;"",$E40&lt;&gt;"",$G40&lt;&gt;"",_xlpm.DecBroad&gt;0,OR(_xlpm.Points&gt;0,_xlpm.Green&gt;0,_xlpm.ReplaceReq&gt;0),_xlpm.Street=0,$G40&lt;1.5),
Error!$B$42,
IF(AND(_xlpm.baseRow,$D40&lt;&gt;"",$E40&lt;&gt;"",$H40&lt;&gt;"",$H40&lt;4,_xlpm.Street&gt;0,_xlpm.Green&gt;0,COUNTA(_xlpm.FRange)&gt;0),
Error!$B$32,
IF(AND(_xlpm.baseRow,$G40="",_xlpm.ECA&gt;0,_xlpm.DecBroad&gt;0,_xlpm.ReplaceReq&gt;0),
Error!$B$52,
IF(AND(_xlpm.baseRow,$E40&lt;&gt;"", $H40="",_xlpm.ECA&gt;0,_xlpm.Coniferous&gt;0,_xlpm.ReplaceReq&gt;0),
Error!$B$53,
IF(AND(_xlpm.baseRow,$G40="",$H40="",_xlpm.ECA&gt;0,_xlpm.ReplaceReq&gt;0),
Error!$B$39,
IF(AND(_xlpm.baseRow,$D40&lt;&gt;"",$E40&lt;&gt;"",$G40="",$H40="",_xlpm.Coniferous&gt;0,_xlpm.ReplaceReq&gt;0,_xlpm.ECA&gt;0),
Error!$B$50,
IF(AND(_xlpm.baseRow,$D40&lt;&gt;"",$E40&lt;&gt;"",$G40&lt;&gt;"",_xlpm.Street&gt;0,$G40&lt;2),
Error!$B$43,
IF(AND(_xlpm.baseRow,$D40&lt;&gt;"",$E40&lt;&gt;"",_xlpm.Green&gt;0,_xlpm.DecBroad&gt;0,$G40=""),
Error!$B$49,
IF(AND(_xlpm.baseRow,$D40&lt;&gt;"",$E40&lt;&gt;"",$H40&lt;&gt;"",$H40&lt;4,_xlpm.Green&gt;0,_xlpm.DecBroad&gt;0,$G40=""),
Error!$B$51,
IF(AND(_xlpm.baseRow,$D40&lt;&gt;"",$E40&lt;&gt;"",_xlpm.Green&gt;0,_xlpm.Coniferous&gt;0,$H40=""),
Error!$B$50,
IF(AND(_xlpm.baseRow,$D40&lt;&gt;"",$E40&lt;&gt;"",_xlpm.Points&gt;0,_xlpm.DecBroad&gt;0,$G40=""),
Error!$B$49,
IF(AND(_xlpm.baseRow,$D40&lt;&gt;"",$E40&lt;&gt;"",_xlpm.Points&gt;0,_xlpm.Coniferous&gt;0,$H40=""),
Error!$B$50,
IF(AND(_xlpm.baseRow,$D40&lt;&gt;"",$E40&lt;&gt;"",_xlpm.ReplaceReq&gt;0,_xlpm.DecBroad&gt;0,$G40=""),
Error!$B$49,
IF(AND(_xlpm.baseRow,$D40&lt;&gt;"",$E40&lt;&gt;"",_xlpm.ReplaceReq&gt;0,_xlpm.Coniferous&gt;0,$H40=""),
Error!$B$50,
IF(AND(_xlpm.baseRow,$D40&lt;&gt;"",$E40&lt;&gt;"",_xlpm.Street&gt;0,$G40=""),
Error!$B$49,
IF(AND(_xlpm.baseRow,$D40&lt;&gt;"",$E40&lt;&gt;"",$H40&lt;&gt;"",$H40&lt;4,OR(ISNA(MATCH($C40,'Tree List'!$C$3:$C$601,0)),$C40=""),_xlpm.Green&gt;0,COUNTA(_xlpm.FRange)&gt;0),
Error!$B$51,
IF(AND(_xlpm.baseRow,$D40&lt;&gt;"",$E40&lt;&gt;"",$H40&lt;&gt;"",$H40&lt;4,_xlpm.DecBroad&gt;0,_xlpm.Green&gt;0,COUNTA(_xlpm.FRange)&gt;0),
Error!$B$51,
IF(AND(_xlpm.baseRow,$D40&lt;&gt;"",$E40&lt;&gt;"",$G40="",$H40="",OR(_xlpm.ReplaceReq&gt;0,_xlpm.Green&gt;0,_xlpm.Points&gt;0,_xlpm.Street&gt;0)),
Error!$B$38,
IF(AND(_xlpm.baseRow,$D40&lt;&gt;"",$E40&lt;&gt;"",$H40&lt;&gt;"",$H40&lt;4,_xlpm.Street=0,_xlpm.Coniferous&gt;0,COUNTA(_xlpm.FRange)&gt;0),
Error!$B$32,
IF(AND(_xlpm.baseRow,_xlpm.DecBroad&gt;0,$D40&lt;&gt;"",$E40&lt;&gt;"",$G40&lt;&gt;"",$G40&lt;1.5,_xlpm.Street=0,COUNTA(_xlpm.FRange)&gt;0),
Error!$B$42,
IF(AND(_xlpm.baseRow,$I40="",$H40="",_xlpm.ECA&gt;0,_xlpm.ReplaceReq=0),
Error!$B$33,
IF(AND(_xlpm.baseRow,OR($J40="",$J40&lt;=0),_xlpm.ReplaceReq&gt;0),
Error!$B$34,
IF(AND(_xlpm.baseRow,$K40&lt;&gt;"",_xlpm.Points&gt;0,ISNA(MATCH($K40,Tables!$B$242:$B$253,0))),
Error!$B$58,
IF(AND($K40="Small",$L40&lt;&gt;"",ISNA(MATCH($L40,Tables2!$C$35:$C$36,0))),
Error!$B$60,
IF(AND($K40="Small/Medium",$L40&lt;&gt;"",ISNA(MATCH($L40,Tables2!$C$38:$C$39,0))),
Error!$B$60,
IF(AND($K40="Medium/Large",$L40&lt;&gt;"",ISNA(MATCH($L40,Tables2!$C$41:$C$42,0))),
Error!$B$60,
IF(AND($K40="Large",$L40&lt;&gt;"",ISNA(MATCH($L40,Tables2!$C$44:$C$45,0))),
Error!$B$60,
IF(AND(_xlpm.baseRow,$B40&lt;&gt;"", $C40&lt;&gt;"", $D40&lt;&gt;"", $E40&lt;&gt;"", OR($M40="",$K40="",$L40=""),_xlpm.Points&gt;0),
Error!$B$35,
IF(AND(_xlpm.baseRow,$D40&lt;&gt;"",$E40&lt;&gt;"",$N40=""),
Error!$B$36,
""))))))))))))))))))))))))))))))))))))))))))),Error!$B$37))</f>
        <v/>
      </c>
      <c r="P40" s="355" t="str" cm="1">
        <f t="array" aca="1" ref="P40" ca="1">IFERROR(_xlfn.LET(
    _xlpm.txt, $C40,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1" spans="1:16" x14ac:dyDescent="0.3">
      <c r="A41" s="92"/>
      <c r="B41" s="439" t="str">
        <f>IF($B39="", "", $B39)</f>
        <v/>
      </c>
      <c r="C41" s="438"/>
      <c r="D41" s="439" t="str">
        <f>IF($D39="", "", $D39)</f>
        <v/>
      </c>
      <c r="E41" s="439" t="str">
        <f>IF($E39="", "", $E39)</f>
        <v/>
      </c>
      <c r="F41" s="300"/>
      <c r="G41" s="160"/>
      <c r="H41" s="440"/>
      <c r="I41" s="441"/>
      <c r="J41" s="459"/>
      <c r="K41" s="442" t="str">
        <f>IFERROR(
IF(
    AND(
        MOD(ROW()-11,4)=0,
        COUNTIF(INDEX(F:F, 11 + 4*INT((ROW()-11)/4)):INDEX(F:F, 14 + 4*INT((ROW()-11)/4)),"Zoning: Tree Points")&gt;0,
        COUNTIFS('Tree List'!$C$3:$C$601,$C41,'Tree List'!$H$3:$H$601,"sp.")=0
    ),
    VLOOKUP($C41,'Tree List'!$C$3:$F$601,4,FALSE),
    ""
),
"")</f>
        <v/>
      </c>
      <c r="L41" s="443" t="str" cm="1">
        <f t="array" ref="L41">IFERROR(
IF(
    AND(
        COUNTIF(INDEX(F:F, 11 + 4*INT((ROW()-11)/4)):INDEX(F:F, 14 + 4*INT((ROW()-11)/4)),"Zoning: Tree Points")&gt;0,
        COUNTIFS('Tree List'!$C$3:$C$601,$C41,'Tree List'!$H$3:$H$601,"sp.")&gt;0
    ),
    "",
    _xlfn.IFS(
        (COUNTIFS('Tree List'!$C$3:$C$601,$C41,'Tree List'!$D$3:$D$601,"Coniferous")
        + COUNTIFS('Tree List'!$C$3:$C$601,$C41,'Tree List'!$D$3:$D$601,"Deciduous Conifer")) &gt; 0,
            _xlfn.IFS($K41="Small",1.25,$K41="Small/Medium",2.5,$K41="Medium/Large",3.75,$K41="Large",5),
        (COUNTIFS('Tree List'!$C$3:$C$601,$C41,'Tree List'!$D$3:$D$601,"Deciduous")
        + COUNTIFS('Tree List'!$C$3:$C$601,$C41,'Tree List'!$D$3:$D$601,"Broadleaf Evergreen")) &gt; 0,
            _xlfn.IFS($K41="Small",1,$K41="Small/Medium",2,$K41="Medium/Large",3,$K41="Large",4)
    )
),
"")</f>
        <v/>
      </c>
      <c r="M41" s="472"/>
      <c r="N41" s="434"/>
      <c r="O41" s="340" t="str" cm="1">
        <f t="array" aca="1" ref="O41"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List'!$C$3:$C$601,$C41,'Tree List'!$D$3:$D$601,{"Deciduous","Broadleaf Evergreen"})),
_xlpm.Coniferous,SUM(COUNTIFS('Tree List'!$C$3:$C$601,$C41,'Tree List'!$D$3:$D$601,{"Coniferous","Deciduous Conifer"})),
IFERROR(
IF(AND(_xlpm.baseRow,ISNA(MATCH($C41,'Tree List'!$C$3:$C$601,0)),SUMPRODUCT(--ISNUMBER(SEARCH(Tables2!$C$677:$C$825,$P41)))&gt;0),
Error!$B$64,
IF(AND(_xlpm.baseRow,COUNTIF(_xlpm.FRange,"ECA / Shoreline")&gt;0,$D41&lt;&gt;"",$E41&lt;&gt;"",$N41=""),
Error!$B$55,
IF(AND(_xlpm.baseRow,$D41&lt;&gt;"",$E41&lt;&gt;"",COUNTBLANK($B41:$C41)&gt;0,COUNTBLANK($F41:$F44)&lt;&gt;4),
Error!$B$22,
IF(AND(_xlpm.baseRow,$D41="Right-of-Way", $E41=""),
Error!$B$67,
IF(AND(_xlpm.baseRow,$D41&lt;&gt;"",ISNA(MATCH($D41,Tables2!$B$66:$B$68,0))),
Error!$B$63,
IF(AND(_xlpm.baseRow,$D41="Off Site",$E41&lt;&gt;"",$E41&lt;&gt;"Yes"),
Error!$B$28,
IF(AND(_xlpm.baseRow,OR($D41="On Site",$D41="Right-of-Way"),$E41&lt;&gt;"",ISNA(MATCH($E41,MultiSelect2[TreeMitigation],0))),
Error!$B$28,
IF(AND(_xlpm.baseRow,$D41&lt;&gt;"",$E41&lt;&gt;"",COUNTIF(_xlpm.FRange,"&lt;&gt;")=0),
Error!$B$26,
IF(AND($E41="No",$F41&lt;&gt;"",ISNA(MATCH($F41,Tables2!$B$55:$B$57,0))),
Error!$B$27,
IF(AND($E41="Yes",$F41&lt;&gt;"",ISNA(MATCH($F41,Tables2!$B$48:$B$52,0))),
Error!$B$27,
IF(AND($D41="Off Site",$E41="Yes",$F41&lt;&gt;"",ISNA(MATCH($F41,Tables2!$B$60:$B$62,0))),
Error!$B$27,
IF(AND(_xlpm.baseRow,_xlpm.Street&gt;0,_xlpm.ECA&gt;0),
Error!$B$29,
IF(AND(_xlpm.baseRow,_xlpm.Street&gt;0,_xlpm.Points&gt;0),
Error!$B$30,
IF(AND(_xlpm.baseRow,_xlpm.Street&gt;0,_xlpm.ReplaceReq&gt;0),
Error!$B$31,
IF(AND(_xlpm.baseRow,$D41&lt;&gt;"",$E41&lt;&gt;"",$G41&lt;&gt;"",_xlpm.DecBroad&gt;0,OR(_xlpm.Points&gt;0,_xlpm.Green&gt;0,_xlpm.ReplaceReq&gt;0),_xlpm.Street=0,$G41&lt;1.5),
Error!$B$42,
IF(AND(_xlpm.baseRow,$D41&lt;&gt;"",$E41&lt;&gt;"",$H41&lt;&gt;"",$H41&lt;4,_xlpm.Street&gt;0,_xlpm.Green&gt;0,COUNTA(_xlpm.FRange)&gt;0),
Error!$B$32,
IF(AND(_xlpm.baseRow,$G41="",_xlpm.ECA&gt;0,_xlpm.DecBroad&gt;0,_xlpm.ReplaceReq&gt;0),
Error!$B$52,
IF(AND(_xlpm.baseRow,$E41&lt;&gt;"", $H41="",_xlpm.ECA&gt;0,_xlpm.Coniferous&gt;0,_xlpm.ReplaceReq&gt;0),
Error!$B$53,
IF(AND(_xlpm.baseRow,$G41="",$H41="",_xlpm.ECA&gt;0,_xlpm.ReplaceReq&gt;0),
Error!$B$39,
IF(AND(_xlpm.baseRow,$D41&lt;&gt;"",$E41&lt;&gt;"",$G41="",$H41="",_xlpm.Coniferous&gt;0,_xlpm.ReplaceReq&gt;0,_xlpm.ECA&gt;0),
Error!$B$50,
IF(AND(_xlpm.baseRow,$D41&lt;&gt;"",$E41&lt;&gt;"",$G41&lt;&gt;"",_xlpm.Street&gt;0,$G41&lt;2),
Error!$B$43,
IF(AND(_xlpm.baseRow,$D41&lt;&gt;"",$E41&lt;&gt;"",_xlpm.Green&gt;0,_xlpm.DecBroad&gt;0,$G41=""),
Error!$B$49,
IF(AND(_xlpm.baseRow,$D41&lt;&gt;"",$E41&lt;&gt;"",$H41&lt;&gt;"",$H41&lt;4,_xlpm.Green&gt;0,_xlpm.DecBroad&gt;0,$G41=""),
Error!$B$51,
IF(AND(_xlpm.baseRow,$D41&lt;&gt;"",$E41&lt;&gt;"",_xlpm.Green&gt;0,_xlpm.Coniferous&gt;0,$H41=""),
Error!$B$50,
IF(AND(_xlpm.baseRow,$D41&lt;&gt;"",$E41&lt;&gt;"",_xlpm.Points&gt;0,_xlpm.DecBroad&gt;0,$G41=""),
Error!$B$49,
IF(AND(_xlpm.baseRow,$D41&lt;&gt;"",$E41&lt;&gt;"",_xlpm.Points&gt;0,_xlpm.Coniferous&gt;0,$H41=""),
Error!$B$50,
IF(AND(_xlpm.baseRow,$D41&lt;&gt;"",$E41&lt;&gt;"",_xlpm.ReplaceReq&gt;0,_xlpm.DecBroad&gt;0,$G41=""),
Error!$B$49,
IF(AND(_xlpm.baseRow,$D41&lt;&gt;"",$E41&lt;&gt;"",_xlpm.ReplaceReq&gt;0,_xlpm.Coniferous&gt;0,$H41=""),
Error!$B$50,
IF(AND(_xlpm.baseRow,$D41&lt;&gt;"",$E41&lt;&gt;"",_xlpm.Street&gt;0,$G41=""),
Error!$B$49,
IF(AND(_xlpm.baseRow,$D41&lt;&gt;"",$E41&lt;&gt;"",$H41&lt;&gt;"",$H41&lt;4,OR(ISNA(MATCH($C41,'Tree List'!$C$3:$C$601,0)),$C41=""),_xlpm.Green&gt;0,COUNTA(_xlpm.FRange)&gt;0),
Error!$B$51,
IF(AND(_xlpm.baseRow,$D41&lt;&gt;"",$E41&lt;&gt;"",$H41&lt;&gt;"",$H41&lt;4,_xlpm.DecBroad&gt;0,_xlpm.Green&gt;0,COUNTA(_xlpm.FRange)&gt;0),
Error!$B$51,
IF(AND(_xlpm.baseRow,$D41&lt;&gt;"",$E41&lt;&gt;"",$G41="",$H41="",OR(_xlpm.ReplaceReq&gt;0,_xlpm.Green&gt;0,_xlpm.Points&gt;0,_xlpm.Street&gt;0)),
Error!$B$38,
IF(AND(_xlpm.baseRow,$D41&lt;&gt;"",$E41&lt;&gt;"",$H41&lt;&gt;"",$H41&lt;4,_xlpm.Street=0,_xlpm.Coniferous&gt;0,COUNTA(_xlpm.FRange)&gt;0),
Error!$B$32,
IF(AND(_xlpm.baseRow,_xlpm.DecBroad&gt;0,$D41&lt;&gt;"",$E41&lt;&gt;"",$G41&lt;&gt;"",$G41&lt;1.5,_xlpm.Street=0,COUNTA(_xlpm.FRange)&gt;0),
Error!$B$42,
IF(AND(_xlpm.baseRow,$I41="",$H41="",_xlpm.ECA&gt;0,_xlpm.ReplaceReq=0),
Error!$B$33,
IF(AND(_xlpm.baseRow,OR($J41="",$J41&lt;=0),_xlpm.ReplaceReq&gt;0),
Error!$B$34,
IF(AND(_xlpm.baseRow,$K41&lt;&gt;"",_xlpm.Points&gt;0,ISNA(MATCH($K41,Tables!$B$242:$B$253,0))),
Error!$B$58,
IF(AND($K41="Small",$L41&lt;&gt;"",ISNA(MATCH($L41,Tables2!$C$35:$C$36,0))),
Error!$B$60,
IF(AND($K41="Small/Medium",$L41&lt;&gt;"",ISNA(MATCH($L41,Tables2!$C$38:$C$39,0))),
Error!$B$60,
IF(AND($K41="Medium/Large",$L41&lt;&gt;"",ISNA(MATCH($L41,Tables2!$C$41:$C$42,0))),
Error!$B$60,
IF(AND($K41="Large",$L41&lt;&gt;"",ISNA(MATCH($L41,Tables2!$C$44:$C$45,0))),
Error!$B$60,
IF(AND(_xlpm.baseRow,$B41&lt;&gt;"", $C41&lt;&gt;"", $D41&lt;&gt;"", $E41&lt;&gt;"", OR($M41="",$K41="",$L41=""),_xlpm.Points&gt;0),
Error!$B$35,
IF(AND(_xlpm.baseRow,$D41&lt;&gt;"",$E41&lt;&gt;"",$N41=""),
Error!$B$36,
""))))))))))))))))))))))))))))))))))))))))))),Error!$B$37))</f>
        <v/>
      </c>
      <c r="P41" s="355" t="str" cm="1">
        <f t="array" aca="1" ref="P41" ca="1">IFERROR(_xlfn.LET(
    _xlpm.txt, $C41,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2" spans="1:16" ht="15" thickBot="1" x14ac:dyDescent="0.35">
      <c r="A42" s="96"/>
      <c r="B42" s="439" t="str">
        <f>IF($B39="", "", $B39)</f>
        <v/>
      </c>
      <c r="C42" s="438"/>
      <c r="D42" s="439" t="str">
        <f>IF($D39="", "", $D39)</f>
        <v/>
      </c>
      <c r="E42" s="439" t="str">
        <f>IF($E39="", "", $E39)</f>
        <v/>
      </c>
      <c r="F42" s="300"/>
      <c r="G42" s="161"/>
      <c r="H42" s="183"/>
      <c r="I42" s="180"/>
      <c r="J42" s="460"/>
      <c r="K42" s="176" t="str">
        <f>IFERROR(
IF(
    AND(
        MOD(ROW()-11,4)=0,
        COUNTIF(INDEX(F:F, 11 + 4*INT((ROW()-11)/4)):INDEX(F:F, 14 + 4*INT((ROW()-11)/4)),"Zoning: Tree Points")&gt;0,
        COUNTIFS('Tree List'!$C$3:$C$601,$C42,'Tree List'!$H$3:$H$601,"sp.")=0
    ),
    VLOOKUP($C42,'Tree List'!$C$3:$F$601,4,FALSE),
    ""
),
"")</f>
        <v/>
      </c>
      <c r="L42" s="177" t="str" cm="1">
        <f t="array" ref="L42">IFERROR(
IF(
    AND(
        COUNTIF(INDEX(F:F, 11 + 4*INT((ROW()-11)/4)):INDEX(F:F, 14 + 4*INT((ROW()-11)/4)),"Zoning: Tree Points")&gt;0,
        COUNTIFS('Tree List'!$C$3:$C$601,$C42,'Tree List'!$H$3:$H$601,"sp.")&gt;0
    ),
    "",
    _xlfn.IFS(
        (COUNTIFS('Tree List'!$C$3:$C$601,$C42,'Tree List'!$D$3:$D$601,"Coniferous")
        + COUNTIFS('Tree List'!$C$3:$C$601,$C42,'Tree List'!$D$3:$D$601,"Deciduous Conifer")) &gt; 0,
            _xlfn.IFS($K42="Small",1.25,$K42="Small/Medium",2.5,$K42="Medium/Large",3.75,$K42="Large",5),
        (COUNTIFS('Tree List'!$C$3:$C$601,$C42,'Tree List'!$D$3:$D$601,"Deciduous")
        + COUNTIFS('Tree List'!$C$3:$C$601,$C42,'Tree List'!$D$3:$D$601,"Broadleaf Evergreen")) &gt; 0,
            _xlfn.IFS($K42="Small",1,$K42="Small/Medium",2,$K42="Medium/Large",3,$K42="Large",4)
    )
),
"")</f>
        <v/>
      </c>
      <c r="M42" s="473"/>
      <c r="N42" s="434"/>
      <c r="O42" s="341" t="str" cm="1">
        <f t="array" aca="1" ref="O42"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List'!$C$3:$C$601,$C42,'Tree List'!$D$3:$D$601,{"Deciduous","Broadleaf Evergreen"})),
_xlpm.Coniferous,SUM(COUNTIFS('Tree List'!$C$3:$C$601,$C42,'Tree List'!$D$3:$D$601,{"Coniferous","Deciduous Conifer"})),
IFERROR(
IF(AND(_xlpm.baseRow,ISNA(MATCH($C42,'Tree List'!$C$3:$C$601,0)),SUMPRODUCT(--ISNUMBER(SEARCH(Tables2!$C$677:$C$825,$P42)))&gt;0),
Error!$B$64,
IF(AND(_xlpm.baseRow,COUNTIF(_xlpm.FRange,"ECA / Shoreline")&gt;0,$D42&lt;&gt;"",$E42&lt;&gt;"",$N42=""),
Error!$B$55,
IF(AND(_xlpm.baseRow,$D42&lt;&gt;"",$E42&lt;&gt;"",COUNTBLANK($B42:$C42)&gt;0,COUNTBLANK($F42:$F45)&lt;&gt;4),
Error!$B$22,
IF(AND(_xlpm.baseRow,$D42="Right-of-Way", $E42=""),
Error!$B$67,
IF(AND(_xlpm.baseRow,$D42&lt;&gt;"",ISNA(MATCH($D42,Tables2!$B$66:$B$68,0))),
Error!$B$63,
IF(AND(_xlpm.baseRow,$D42="Off Site",$E42&lt;&gt;"",$E42&lt;&gt;"Yes"),
Error!$B$28,
IF(AND(_xlpm.baseRow,OR($D42="On Site",$D42="Right-of-Way"),$E42&lt;&gt;"",ISNA(MATCH($E42,MultiSelect2[TreeMitigation],0))),
Error!$B$28,
IF(AND(_xlpm.baseRow,$D42&lt;&gt;"",$E42&lt;&gt;"",COUNTIF(_xlpm.FRange,"&lt;&gt;")=0),
Error!$B$26,
IF(AND($E42="No",$F42&lt;&gt;"",ISNA(MATCH($F42,Tables2!$B$55:$B$57,0))),
Error!$B$27,
IF(AND($E42="Yes",$F42&lt;&gt;"",ISNA(MATCH($F42,Tables2!$B$48:$B$52,0))),
Error!$B$27,
IF(AND($D42="Off Site",$E42="Yes",$F42&lt;&gt;"",ISNA(MATCH($F42,Tables2!$B$60:$B$62,0))),
Error!$B$27,
IF(AND(_xlpm.baseRow,_xlpm.Street&gt;0,_xlpm.ECA&gt;0),
Error!$B$29,
IF(AND(_xlpm.baseRow,_xlpm.Street&gt;0,_xlpm.Points&gt;0),
Error!$B$30,
IF(AND(_xlpm.baseRow,_xlpm.Street&gt;0,_xlpm.ReplaceReq&gt;0),
Error!$B$31,
IF(AND(_xlpm.baseRow,$D42&lt;&gt;"",$E42&lt;&gt;"",$G42&lt;&gt;"",_xlpm.DecBroad&gt;0,OR(_xlpm.Points&gt;0,_xlpm.Green&gt;0,_xlpm.ReplaceReq&gt;0),_xlpm.Street=0,$G42&lt;1.5),
Error!$B$42,
IF(AND(_xlpm.baseRow,$D42&lt;&gt;"",$E42&lt;&gt;"",$H42&lt;&gt;"",$H42&lt;4,_xlpm.Street&gt;0,_xlpm.Green&gt;0,COUNTA(_xlpm.FRange)&gt;0),
Error!$B$32,
IF(AND(_xlpm.baseRow,$G42="",_xlpm.ECA&gt;0,_xlpm.DecBroad&gt;0,_xlpm.ReplaceReq&gt;0),
Error!$B$52,
IF(AND(_xlpm.baseRow,$E42&lt;&gt;"", $H42="",_xlpm.ECA&gt;0,_xlpm.Coniferous&gt;0,_xlpm.ReplaceReq&gt;0),
Error!$B$53,
IF(AND(_xlpm.baseRow,$G42="",$H42="",_xlpm.ECA&gt;0,_xlpm.ReplaceReq&gt;0),
Error!$B$39,
IF(AND(_xlpm.baseRow,$D42&lt;&gt;"",$E42&lt;&gt;"",$G42="",$H42="",_xlpm.Coniferous&gt;0,_xlpm.ReplaceReq&gt;0,_xlpm.ECA&gt;0),
Error!$B$50,
IF(AND(_xlpm.baseRow,$D42&lt;&gt;"",$E42&lt;&gt;"",$G42&lt;&gt;"",_xlpm.Street&gt;0,$G42&lt;2),
Error!$B$43,
IF(AND(_xlpm.baseRow,$D42&lt;&gt;"",$E42&lt;&gt;"",_xlpm.Green&gt;0,_xlpm.DecBroad&gt;0,$G42=""),
Error!$B$49,
IF(AND(_xlpm.baseRow,$D42&lt;&gt;"",$E42&lt;&gt;"",$H42&lt;&gt;"",$H42&lt;4,_xlpm.Green&gt;0,_xlpm.DecBroad&gt;0,$G42=""),
Error!$B$51,
IF(AND(_xlpm.baseRow,$D42&lt;&gt;"",$E42&lt;&gt;"",_xlpm.Green&gt;0,_xlpm.Coniferous&gt;0,$H42=""),
Error!$B$50,
IF(AND(_xlpm.baseRow,$D42&lt;&gt;"",$E42&lt;&gt;"",_xlpm.Points&gt;0,_xlpm.DecBroad&gt;0,$G42=""),
Error!$B$49,
IF(AND(_xlpm.baseRow,$D42&lt;&gt;"",$E42&lt;&gt;"",_xlpm.Points&gt;0,_xlpm.Coniferous&gt;0,$H42=""),
Error!$B$50,
IF(AND(_xlpm.baseRow,$D42&lt;&gt;"",$E42&lt;&gt;"",_xlpm.ReplaceReq&gt;0,_xlpm.DecBroad&gt;0,$G42=""),
Error!$B$49,
IF(AND(_xlpm.baseRow,$D42&lt;&gt;"",$E42&lt;&gt;"",_xlpm.ReplaceReq&gt;0,_xlpm.Coniferous&gt;0,$H42=""),
Error!$B$50,
IF(AND(_xlpm.baseRow,$D42&lt;&gt;"",$E42&lt;&gt;"",_xlpm.Street&gt;0,$G42=""),
Error!$B$49,
IF(AND(_xlpm.baseRow,$D42&lt;&gt;"",$E42&lt;&gt;"",$H42&lt;&gt;"",$H42&lt;4,OR(ISNA(MATCH($C42,'Tree List'!$C$3:$C$601,0)),$C42=""),_xlpm.Green&gt;0,COUNTA(_xlpm.FRange)&gt;0),
Error!$B$51,
IF(AND(_xlpm.baseRow,$D42&lt;&gt;"",$E42&lt;&gt;"",$H42&lt;&gt;"",$H42&lt;4,_xlpm.DecBroad&gt;0,_xlpm.Green&gt;0,COUNTA(_xlpm.FRange)&gt;0),
Error!$B$51,
IF(AND(_xlpm.baseRow,$D42&lt;&gt;"",$E42&lt;&gt;"",$G42="",$H42="",OR(_xlpm.ReplaceReq&gt;0,_xlpm.Green&gt;0,_xlpm.Points&gt;0,_xlpm.Street&gt;0)),
Error!$B$38,
IF(AND(_xlpm.baseRow,$D42&lt;&gt;"",$E42&lt;&gt;"",$H42&lt;&gt;"",$H42&lt;4,_xlpm.Street=0,_xlpm.Coniferous&gt;0,COUNTA(_xlpm.FRange)&gt;0),
Error!$B$32,
IF(AND(_xlpm.baseRow,_xlpm.DecBroad&gt;0,$D42&lt;&gt;"",$E42&lt;&gt;"",$G42&lt;&gt;"",$G42&lt;1.5,_xlpm.Street=0,COUNTA(_xlpm.FRange)&gt;0),
Error!$B$42,
IF(AND(_xlpm.baseRow,$I42="",$H42="",_xlpm.ECA&gt;0,_xlpm.ReplaceReq=0),
Error!$B$33,
IF(AND(_xlpm.baseRow,OR($J42="",$J42&lt;=0),_xlpm.ReplaceReq&gt;0),
Error!$B$34,
IF(AND(_xlpm.baseRow,$K42&lt;&gt;"",_xlpm.Points&gt;0,ISNA(MATCH($K42,Tables!$B$242:$B$253,0))),
Error!$B$58,
IF(AND($K42="Small",$L42&lt;&gt;"",ISNA(MATCH($L42,Tables2!$C$35:$C$36,0))),
Error!$B$60,
IF(AND($K42="Small/Medium",$L42&lt;&gt;"",ISNA(MATCH($L42,Tables2!$C$38:$C$39,0))),
Error!$B$60,
IF(AND($K42="Medium/Large",$L42&lt;&gt;"",ISNA(MATCH($L42,Tables2!$C$41:$C$42,0))),
Error!$B$60,
IF(AND($K42="Large",$L42&lt;&gt;"",ISNA(MATCH($L42,Tables2!$C$44:$C$45,0))),
Error!$B$60,
IF(AND(_xlpm.baseRow,$B42&lt;&gt;"", $C42&lt;&gt;"", $D42&lt;&gt;"", $E42&lt;&gt;"", OR($M42="",$K42="",$L42=""),_xlpm.Points&gt;0),
Error!$B$35,
IF(AND(_xlpm.baseRow,$D42&lt;&gt;"",$E42&lt;&gt;"",$N42=""),
Error!$B$36,
""))))))))))))))))))))))))))))))))))))))))))),Error!$B$37))</f>
        <v/>
      </c>
      <c r="P42" s="355" t="str" cm="1">
        <f t="array" aca="1" ref="P42" ca="1">IFERROR(_xlfn.LET(
    _xlpm.txt, $C42,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3" spans="1:16" ht="15" thickBot="1" x14ac:dyDescent="0.35">
      <c r="A43" s="437">
        <v>9</v>
      </c>
      <c r="B43" s="448"/>
      <c r="C43" s="444"/>
      <c r="D43" s="295"/>
      <c r="E43" s="295"/>
      <c r="F43" s="301"/>
      <c r="G43" s="257"/>
      <c r="H43" s="181"/>
      <c r="I43" s="178"/>
      <c r="J43" s="457"/>
      <c r="K43" s="172" t="str">
        <f>IFERROR(
IF(
    AND(
        MOD(ROW()-11,4)=0,
        COUNTIF(INDEX(F:F, 11 + 4*INT((ROW()-11)/4)):INDEX(F:F, 14 + 4*INT((ROW()-11)/4)),"Zoning: Tree Points")&gt;0,
        COUNTIFS('Tree List'!$C$3:$C$601,$C43,'Tree List'!$H$3:$H$601,"sp.")=0
    ),
    VLOOKUP($C43,'Tree List'!$C$3:$F$601,4,FALSE),
    ""
),
"")</f>
        <v/>
      </c>
      <c r="L43" s="173" t="str" cm="1">
        <f t="array" ref="L43">IFERROR(
IF(
    AND(
        COUNTIF(INDEX(F:F, 11 + 4*INT((ROW()-11)/4)):INDEX(F:F, 14 + 4*INT((ROW()-11)/4)),"Zoning: Tree Points")&gt;0,
        COUNTIFS('Tree List'!$C$3:$C$601,$C43,'Tree List'!$H$3:$H$601,"sp.")&gt;0
    ),
    "",
    _xlfn.IFS(
        (COUNTIFS('Tree List'!$C$3:$C$601,$C43,'Tree List'!$D$3:$D$601,"Coniferous")
        + COUNTIFS('Tree List'!$C$3:$C$601,$C43,'Tree List'!$D$3:$D$601,"Deciduous Conifer")) &gt; 0,
            _xlfn.IFS($K43="Small",1.25,$K43="Small/Medium",2.5,$K43="Medium/Large",3.75,$K43="Large",5),
        (COUNTIFS('Tree List'!$C$3:$C$601,$C43,'Tree List'!$D$3:$D$601,"Deciduous")
        + COUNTIFS('Tree List'!$C$3:$C$601,$C43,'Tree List'!$D$3:$D$601,"Broadleaf Evergreen")) &gt; 0,
            _xlfn.IFS($K43="Small",1,$K43="Small/Medium",2,$K43="Medium/Large",3,$K43="Large",4)
    )
),
"")</f>
        <v/>
      </c>
      <c r="M43" s="470" t="str">
        <f t="shared" si="0"/>
        <v/>
      </c>
      <c r="N43" s="744"/>
      <c r="O43" s="737" t="str" cm="1">
        <f t="array" aca="1" ref="O43"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List'!$C$3:$C$601,$C43,'Tree List'!$D$3:$D$601,{"Deciduous","Broadleaf Evergreen"})),
_xlpm.Coniferous,SUM(COUNTIFS('Tree List'!$C$3:$C$601,$C43,'Tree List'!$D$3:$D$601,{"Coniferous","Deciduous Conifer"})),
IFERROR(
IF(AND(_xlpm.baseRow,ISNA(MATCH($C43,'Tree List'!$C$3:$C$601,0)),SUMPRODUCT(--ISNUMBER(SEARCH(Tables2!$C$677:$C$825,$P43)))&gt;0),
Error!$B$64,
IF(AND(_xlpm.baseRow,COUNTIF(_xlpm.FRange,"ECA / Shoreline")&gt;0,$D43&lt;&gt;"",$E43&lt;&gt;"",$N43=""),
Error!$B$55,
IF(AND(_xlpm.baseRow,$D43&lt;&gt;"",$E43&lt;&gt;"",COUNTBLANK($B43:$C43)&gt;0,COUNTBLANK($F43:$F46)&lt;&gt;4),
Error!$B$22,
IF(AND(_xlpm.baseRow,$D43="Right-of-Way", $E43=""),
Error!$B$67,
IF(AND(_xlpm.baseRow,$D43&lt;&gt;"",ISNA(MATCH($D43,Tables2!$B$66:$B$68,0))),
Error!$B$63,
IF(AND(_xlpm.baseRow,$D43="Off Site",$E43&lt;&gt;"",$E43&lt;&gt;"Yes"),
Error!$B$28,
IF(AND(_xlpm.baseRow,OR($D43="On Site",$D43="Right-of-Way"),$E43&lt;&gt;"",ISNA(MATCH($E43,MultiSelect2[TreeMitigation],0))),
Error!$B$28,
IF(AND(_xlpm.baseRow,$D43&lt;&gt;"",$E43&lt;&gt;"",COUNTIF(_xlpm.FRange,"&lt;&gt;")=0),
Error!$B$26,
IF(AND($E43="No",$F43&lt;&gt;"",ISNA(MATCH($F43,Tables2!$B$55:$B$57,0))),
Error!$B$27,
IF(AND($E43="Yes",$F43&lt;&gt;"",ISNA(MATCH($F43,Tables2!$B$48:$B$52,0))),
Error!$B$27,
IF(AND($D43="Off Site",$E43="Yes",$F43&lt;&gt;"",ISNA(MATCH($F43,Tables2!$B$60:$B$62,0))),
Error!$B$27,
IF(AND(_xlpm.baseRow,_xlpm.Street&gt;0,_xlpm.ECA&gt;0),
Error!$B$29,
IF(AND(_xlpm.baseRow,_xlpm.Street&gt;0,_xlpm.Points&gt;0),
Error!$B$30,
IF(AND(_xlpm.baseRow,_xlpm.Street&gt;0,_xlpm.ReplaceReq&gt;0),
Error!$B$31,
IF(AND(_xlpm.baseRow,$D43&lt;&gt;"",$E43&lt;&gt;"",$G43&lt;&gt;"",_xlpm.DecBroad&gt;0,OR(_xlpm.Points&gt;0,_xlpm.Green&gt;0,_xlpm.ReplaceReq&gt;0),_xlpm.Street=0,$G43&lt;1.5),
Error!$B$42,
IF(AND(_xlpm.baseRow,$D43&lt;&gt;"",$E43&lt;&gt;"",$H43&lt;&gt;"",$H43&lt;4,_xlpm.Street&gt;0,_xlpm.Green&gt;0,COUNTA(_xlpm.FRange)&gt;0),
Error!$B$32,
IF(AND(_xlpm.baseRow,$G43="",_xlpm.ECA&gt;0,_xlpm.DecBroad&gt;0,_xlpm.ReplaceReq&gt;0),
Error!$B$52,
IF(AND(_xlpm.baseRow,$E43&lt;&gt;"", $H43="",_xlpm.ECA&gt;0,_xlpm.Coniferous&gt;0,_xlpm.ReplaceReq&gt;0),
Error!$B$53,
IF(AND(_xlpm.baseRow,$G43="",$H43="",_xlpm.ECA&gt;0,_xlpm.ReplaceReq&gt;0),
Error!$B$39,
IF(AND(_xlpm.baseRow,$D43&lt;&gt;"",$E43&lt;&gt;"",$G43="",$H43="",_xlpm.Coniferous&gt;0,_xlpm.ReplaceReq&gt;0,_xlpm.ECA&gt;0),
Error!$B$50,
IF(AND(_xlpm.baseRow,$D43&lt;&gt;"",$E43&lt;&gt;"",$G43&lt;&gt;"",_xlpm.Street&gt;0,$G43&lt;2),
Error!$B$43,
IF(AND(_xlpm.baseRow,$D43&lt;&gt;"",$E43&lt;&gt;"",_xlpm.Green&gt;0,_xlpm.DecBroad&gt;0,$G43=""),
Error!$B$49,
IF(AND(_xlpm.baseRow,$D43&lt;&gt;"",$E43&lt;&gt;"",$H43&lt;&gt;"",$H43&lt;4,_xlpm.Green&gt;0,_xlpm.DecBroad&gt;0,$G43=""),
Error!$B$51,
IF(AND(_xlpm.baseRow,$D43&lt;&gt;"",$E43&lt;&gt;"",_xlpm.Green&gt;0,_xlpm.Coniferous&gt;0,$H43=""),
Error!$B$50,
IF(AND(_xlpm.baseRow,$D43&lt;&gt;"",$E43&lt;&gt;"",_xlpm.Points&gt;0,_xlpm.DecBroad&gt;0,$G43=""),
Error!$B$49,
IF(AND(_xlpm.baseRow,$D43&lt;&gt;"",$E43&lt;&gt;"",_xlpm.Points&gt;0,_xlpm.Coniferous&gt;0,$H43=""),
Error!$B$50,
IF(AND(_xlpm.baseRow,$D43&lt;&gt;"",$E43&lt;&gt;"",_xlpm.ReplaceReq&gt;0,_xlpm.DecBroad&gt;0,$G43=""),
Error!$B$49,
IF(AND(_xlpm.baseRow,$D43&lt;&gt;"",$E43&lt;&gt;"",_xlpm.ReplaceReq&gt;0,_xlpm.Coniferous&gt;0,$H43=""),
Error!$B$50,
IF(AND(_xlpm.baseRow,$D43&lt;&gt;"",$E43&lt;&gt;"",_xlpm.Street&gt;0,$G43=""),
Error!$B$49,
IF(AND(_xlpm.baseRow,$D43&lt;&gt;"",$E43&lt;&gt;"",$H43&lt;&gt;"",$H43&lt;4,OR(ISNA(MATCH($C43,'Tree List'!$C$3:$C$601,0)),$C43=""),_xlpm.Green&gt;0,COUNTA(_xlpm.FRange)&gt;0),
Error!$B$51,
IF(AND(_xlpm.baseRow,$D43&lt;&gt;"",$E43&lt;&gt;"",$H43&lt;&gt;"",$H43&lt;4,_xlpm.DecBroad&gt;0,_xlpm.Green&gt;0,COUNTA(_xlpm.FRange)&gt;0),
Error!$B$51,
IF(AND(_xlpm.baseRow,$D43&lt;&gt;"",$E43&lt;&gt;"",$G43="",$H43="",OR(_xlpm.ReplaceReq&gt;0,_xlpm.Green&gt;0,_xlpm.Points&gt;0,_xlpm.Street&gt;0)),
Error!$B$38,
IF(AND(_xlpm.baseRow,$D43&lt;&gt;"",$E43&lt;&gt;"",$H43&lt;&gt;"",$H43&lt;4,_xlpm.Street=0,_xlpm.Coniferous&gt;0,COUNTA(_xlpm.FRange)&gt;0),
Error!$B$32,
IF(AND(_xlpm.baseRow,_xlpm.DecBroad&gt;0,$D43&lt;&gt;"",$E43&lt;&gt;"",$G43&lt;&gt;"",$G43&lt;1.5,_xlpm.Street=0,COUNTA(_xlpm.FRange)&gt;0),
Error!$B$42,
IF(AND(_xlpm.baseRow,$I43="",$H43="",_xlpm.ECA&gt;0,_xlpm.ReplaceReq=0),
Error!$B$33,
IF(AND(_xlpm.baseRow,OR($J43="",$J43&lt;=0),_xlpm.ReplaceReq&gt;0),
Error!$B$34,
IF(AND(_xlpm.baseRow,$K43&lt;&gt;"",_xlpm.Points&gt;0,ISNA(MATCH($K43,Tables!$B$242:$B$253,0))),
Error!$B$58,
IF(AND($K43="Small",$L43&lt;&gt;"",ISNA(MATCH($L43,Tables2!$C$35:$C$36,0))),
Error!$B$60,
IF(AND($K43="Small/Medium",$L43&lt;&gt;"",ISNA(MATCH($L43,Tables2!$C$38:$C$39,0))),
Error!$B$60,
IF(AND($K43="Medium/Large",$L43&lt;&gt;"",ISNA(MATCH($L43,Tables2!$C$41:$C$42,0))),
Error!$B$60,
IF(AND($K43="Large",$L43&lt;&gt;"",ISNA(MATCH($L43,Tables2!$C$44:$C$45,0))),
Error!$B$60,
IF(AND(_xlpm.baseRow,$B43&lt;&gt;"", $C43&lt;&gt;"", $D43&lt;&gt;"", $E43&lt;&gt;"", OR($M43="",$K43="",$L43=""),_xlpm.Points&gt;0),
Error!$B$35,
IF(AND(_xlpm.baseRow,$D43&lt;&gt;"",$E43&lt;&gt;"",$N43=""),
Error!$B$36,
""))))))))))))))))))))))))))))))))))))))))))),Error!$B$37))</f>
        <v/>
      </c>
      <c r="P43" s="355" t="str" cm="1">
        <f t="array" aca="1" ref="P43" ca="1">IFERROR(_xlfn.LET(
    _xlpm.txt, $C43,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4" spans="1:16" x14ac:dyDescent="0.3">
      <c r="A44" s="92"/>
      <c r="B44" s="439" t="str">
        <f>IF($B43="", "", $B43)</f>
        <v/>
      </c>
      <c r="C44" s="309"/>
      <c r="D44" s="157" t="str">
        <f>IF($D43="", "", $D43)</f>
        <v/>
      </c>
      <c r="E44" s="157" t="str">
        <f>IF($E43="", "", $E43)</f>
        <v/>
      </c>
      <c r="F44" s="300"/>
      <c r="G44" s="159"/>
      <c r="H44" s="182"/>
      <c r="I44" s="179"/>
      <c r="J44" s="458"/>
      <c r="K44" s="174" t="str">
        <f>IFERROR(
IF(
    AND(
        MOD(ROW()-11,4)=0,
        COUNTIF(INDEX(F:F, 11 + 4*INT((ROW()-11)/4)):INDEX(F:F, 14 + 4*INT((ROW()-11)/4)),"Zoning: Tree Points")&gt;0,
        COUNTIFS('Tree List'!$C$3:$C$601,$C44,'Tree List'!$H$3:$H$601,"sp.")=0
    ),
    VLOOKUP($C44,'Tree List'!$C$3:$F$601,4,FALSE),
    ""
),
"")</f>
        <v/>
      </c>
      <c r="L44" s="175" t="str" cm="1">
        <f t="array" ref="L44">IFERROR(
IF(
    AND(
        COUNTIF(INDEX(F:F, 11 + 4*INT((ROW()-11)/4)):INDEX(F:F, 14 + 4*INT((ROW()-11)/4)),"Zoning: Tree Points")&gt;0,
        COUNTIFS('Tree List'!$C$3:$C$601,$C44,'Tree List'!$H$3:$H$601,"sp.")&gt;0
    ),
    "",
    _xlfn.IFS(
        (COUNTIFS('Tree List'!$C$3:$C$601,$C44,'Tree List'!$D$3:$D$601,"Coniferous")
        + COUNTIFS('Tree List'!$C$3:$C$601,$C44,'Tree List'!$D$3:$D$601,"Deciduous Conifer")) &gt; 0,
            _xlfn.IFS($K44="Small",1.25,$K44="Small/Medium",2.5,$K44="Medium/Large",3.75,$K44="Large",5),
        (COUNTIFS('Tree List'!$C$3:$C$601,$C44,'Tree List'!$D$3:$D$601,"Deciduous")
        + COUNTIFS('Tree List'!$C$3:$C$601,$C44,'Tree List'!$D$3:$D$601,"Broadleaf Evergreen")) &gt; 0,
            _xlfn.IFS($K44="Small",1,$K44="Small/Medium",2,$K44="Medium/Large",3,$K44="Large",4)
    )
),
"")</f>
        <v/>
      </c>
      <c r="M44" s="471"/>
      <c r="N44" s="434"/>
      <c r="O44" s="340" t="str" cm="1">
        <f t="array" aca="1" ref="O44"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List'!$C$3:$C$601,$C44,'Tree List'!$D$3:$D$601,{"Deciduous","Broadleaf Evergreen"})),
_xlpm.Coniferous,SUM(COUNTIFS('Tree List'!$C$3:$C$601,$C44,'Tree List'!$D$3:$D$601,{"Coniferous","Deciduous Conifer"})),
IFERROR(
IF(AND(_xlpm.baseRow,ISNA(MATCH($C44,'Tree List'!$C$3:$C$601,0)),SUMPRODUCT(--ISNUMBER(SEARCH(Tables2!$C$677:$C$825,$P44)))&gt;0),
Error!$B$64,
IF(AND(_xlpm.baseRow,COUNTIF(_xlpm.FRange,"ECA / Shoreline")&gt;0,$D44&lt;&gt;"",$E44&lt;&gt;"",$N44=""),
Error!$B$55,
IF(AND(_xlpm.baseRow,$D44&lt;&gt;"",$E44&lt;&gt;"",COUNTBLANK($B44:$C44)&gt;0,COUNTBLANK($F44:$F47)&lt;&gt;4),
Error!$B$22,
IF(AND(_xlpm.baseRow,$D44="Right-of-Way", $E44=""),
Error!$B$67,
IF(AND(_xlpm.baseRow,$D44&lt;&gt;"",ISNA(MATCH($D44,Tables2!$B$66:$B$68,0))),
Error!$B$63,
IF(AND(_xlpm.baseRow,$D44="Off Site",$E44&lt;&gt;"",$E44&lt;&gt;"Yes"),
Error!$B$28,
IF(AND(_xlpm.baseRow,OR($D44="On Site",$D44="Right-of-Way"),$E44&lt;&gt;"",ISNA(MATCH($E44,MultiSelect2[TreeMitigation],0))),
Error!$B$28,
IF(AND(_xlpm.baseRow,$D44&lt;&gt;"",$E44&lt;&gt;"",COUNTIF(_xlpm.FRange,"&lt;&gt;")=0),
Error!$B$26,
IF(AND($E44="No",$F44&lt;&gt;"",ISNA(MATCH($F44,Tables2!$B$55:$B$57,0))),
Error!$B$27,
IF(AND($E44="Yes",$F44&lt;&gt;"",ISNA(MATCH($F44,Tables2!$B$48:$B$52,0))),
Error!$B$27,
IF(AND($D44="Off Site",$E44="Yes",$F44&lt;&gt;"",ISNA(MATCH($F44,Tables2!$B$60:$B$62,0))),
Error!$B$27,
IF(AND(_xlpm.baseRow,_xlpm.Street&gt;0,_xlpm.ECA&gt;0),
Error!$B$29,
IF(AND(_xlpm.baseRow,_xlpm.Street&gt;0,_xlpm.Points&gt;0),
Error!$B$30,
IF(AND(_xlpm.baseRow,_xlpm.Street&gt;0,_xlpm.ReplaceReq&gt;0),
Error!$B$31,
IF(AND(_xlpm.baseRow,$D44&lt;&gt;"",$E44&lt;&gt;"",$G44&lt;&gt;"",_xlpm.DecBroad&gt;0,OR(_xlpm.Points&gt;0,_xlpm.Green&gt;0,_xlpm.ReplaceReq&gt;0),_xlpm.Street=0,$G44&lt;1.5),
Error!$B$42,
IF(AND(_xlpm.baseRow,$D44&lt;&gt;"",$E44&lt;&gt;"",$H44&lt;&gt;"",$H44&lt;4,_xlpm.Street&gt;0,_xlpm.Green&gt;0,COUNTA(_xlpm.FRange)&gt;0),
Error!$B$32,
IF(AND(_xlpm.baseRow,$G44="",_xlpm.ECA&gt;0,_xlpm.DecBroad&gt;0,_xlpm.ReplaceReq&gt;0),
Error!$B$52,
IF(AND(_xlpm.baseRow,$E44&lt;&gt;"", $H44="",_xlpm.ECA&gt;0,_xlpm.Coniferous&gt;0,_xlpm.ReplaceReq&gt;0),
Error!$B$53,
IF(AND(_xlpm.baseRow,$G44="",$H44="",_xlpm.ECA&gt;0,_xlpm.ReplaceReq&gt;0),
Error!$B$39,
IF(AND(_xlpm.baseRow,$D44&lt;&gt;"",$E44&lt;&gt;"",$G44="",$H44="",_xlpm.Coniferous&gt;0,_xlpm.ReplaceReq&gt;0,_xlpm.ECA&gt;0),
Error!$B$50,
IF(AND(_xlpm.baseRow,$D44&lt;&gt;"",$E44&lt;&gt;"",$G44&lt;&gt;"",_xlpm.Street&gt;0,$G44&lt;2),
Error!$B$43,
IF(AND(_xlpm.baseRow,$D44&lt;&gt;"",$E44&lt;&gt;"",_xlpm.Green&gt;0,_xlpm.DecBroad&gt;0,$G44=""),
Error!$B$49,
IF(AND(_xlpm.baseRow,$D44&lt;&gt;"",$E44&lt;&gt;"",$H44&lt;&gt;"",$H44&lt;4,_xlpm.Green&gt;0,_xlpm.DecBroad&gt;0,$G44=""),
Error!$B$51,
IF(AND(_xlpm.baseRow,$D44&lt;&gt;"",$E44&lt;&gt;"",_xlpm.Green&gt;0,_xlpm.Coniferous&gt;0,$H44=""),
Error!$B$50,
IF(AND(_xlpm.baseRow,$D44&lt;&gt;"",$E44&lt;&gt;"",_xlpm.Points&gt;0,_xlpm.DecBroad&gt;0,$G44=""),
Error!$B$49,
IF(AND(_xlpm.baseRow,$D44&lt;&gt;"",$E44&lt;&gt;"",_xlpm.Points&gt;0,_xlpm.Coniferous&gt;0,$H44=""),
Error!$B$50,
IF(AND(_xlpm.baseRow,$D44&lt;&gt;"",$E44&lt;&gt;"",_xlpm.ReplaceReq&gt;0,_xlpm.DecBroad&gt;0,$G44=""),
Error!$B$49,
IF(AND(_xlpm.baseRow,$D44&lt;&gt;"",$E44&lt;&gt;"",_xlpm.ReplaceReq&gt;0,_xlpm.Coniferous&gt;0,$H44=""),
Error!$B$50,
IF(AND(_xlpm.baseRow,$D44&lt;&gt;"",$E44&lt;&gt;"",_xlpm.Street&gt;0,$G44=""),
Error!$B$49,
IF(AND(_xlpm.baseRow,$D44&lt;&gt;"",$E44&lt;&gt;"",$H44&lt;&gt;"",$H44&lt;4,OR(ISNA(MATCH($C44,'Tree List'!$C$3:$C$601,0)),$C44=""),_xlpm.Green&gt;0,COUNTA(_xlpm.FRange)&gt;0),
Error!$B$51,
IF(AND(_xlpm.baseRow,$D44&lt;&gt;"",$E44&lt;&gt;"",$H44&lt;&gt;"",$H44&lt;4,_xlpm.DecBroad&gt;0,_xlpm.Green&gt;0,COUNTA(_xlpm.FRange)&gt;0),
Error!$B$51,
IF(AND(_xlpm.baseRow,$D44&lt;&gt;"",$E44&lt;&gt;"",$G44="",$H44="",OR(_xlpm.ReplaceReq&gt;0,_xlpm.Green&gt;0,_xlpm.Points&gt;0,_xlpm.Street&gt;0)),
Error!$B$38,
IF(AND(_xlpm.baseRow,$D44&lt;&gt;"",$E44&lt;&gt;"",$H44&lt;&gt;"",$H44&lt;4,_xlpm.Street=0,_xlpm.Coniferous&gt;0,COUNTA(_xlpm.FRange)&gt;0),
Error!$B$32,
IF(AND(_xlpm.baseRow,_xlpm.DecBroad&gt;0,$D44&lt;&gt;"",$E44&lt;&gt;"",$G44&lt;&gt;"",$G44&lt;1.5,_xlpm.Street=0,COUNTA(_xlpm.FRange)&gt;0),
Error!$B$42,
IF(AND(_xlpm.baseRow,$I44="",$H44="",_xlpm.ECA&gt;0,_xlpm.ReplaceReq=0),
Error!$B$33,
IF(AND(_xlpm.baseRow,OR($J44="",$J44&lt;=0),_xlpm.ReplaceReq&gt;0),
Error!$B$34,
IF(AND(_xlpm.baseRow,$K44&lt;&gt;"",_xlpm.Points&gt;0,ISNA(MATCH($K44,Tables!$B$242:$B$253,0))),
Error!$B$58,
IF(AND($K44="Small",$L44&lt;&gt;"",ISNA(MATCH($L44,Tables2!$C$35:$C$36,0))),
Error!$B$60,
IF(AND($K44="Small/Medium",$L44&lt;&gt;"",ISNA(MATCH($L44,Tables2!$C$38:$C$39,0))),
Error!$B$60,
IF(AND($K44="Medium/Large",$L44&lt;&gt;"",ISNA(MATCH($L44,Tables2!$C$41:$C$42,0))),
Error!$B$60,
IF(AND($K44="Large",$L44&lt;&gt;"",ISNA(MATCH($L44,Tables2!$C$44:$C$45,0))),
Error!$B$60,
IF(AND(_xlpm.baseRow,$B44&lt;&gt;"", $C44&lt;&gt;"", $D44&lt;&gt;"", $E44&lt;&gt;"", OR($M44="",$K44="",$L44=""),_xlpm.Points&gt;0),
Error!$B$35,
IF(AND(_xlpm.baseRow,$D44&lt;&gt;"",$E44&lt;&gt;"",$N44=""),
Error!$B$36,
""))))))))))))))))))))))))))))))))))))))))))),Error!$B$37))</f>
        <v/>
      </c>
      <c r="P44" s="355" t="str" cm="1">
        <f t="array" aca="1" ref="P44" ca="1">IFERROR(_xlfn.LET(
    _xlpm.txt, $C44,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5" spans="1:16" x14ac:dyDescent="0.3">
      <c r="A45" s="92"/>
      <c r="B45" s="439" t="str">
        <f>IF($B43="", "", $B43)</f>
        <v/>
      </c>
      <c r="C45" s="438"/>
      <c r="D45" s="439" t="str">
        <f>IF($D43="", "", $D43)</f>
        <v/>
      </c>
      <c r="E45" s="439" t="str">
        <f>IF($E43="", "", $E43)</f>
        <v/>
      </c>
      <c r="F45" s="300"/>
      <c r="G45" s="160"/>
      <c r="H45" s="440"/>
      <c r="I45" s="441"/>
      <c r="J45" s="459"/>
      <c r="K45" s="442" t="str">
        <f>IFERROR(
IF(
    AND(
        MOD(ROW()-11,4)=0,
        COUNTIF(INDEX(F:F, 11 + 4*INT((ROW()-11)/4)):INDEX(F:F, 14 + 4*INT((ROW()-11)/4)),"Zoning: Tree Points")&gt;0,
        COUNTIFS('Tree List'!$C$3:$C$601,$C45,'Tree List'!$H$3:$H$601,"sp.")=0
    ),
    VLOOKUP($C45,'Tree List'!$C$3:$F$601,4,FALSE),
    ""
),
"")</f>
        <v/>
      </c>
      <c r="L45" s="443" t="str" cm="1">
        <f t="array" ref="L45">IFERROR(
IF(
    AND(
        COUNTIF(INDEX(F:F, 11 + 4*INT((ROW()-11)/4)):INDEX(F:F, 14 + 4*INT((ROW()-11)/4)),"Zoning: Tree Points")&gt;0,
        COUNTIFS('Tree List'!$C$3:$C$601,$C45,'Tree List'!$H$3:$H$601,"sp.")&gt;0
    ),
    "",
    _xlfn.IFS(
        (COUNTIFS('Tree List'!$C$3:$C$601,$C45,'Tree List'!$D$3:$D$601,"Coniferous")
        + COUNTIFS('Tree List'!$C$3:$C$601,$C45,'Tree List'!$D$3:$D$601,"Deciduous Conifer")) &gt; 0,
            _xlfn.IFS($K45="Small",1.25,$K45="Small/Medium",2.5,$K45="Medium/Large",3.75,$K45="Large",5),
        (COUNTIFS('Tree List'!$C$3:$C$601,$C45,'Tree List'!$D$3:$D$601,"Deciduous")
        + COUNTIFS('Tree List'!$C$3:$C$601,$C45,'Tree List'!$D$3:$D$601,"Broadleaf Evergreen")) &gt; 0,
            _xlfn.IFS($K45="Small",1,$K45="Small/Medium",2,$K45="Medium/Large",3,$K45="Large",4)
    )
),
"")</f>
        <v/>
      </c>
      <c r="M45" s="472"/>
      <c r="N45" s="434"/>
      <c r="O45" s="340" t="str" cm="1">
        <f t="array" aca="1" ref="O45"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List'!$C$3:$C$601,$C45,'Tree List'!$D$3:$D$601,{"Deciduous","Broadleaf Evergreen"})),
_xlpm.Coniferous,SUM(COUNTIFS('Tree List'!$C$3:$C$601,$C45,'Tree List'!$D$3:$D$601,{"Coniferous","Deciduous Conifer"})),
IFERROR(
IF(AND(_xlpm.baseRow,ISNA(MATCH($C45,'Tree List'!$C$3:$C$601,0)),SUMPRODUCT(--ISNUMBER(SEARCH(Tables2!$C$677:$C$825,$P45)))&gt;0),
Error!$B$64,
IF(AND(_xlpm.baseRow,COUNTIF(_xlpm.FRange,"ECA / Shoreline")&gt;0,$D45&lt;&gt;"",$E45&lt;&gt;"",$N45=""),
Error!$B$55,
IF(AND(_xlpm.baseRow,$D45&lt;&gt;"",$E45&lt;&gt;"",COUNTBLANK($B45:$C45)&gt;0,COUNTBLANK($F45:$F48)&lt;&gt;4),
Error!$B$22,
IF(AND(_xlpm.baseRow,$D45="Right-of-Way", $E45=""),
Error!$B$67,
IF(AND(_xlpm.baseRow,$D45&lt;&gt;"",ISNA(MATCH($D45,Tables2!$B$66:$B$68,0))),
Error!$B$63,
IF(AND(_xlpm.baseRow,$D45="Off Site",$E45&lt;&gt;"",$E45&lt;&gt;"Yes"),
Error!$B$28,
IF(AND(_xlpm.baseRow,OR($D45="On Site",$D45="Right-of-Way"),$E45&lt;&gt;"",ISNA(MATCH($E45,MultiSelect2[TreeMitigation],0))),
Error!$B$28,
IF(AND(_xlpm.baseRow,$D45&lt;&gt;"",$E45&lt;&gt;"",COUNTIF(_xlpm.FRange,"&lt;&gt;")=0),
Error!$B$26,
IF(AND($E45="No",$F45&lt;&gt;"",ISNA(MATCH($F45,Tables2!$B$55:$B$57,0))),
Error!$B$27,
IF(AND($E45="Yes",$F45&lt;&gt;"",ISNA(MATCH($F45,Tables2!$B$48:$B$52,0))),
Error!$B$27,
IF(AND($D45="Off Site",$E45="Yes",$F45&lt;&gt;"",ISNA(MATCH($F45,Tables2!$B$60:$B$62,0))),
Error!$B$27,
IF(AND(_xlpm.baseRow,_xlpm.Street&gt;0,_xlpm.ECA&gt;0),
Error!$B$29,
IF(AND(_xlpm.baseRow,_xlpm.Street&gt;0,_xlpm.Points&gt;0),
Error!$B$30,
IF(AND(_xlpm.baseRow,_xlpm.Street&gt;0,_xlpm.ReplaceReq&gt;0),
Error!$B$31,
IF(AND(_xlpm.baseRow,$D45&lt;&gt;"",$E45&lt;&gt;"",$G45&lt;&gt;"",_xlpm.DecBroad&gt;0,OR(_xlpm.Points&gt;0,_xlpm.Green&gt;0,_xlpm.ReplaceReq&gt;0),_xlpm.Street=0,$G45&lt;1.5),
Error!$B$42,
IF(AND(_xlpm.baseRow,$D45&lt;&gt;"",$E45&lt;&gt;"",$H45&lt;&gt;"",$H45&lt;4,_xlpm.Street&gt;0,_xlpm.Green&gt;0,COUNTA(_xlpm.FRange)&gt;0),
Error!$B$32,
IF(AND(_xlpm.baseRow,$G45="",_xlpm.ECA&gt;0,_xlpm.DecBroad&gt;0,_xlpm.ReplaceReq&gt;0),
Error!$B$52,
IF(AND(_xlpm.baseRow,$E45&lt;&gt;"", $H45="",_xlpm.ECA&gt;0,_xlpm.Coniferous&gt;0,_xlpm.ReplaceReq&gt;0),
Error!$B$53,
IF(AND(_xlpm.baseRow,$G45="",$H45="",_xlpm.ECA&gt;0,_xlpm.ReplaceReq&gt;0),
Error!$B$39,
IF(AND(_xlpm.baseRow,$D45&lt;&gt;"",$E45&lt;&gt;"",$G45="",$H45="",_xlpm.Coniferous&gt;0,_xlpm.ReplaceReq&gt;0,_xlpm.ECA&gt;0),
Error!$B$50,
IF(AND(_xlpm.baseRow,$D45&lt;&gt;"",$E45&lt;&gt;"",$G45&lt;&gt;"",_xlpm.Street&gt;0,$G45&lt;2),
Error!$B$43,
IF(AND(_xlpm.baseRow,$D45&lt;&gt;"",$E45&lt;&gt;"",_xlpm.Green&gt;0,_xlpm.DecBroad&gt;0,$G45=""),
Error!$B$49,
IF(AND(_xlpm.baseRow,$D45&lt;&gt;"",$E45&lt;&gt;"",$H45&lt;&gt;"",$H45&lt;4,_xlpm.Green&gt;0,_xlpm.DecBroad&gt;0,$G45=""),
Error!$B$51,
IF(AND(_xlpm.baseRow,$D45&lt;&gt;"",$E45&lt;&gt;"",_xlpm.Green&gt;0,_xlpm.Coniferous&gt;0,$H45=""),
Error!$B$50,
IF(AND(_xlpm.baseRow,$D45&lt;&gt;"",$E45&lt;&gt;"",_xlpm.Points&gt;0,_xlpm.DecBroad&gt;0,$G45=""),
Error!$B$49,
IF(AND(_xlpm.baseRow,$D45&lt;&gt;"",$E45&lt;&gt;"",_xlpm.Points&gt;0,_xlpm.Coniferous&gt;0,$H45=""),
Error!$B$50,
IF(AND(_xlpm.baseRow,$D45&lt;&gt;"",$E45&lt;&gt;"",_xlpm.ReplaceReq&gt;0,_xlpm.DecBroad&gt;0,$G45=""),
Error!$B$49,
IF(AND(_xlpm.baseRow,$D45&lt;&gt;"",$E45&lt;&gt;"",_xlpm.ReplaceReq&gt;0,_xlpm.Coniferous&gt;0,$H45=""),
Error!$B$50,
IF(AND(_xlpm.baseRow,$D45&lt;&gt;"",$E45&lt;&gt;"",_xlpm.Street&gt;0,$G45=""),
Error!$B$49,
IF(AND(_xlpm.baseRow,$D45&lt;&gt;"",$E45&lt;&gt;"",$H45&lt;&gt;"",$H45&lt;4,OR(ISNA(MATCH($C45,'Tree List'!$C$3:$C$601,0)),$C45=""),_xlpm.Green&gt;0,COUNTA(_xlpm.FRange)&gt;0),
Error!$B$51,
IF(AND(_xlpm.baseRow,$D45&lt;&gt;"",$E45&lt;&gt;"",$H45&lt;&gt;"",$H45&lt;4,_xlpm.DecBroad&gt;0,_xlpm.Green&gt;0,COUNTA(_xlpm.FRange)&gt;0),
Error!$B$51,
IF(AND(_xlpm.baseRow,$D45&lt;&gt;"",$E45&lt;&gt;"",$G45="",$H45="",OR(_xlpm.ReplaceReq&gt;0,_xlpm.Green&gt;0,_xlpm.Points&gt;0,_xlpm.Street&gt;0)),
Error!$B$38,
IF(AND(_xlpm.baseRow,$D45&lt;&gt;"",$E45&lt;&gt;"",$H45&lt;&gt;"",$H45&lt;4,_xlpm.Street=0,_xlpm.Coniferous&gt;0,COUNTA(_xlpm.FRange)&gt;0),
Error!$B$32,
IF(AND(_xlpm.baseRow,_xlpm.DecBroad&gt;0,$D45&lt;&gt;"",$E45&lt;&gt;"",$G45&lt;&gt;"",$G45&lt;1.5,_xlpm.Street=0,COUNTA(_xlpm.FRange)&gt;0),
Error!$B$42,
IF(AND(_xlpm.baseRow,$I45="",$H45="",_xlpm.ECA&gt;0,_xlpm.ReplaceReq=0),
Error!$B$33,
IF(AND(_xlpm.baseRow,OR($J45="",$J45&lt;=0),_xlpm.ReplaceReq&gt;0),
Error!$B$34,
IF(AND(_xlpm.baseRow,$K45&lt;&gt;"",_xlpm.Points&gt;0,ISNA(MATCH($K45,Tables!$B$242:$B$253,0))),
Error!$B$58,
IF(AND($K45="Small",$L45&lt;&gt;"",ISNA(MATCH($L45,Tables2!$C$35:$C$36,0))),
Error!$B$60,
IF(AND($K45="Small/Medium",$L45&lt;&gt;"",ISNA(MATCH($L45,Tables2!$C$38:$C$39,0))),
Error!$B$60,
IF(AND($K45="Medium/Large",$L45&lt;&gt;"",ISNA(MATCH($L45,Tables2!$C$41:$C$42,0))),
Error!$B$60,
IF(AND($K45="Large",$L45&lt;&gt;"",ISNA(MATCH($L45,Tables2!$C$44:$C$45,0))),
Error!$B$60,
IF(AND(_xlpm.baseRow,$B45&lt;&gt;"", $C45&lt;&gt;"", $D45&lt;&gt;"", $E45&lt;&gt;"", OR($M45="",$K45="",$L45=""),_xlpm.Points&gt;0),
Error!$B$35,
IF(AND(_xlpm.baseRow,$D45&lt;&gt;"",$E45&lt;&gt;"",$N45=""),
Error!$B$36,
""))))))))))))))))))))))))))))))))))))))))))),Error!$B$37))</f>
        <v/>
      </c>
      <c r="P45" s="355" t="str" cm="1">
        <f t="array" aca="1" ref="P45" ca="1">IFERROR(_xlfn.LET(
    _xlpm.txt, $C45,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6" spans="1:16" ht="15" thickBot="1" x14ac:dyDescent="0.35">
      <c r="A46" s="96"/>
      <c r="B46" s="439" t="str">
        <f>IF($B43="", "", $B43)</f>
        <v/>
      </c>
      <c r="C46" s="438"/>
      <c r="D46" s="439" t="str">
        <f>IF($D43="", "", $D43)</f>
        <v/>
      </c>
      <c r="E46" s="439" t="str">
        <f>IF($E43="", "", $E43)</f>
        <v/>
      </c>
      <c r="F46" s="300"/>
      <c r="G46" s="161"/>
      <c r="H46" s="183"/>
      <c r="I46" s="180"/>
      <c r="J46" s="460"/>
      <c r="K46" s="176" t="str">
        <f>IFERROR(
IF(
    AND(
        MOD(ROW()-11,4)=0,
        COUNTIF(INDEX(F:F, 11 + 4*INT((ROW()-11)/4)):INDEX(F:F, 14 + 4*INT((ROW()-11)/4)),"Zoning: Tree Points")&gt;0,
        COUNTIFS('Tree List'!$C$3:$C$601,$C46,'Tree List'!$H$3:$H$601,"sp.")=0
    ),
    VLOOKUP($C46,'Tree List'!$C$3:$F$601,4,FALSE),
    ""
),
"")</f>
        <v/>
      </c>
      <c r="L46" s="177" t="str" cm="1">
        <f t="array" ref="L46">IFERROR(
IF(
    AND(
        COUNTIF(INDEX(F:F, 11 + 4*INT((ROW()-11)/4)):INDEX(F:F, 14 + 4*INT((ROW()-11)/4)),"Zoning: Tree Points")&gt;0,
        COUNTIFS('Tree List'!$C$3:$C$601,$C46,'Tree List'!$H$3:$H$601,"sp.")&gt;0
    ),
    "",
    _xlfn.IFS(
        (COUNTIFS('Tree List'!$C$3:$C$601,$C46,'Tree List'!$D$3:$D$601,"Coniferous")
        + COUNTIFS('Tree List'!$C$3:$C$601,$C46,'Tree List'!$D$3:$D$601,"Deciduous Conifer")) &gt; 0,
            _xlfn.IFS($K46="Small",1.25,$K46="Small/Medium",2.5,$K46="Medium/Large",3.75,$K46="Large",5),
        (COUNTIFS('Tree List'!$C$3:$C$601,$C46,'Tree List'!$D$3:$D$601,"Deciduous")
        + COUNTIFS('Tree List'!$C$3:$C$601,$C46,'Tree List'!$D$3:$D$601,"Broadleaf Evergreen")) &gt; 0,
            _xlfn.IFS($K46="Small",1,$K46="Small/Medium",2,$K46="Medium/Large",3,$K46="Large",4)
    )
),
"")</f>
        <v/>
      </c>
      <c r="M46" s="473"/>
      <c r="N46" s="434"/>
      <c r="O46" s="341" t="str" cm="1">
        <f t="array" aca="1" ref="O46"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List'!$C$3:$C$601,$C46,'Tree List'!$D$3:$D$601,{"Deciduous","Broadleaf Evergreen"})),
_xlpm.Coniferous,SUM(COUNTIFS('Tree List'!$C$3:$C$601,$C46,'Tree List'!$D$3:$D$601,{"Coniferous","Deciduous Conifer"})),
IFERROR(
IF(AND(_xlpm.baseRow,ISNA(MATCH($C46,'Tree List'!$C$3:$C$601,0)),SUMPRODUCT(--ISNUMBER(SEARCH(Tables2!$C$677:$C$825,$P46)))&gt;0),
Error!$B$64,
IF(AND(_xlpm.baseRow,COUNTIF(_xlpm.FRange,"ECA / Shoreline")&gt;0,$D46&lt;&gt;"",$E46&lt;&gt;"",$N46=""),
Error!$B$55,
IF(AND(_xlpm.baseRow,$D46&lt;&gt;"",$E46&lt;&gt;"",COUNTBLANK($B46:$C46)&gt;0,COUNTBLANK($F46:$F49)&lt;&gt;4),
Error!$B$22,
IF(AND(_xlpm.baseRow,$D46="Right-of-Way", $E46=""),
Error!$B$67,
IF(AND(_xlpm.baseRow,$D46&lt;&gt;"",ISNA(MATCH($D46,Tables2!$B$66:$B$68,0))),
Error!$B$63,
IF(AND(_xlpm.baseRow,$D46="Off Site",$E46&lt;&gt;"",$E46&lt;&gt;"Yes"),
Error!$B$28,
IF(AND(_xlpm.baseRow,OR($D46="On Site",$D46="Right-of-Way"),$E46&lt;&gt;"",ISNA(MATCH($E46,MultiSelect2[TreeMitigation],0))),
Error!$B$28,
IF(AND(_xlpm.baseRow,$D46&lt;&gt;"",$E46&lt;&gt;"",COUNTIF(_xlpm.FRange,"&lt;&gt;")=0),
Error!$B$26,
IF(AND($E46="No",$F46&lt;&gt;"",ISNA(MATCH($F46,Tables2!$B$55:$B$57,0))),
Error!$B$27,
IF(AND($E46="Yes",$F46&lt;&gt;"",ISNA(MATCH($F46,Tables2!$B$48:$B$52,0))),
Error!$B$27,
IF(AND($D46="Off Site",$E46="Yes",$F46&lt;&gt;"",ISNA(MATCH($F46,Tables2!$B$60:$B$62,0))),
Error!$B$27,
IF(AND(_xlpm.baseRow,_xlpm.Street&gt;0,_xlpm.ECA&gt;0),
Error!$B$29,
IF(AND(_xlpm.baseRow,_xlpm.Street&gt;0,_xlpm.Points&gt;0),
Error!$B$30,
IF(AND(_xlpm.baseRow,_xlpm.Street&gt;0,_xlpm.ReplaceReq&gt;0),
Error!$B$31,
IF(AND(_xlpm.baseRow,$D46&lt;&gt;"",$E46&lt;&gt;"",$G46&lt;&gt;"",_xlpm.DecBroad&gt;0,OR(_xlpm.Points&gt;0,_xlpm.Green&gt;0,_xlpm.ReplaceReq&gt;0),_xlpm.Street=0,$G46&lt;1.5),
Error!$B$42,
IF(AND(_xlpm.baseRow,$D46&lt;&gt;"",$E46&lt;&gt;"",$H46&lt;&gt;"",$H46&lt;4,_xlpm.Street&gt;0,_xlpm.Green&gt;0,COUNTA(_xlpm.FRange)&gt;0),
Error!$B$32,
IF(AND(_xlpm.baseRow,$G46="",_xlpm.ECA&gt;0,_xlpm.DecBroad&gt;0,_xlpm.ReplaceReq&gt;0),
Error!$B$52,
IF(AND(_xlpm.baseRow,$E46&lt;&gt;"", $H46="",_xlpm.ECA&gt;0,_xlpm.Coniferous&gt;0,_xlpm.ReplaceReq&gt;0),
Error!$B$53,
IF(AND(_xlpm.baseRow,$G46="",$H46="",_xlpm.ECA&gt;0,_xlpm.ReplaceReq&gt;0),
Error!$B$39,
IF(AND(_xlpm.baseRow,$D46&lt;&gt;"",$E46&lt;&gt;"",$G46="",$H46="",_xlpm.Coniferous&gt;0,_xlpm.ReplaceReq&gt;0,_xlpm.ECA&gt;0),
Error!$B$50,
IF(AND(_xlpm.baseRow,$D46&lt;&gt;"",$E46&lt;&gt;"",$G46&lt;&gt;"",_xlpm.Street&gt;0,$G46&lt;2),
Error!$B$43,
IF(AND(_xlpm.baseRow,$D46&lt;&gt;"",$E46&lt;&gt;"",_xlpm.Green&gt;0,_xlpm.DecBroad&gt;0,$G46=""),
Error!$B$49,
IF(AND(_xlpm.baseRow,$D46&lt;&gt;"",$E46&lt;&gt;"",$H46&lt;&gt;"",$H46&lt;4,_xlpm.Green&gt;0,_xlpm.DecBroad&gt;0,$G46=""),
Error!$B$51,
IF(AND(_xlpm.baseRow,$D46&lt;&gt;"",$E46&lt;&gt;"",_xlpm.Green&gt;0,_xlpm.Coniferous&gt;0,$H46=""),
Error!$B$50,
IF(AND(_xlpm.baseRow,$D46&lt;&gt;"",$E46&lt;&gt;"",_xlpm.Points&gt;0,_xlpm.DecBroad&gt;0,$G46=""),
Error!$B$49,
IF(AND(_xlpm.baseRow,$D46&lt;&gt;"",$E46&lt;&gt;"",_xlpm.Points&gt;0,_xlpm.Coniferous&gt;0,$H46=""),
Error!$B$50,
IF(AND(_xlpm.baseRow,$D46&lt;&gt;"",$E46&lt;&gt;"",_xlpm.ReplaceReq&gt;0,_xlpm.DecBroad&gt;0,$G46=""),
Error!$B$49,
IF(AND(_xlpm.baseRow,$D46&lt;&gt;"",$E46&lt;&gt;"",_xlpm.ReplaceReq&gt;0,_xlpm.Coniferous&gt;0,$H46=""),
Error!$B$50,
IF(AND(_xlpm.baseRow,$D46&lt;&gt;"",$E46&lt;&gt;"",_xlpm.Street&gt;0,$G46=""),
Error!$B$49,
IF(AND(_xlpm.baseRow,$D46&lt;&gt;"",$E46&lt;&gt;"",$H46&lt;&gt;"",$H46&lt;4,OR(ISNA(MATCH($C46,'Tree List'!$C$3:$C$601,0)),$C46=""),_xlpm.Green&gt;0,COUNTA(_xlpm.FRange)&gt;0),
Error!$B$51,
IF(AND(_xlpm.baseRow,$D46&lt;&gt;"",$E46&lt;&gt;"",$H46&lt;&gt;"",$H46&lt;4,_xlpm.DecBroad&gt;0,_xlpm.Green&gt;0,COUNTA(_xlpm.FRange)&gt;0),
Error!$B$51,
IF(AND(_xlpm.baseRow,$D46&lt;&gt;"",$E46&lt;&gt;"",$G46="",$H46="",OR(_xlpm.ReplaceReq&gt;0,_xlpm.Green&gt;0,_xlpm.Points&gt;0,_xlpm.Street&gt;0)),
Error!$B$38,
IF(AND(_xlpm.baseRow,$D46&lt;&gt;"",$E46&lt;&gt;"",$H46&lt;&gt;"",$H46&lt;4,_xlpm.Street=0,_xlpm.Coniferous&gt;0,COUNTA(_xlpm.FRange)&gt;0),
Error!$B$32,
IF(AND(_xlpm.baseRow,_xlpm.DecBroad&gt;0,$D46&lt;&gt;"",$E46&lt;&gt;"",$G46&lt;&gt;"",$G46&lt;1.5,_xlpm.Street=0,COUNTA(_xlpm.FRange)&gt;0),
Error!$B$42,
IF(AND(_xlpm.baseRow,$I46="",$H46="",_xlpm.ECA&gt;0,_xlpm.ReplaceReq=0),
Error!$B$33,
IF(AND(_xlpm.baseRow,OR($J46="",$J46&lt;=0),_xlpm.ReplaceReq&gt;0),
Error!$B$34,
IF(AND(_xlpm.baseRow,$K46&lt;&gt;"",_xlpm.Points&gt;0,ISNA(MATCH($K46,Tables!$B$242:$B$253,0))),
Error!$B$58,
IF(AND($K46="Small",$L46&lt;&gt;"",ISNA(MATCH($L46,Tables2!$C$35:$C$36,0))),
Error!$B$60,
IF(AND($K46="Small/Medium",$L46&lt;&gt;"",ISNA(MATCH($L46,Tables2!$C$38:$C$39,0))),
Error!$B$60,
IF(AND($K46="Medium/Large",$L46&lt;&gt;"",ISNA(MATCH($L46,Tables2!$C$41:$C$42,0))),
Error!$B$60,
IF(AND($K46="Large",$L46&lt;&gt;"",ISNA(MATCH($L46,Tables2!$C$44:$C$45,0))),
Error!$B$60,
IF(AND(_xlpm.baseRow,$B46&lt;&gt;"", $C46&lt;&gt;"", $D46&lt;&gt;"", $E46&lt;&gt;"", OR($M46="",$K46="",$L46=""),_xlpm.Points&gt;0),
Error!$B$35,
IF(AND(_xlpm.baseRow,$D46&lt;&gt;"",$E46&lt;&gt;"",$N46=""),
Error!$B$36,
""))))))))))))))))))))))))))))))))))))))))))),Error!$B$37))</f>
        <v/>
      </c>
      <c r="P46" s="355" t="str" cm="1">
        <f t="array" aca="1" ref="P46" ca="1">IFERROR(_xlfn.LET(
    _xlpm.txt, $C46,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7" spans="1:16" ht="15" thickBot="1" x14ac:dyDescent="0.35">
      <c r="A47" s="437">
        <v>10</v>
      </c>
      <c r="B47" s="448"/>
      <c r="C47" s="444"/>
      <c r="D47" s="295"/>
      <c r="E47" s="295"/>
      <c r="F47" s="301"/>
      <c r="G47" s="257"/>
      <c r="H47" s="181"/>
      <c r="I47" s="178"/>
      <c r="J47" s="457"/>
      <c r="K47" s="172" t="str">
        <f>IFERROR(
IF(
    AND(
        MOD(ROW()-11,4)=0,
        COUNTIF(INDEX(F:F, 11 + 4*INT((ROW()-11)/4)):INDEX(F:F, 14 + 4*INT((ROW()-11)/4)),"Zoning: Tree Points")&gt;0,
        COUNTIFS('Tree List'!$C$3:$C$601,$C47,'Tree List'!$H$3:$H$601,"sp.")=0
    ),
    VLOOKUP($C47,'Tree List'!$C$3:$F$601,4,FALSE),
    ""
),
"")</f>
        <v/>
      </c>
      <c r="L47" s="173" t="str" cm="1">
        <f t="array" ref="L47">IFERROR(
IF(
    AND(
        COUNTIF(INDEX(F:F, 11 + 4*INT((ROW()-11)/4)):INDEX(F:F, 14 + 4*INT((ROW()-11)/4)),"Zoning: Tree Points")&gt;0,
        COUNTIFS('Tree List'!$C$3:$C$601,$C47,'Tree List'!$H$3:$H$601,"sp.")&gt;0
    ),
    "",
    _xlfn.IFS(
        (COUNTIFS('Tree List'!$C$3:$C$601,$C47,'Tree List'!$D$3:$D$601,"Coniferous")
        + COUNTIFS('Tree List'!$C$3:$C$601,$C47,'Tree List'!$D$3:$D$601,"Deciduous Conifer")) &gt; 0,
            _xlfn.IFS($K47="Small",1.25,$K47="Small/Medium",2.5,$K47="Medium/Large",3.75,$K47="Large",5),
        (COUNTIFS('Tree List'!$C$3:$C$601,$C47,'Tree List'!$D$3:$D$601,"Deciduous")
        + COUNTIFS('Tree List'!$C$3:$C$601,$C47,'Tree List'!$D$3:$D$601,"Broadleaf Evergreen")) &gt; 0,
            _xlfn.IFS($K47="Small",1,$K47="Small/Medium",2,$K47="Medium/Large",3,$K47="Large",4)
    )
),
"")</f>
        <v/>
      </c>
      <c r="M47" s="470" t="str">
        <f t="shared" si="0"/>
        <v/>
      </c>
      <c r="N47" s="744"/>
      <c r="O47" s="737" t="str" cm="1">
        <f t="array" aca="1" ref="O47"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List'!$C$3:$C$601,$C47,'Tree List'!$D$3:$D$601,{"Deciduous","Broadleaf Evergreen"})),
_xlpm.Coniferous,SUM(COUNTIFS('Tree List'!$C$3:$C$601,$C47,'Tree List'!$D$3:$D$601,{"Coniferous","Deciduous Conifer"})),
IFERROR(
IF(AND(_xlpm.baseRow,ISNA(MATCH($C47,'Tree List'!$C$3:$C$601,0)),SUMPRODUCT(--ISNUMBER(SEARCH(Tables2!$C$677:$C$825,$P47)))&gt;0),
Error!$B$64,
IF(AND(_xlpm.baseRow,COUNTIF(_xlpm.FRange,"ECA / Shoreline")&gt;0,$D47&lt;&gt;"",$E47&lt;&gt;"",$N47=""),
Error!$B$55,
IF(AND(_xlpm.baseRow,$D47&lt;&gt;"",$E47&lt;&gt;"",COUNTBLANK($B47:$C47)&gt;0,COUNTBLANK($F47:$F50)&lt;&gt;4),
Error!$B$22,
IF(AND(_xlpm.baseRow,$D47="Right-of-Way", $E47=""),
Error!$B$67,
IF(AND(_xlpm.baseRow,$D47&lt;&gt;"",ISNA(MATCH($D47,Tables2!$B$66:$B$68,0))),
Error!$B$63,
IF(AND(_xlpm.baseRow,$D47="Off Site",$E47&lt;&gt;"",$E47&lt;&gt;"Yes"),
Error!$B$28,
IF(AND(_xlpm.baseRow,OR($D47="On Site",$D47="Right-of-Way"),$E47&lt;&gt;"",ISNA(MATCH($E47,MultiSelect2[TreeMitigation],0))),
Error!$B$28,
IF(AND(_xlpm.baseRow,$D47&lt;&gt;"",$E47&lt;&gt;"",COUNTIF(_xlpm.FRange,"&lt;&gt;")=0),
Error!$B$26,
IF(AND($E47="No",$F47&lt;&gt;"",ISNA(MATCH($F47,Tables2!$B$55:$B$57,0))),
Error!$B$27,
IF(AND($E47="Yes",$F47&lt;&gt;"",ISNA(MATCH($F47,Tables2!$B$48:$B$52,0))),
Error!$B$27,
IF(AND($D47="Off Site",$E47="Yes",$F47&lt;&gt;"",ISNA(MATCH($F47,Tables2!$B$60:$B$62,0))),
Error!$B$27,
IF(AND(_xlpm.baseRow,_xlpm.Street&gt;0,_xlpm.ECA&gt;0),
Error!$B$29,
IF(AND(_xlpm.baseRow,_xlpm.Street&gt;0,_xlpm.Points&gt;0),
Error!$B$30,
IF(AND(_xlpm.baseRow,_xlpm.Street&gt;0,_xlpm.ReplaceReq&gt;0),
Error!$B$31,
IF(AND(_xlpm.baseRow,$D47&lt;&gt;"",$E47&lt;&gt;"",$G47&lt;&gt;"",_xlpm.DecBroad&gt;0,OR(_xlpm.Points&gt;0,_xlpm.Green&gt;0,_xlpm.ReplaceReq&gt;0),_xlpm.Street=0,$G47&lt;1.5),
Error!$B$42,
IF(AND(_xlpm.baseRow,$D47&lt;&gt;"",$E47&lt;&gt;"",$H47&lt;&gt;"",$H47&lt;4,_xlpm.Street&gt;0,_xlpm.Green&gt;0,COUNTA(_xlpm.FRange)&gt;0),
Error!$B$32,
IF(AND(_xlpm.baseRow,$G47="",_xlpm.ECA&gt;0,_xlpm.DecBroad&gt;0,_xlpm.ReplaceReq&gt;0),
Error!$B$52,
IF(AND(_xlpm.baseRow,$E47&lt;&gt;"", $H47="",_xlpm.ECA&gt;0,_xlpm.Coniferous&gt;0,_xlpm.ReplaceReq&gt;0),
Error!$B$53,
IF(AND(_xlpm.baseRow,$G47="",$H47="",_xlpm.ECA&gt;0,_xlpm.ReplaceReq&gt;0),
Error!$B$39,
IF(AND(_xlpm.baseRow,$D47&lt;&gt;"",$E47&lt;&gt;"",$G47="",$H47="",_xlpm.Coniferous&gt;0,_xlpm.ReplaceReq&gt;0,_xlpm.ECA&gt;0),
Error!$B$50,
IF(AND(_xlpm.baseRow,$D47&lt;&gt;"",$E47&lt;&gt;"",$G47&lt;&gt;"",_xlpm.Street&gt;0,$G47&lt;2),
Error!$B$43,
IF(AND(_xlpm.baseRow,$D47&lt;&gt;"",$E47&lt;&gt;"",_xlpm.Green&gt;0,_xlpm.DecBroad&gt;0,$G47=""),
Error!$B$49,
IF(AND(_xlpm.baseRow,$D47&lt;&gt;"",$E47&lt;&gt;"",$H47&lt;&gt;"",$H47&lt;4,_xlpm.Green&gt;0,_xlpm.DecBroad&gt;0,$G47=""),
Error!$B$51,
IF(AND(_xlpm.baseRow,$D47&lt;&gt;"",$E47&lt;&gt;"",_xlpm.Green&gt;0,_xlpm.Coniferous&gt;0,$H47=""),
Error!$B$50,
IF(AND(_xlpm.baseRow,$D47&lt;&gt;"",$E47&lt;&gt;"",_xlpm.Points&gt;0,_xlpm.DecBroad&gt;0,$G47=""),
Error!$B$49,
IF(AND(_xlpm.baseRow,$D47&lt;&gt;"",$E47&lt;&gt;"",_xlpm.Points&gt;0,_xlpm.Coniferous&gt;0,$H47=""),
Error!$B$50,
IF(AND(_xlpm.baseRow,$D47&lt;&gt;"",$E47&lt;&gt;"",_xlpm.ReplaceReq&gt;0,_xlpm.DecBroad&gt;0,$G47=""),
Error!$B$49,
IF(AND(_xlpm.baseRow,$D47&lt;&gt;"",$E47&lt;&gt;"",_xlpm.ReplaceReq&gt;0,_xlpm.Coniferous&gt;0,$H47=""),
Error!$B$50,
IF(AND(_xlpm.baseRow,$D47&lt;&gt;"",$E47&lt;&gt;"",_xlpm.Street&gt;0,$G47=""),
Error!$B$49,
IF(AND(_xlpm.baseRow,$D47&lt;&gt;"",$E47&lt;&gt;"",$H47&lt;&gt;"",$H47&lt;4,OR(ISNA(MATCH($C47,'Tree List'!$C$3:$C$601,0)),$C47=""),_xlpm.Green&gt;0,COUNTA(_xlpm.FRange)&gt;0),
Error!$B$51,
IF(AND(_xlpm.baseRow,$D47&lt;&gt;"",$E47&lt;&gt;"",$H47&lt;&gt;"",$H47&lt;4,_xlpm.DecBroad&gt;0,_xlpm.Green&gt;0,COUNTA(_xlpm.FRange)&gt;0),
Error!$B$51,
IF(AND(_xlpm.baseRow,$D47&lt;&gt;"",$E47&lt;&gt;"",$G47="",$H47="",OR(_xlpm.ReplaceReq&gt;0,_xlpm.Green&gt;0,_xlpm.Points&gt;0,_xlpm.Street&gt;0)),
Error!$B$38,
IF(AND(_xlpm.baseRow,$D47&lt;&gt;"",$E47&lt;&gt;"",$H47&lt;&gt;"",$H47&lt;4,_xlpm.Street=0,_xlpm.Coniferous&gt;0,COUNTA(_xlpm.FRange)&gt;0),
Error!$B$32,
IF(AND(_xlpm.baseRow,_xlpm.DecBroad&gt;0,$D47&lt;&gt;"",$E47&lt;&gt;"",$G47&lt;&gt;"",$G47&lt;1.5,_xlpm.Street=0,COUNTA(_xlpm.FRange)&gt;0),
Error!$B$42,
IF(AND(_xlpm.baseRow,$I47="",$H47="",_xlpm.ECA&gt;0,_xlpm.ReplaceReq=0),
Error!$B$33,
IF(AND(_xlpm.baseRow,OR($J47="",$J47&lt;=0),_xlpm.ReplaceReq&gt;0),
Error!$B$34,
IF(AND(_xlpm.baseRow,$K47&lt;&gt;"",_xlpm.Points&gt;0,ISNA(MATCH($K47,Tables!$B$242:$B$253,0))),
Error!$B$58,
IF(AND($K47="Small",$L47&lt;&gt;"",ISNA(MATCH($L47,Tables2!$C$35:$C$36,0))),
Error!$B$60,
IF(AND($K47="Small/Medium",$L47&lt;&gt;"",ISNA(MATCH($L47,Tables2!$C$38:$C$39,0))),
Error!$B$60,
IF(AND($K47="Medium/Large",$L47&lt;&gt;"",ISNA(MATCH($L47,Tables2!$C$41:$C$42,0))),
Error!$B$60,
IF(AND($K47="Large",$L47&lt;&gt;"",ISNA(MATCH($L47,Tables2!$C$44:$C$45,0))),
Error!$B$60,
IF(AND(_xlpm.baseRow,$B47&lt;&gt;"", $C47&lt;&gt;"", $D47&lt;&gt;"", $E47&lt;&gt;"", OR($M47="",$K47="",$L47=""),_xlpm.Points&gt;0),
Error!$B$35,
IF(AND(_xlpm.baseRow,$D47&lt;&gt;"",$E47&lt;&gt;"",$N47=""),
Error!$B$36,
""))))))))))))))))))))))))))))))))))))))))))),Error!$B$37))</f>
        <v/>
      </c>
      <c r="P47" s="355" t="str" cm="1">
        <f t="array" aca="1" ref="P47" ca="1">IFERROR(_xlfn.LET(
    _xlpm.txt, $C47,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8" spans="1:16" x14ac:dyDescent="0.3">
      <c r="A48" s="92"/>
      <c r="B48" s="439" t="str">
        <f>IF($B47="", "", $B47)</f>
        <v/>
      </c>
      <c r="C48" s="309"/>
      <c r="D48" s="157" t="str">
        <f>IF($D47="", "", $D47)</f>
        <v/>
      </c>
      <c r="E48" s="157" t="str">
        <f>IF($E47="", "", $E47)</f>
        <v/>
      </c>
      <c r="F48" s="300"/>
      <c r="G48" s="159"/>
      <c r="H48" s="182"/>
      <c r="I48" s="179"/>
      <c r="J48" s="458"/>
      <c r="K48" s="174" t="str">
        <f>IFERROR(
IF(
    AND(
        MOD(ROW()-11,4)=0,
        COUNTIF(INDEX(F:F, 11 + 4*INT((ROW()-11)/4)):INDEX(F:F, 14 + 4*INT((ROW()-11)/4)),"Zoning: Tree Points")&gt;0,
        COUNTIFS('Tree List'!$C$3:$C$601,$C48,'Tree List'!$H$3:$H$601,"sp.")=0
    ),
    VLOOKUP($C48,'Tree List'!$C$3:$F$601,4,FALSE),
    ""
),
"")</f>
        <v/>
      </c>
      <c r="L48" s="175" t="str" cm="1">
        <f t="array" ref="L48">IFERROR(
IF(
    AND(
        COUNTIF(INDEX(F:F, 11 + 4*INT((ROW()-11)/4)):INDEX(F:F, 14 + 4*INT((ROW()-11)/4)),"Zoning: Tree Points")&gt;0,
        COUNTIFS('Tree List'!$C$3:$C$601,$C48,'Tree List'!$H$3:$H$601,"sp.")&gt;0
    ),
    "",
    _xlfn.IFS(
        (COUNTIFS('Tree List'!$C$3:$C$601,$C48,'Tree List'!$D$3:$D$601,"Coniferous")
        + COUNTIFS('Tree List'!$C$3:$C$601,$C48,'Tree List'!$D$3:$D$601,"Deciduous Conifer")) &gt; 0,
            _xlfn.IFS($K48="Small",1.25,$K48="Small/Medium",2.5,$K48="Medium/Large",3.75,$K48="Large",5),
        (COUNTIFS('Tree List'!$C$3:$C$601,$C48,'Tree List'!$D$3:$D$601,"Deciduous")
        + COUNTIFS('Tree List'!$C$3:$C$601,$C48,'Tree List'!$D$3:$D$601,"Broadleaf Evergreen")) &gt; 0,
            _xlfn.IFS($K48="Small",1,$K48="Small/Medium",2,$K48="Medium/Large",3,$K48="Large",4)
    )
),
"")</f>
        <v/>
      </c>
      <c r="M48" s="471"/>
      <c r="N48" s="434"/>
      <c r="O48" s="340" t="str" cm="1">
        <f t="array" aca="1" ref="O48"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List'!$C$3:$C$601,$C48,'Tree List'!$D$3:$D$601,{"Deciduous","Broadleaf Evergreen"})),
_xlpm.Coniferous,SUM(COUNTIFS('Tree List'!$C$3:$C$601,$C48,'Tree List'!$D$3:$D$601,{"Coniferous","Deciduous Conifer"})),
IFERROR(
IF(AND(_xlpm.baseRow,ISNA(MATCH($C48,'Tree List'!$C$3:$C$601,0)),SUMPRODUCT(--ISNUMBER(SEARCH(Tables2!$C$677:$C$825,$P48)))&gt;0),
Error!$B$64,
IF(AND(_xlpm.baseRow,COUNTIF(_xlpm.FRange,"ECA / Shoreline")&gt;0,$D48&lt;&gt;"",$E48&lt;&gt;"",$N48=""),
Error!$B$55,
IF(AND(_xlpm.baseRow,$D48&lt;&gt;"",$E48&lt;&gt;"",COUNTBLANK($B48:$C48)&gt;0,COUNTBLANK($F48:$F51)&lt;&gt;4),
Error!$B$22,
IF(AND(_xlpm.baseRow,$D48="Right-of-Way", $E48=""),
Error!$B$67,
IF(AND(_xlpm.baseRow,$D48&lt;&gt;"",ISNA(MATCH($D48,Tables2!$B$66:$B$68,0))),
Error!$B$63,
IF(AND(_xlpm.baseRow,$D48="Off Site",$E48&lt;&gt;"",$E48&lt;&gt;"Yes"),
Error!$B$28,
IF(AND(_xlpm.baseRow,OR($D48="On Site",$D48="Right-of-Way"),$E48&lt;&gt;"",ISNA(MATCH($E48,MultiSelect2[TreeMitigation],0))),
Error!$B$28,
IF(AND(_xlpm.baseRow,$D48&lt;&gt;"",$E48&lt;&gt;"",COUNTIF(_xlpm.FRange,"&lt;&gt;")=0),
Error!$B$26,
IF(AND($E48="No",$F48&lt;&gt;"",ISNA(MATCH($F48,Tables2!$B$55:$B$57,0))),
Error!$B$27,
IF(AND($E48="Yes",$F48&lt;&gt;"",ISNA(MATCH($F48,Tables2!$B$48:$B$52,0))),
Error!$B$27,
IF(AND($D48="Off Site",$E48="Yes",$F48&lt;&gt;"",ISNA(MATCH($F48,Tables2!$B$60:$B$62,0))),
Error!$B$27,
IF(AND(_xlpm.baseRow,_xlpm.Street&gt;0,_xlpm.ECA&gt;0),
Error!$B$29,
IF(AND(_xlpm.baseRow,_xlpm.Street&gt;0,_xlpm.Points&gt;0),
Error!$B$30,
IF(AND(_xlpm.baseRow,_xlpm.Street&gt;0,_xlpm.ReplaceReq&gt;0),
Error!$B$31,
IF(AND(_xlpm.baseRow,$D48&lt;&gt;"",$E48&lt;&gt;"",$G48&lt;&gt;"",_xlpm.DecBroad&gt;0,OR(_xlpm.Points&gt;0,_xlpm.Green&gt;0,_xlpm.ReplaceReq&gt;0),_xlpm.Street=0,$G48&lt;1.5),
Error!$B$42,
IF(AND(_xlpm.baseRow,$D48&lt;&gt;"",$E48&lt;&gt;"",$H48&lt;&gt;"",$H48&lt;4,_xlpm.Street&gt;0,_xlpm.Green&gt;0,COUNTA(_xlpm.FRange)&gt;0),
Error!$B$32,
IF(AND(_xlpm.baseRow,$G48="",_xlpm.ECA&gt;0,_xlpm.DecBroad&gt;0,_xlpm.ReplaceReq&gt;0),
Error!$B$52,
IF(AND(_xlpm.baseRow,$E48&lt;&gt;"", $H48="",_xlpm.ECA&gt;0,_xlpm.Coniferous&gt;0,_xlpm.ReplaceReq&gt;0),
Error!$B$53,
IF(AND(_xlpm.baseRow,$G48="",$H48="",_xlpm.ECA&gt;0,_xlpm.ReplaceReq&gt;0),
Error!$B$39,
IF(AND(_xlpm.baseRow,$D48&lt;&gt;"",$E48&lt;&gt;"",$G48="",$H48="",_xlpm.Coniferous&gt;0,_xlpm.ReplaceReq&gt;0,_xlpm.ECA&gt;0),
Error!$B$50,
IF(AND(_xlpm.baseRow,$D48&lt;&gt;"",$E48&lt;&gt;"",$G48&lt;&gt;"",_xlpm.Street&gt;0,$G48&lt;2),
Error!$B$43,
IF(AND(_xlpm.baseRow,$D48&lt;&gt;"",$E48&lt;&gt;"",_xlpm.Green&gt;0,_xlpm.DecBroad&gt;0,$G48=""),
Error!$B$49,
IF(AND(_xlpm.baseRow,$D48&lt;&gt;"",$E48&lt;&gt;"",$H48&lt;&gt;"",$H48&lt;4,_xlpm.Green&gt;0,_xlpm.DecBroad&gt;0,$G48=""),
Error!$B$51,
IF(AND(_xlpm.baseRow,$D48&lt;&gt;"",$E48&lt;&gt;"",_xlpm.Green&gt;0,_xlpm.Coniferous&gt;0,$H48=""),
Error!$B$50,
IF(AND(_xlpm.baseRow,$D48&lt;&gt;"",$E48&lt;&gt;"",_xlpm.Points&gt;0,_xlpm.DecBroad&gt;0,$G48=""),
Error!$B$49,
IF(AND(_xlpm.baseRow,$D48&lt;&gt;"",$E48&lt;&gt;"",_xlpm.Points&gt;0,_xlpm.Coniferous&gt;0,$H48=""),
Error!$B$50,
IF(AND(_xlpm.baseRow,$D48&lt;&gt;"",$E48&lt;&gt;"",_xlpm.ReplaceReq&gt;0,_xlpm.DecBroad&gt;0,$G48=""),
Error!$B$49,
IF(AND(_xlpm.baseRow,$D48&lt;&gt;"",$E48&lt;&gt;"",_xlpm.ReplaceReq&gt;0,_xlpm.Coniferous&gt;0,$H48=""),
Error!$B$50,
IF(AND(_xlpm.baseRow,$D48&lt;&gt;"",$E48&lt;&gt;"",_xlpm.Street&gt;0,$G48=""),
Error!$B$49,
IF(AND(_xlpm.baseRow,$D48&lt;&gt;"",$E48&lt;&gt;"",$H48&lt;&gt;"",$H48&lt;4,OR(ISNA(MATCH($C48,'Tree List'!$C$3:$C$601,0)),$C48=""),_xlpm.Green&gt;0,COUNTA(_xlpm.FRange)&gt;0),
Error!$B$51,
IF(AND(_xlpm.baseRow,$D48&lt;&gt;"",$E48&lt;&gt;"",$H48&lt;&gt;"",$H48&lt;4,_xlpm.DecBroad&gt;0,_xlpm.Green&gt;0,COUNTA(_xlpm.FRange)&gt;0),
Error!$B$51,
IF(AND(_xlpm.baseRow,$D48&lt;&gt;"",$E48&lt;&gt;"",$G48="",$H48="",OR(_xlpm.ReplaceReq&gt;0,_xlpm.Green&gt;0,_xlpm.Points&gt;0,_xlpm.Street&gt;0)),
Error!$B$38,
IF(AND(_xlpm.baseRow,$D48&lt;&gt;"",$E48&lt;&gt;"",$H48&lt;&gt;"",$H48&lt;4,_xlpm.Street=0,_xlpm.Coniferous&gt;0,COUNTA(_xlpm.FRange)&gt;0),
Error!$B$32,
IF(AND(_xlpm.baseRow,_xlpm.DecBroad&gt;0,$D48&lt;&gt;"",$E48&lt;&gt;"",$G48&lt;&gt;"",$G48&lt;1.5,_xlpm.Street=0,COUNTA(_xlpm.FRange)&gt;0),
Error!$B$42,
IF(AND(_xlpm.baseRow,$I48="",$H48="",_xlpm.ECA&gt;0,_xlpm.ReplaceReq=0),
Error!$B$33,
IF(AND(_xlpm.baseRow,OR($J48="",$J48&lt;=0),_xlpm.ReplaceReq&gt;0),
Error!$B$34,
IF(AND(_xlpm.baseRow,$K48&lt;&gt;"",_xlpm.Points&gt;0,ISNA(MATCH($K48,Tables!$B$242:$B$253,0))),
Error!$B$58,
IF(AND($K48="Small",$L48&lt;&gt;"",ISNA(MATCH($L48,Tables2!$C$35:$C$36,0))),
Error!$B$60,
IF(AND($K48="Small/Medium",$L48&lt;&gt;"",ISNA(MATCH($L48,Tables2!$C$38:$C$39,0))),
Error!$B$60,
IF(AND($K48="Medium/Large",$L48&lt;&gt;"",ISNA(MATCH($L48,Tables2!$C$41:$C$42,0))),
Error!$B$60,
IF(AND($K48="Large",$L48&lt;&gt;"",ISNA(MATCH($L48,Tables2!$C$44:$C$45,0))),
Error!$B$60,
IF(AND(_xlpm.baseRow,$B48&lt;&gt;"", $C48&lt;&gt;"", $D48&lt;&gt;"", $E48&lt;&gt;"", OR($M48="",$K48="",$L48=""),_xlpm.Points&gt;0),
Error!$B$35,
IF(AND(_xlpm.baseRow,$D48&lt;&gt;"",$E48&lt;&gt;"",$N48=""),
Error!$B$36,
""))))))))))))))))))))))))))))))))))))))))))),Error!$B$37))</f>
        <v/>
      </c>
      <c r="P48" s="355" t="str" cm="1">
        <f t="array" aca="1" ref="P48" ca="1">IFERROR(_xlfn.LET(
    _xlpm.txt, $C48,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49" spans="1:16" x14ac:dyDescent="0.3">
      <c r="A49" s="92"/>
      <c r="B49" s="439" t="str">
        <f>IF($B47="", "", $B47)</f>
        <v/>
      </c>
      <c r="C49" s="438"/>
      <c r="D49" s="439" t="str">
        <f>IF($D47="", "", $D47)</f>
        <v/>
      </c>
      <c r="E49" s="439" t="str">
        <f>IF($E47="", "", $E47)</f>
        <v/>
      </c>
      <c r="F49" s="300"/>
      <c r="G49" s="160"/>
      <c r="H49" s="440"/>
      <c r="I49" s="441"/>
      <c r="J49" s="459"/>
      <c r="K49" s="442" t="str">
        <f>IFERROR(
IF(
    AND(
        MOD(ROW()-11,4)=0,
        COUNTIF(INDEX(F:F, 11 + 4*INT((ROW()-11)/4)):INDEX(F:F, 14 + 4*INT((ROW()-11)/4)),"Zoning: Tree Points")&gt;0,
        COUNTIFS('Tree List'!$C$3:$C$601,$C49,'Tree List'!$H$3:$H$601,"sp.")=0
    ),
    VLOOKUP($C49,'Tree List'!$C$3:$F$601,4,FALSE),
    ""
),
"")</f>
        <v/>
      </c>
      <c r="L49" s="443" t="str" cm="1">
        <f t="array" ref="L49">IFERROR(
IF(
    AND(
        COUNTIF(INDEX(F:F, 11 + 4*INT((ROW()-11)/4)):INDEX(F:F, 14 + 4*INT((ROW()-11)/4)),"Zoning: Tree Points")&gt;0,
        COUNTIFS('Tree List'!$C$3:$C$601,$C49,'Tree List'!$H$3:$H$601,"sp.")&gt;0
    ),
    "",
    _xlfn.IFS(
        (COUNTIFS('Tree List'!$C$3:$C$601,$C49,'Tree List'!$D$3:$D$601,"Coniferous")
        + COUNTIFS('Tree List'!$C$3:$C$601,$C49,'Tree List'!$D$3:$D$601,"Deciduous Conifer")) &gt; 0,
            _xlfn.IFS($K49="Small",1.25,$K49="Small/Medium",2.5,$K49="Medium/Large",3.75,$K49="Large",5),
        (COUNTIFS('Tree List'!$C$3:$C$601,$C49,'Tree List'!$D$3:$D$601,"Deciduous")
        + COUNTIFS('Tree List'!$C$3:$C$601,$C49,'Tree List'!$D$3:$D$601,"Broadleaf Evergreen")) &gt; 0,
            _xlfn.IFS($K49="Small",1,$K49="Small/Medium",2,$K49="Medium/Large",3,$K49="Large",4)
    )
),
"")</f>
        <v/>
      </c>
      <c r="M49" s="472"/>
      <c r="N49" s="434"/>
      <c r="O49" s="340" t="str" cm="1">
        <f t="array" aca="1" ref="O49"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List'!$C$3:$C$601,$C49,'Tree List'!$D$3:$D$601,{"Deciduous","Broadleaf Evergreen"})),
_xlpm.Coniferous,SUM(COUNTIFS('Tree List'!$C$3:$C$601,$C49,'Tree List'!$D$3:$D$601,{"Coniferous","Deciduous Conifer"})),
IFERROR(
IF(AND(_xlpm.baseRow,ISNA(MATCH($C49,'Tree List'!$C$3:$C$601,0)),SUMPRODUCT(--ISNUMBER(SEARCH(Tables2!$C$677:$C$825,$P49)))&gt;0),
Error!$B$64,
IF(AND(_xlpm.baseRow,COUNTIF(_xlpm.FRange,"ECA / Shoreline")&gt;0,$D49&lt;&gt;"",$E49&lt;&gt;"",$N49=""),
Error!$B$55,
IF(AND(_xlpm.baseRow,$D49&lt;&gt;"",$E49&lt;&gt;"",COUNTBLANK($B49:$C49)&gt;0,COUNTBLANK($F49:$F52)&lt;&gt;4),
Error!$B$22,
IF(AND(_xlpm.baseRow,$D49="Right-of-Way", $E49=""),
Error!$B$67,
IF(AND(_xlpm.baseRow,$D49&lt;&gt;"",ISNA(MATCH($D49,Tables2!$B$66:$B$68,0))),
Error!$B$63,
IF(AND(_xlpm.baseRow,$D49="Off Site",$E49&lt;&gt;"",$E49&lt;&gt;"Yes"),
Error!$B$28,
IF(AND(_xlpm.baseRow,OR($D49="On Site",$D49="Right-of-Way"),$E49&lt;&gt;"",ISNA(MATCH($E49,MultiSelect2[TreeMitigation],0))),
Error!$B$28,
IF(AND(_xlpm.baseRow,$D49&lt;&gt;"",$E49&lt;&gt;"",COUNTIF(_xlpm.FRange,"&lt;&gt;")=0),
Error!$B$26,
IF(AND($E49="No",$F49&lt;&gt;"",ISNA(MATCH($F49,Tables2!$B$55:$B$57,0))),
Error!$B$27,
IF(AND($E49="Yes",$F49&lt;&gt;"",ISNA(MATCH($F49,Tables2!$B$48:$B$52,0))),
Error!$B$27,
IF(AND($D49="Off Site",$E49="Yes",$F49&lt;&gt;"",ISNA(MATCH($F49,Tables2!$B$60:$B$62,0))),
Error!$B$27,
IF(AND(_xlpm.baseRow,_xlpm.Street&gt;0,_xlpm.ECA&gt;0),
Error!$B$29,
IF(AND(_xlpm.baseRow,_xlpm.Street&gt;0,_xlpm.Points&gt;0),
Error!$B$30,
IF(AND(_xlpm.baseRow,_xlpm.Street&gt;0,_xlpm.ReplaceReq&gt;0),
Error!$B$31,
IF(AND(_xlpm.baseRow,$D49&lt;&gt;"",$E49&lt;&gt;"",$G49&lt;&gt;"",_xlpm.DecBroad&gt;0,OR(_xlpm.Points&gt;0,_xlpm.Green&gt;0,_xlpm.ReplaceReq&gt;0),_xlpm.Street=0,$G49&lt;1.5),
Error!$B$42,
IF(AND(_xlpm.baseRow,$D49&lt;&gt;"",$E49&lt;&gt;"",$H49&lt;&gt;"",$H49&lt;4,_xlpm.Street&gt;0,_xlpm.Green&gt;0,COUNTA(_xlpm.FRange)&gt;0),
Error!$B$32,
IF(AND(_xlpm.baseRow,$G49="",_xlpm.ECA&gt;0,_xlpm.DecBroad&gt;0,_xlpm.ReplaceReq&gt;0),
Error!$B$52,
IF(AND(_xlpm.baseRow,$E49&lt;&gt;"", $H49="",_xlpm.ECA&gt;0,_xlpm.Coniferous&gt;0,_xlpm.ReplaceReq&gt;0),
Error!$B$53,
IF(AND(_xlpm.baseRow,$G49="",$H49="",_xlpm.ECA&gt;0,_xlpm.ReplaceReq&gt;0),
Error!$B$39,
IF(AND(_xlpm.baseRow,$D49&lt;&gt;"",$E49&lt;&gt;"",$G49="",$H49="",_xlpm.Coniferous&gt;0,_xlpm.ReplaceReq&gt;0,_xlpm.ECA&gt;0),
Error!$B$50,
IF(AND(_xlpm.baseRow,$D49&lt;&gt;"",$E49&lt;&gt;"",$G49&lt;&gt;"",_xlpm.Street&gt;0,$G49&lt;2),
Error!$B$43,
IF(AND(_xlpm.baseRow,$D49&lt;&gt;"",$E49&lt;&gt;"",_xlpm.Green&gt;0,_xlpm.DecBroad&gt;0,$G49=""),
Error!$B$49,
IF(AND(_xlpm.baseRow,$D49&lt;&gt;"",$E49&lt;&gt;"",$H49&lt;&gt;"",$H49&lt;4,_xlpm.Green&gt;0,_xlpm.DecBroad&gt;0,$G49=""),
Error!$B$51,
IF(AND(_xlpm.baseRow,$D49&lt;&gt;"",$E49&lt;&gt;"",_xlpm.Green&gt;0,_xlpm.Coniferous&gt;0,$H49=""),
Error!$B$50,
IF(AND(_xlpm.baseRow,$D49&lt;&gt;"",$E49&lt;&gt;"",_xlpm.Points&gt;0,_xlpm.DecBroad&gt;0,$G49=""),
Error!$B$49,
IF(AND(_xlpm.baseRow,$D49&lt;&gt;"",$E49&lt;&gt;"",_xlpm.Points&gt;0,_xlpm.Coniferous&gt;0,$H49=""),
Error!$B$50,
IF(AND(_xlpm.baseRow,$D49&lt;&gt;"",$E49&lt;&gt;"",_xlpm.ReplaceReq&gt;0,_xlpm.DecBroad&gt;0,$G49=""),
Error!$B$49,
IF(AND(_xlpm.baseRow,$D49&lt;&gt;"",$E49&lt;&gt;"",_xlpm.ReplaceReq&gt;0,_xlpm.Coniferous&gt;0,$H49=""),
Error!$B$50,
IF(AND(_xlpm.baseRow,$D49&lt;&gt;"",$E49&lt;&gt;"",_xlpm.Street&gt;0,$G49=""),
Error!$B$49,
IF(AND(_xlpm.baseRow,$D49&lt;&gt;"",$E49&lt;&gt;"",$H49&lt;&gt;"",$H49&lt;4,OR(ISNA(MATCH($C49,'Tree List'!$C$3:$C$601,0)),$C49=""),_xlpm.Green&gt;0,COUNTA(_xlpm.FRange)&gt;0),
Error!$B$51,
IF(AND(_xlpm.baseRow,$D49&lt;&gt;"",$E49&lt;&gt;"",$H49&lt;&gt;"",$H49&lt;4,_xlpm.DecBroad&gt;0,_xlpm.Green&gt;0,COUNTA(_xlpm.FRange)&gt;0),
Error!$B$51,
IF(AND(_xlpm.baseRow,$D49&lt;&gt;"",$E49&lt;&gt;"",$G49="",$H49="",OR(_xlpm.ReplaceReq&gt;0,_xlpm.Green&gt;0,_xlpm.Points&gt;0,_xlpm.Street&gt;0)),
Error!$B$38,
IF(AND(_xlpm.baseRow,$D49&lt;&gt;"",$E49&lt;&gt;"",$H49&lt;&gt;"",$H49&lt;4,_xlpm.Street=0,_xlpm.Coniferous&gt;0,COUNTA(_xlpm.FRange)&gt;0),
Error!$B$32,
IF(AND(_xlpm.baseRow,_xlpm.DecBroad&gt;0,$D49&lt;&gt;"",$E49&lt;&gt;"",$G49&lt;&gt;"",$G49&lt;1.5,_xlpm.Street=0,COUNTA(_xlpm.FRange)&gt;0),
Error!$B$42,
IF(AND(_xlpm.baseRow,$I49="",$H49="",_xlpm.ECA&gt;0,_xlpm.ReplaceReq=0),
Error!$B$33,
IF(AND(_xlpm.baseRow,OR($J49="",$J49&lt;=0),_xlpm.ReplaceReq&gt;0),
Error!$B$34,
IF(AND(_xlpm.baseRow,$K49&lt;&gt;"",_xlpm.Points&gt;0,ISNA(MATCH($K49,Tables!$B$242:$B$253,0))),
Error!$B$58,
IF(AND($K49="Small",$L49&lt;&gt;"",ISNA(MATCH($L49,Tables2!$C$35:$C$36,0))),
Error!$B$60,
IF(AND($K49="Small/Medium",$L49&lt;&gt;"",ISNA(MATCH($L49,Tables2!$C$38:$C$39,0))),
Error!$B$60,
IF(AND($K49="Medium/Large",$L49&lt;&gt;"",ISNA(MATCH($L49,Tables2!$C$41:$C$42,0))),
Error!$B$60,
IF(AND($K49="Large",$L49&lt;&gt;"",ISNA(MATCH($L49,Tables2!$C$44:$C$45,0))),
Error!$B$60,
IF(AND(_xlpm.baseRow,$B49&lt;&gt;"", $C49&lt;&gt;"", $D49&lt;&gt;"", $E49&lt;&gt;"", OR($M49="",$K49="",$L49=""),_xlpm.Points&gt;0),
Error!$B$35,
IF(AND(_xlpm.baseRow,$D49&lt;&gt;"",$E49&lt;&gt;"",$N49=""),
Error!$B$36,
""))))))))))))))))))))))))))))))))))))))))))),Error!$B$37))</f>
        <v/>
      </c>
      <c r="P49" s="355" t="str" cm="1">
        <f t="array" aca="1" ref="P49" ca="1">IFERROR(_xlfn.LET(
    _xlpm.txt, $C49,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0" spans="1:16" ht="15" thickBot="1" x14ac:dyDescent="0.35">
      <c r="A50" s="96"/>
      <c r="B50" s="439" t="str">
        <f>IF($B47="", "", $B47)</f>
        <v/>
      </c>
      <c r="C50" s="438"/>
      <c r="D50" s="439" t="str">
        <f>IF($D47="", "", $D47)</f>
        <v/>
      </c>
      <c r="E50" s="439" t="str">
        <f>IF($E47="", "", $E47)</f>
        <v/>
      </c>
      <c r="F50" s="300"/>
      <c r="G50" s="161"/>
      <c r="H50" s="183"/>
      <c r="I50" s="180"/>
      <c r="J50" s="460"/>
      <c r="K50" s="176" t="str">
        <f>IFERROR(
IF(
    AND(
        MOD(ROW()-11,4)=0,
        COUNTIF(INDEX(F:F, 11 + 4*INT((ROW()-11)/4)):INDEX(F:F, 14 + 4*INT((ROW()-11)/4)),"Zoning: Tree Points")&gt;0,
        COUNTIFS('Tree List'!$C$3:$C$601,$C50,'Tree List'!$H$3:$H$601,"sp.")=0
    ),
    VLOOKUP($C50,'Tree List'!$C$3:$F$601,4,FALSE),
    ""
),
"")</f>
        <v/>
      </c>
      <c r="L50" s="177" t="str" cm="1">
        <f t="array" ref="L50">IFERROR(
IF(
    AND(
        COUNTIF(INDEX(F:F, 11 + 4*INT((ROW()-11)/4)):INDEX(F:F, 14 + 4*INT((ROW()-11)/4)),"Zoning: Tree Points")&gt;0,
        COUNTIFS('Tree List'!$C$3:$C$601,$C50,'Tree List'!$H$3:$H$601,"sp.")&gt;0
    ),
    "",
    _xlfn.IFS(
        (COUNTIFS('Tree List'!$C$3:$C$601,$C50,'Tree List'!$D$3:$D$601,"Coniferous")
        + COUNTIFS('Tree List'!$C$3:$C$601,$C50,'Tree List'!$D$3:$D$601,"Deciduous Conifer")) &gt; 0,
            _xlfn.IFS($K50="Small",1.25,$K50="Small/Medium",2.5,$K50="Medium/Large",3.75,$K50="Large",5),
        (COUNTIFS('Tree List'!$C$3:$C$601,$C50,'Tree List'!$D$3:$D$601,"Deciduous")
        + COUNTIFS('Tree List'!$C$3:$C$601,$C50,'Tree List'!$D$3:$D$601,"Broadleaf Evergreen")) &gt; 0,
            _xlfn.IFS($K50="Small",1,$K50="Small/Medium",2,$K50="Medium/Large",3,$K50="Large",4)
    )
),
"")</f>
        <v/>
      </c>
      <c r="M50" s="473"/>
      <c r="N50" s="434"/>
      <c r="O50" s="341" t="str" cm="1">
        <f t="array" aca="1" ref="O50"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List'!$C$3:$C$601,$C50,'Tree List'!$D$3:$D$601,{"Deciduous","Broadleaf Evergreen"})),
_xlpm.Coniferous,SUM(COUNTIFS('Tree List'!$C$3:$C$601,$C50,'Tree List'!$D$3:$D$601,{"Coniferous","Deciduous Conifer"})),
IFERROR(
IF(AND(_xlpm.baseRow,ISNA(MATCH($C50,'Tree List'!$C$3:$C$601,0)),SUMPRODUCT(--ISNUMBER(SEARCH(Tables2!$C$677:$C$825,$P50)))&gt;0),
Error!$B$64,
IF(AND(_xlpm.baseRow,COUNTIF(_xlpm.FRange,"ECA / Shoreline")&gt;0,$D50&lt;&gt;"",$E50&lt;&gt;"",$N50=""),
Error!$B$55,
IF(AND(_xlpm.baseRow,$D50&lt;&gt;"",$E50&lt;&gt;"",COUNTBLANK($B50:$C50)&gt;0,COUNTBLANK($F50:$F53)&lt;&gt;4),
Error!$B$22,
IF(AND(_xlpm.baseRow,$D50="Right-of-Way", $E50=""),
Error!$B$67,
IF(AND(_xlpm.baseRow,$D50&lt;&gt;"",ISNA(MATCH($D50,Tables2!$B$66:$B$68,0))),
Error!$B$63,
IF(AND(_xlpm.baseRow,$D50="Off Site",$E50&lt;&gt;"",$E50&lt;&gt;"Yes"),
Error!$B$28,
IF(AND(_xlpm.baseRow,OR($D50="On Site",$D50="Right-of-Way"),$E50&lt;&gt;"",ISNA(MATCH($E50,MultiSelect2[TreeMitigation],0))),
Error!$B$28,
IF(AND(_xlpm.baseRow,$D50&lt;&gt;"",$E50&lt;&gt;"",COUNTIF(_xlpm.FRange,"&lt;&gt;")=0),
Error!$B$26,
IF(AND($E50="No",$F50&lt;&gt;"",ISNA(MATCH($F50,Tables2!$B$55:$B$57,0))),
Error!$B$27,
IF(AND($E50="Yes",$F50&lt;&gt;"",ISNA(MATCH($F50,Tables2!$B$48:$B$52,0))),
Error!$B$27,
IF(AND($D50="Off Site",$E50="Yes",$F50&lt;&gt;"",ISNA(MATCH($F50,Tables2!$B$60:$B$62,0))),
Error!$B$27,
IF(AND(_xlpm.baseRow,_xlpm.Street&gt;0,_xlpm.ECA&gt;0),
Error!$B$29,
IF(AND(_xlpm.baseRow,_xlpm.Street&gt;0,_xlpm.Points&gt;0),
Error!$B$30,
IF(AND(_xlpm.baseRow,_xlpm.Street&gt;0,_xlpm.ReplaceReq&gt;0),
Error!$B$31,
IF(AND(_xlpm.baseRow,$D50&lt;&gt;"",$E50&lt;&gt;"",$G50&lt;&gt;"",_xlpm.DecBroad&gt;0,OR(_xlpm.Points&gt;0,_xlpm.Green&gt;0,_xlpm.ReplaceReq&gt;0),_xlpm.Street=0,$G50&lt;1.5),
Error!$B$42,
IF(AND(_xlpm.baseRow,$D50&lt;&gt;"",$E50&lt;&gt;"",$H50&lt;&gt;"",$H50&lt;4,_xlpm.Street&gt;0,_xlpm.Green&gt;0,COUNTA(_xlpm.FRange)&gt;0),
Error!$B$32,
IF(AND(_xlpm.baseRow,$G50="",_xlpm.ECA&gt;0,_xlpm.DecBroad&gt;0,_xlpm.ReplaceReq&gt;0),
Error!$B$52,
IF(AND(_xlpm.baseRow,$E50&lt;&gt;"", $H50="",_xlpm.ECA&gt;0,_xlpm.Coniferous&gt;0,_xlpm.ReplaceReq&gt;0),
Error!$B$53,
IF(AND(_xlpm.baseRow,$G50="",$H50="",_xlpm.ECA&gt;0,_xlpm.ReplaceReq&gt;0),
Error!$B$39,
IF(AND(_xlpm.baseRow,$D50&lt;&gt;"",$E50&lt;&gt;"",$G50="",$H50="",_xlpm.Coniferous&gt;0,_xlpm.ReplaceReq&gt;0,_xlpm.ECA&gt;0),
Error!$B$50,
IF(AND(_xlpm.baseRow,$D50&lt;&gt;"",$E50&lt;&gt;"",$G50&lt;&gt;"",_xlpm.Street&gt;0,$G50&lt;2),
Error!$B$43,
IF(AND(_xlpm.baseRow,$D50&lt;&gt;"",$E50&lt;&gt;"",_xlpm.Green&gt;0,_xlpm.DecBroad&gt;0,$G50=""),
Error!$B$49,
IF(AND(_xlpm.baseRow,$D50&lt;&gt;"",$E50&lt;&gt;"",$H50&lt;&gt;"",$H50&lt;4,_xlpm.Green&gt;0,_xlpm.DecBroad&gt;0,$G50=""),
Error!$B$51,
IF(AND(_xlpm.baseRow,$D50&lt;&gt;"",$E50&lt;&gt;"",_xlpm.Green&gt;0,_xlpm.Coniferous&gt;0,$H50=""),
Error!$B$50,
IF(AND(_xlpm.baseRow,$D50&lt;&gt;"",$E50&lt;&gt;"",_xlpm.Points&gt;0,_xlpm.DecBroad&gt;0,$G50=""),
Error!$B$49,
IF(AND(_xlpm.baseRow,$D50&lt;&gt;"",$E50&lt;&gt;"",_xlpm.Points&gt;0,_xlpm.Coniferous&gt;0,$H50=""),
Error!$B$50,
IF(AND(_xlpm.baseRow,$D50&lt;&gt;"",$E50&lt;&gt;"",_xlpm.ReplaceReq&gt;0,_xlpm.DecBroad&gt;0,$G50=""),
Error!$B$49,
IF(AND(_xlpm.baseRow,$D50&lt;&gt;"",$E50&lt;&gt;"",_xlpm.ReplaceReq&gt;0,_xlpm.Coniferous&gt;0,$H50=""),
Error!$B$50,
IF(AND(_xlpm.baseRow,$D50&lt;&gt;"",$E50&lt;&gt;"",_xlpm.Street&gt;0,$G50=""),
Error!$B$49,
IF(AND(_xlpm.baseRow,$D50&lt;&gt;"",$E50&lt;&gt;"",$H50&lt;&gt;"",$H50&lt;4,OR(ISNA(MATCH($C50,'Tree List'!$C$3:$C$601,0)),$C50=""),_xlpm.Green&gt;0,COUNTA(_xlpm.FRange)&gt;0),
Error!$B$51,
IF(AND(_xlpm.baseRow,$D50&lt;&gt;"",$E50&lt;&gt;"",$H50&lt;&gt;"",$H50&lt;4,_xlpm.DecBroad&gt;0,_xlpm.Green&gt;0,COUNTA(_xlpm.FRange)&gt;0),
Error!$B$51,
IF(AND(_xlpm.baseRow,$D50&lt;&gt;"",$E50&lt;&gt;"",$G50="",$H50="",OR(_xlpm.ReplaceReq&gt;0,_xlpm.Green&gt;0,_xlpm.Points&gt;0,_xlpm.Street&gt;0)),
Error!$B$38,
IF(AND(_xlpm.baseRow,$D50&lt;&gt;"",$E50&lt;&gt;"",$H50&lt;&gt;"",$H50&lt;4,_xlpm.Street=0,_xlpm.Coniferous&gt;0,COUNTA(_xlpm.FRange)&gt;0),
Error!$B$32,
IF(AND(_xlpm.baseRow,_xlpm.DecBroad&gt;0,$D50&lt;&gt;"",$E50&lt;&gt;"",$G50&lt;&gt;"",$G50&lt;1.5,_xlpm.Street=0,COUNTA(_xlpm.FRange)&gt;0),
Error!$B$42,
IF(AND(_xlpm.baseRow,$I50="",$H50="",_xlpm.ECA&gt;0,_xlpm.ReplaceReq=0),
Error!$B$33,
IF(AND(_xlpm.baseRow,OR($J50="",$J50&lt;=0),_xlpm.ReplaceReq&gt;0),
Error!$B$34,
IF(AND(_xlpm.baseRow,$K50&lt;&gt;"",_xlpm.Points&gt;0,ISNA(MATCH($K50,Tables!$B$242:$B$253,0))),
Error!$B$58,
IF(AND($K50="Small",$L50&lt;&gt;"",ISNA(MATCH($L50,Tables2!$C$35:$C$36,0))),
Error!$B$60,
IF(AND($K50="Small/Medium",$L50&lt;&gt;"",ISNA(MATCH($L50,Tables2!$C$38:$C$39,0))),
Error!$B$60,
IF(AND($K50="Medium/Large",$L50&lt;&gt;"",ISNA(MATCH($L50,Tables2!$C$41:$C$42,0))),
Error!$B$60,
IF(AND($K50="Large",$L50&lt;&gt;"",ISNA(MATCH($L50,Tables2!$C$44:$C$45,0))),
Error!$B$60,
IF(AND(_xlpm.baseRow,$B50&lt;&gt;"", $C50&lt;&gt;"", $D50&lt;&gt;"", $E50&lt;&gt;"", OR($M50="",$K50="",$L50=""),_xlpm.Points&gt;0),
Error!$B$35,
IF(AND(_xlpm.baseRow,$D50&lt;&gt;"",$E50&lt;&gt;"",$N50=""),
Error!$B$36,
""))))))))))))))))))))))))))))))))))))))))))),Error!$B$37))</f>
        <v/>
      </c>
      <c r="P50" s="355" t="str" cm="1">
        <f t="array" aca="1" ref="P50" ca="1">IFERROR(_xlfn.LET(
    _xlpm.txt, $C50,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1" spans="1:16" ht="15" thickBot="1" x14ac:dyDescent="0.35">
      <c r="A51" s="437">
        <v>11</v>
      </c>
      <c r="B51" s="448"/>
      <c r="C51" s="444"/>
      <c r="D51" s="295"/>
      <c r="E51" s="295"/>
      <c r="F51" s="301"/>
      <c r="G51" s="257"/>
      <c r="H51" s="181"/>
      <c r="I51" s="178"/>
      <c r="J51" s="457"/>
      <c r="K51" s="172" t="str">
        <f>IFERROR(
IF(
    AND(
        MOD(ROW()-11,4)=0,
        COUNTIF(INDEX(F:F, 11 + 4*INT((ROW()-11)/4)):INDEX(F:F, 14 + 4*INT((ROW()-11)/4)),"Zoning: Tree Points")&gt;0,
        COUNTIFS('Tree List'!$C$3:$C$601,$C51,'Tree List'!$H$3:$H$601,"sp.")=0
    ),
    VLOOKUP($C51,'Tree List'!$C$3:$F$601,4,FALSE),
    ""
),
"")</f>
        <v/>
      </c>
      <c r="L51" s="173" t="str" cm="1">
        <f t="array" ref="L51">IFERROR(
IF(
    AND(
        COUNTIF(INDEX(F:F, 11 + 4*INT((ROW()-11)/4)):INDEX(F:F, 14 + 4*INT((ROW()-11)/4)),"Zoning: Tree Points")&gt;0,
        COUNTIFS('Tree List'!$C$3:$C$601,$C51,'Tree List'!$H$3:$H$601,"sp.")&gt;0
    ),
    "",
    _xlfn.IFS(
        (COUNTIFS('Tree List'!$C$3:$C$601,$C51,'Tree List'!$D$3:$D$601,"Coniferous")
        + COUNTIFS('Tree List'!$C$3:$C$601,$C51,'Tree List'!$D$3:$D$601,"Deciduous Conifer")) &gt; 0,
            _xlfn.IFS($K51="Small",1.25,$K51="Small/Medium",2.5,$K51="Medium/Large",3.75,$K51="Large",5),
        (COUNTIFS('Tree List'!$C$3:$C$601,$C51,'Tree List'!$D$3:$D$601,"Deciduous")
        + COUNTIFS('Tree List'!$C$3:$C$601,$C51,'Tree List'!$D$3:$D$601,"Broadleaf Evergreen")) &gt; 0,
            _xlfn.IFS($K51="Small",1,$K51="Small/Medium",2,$K51="Medium/Large",3,$K51="Large",4)
    )
),
"")</f>
        <v/>
      </c>
      <c r="M51" s="470" t="str">
        <f t="shared" si="0"/>
        <v/>
      </c>
      <c r="N51" s="744"/>
      <c r="O51" s="737" t="str" cm="1">
        <f t="array" aca="1" ref="O51"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List'!$C$3:$C$601,$C51,'Tree List'!$D$3:$D$601,{"Deciduous","Broadleaf Evergreen"})),
_xlpm.Coniferous,SUM(COUNTIFS('Tree List'!$C$3:$C$601,$C51,'Tree List'!$D$3:$D$601,{"Coniferous","Deciduous Conifer"})),
IFERROR(
IF(AND(_xlpm.baseRow,ISNA(MATCH($C51,'Tree List'!$C$3:$C$601,0)),SUMPRODUCT(--ISNUMBER(SEARCH(Tables2!$C$677:$C$825,$P51)))&gt;0),
Error!$B$64,
IF(AND(_xlpm.baseRow,COUNTIF(_xlpm.FRange,"ECA / Shoreline")&gt;0,$D51&lt;&gt;"",$E51&lt;&gt;"",$N51=""),
Error!$B$55,
IF(AND(_xlpm.baseRow,$D51&lt;&gt;"",$E51&lt;&gt;"",COUNTBLANK($B51:$C51)&gt;0,COUNTBLANK($F51:$F54)&lt;&gt;4),
Error!$B$22,
IF(AND(_xlpm.baseRow,$D51="Right-of-Way", $E51=""),
Error!$B$67,
IF(AND(_xlpm.baseRow,$D51&lt;&gt;"",ISNA(MATCH($D51,Tables2!$B$66:$B$68,0))),
Error!$B$63,
IF(AND(_xlpm.baseRow,$D51="Off Site",$E51&lt;&gt;"",$E51&lt;&gt;"Yes"),
Error!$B$28,
IF(AND(_xlpm.baseRow,OR($D51="On Site",$D51="Right-of-Way"),$E51&lt;&gt;"",ISNA(MATCH($E51,MultiSelect2[TreeMitigation],0))),
Error!$B$28,
IF(AND(_xlpm.baseRow,$D51&lt;&gt;"",$E51&lt;&gt;"",COUNTIF(_xlpm.FRange,"&lt;&gt;")=0),
Error!$B$26,
IF(AND($E51="No",$F51&lt;&gt;"",ISNA(MATCH($F51,Tables2!$B$55:$B$57,0))),
Error!$B$27,
IF(AND($E51="Yes",$F51&lt;&gt;"",ISNA(MATCH($F51,Tables2!$B$48:$B$52,0))),
Error!$B$27,
IF(AND($D51="Off Site",$E51="Yes",$F51&lt;&gt;"",ISNA(MATCH($F51,Tables2!$B$60:$B$62,0))),
Error!$B$27,
IF(AND(_xlpm.baseRow,_xlpm.Street&gt;0,_xlpm.ECA&gt;0),
Error!$B$29,
IF(AND(_xlpm.baseRow,_xlpm.Street&gt;0,_xlpm.Points&gt;0),
Error!$B$30,
IF(AND(_xlpm.baseRow,_xlpm.Street&gt;0,_xlpm.ReplaceReq&gt;0),
Error!$B$31,
IF(AND(_xlpm.baseRow,$D51&lt;&gt;"",$E51&lt;&gt;"",$G51&lt;&gt;"",_xlpm.DecBroad&gt;0,OR(_xlpm.Points&gt;0,_xlpm.Green&gt;0,_xlpm.ReplaceReq&gt;0),_xlpm.Street=0,$G51&lt;1.5),
Error!$B$42,
IF(AND(_xlpm.baseRow,$D51&lt;&gt;"",$E51&lt;&gt;"",$H51&lt;&gt;"",$H51&lt;4,_xlpm.Street&gt;0,_xlpm.Green&gt;0,COUNTA(_xlpm.FRange)&gt;0),
Error!$B$32,
IF(AND(_xlpm.baseRow,$G51="",_xlpm.ECA&gt;0,_xlpm.DecBroad&gt;0,_xlpm.ReplaceReq&gt;0),
Error!$B$52,
IF(AND(_xlpm.baseRow,$E51&lt;&gt;"", $H51="",_xlpm.ECA&gt;0,_xlpm.Coniferous&gt;0,_xlpm.ReplaceReq&gt;0),
Error!$B$53,
IF(AND(_xlpm.baseRow,$G51="",$H51="",_xlpm.ECA&gt;0,_xlpm.ReplaceReq&gt;0),
Error!$B$39,
IF(AND(_xlpm.baseRow,$D51&lt;&gt;"",$E51&lt;&gt;"",$G51="",$H51="",_xlpm.Coniferous&gt;0,_xlpm.ReplaceReq&gt;0,_xlpm.ECA&gt;0),
Error!$B$50,
IF(AND(_xlpm.baseRow,$D51&lt;&gt;"",$E51&lt;&gt;"",$G51&lt;&gt;"",_xlpm.Street&gt;0,$G51&lt;2),
Error!$B$43,
IF(AND(_xlpm.baseRow,$D51&lt;&gt;"",$E51&lt;&gt;"",_xlpm.Green&gt;0,_xlpm.DecBroad&gt;0,$G51=""),
Error!$B$49,
IF(AND(_xlpm.baseRow,$D51&lt;&gt;"",$E51&lt;&gt;"",$H51&lt;&gt;"",$H51&lt;4,_xlpm.Green&gt;0,_xlpm.DecBroad&gt;0,$G51=""),
Error!$B$51,
IF(AND(_xlpm.baseRow,$D51&lt;&gt;"",$E51&lt;&gt;"",_xlpm.Green&gt;0,_xlpm.Coniferous&gt;0,$H51=""),
Error!$B$50,
IF(AND(_xlpm.baseRow,$D51&lt;&gt;"",$E51&lt;&gt;"",_xlpm.Points&gt;0,_xlpm.DecBroad&gt;0,$G51=""),
Error!$B$49,
IF(AND(_xlpm.baseRow,$D51&lt;&gt;"",$E51&lt;&gt;"",_xlpm.Points&gt;0,_xlpm.Coniferous&gt;0,$H51=""),
Error!$B$50,
IF(AND(_xlpm.baseRow,$D51&lt;&gt;"",$E51&lt;&gt;"",_xlpm.ReplaceReq&gt;0,_xlpm.DecBroad&gt;0,$G51=""),
Error!$B$49,
IF(AND(_xlpm.baseRow,$D51&lt;&gt;"",$E51&lt;&gt;"",_xlpm.ReplaceReq&gt;0,_xlpm.Coniferous&gt;0,$H51=""),
Error!$B$50,
IF(AND(_xlpm.baseRow,$D51&lt;&gt;"",$E51&lt;&gt;"",_xlpm.Street&gt;0,$G51=""),
Error!$B$49,
IF(AND(_xlpm.baseRow,$D51&lt;&gt;"",$E51&lt;&gt;"",$H51&lt;&gt;"",$H51&lt;4,OR(ISNA(MATCH($C51,'Tree List'!$C$3:$C$601,0)),$C51=""),_xlpm.Green&gt;0,COUNTA(_xlpm.FRange)&gt;0),
Error!$B$51,
IF(AND(_xlpm.baseRow,$D51&lt;&gt;"",$E51&lt;&gt;"",$H51&lt;&gt;"",$H51&lt;4,_xlpm.DecBroad&gt;0,_xlpm.Green&gt;0,COUNTA(_xlpm.FRange)&gt;0),
Error!$B$51,
IF(AND(_xlpm.baseRow,$D51&lt;&gt;"",$E51&lt;&gt;"",$G51="",$H51="",OR(_xlpm.ReplaceReq&gt;0,_xlpm.Green&gt;0,_xlpm.Points&gt;0,_xlpm.Street&gt;0)),
Error!$B$38,
IF(AND(_xlpm.baseRow,$D51&lt;&gt;"",$E51&lt;&gt;"",$H51&lt;&gt;"",$H51&lt;4,_xlpm.Street=0,_xlpm.Coniferous&gt;0,COUNTA(_xlpm.FRange)&gt;0),
Error!$B$32,
IF(AND(_xlpm.baseRow,_xlpm.DecBroad&gt;0,$D51&lt;&gt;"",$E51&lt;&gt;"",$G51&lt;&gt;"",$G51&lt;1.5,_xlpm.Street=0,COUNTA(_xlpm.FRange)&gt;0),
Error!$B$42,
IF(AND(_xlpm.baseRow,$I51="",$H51="",_xlpm.ECA&gt;0,_xlpm.ReplaceReq=0),
Error!$B$33,
IF(AND(_xlpm.baseRow,OR($J51="",$J51&lt;=0),_xlpm.ReplaceReq&gt;0),
Error!$B$34,
IF(AND(_xlpm.baseRow,$K51&lt;&gt;"",_xlpm.Points&gt;0,ISNA(MATCH($K51,Tables!$B$242:$B$253,0))),
Error!$B$58,
IF(AND($K51="Small",$L51&lt;&gt;"",ISNA(MATCH($L51,Tables2!$C$35:$C$36,0))),
Error!$B$60,
IF(AND($K51="Small/Medium",$L51&lt;&gt;"",ISNA(MATCH($L51,Tables2!$C$38:$C$39,0))),
Error!$B$60,
IF(AND($K51="Medium/Large",$L51&lt;&gt;"",ISNA(MATCH($L51,Tables2!$C$41:$C$42,0))),
Error!$B$60,
IF(AND($K51="Large",$L51&lt;&gt;"",ISNA(MATCH($L51,Tables2!$C$44:$C$45,0))),
Error!$B$60,
IF(AND(_xlpm.baseRow,$B51&lt;&gt;"", $C51&lt;&gt;"", $D51&lt;&gt;"", $E51&lt;&gt;"", OR($M51="",$K51="",$L51=""),_xlpm.Points&gt;0),
Error!$B$35,
IF(AND(_xlpm.baseRow,$D51&lt;&gt;"",$E51&lt;&gt;"",$N51=""),
Error!$B$36,
""))))))))))))))))))))))))))))))))))))))))))),Error!$B$37))</f>
        <v/>
      </c>
      <c r="P51" s="355" t="str" cm="1">
        <f t="array" aca="1" ref="P51" ca="1">IFERROR(_xlfn.LET(
    _xlpm.txt, $C51,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2" spans="1:16" x14ac:dyDescent="0.3">
      <c r="A52" s="92"/>
      <c r="B52" s="439" t="str">
        <f t="shared" ref="B52" si="1">IF($B51="", "", $B51)</f>
        <v/>
      </c>
      <c r="C52" s="309"/>
      <c r="D52" s="157" t="str">
        <f>IF($D51="", "", $D51)</f>
        <v/>
      </c>
      <c r="E52" s="157" t="str">
        <f>IF($E51="", "", $E51)</f>
        <v/>
      </c>
      <c r="F52" s="300"/>
      <c r="G52" s="159"/>
      <c r="H52" s="182"/>
      <c r="I52" s="179"/>
      <c r="J52" s="458"/>
      <c r="K52" s="174" t="str">
        <f>IFERROR(
IF(
    AND(
        MOD(ROW()-11,4)=0,
        COUNTIF(INDEX(F:F, 11 + 4*INT((ROW()-11)/4)):INDEX(F:F, 14 + 4*INT((ROW()-11)/4)),"Zoning: Tree Points")&gt;0,
        COUNTIFS('Tree List'!$C$3:$C$601,$C52,'Tree List'!$H$3:$H$601,"sp.")=0
    ),
    VLOOKUP($C52,'Tree List'!$C$3:$F$601,4,FALSE),
    ""
),
"")</f>
        <v/>
      </c>
      <c r="L52" s="175" t="str" cm="1">
        <f t="array" ref="L52">IFERROR(
IF(
    AND(
        COUNTIF(INDEX(F:F, 11 + 4*INT((ROW()-11)/4)):INDEX(F:F, 14 + 4*INT((ROW()-11)/4)),"Zoning: Tree Points")&gt;0,
        COUNTIFS('Tree List'!$C$3:$C$601,$C52,'Tree List'!$H$3:$H$601,"sp.")&gt;0
    ),
    "",
    _xlfn.IFS(
        (COUNTIFS('Tree List'!$C$3:$C$601,$C52,'Tree List'!$D$3:$D$601,"Coniferous")
        + COUNTIFS('Tree List'!$C$3:$C$601,$C52,'Tree List'!$D$3:$D$601,"Deciduous Conifer")) &gt; 0,
            _xlfn.IFS($K52="Small",1.25,$K52="Small/Medium",2.5,$K52="Medium/Large",3.75,$K52="Large",5),
        (COUNTIFS('Tree List'!$C$3:$C$601,$C52,'Tree List'!$D$3:$D$601,"Deciduous")
        + COUNTIFS('Tree List'!$C$3:$C$601,$C52,'Tree List'!$D$3:$D$601,"Broadleaf Evergreen")) &gt; 0,
            _xlfn.IFS($K52="Small",1,$K52="Small/Medium",2,$K52="Medium/Large",3,$K52="Large",4)
    )
),
"")</f>
        <v/>
      </c>
      <c r="M52" s="471"/>
      <c r="N52" s="434"/>
      <c r="O52" s="340" t="str" cm="1">
        <f t="array" aca="1" ref="O52"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List'!$C$3:$C$601,$C52,'Tree List'!$D$3:$D$601,{"Deciduous","Broadleaf Evergreen"})),
_xlpm.Coniferous,SUM(COUNTIFS('Tree List'!$C$3:$C$601,$C52,'Tree List'!$D$3:$D$601,{"Coniferous","Deciduous Conifer"})),
IFERROR(
IF(AND(_xlpm.baseRow,ISNA(MATCH($C52,'Tree List'!$C$3:$C$601,0)),SUMPRODUCT(--ISNUMBER(SEARCH(Tables2!$C$677:$C$825,$P52)))&gt;0),
Error!$B$64,
IF(AND(_xlpm.baseRow,COUNTIF(_xlpm.FRange,"ECA / Shoreline")&gt;0,$D52&lt;&gt;"",$E52&lt;&gt;"",$N52=""),
Error!$B$55,
IF(AND(_xlpm.baseRow,$D52&lt;&gt;"",$E52&lt;&gt;"",COUNTBLANK($B52:$C52)&gt;0,COUNTBLANK($F52:$F55)&lt;&gt;4),
Error!$B$22,
IF(AND(_xlpm.baseRow,$D52="Right-of-Way", $E52=""),
Error!$B$67,
IF(AND(_xlpm.baseRow,$D52&lt;&gt;"",ISNA(MATCH($D52,Tables2!$B$66:$B$68,0))),
Error!$B$63,
IF(AND(_xlpm.baseRow,$D52="Off Site",$E52&lt;&gt;"",$E52&lt;&gt;"Yes"),
Error!$B$28,
IF(AND(_xlpm.baseRow,OR($D52="On Site",$D52="Right-of-Way"),$E52&lt;&gt;"",ISNA(MATCH($E52,MultiSelect2[TreeMitigation],0))),
Error!$B$28,
IF(AND(_xlpm.baseRow,$D52&lt;&gt;"",$E52&lt;&gt;"",COUNTIF(_xlpm.FRange,"&lt;&gt;")=0),
Error!$B$26,
IF(AND($E52="No",$F52&lt;&gt;"",ISNA(MATCH($F52,Tables2!$B$55:$B$57,0))),
Error!$B$27,
IF(AND($E52="Yes",$F52&lt;&gt;"",ISNA(MATCH($F52,Tables2!$B$48:$B$52,0))),
Error!$B$27,
IF(AND($D52="Off Site",$E52="Yes",$F52&lt;&gt;"",ISNA(MATCH($F52,Tables2!$B$60:$B$62,0))),
Error!$B$27,
IF(AND(_xlpm.baseRow,_xlpm.Street&gt;0,_xlpm.ECA&gt;0),
Error!$B$29,
IF(AND(_xlpm.baseRow,_xlpm.Street&gt;0,_xlpm.Points&gt;0),
Error!$B$30,
IF(AND(_xlpm.baseRow,_xlpm.Street&gt;0,_xlpm.ReplaceReq&gt;0),
Error!$B$31,
IF(AND(_xlpm.baseRow,$D52&lt;&gt;"",$E52&lt;&gt;"",$G52&lt;&gt;"",_xlpm.DecBroad&gt;0,OR(_xlpm.Points&gt;0,_xlpm.Green&gt;0,_xlpm.ReplaceReq&gt;0),_xlpm.Street=0,$G52&lt;1.5),
Error!$B$42,
IF(AND(_xlpm.baseRow,$D52&lt;&gt;"",$E52&lt;&gt;"",$H52&lt;&gt;"",$H52&lt;4,_xlpm.Street&gt;0,_xlpm.Green&gt;0,COUNTA(_xlpm.FRange)&gt;0),
Error!$B$32,
IF(AND(_xlpm.baseRow,$G52="",_xlpm.ECA&gt;0,_xlpm.DecBroad&gt;0,_xlpm.ReplaceReq&gt;0),
Error!$B$52,
IF(AND(_xlpm.baseRow,$E52&lt;&gt;"", $H52="",_xlpm.ECA&gt;0,_xlpm.Coniferous&gt;0,_xlpm.ReplaceReq&gt;0),
Error!$B$53,
IF(AND(_xlpm.baseRow,$G52="",$H52="",_xlpm.ECA&gt;0,_xlpm.ReplaceReq&gt;0),
Error!$B$39,
IF(AND(_xlpm.baseRow,$D52&lt;&gt;"",$E52&lt;&gt;"",$G52="",$H52="",_xlpm.Coniferous&gt;0,_xlpm.ReplaceReq&gt;0,_xlpm.ECA&gt;0),
Error!$B$50,
IF(AND(_xlpm.baseRow,$D52&lt;&gt;"",$E52&lt;&gt;"",$G52&lt;&gt;"",_xlpm.Street&gt;0,$G52&lt;2),
Error!$B$43,
IF(AND(_xlpm.baseRow,$D52&lt;&gt;"",$E52&lt;&gt;"",_xlpm.Green&gt;0,_xlpm.DecBroad&gt;0,$G52=""),
Error!$B$49,
IF(AND(_xlpm.baseRow,$D52&lt;&gt;"",$E52&lt;&gt;"",$H52&lt;&gt;"",$H52&lt;4,_xlpm.Green&gt;0,_xlpm.DecBroad&gt;0,$G52=""),
Error!$B$51,
IF(AND(_xlpm.baseRow,$D52&lt;&gt;"",$E52&lt;&gt;"",_xlpm.Green&gt;0,_xlpm.Coniferous&gt;0,$H52=""),
Error!$B$50,
IF(AND(_xlpm.baseRow,$D52&lt;&gt;"",$E52&lt;&gt;"",_xlpm.Points&gt;0,_xlpm.DecBroad&gt;0,$G52=""),
Error!$B$49,
IF(AND(_xlpm.baseRow,$D52&lt;&gt;"",$E52&lt;&gt;"",_xlpm.Points&gt;0,_xlpm.Coniferous&gt;0,$H52=""),
Error!$B$50,
IF(AND(_xlpm.baseRow,$D52&lt;&gt;"",$E52&lt;&gt;"",_xlpm.ReplaceReq&gt;0,_xlpm.DecBroad&gt;0,$G52=""),
Error!$B$49,
IF(AND(_xlpm.baseRow,$D52&lt;&gt;"",$E52&lt;&gt;"",_xlpm.ReplaceReq&gt;0,_xlpm.Coniferous&gt;0,$H52=""),
Error!$B$50,
IF(AND(_xlpm.baseRow,$D52&lt;&gt;"",$E52&lt;&gt;"",_xlpm.Street&gt;0,$G52=""),
Error!$B$49,
IF(AND(_xlpm.baseRow,$D52&lt;&gt;"",$E52&lt;&gt;"",$H52&lt;&gt;"",$H52&lt;4,OR(ISNA(MATCH($C52,'Tree List'!$C$3:$C$601,0)),$C52=""),_xlpm.Green&gt;0,COUNTA(_xlpm.FRange)&gt;0),
Error!$B$51,
IF(AND(_xlpm.baseRow,$D52&lt;&gt;"",$E52&lt;&gt;"",$H52&lt;&gt;"",$H52&lt;4,_xlpm.DecBroad&gt;0,_xlpm.Green&gt;0,COUNTA(_xlpm.FRange)&gt;0),
Error!$B$51,
IF(AND(_xlpm.baseRow,$D52&lt;&gt;"",$E52&lt;&gt;"",$G52="",$H52="",OR(_xlpm.ReplaceReq&gt;0,_xlpm.Green&gt;0,_xlpm.Points&gt;0,_xlpm.Street&gt;0)),
Error!$B$38,
IF(AND(_xlpm.baseRow,$D52&lt;&gt;"",$E52&lt;&gt;"",$H52&lt;&gt;"",$H52&lt;4,_xlpm.Street=0,_xlpm.Coniferous&gt;0,COUNTA(_xlpm.FRange)&gt;0),
Error!$B$32,
IF(AND(_xlpm.baseRow,_xlpm.DecBroad&gt;0,$D52&lt;&gt;"",$E52&lt;&gt;"",$G52&lt;&gt;"",$G52&lt;1.5,_xlpm.Street=0,COUNTA(_xlpm.FRange)&gt;0),
Error!$B$42,
IF(AND(_xlpm.baseRow,$I52="",$H52="",_xlpm.ECA&gt;0,_xlpm.ReplaceReq=0),
Error!$B$33,
IF(AND(_xlpm.baseRow,OR($J52="",$J52&lt;=0),_xlpm.ReplaceReq&gt;0),
Error!$B$34,
IF(AND(_xlpm.baseRow,$K52&lt;&gt;"",_xlpm.Points&gt;0,ISNA(MATCH($K52,Tables!$B$242:$B$253,0))),
Error!$B$58,
IF(AND($K52="Small",$L52&lt;&gt;"",ISNA(MATCH($L52,Tables2!$C$35:$C$36,0))),
Error!$B$60,
IF(AND($K52="Small/Medium",$L52&lt;&gt;"",ISNA(MATCH($L52,Tables2!$C$38:$C$39,0))),
Error!$B$60,
IF(AND($K52="Medium/Large",$L52&lt;&gt;"",ISNA(MATCH($L52,Tables2!$C$41:$C$42,0))),
Error!$B$60,
IF(AND($K52="Large",$L52&lt;&gt;"",ISNA(MATCH($L52,Tables2!$C$44:$C$45,0))),
Error!$B$60,
IF(AND(_xlpm.baseRow,$B52&lt;&gt;"", $C52&lt;&gt;"", $D52&lt;&gt;"", $E52&lt;&gt;"", OR($M52="",$K52="",$L52=""),_xlpm.Points&gt;0),
Error!$B$35,
IF(AND(_xlpm.baseRow,$D52&lt;&gt;"",$E52&lt;&gt;"",$N52=""),
Error!$B$36,
""))))))))))))))))))))))))))))))))))))))))))),Error!$B$37))</f>
        <v/>
      </c>
      <c r="P52" s="355" t="str" cm="1">
        <f t="array" aca="1" ref="P52" ca="1">IFERROR(_xlfn.LET(
    _xlpm.txt, $C52,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3" spans="1:16" x14ac:dyDescent="0.3">
      <c r="A53" s="92"/>
      <c r="B53" s="439" t="str">
        <f t="shared" ref="B53" si="2">IF($B51="", "", $B51)</f>
        <v/>
      </c>
      <c r="C53" s="438"/>
      <c r="D53" s="439" t="str">
        <f>IF($D51="", "", $D51)</f>
        <v/>
      </c>
      <c r="E53" s="439" t="str">
        <f>IF($E51="", "", $E51)</f>
        <v/>
      </c>
      <c r="F53" s="300"/>
      <c r="G53" s="160"/>
      <c r="H53" s="440"/>
      <c r="I53" s="441"/>
      <c r="J53" s="459"/>
      <c r="K53" s="442" t="str">
        <f>IFERROR(
IF(
    AND(
        MOD(ROW()-11,4)=0,
        COUNTIF(INDEX(F:F, 11 + 4*INT((ROW()-11)/4)):INDEX(F:F, 14 + 4*INT((ROW()-11)/4)),"Zoning: Tree Points")&gt;0,
        COUNTIFS('Tree List'!$C$3:$C$601,$C53,'Tree List'!$H$3:$H$601,"sp.")=0
    ),
    VLOOKUP($C53,'Tree List'!$C$3:$F$601,4,FALSE),
    ""
),
"")</f>
        <v/>
      </c>
      <c r="L53" s="443" t="str" cm="1">
        <f t="array" ref="L53">IFERROR(
IF(
    AND(
        COUNTIF(INDEX(F:F, 11 + 4*INT((ROW()-11)/4)):INDEX(F:F, 14 + 4*INT((ROW()-11)/4)),"Zoning: Tree Points")&gt;0,
        COUNTIFS('Tree List'!$C$3:$C$601,$C53,'Tree List'!$H$3:$H$601,"sp.")&gt;0
    ),
    "",
    _xlfn.IFS(
        (COUNTIFS('Tree List'!$C$3:$C$601,$C53,'Tree List'!$D$3:$D$601,"Coniferous")
        + COUNTIFS('Tree List'!$C$3:$C$601,$C53,'Tree List'!$D$3:$D$601,"Deciduous Conifer")) &gt; 0,
            _xlfn.IFS($K53="Small",1.25,$K53="Small/Medium",2.5,$K53="Medium/Large",3.75,$K53="Large",5),
        (COUNTIFS('Tree List'!$C$3:$C$601,$C53,'Tree List'!$D$3:$D$601,"Deciduous")
        + COUNTIFS('Tree List'!$C$3:$C$601,$C53,'Tree List'!$D$3:$D$601,"Broadleaf Evergreen")) &gt; 0,
            _xlfn.IFS($K53="Small",1,$K53="Small/Medium",2,$K53="Medium/Large",3,$K53="Large",4)
    )
),
"")</f>
        <v/>
      </c>
      <c r="M53" s="472"/>
      <c r="N53" s="434"/>
      <c r="O53" s="340" t="str" cm="1">
        <f t="array" aca="1" ref="O53"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List'!$C$3:$C$601,$C53,'Tree List'!$D$3:$D$601,{"Deciduous","Broadleaf Evergreen"})),
_xlpm.Coniferous,SUM(COUNTIFS('Tree List'!$C$3:$C$601,$C53,'Tree List'!$D$3:$D$601,{"Coniferous","Deciduous Conifer"})),
IFERROR(
IF(AND(_xlpm.baseRow,ISNA(MATCH($C53,'Tree List'!$C$3:$C$601,0)),SUMPRODUCT(--ISNUMBER(SEARCH(Tables2!$C$677:$C$825,$P53)))&gt;0),
Error!$B$64,
IF(AND(_xlpm.baseRow,COUNTIF(_xlpm.FRange,"ECA / Shoreline")&gt;0,$D53&lt;&gt;"",$E53&lt;&gt;"",$N53=""),
Error!$B$55,
IF(AND(_xlpm.baseRow,$D53&lt;&gt;"",$E53&lt;&gt;"",COUNTBLANK($B53:$C53)&gt;0,COUNTBLANK($F53:$F56)&lt;&gt;4),
Error!$B$22,
IF(AND(_xlpm.baseRow,$D53="Right-of-Way", $E53=""),
Error!$B$67,
IF(AND(_xlpm.baseRow,$D53&lt;&gt;"",ISNA(MATCH($D53,Tables2!$B$66:$B$68,0))),
Error!$B$63,
IF(AND(_xlpm.baseRow,$D53="Off Site",$E53&lt;&gt;"",$E53&lt;&gt;"Yes"),
Error!$B$28,
IF(AND(_xlpm.baseRow,OR($D53="On Site",$D53="Right-of-Way"),$E53&lt;&gt;"",ISNA(MATCH($E53,MultiSelect2[TreeMitigation],0))),
Error!$B$28,
IF(AND(_xlpm.baseRow,$D53&lt;&gt;"",$E53&lt;&gt;"",COUNTIF(_xlpm.FRange,"&lt;&gt;")=0),
Error!$B$26,
IF(AND($E53="No",$F53&lt;&gt;"",ISNA(MATCH($F53,Tables2!$B$55:$B$57,0))),
Error!$B$27,
IF(AND($E53="Yes",$F53&lt;&gt;"",ISNA(MATCH($F53,Tables2!$B$48:$B$52,0))),
Error!$B$27,
IF(AND($D53="Off Site",$E53="Yes",$F53&lt;&gt;"",ISNA(MATCH($F53,Tables2!$B$60:$B$62,0))),
Error!$B$27,
IF(AND(_xlpm.baseRow,_xlpm.Street&gt;0,_xlpm.ECA&gt;0),
Error!$B$29,
IF(AND(_xlpm.baseRow,_xlpm.Street&gt;0,_xlpm.Points&gt;0),
Error!$B$30,
IF(AND(_xlpm.baseRow,_xlpm.Street&gt;0,_xlpm.ReplaceReq&gt;0),
Error!$B$31,
IF(AND(_xlpm.baseRow,$D53&lt;&gt;"",$E53&lt;&gt;"",$G53&lt;&gt;"",_xlpm.DecBroad&gt;0,OR(_xlpm.Points&gt;0,_xlpm.Green&gt;0,_xlpm.ReplaceReq&gt;0),_xlpm.Street=0,$G53&lt;1.5),
Error!$B$42,
IF(AND(_xlpm.baseRow,$D53&lt;&gt;"",$E53&lt;&gt;"",$H53&lt;&gt;"",$H53&lt;4,_xlpm.Street&gt;0,_xlpm.Green&gt;0,COUNTA(_xlpm.FRange)&gt;0),
Error!$B$32,
IF(AND(_xlpm.baseRow,$G53="",_xlpm.ECA&gt;0,_xlpm.DecBroad&gt;0,_xlpm.ReplaceReq&gt;0),
Error!$B$52,
IF(AND(_xlpm.baseRow,$E53&lt;&gt;"", $H53="",_xlpm.ECA&gt;0,_xlpm.Coniferous&gt;0,_xlpm.ReplaceReq&gt;0),
Error!$B$53,
IF(AND(_xlpm.baseRow,$G53="",$H53="",_xlpm.ECA&gt;0,_xlpm.ReplaceReq&gt;0),
Error!$B$39,
IF(AND(_xlpm.baseRow,$D53&lt;&gt;"",$E53&lt;&gt;"",$G53="",$H53="",_xlpm.Coniferous&gt;0,_xlpm.ReplaceReq&gt;0,_xlpm.ECA&gt;0),
Error!$B$50,
IF(AND(_xlpm.baseRow,$D53&lt;&gt;"",$E53&lt;&gt;"",$G53&lt;&gt;"",_xlpm.Street&gt;0,$G53&lt;2),
Error!$B$43,
IF(AND(_xlpm.baseRow,$D53&lt;&gt;"",$E53&lt;&gt;"",_xlpm.Green&gt;0,_xlpm.DecBroad&gt;0,$G53=""),
Error!$B$49,
IF(AND(_xlpm.baseRow,$D53&lt;&gt;"",$E53&lt;&gt;"",$H53&lt;&gt;"",$H53&lt;4,_xlpm.Green&gt;0,_xlpm.DecBroad&gt;0,$G53=""),
Error!$B$51,
IF(AND(_xlpm.baseRow,$D53&lt;&gt;"",$E53&lt;&gt;"",_xlpm.Green&gt;0,_xlpm.Coniferous&gt;0,$H53=""),
Error!$B$50,
IF(AND(_xlpm.baseRow,$D53&lt;&gt;"",$E53&lt;&gt;"",_xlpm.Points&gt;0,_xlpm.DecBroad&gt;0,$G53=""),
Error!$B$49,
IF(AND(_xlpm.baseRow,$D53&lt;&gt;"",$E53&lt;&gt;"",_xlpm.Points&gt;0,_xlpm.Coniferous&gt;0,$H53=""),
Error!$B$50,
IF(AND(_xlpm.baseRow,$D53&lt;&gt;"",$E53&lt;&gt;"",_xlpm.ReplaceReq&gt;0,_xlpm.DecBroad&gt;0,$G53=""),
Error!$B$49,
IF(AND(_xlpm.baseRow,$D53&lt;&gt;"",$E53&lt;&gt;"",_xlpm.ReplaceReq&gt;0,_xlpm.Coniferous&gt;0,$H53=""),
Error!$B$50,
IF(AND(_xlpm.baseRow,$D53&lt;&gt;"",$E53&lt;&gt;"",_xlpm.Street&gt;0,$G53=""),
Error!$B$49,
IF(AND(_xlpm.baseRow,$D53&lt;&gt;"",$E53&lt;&gt;"",$H53&lt;&gt;"",$H53&lt;4,OR(ISNA(MATCH($C53,'Tree List'!$C$3:$C$601,0)),$C53=""),_xlpm.Green&gt;0,COUNTA(_xlpm.FRange)&gt;0),
Error!$B$51,
IF(AND(_xlpm.baseRow,$D53&lt;&gt;"",$E53&lt;&gt;"",$H53&lt;&gt;"",$H53&lt;4,_xlpm.DecBroad&gt;0,_xlpm.Green&gt;0,COUNTA(_xlpm.FRange)&gt;0),
Error!$B$51,
IF(AND(_xlpm.baseRow,$D53&lt;&gt;"",$E53&lt;&gt;"",$G53="",$H53="",OR(_xlpm.ReplaceReq&gt;0,_xlpm.Green&gt;0,_xlpm.Points&gt;0,_xlpm.Street&gt;0)),
Error!$B$38,
IF(AND(_xlpm.baseRow,$D53&lt;&gt;"",$E53&lt;&gt;"",$H53&lt;&gt;"",$H53&lt;4,_xlpm.Street=0,_xlpm.Coniferous&gt;0,COUNTA(_xlpm.FRange)&gt;0),
Error!$B$32,
IF(AND(_xlpm.baseRow,_xlpm.DecBroad&gt;0,$D53&lt;&gt;"",$E53&lt;&gt;"",$G53&lt;&gt;"",$G53&lt;1.5,_xlpm.Street=0,COUNTA(_xlpm.FRange)&gt;0),
Error!$B$42,
IF(AND(_xlpm.baseRow,$I53="",$H53="",_xlpm.ECA&gt;0,_xlpm.ReplaceReq=0),
Error!$B$33,
IF(AND(_xlpm.baseRow,OR($J53="",$J53&lt;=0),_xlpm.ReplaceReq&gt;0),
Error!$B$34,
IF(AND(_xlpm.baseRow,$K53&lt;&gt;"",_xlpm.Points&gt;0,ISNA(MATCH($K53,Tables!$B$242:$B$253,0))),
Error!$B$58,
IF(AND($K53="Small",$L53&lt;&gt;"",ISNA(MATCH($L53,Tables2!$C$35:$C$36,0))),
Error!$B$60,
IF(AND($K53="Small/Medium",$L53&lt;&gt;"",ISNA(MATCH($L53,Tables2!$C$38:$C$39,0))),
Error!$B$60,
IF(AND($K53="Medium/Large",$L53&lt;&gt;"",ISNA(MATCH($L53,Tables2!$C$41:$C$42,0))),
Error!$B$60,
IF(AND($K53="Large",$L53&lt;&gt;"",ISNA(MATCH($L53,Tables2!$C$44:$C$45,0))),
Error!$B$60,
IF(AND(_xlpm.baseRow,$B53&lt;&gt;"", $C53&lt;&gt;"", $D53&lt;&gt;"", $E53&lt;&gt;"", OR($M53="",$K53="",$L53=""),_xlpm.Points&gt;0),
Error!$B$35,
IF(AND(_xlpm.baseRow,$D53&lt;&gt;"",$E53&lt;&gt;"",$N53=""),
Error!$B$36,
""))))))))))))))))))))))))))))))))))))))))))),Error!$B$37))</f>
        <v/>
      </c>
      <c r="P53" s="355" t="str" cm="1">
        <f t="array" aca="1" ref="P53" ca="1">IFERROR(_xlfn.LET(
    _xlpm.txt, $C53,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4" spans="1:16" ht="15" thickBot="1" x14ac:dyDescent="0.35">
      <c r="A54" s="96"/>
      <c r="B54" s="439" t="str">
        <f t="shared" ref="B54" si="3">IF($B51="", "", $B51)</f>
        <v/>
      </c>
      <c r="C54" s="438"/>
      <c r="D54" s="439" t="str">
        <f>IF($D51="", "", $D51)</f>
        <v/>
      </c>
      <c r="E54" s="439" t="str">
        <f>IF($E51="", "", $E51)</f>
        <v/>
      </c>
      <c r="F54" s="300"/>
      <c r="G54" s="161"/>
      <c r="H54" s="183"/>
      <c r="I54" s="180"/>
      <c r="J54" s="460"/>
      <c r="K54" s="176" t="str">
        <f>IFERROR(
IF(
    AND(
        MOD(ROW()-11,4)=0,
        COUNTIF(INDEX(F:F, 11 + 4*INT((ROW()-11)/4)):INDEX(F:F, 14 + 4*INT((ROW()-11)/4)),"Zoning: Tree Points")&gt;0,
        COUNTIFS('Tree List'!$C$3:$C$601,$C54,'Tree List'!$H$3:$H$601,"sp.")=0
    ),
    VLOOKUP($C54,'Tree List'!$C$3:$F$601,4,FALSE),
    ""
),
"")</f>
        <v/>
      </c>
      <c r="L54" s="177" t="str" cm="1">
        <f t="array" ref="L54">IFERROR(
IF(
    AND(
        COUNTIF(INDEX(F:F, 11 + 4*INT((ROW()-11)/4)):INDEX(F:F, 14 + 4*INT((ROW()-11)/4)),"Zoning: Tree Points")&gt;0,
        COUNTIFS('Tree List'!$C$3:$C$601,$C54,'Tree List'!$H$3:$H$601,"sp.")&gt;0
    ),
    "",
    _xlfn.IFS(
        (COUNTIFS('Tree List'!$C$3:$C$601,$C54,'Tree List'!$D$3:$D$601,"Coniferous")
        + COUNTIFS('Tree List'!$C$3:$C$601,$C54,'Tree List'!$D$3:$D$601,"Deciduous Conifer")) &gt; 0,
            _xlfn.IFS($K54="Small",1.25,$K54="Small/Medium",2.5,$K54="Medium/Large",3.75,$K54="Large",5),
        (COUNTIFS('Tree List'!$C$3:$C$601,$C54,'Tree List'!$D$3:$D$601,"Deciduous")
        + COUNTIFS('Tree List'!$C$3:$C$601,$C54,'Tree List'!$D$3:$D$601,"Broadleaf Evergreen")) &gt; 0,
            _xlfn.IFS($K54="Small",1,$K54="Small/Medium",2,$K54="Medium/Large",3,$K54="Large",4)
    )
),
"")</f>
        <v/>
      </c>
      <c r="M54" s="473"/>
      <c r="N54" s="434"/>
      <c r="O54" s="341" t="str" cm="1">
        <f t="array" aca="1" ref="O54"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List'!$C$3:$C$601,$C54,'Tree List'!$D$3:$D$601,{"Deciduous","Broadleaf Evergreen"})),
_xlpm.Coniferous,SUM(COUNTIFS('Tree List'!$C$3:$C$601,$C54,'Tree List'!$D$3:$D$601,{"Coniferous","Deciduous Conifer"})),
IFERROR(
IF(AND(_xlpm.baseRow,ISNA(MATCH($C54,'Tree List'!$C$3:$C$601,0)),SUMPRODUCT(--ISNUMBER(SEARCH(Tables2!$C$677:$C$825,$P54)))&gt;0),
Error!$B$64,
IF(AND(_xlpm.baseRow,COUNTIF(_xlpm.FRange,"ECA / Shoreline")&gt;0,$D54&lt;&gt;"",$E54&lt;&gt;"",$N54=""),
Error!$B$55,
IF(AND(_xlpm.baseRow,$D54&lt;&gt;"",$E54&lt;&gt;"",COUNTBLANK($B54:$C54)&gt;0,COUNTBLANK($F54:$F57)&lt;&gt;4),
Error!$B$22,
IF(AND(_xlpm.baseRow,$D54="Right-of-Way", $E54=""),
Error!$B$67,
IF(AND(_xlpm.baseRow,$D54&lt;&gt;"",ISNA(MATCH($D54,Tables2!$B$66:$B$68,0))),
Error!$B$63,
IF(AND(_xlpm.baseRow,$D54="Off Site",$E54&lt;&gt;"",$E54&lt;&gt;"Yes"),
Error!$B$28,
IF(AND(_xlpm.baseRow,OR($D54="On Site",$D54="Right-of-Way"),$E54&lt;&gt;"",ISNA(MATCH($E54,MultiSelect2[TreeMitigation],0))),
Error!$B$28,
IF(AND(_xlpm.baseRow,$D54&lt;&gt;"",$E54&lt;&gt;"",COUNTIF(_xlpm.FRange,"&lt;&gt;")=0),
Error!$B$26,
IF(AND($E54="No",$F54&lt;&gt;"",ISNA(MATCH($F54,Tables2!$B$55:$B$57,0))),
Error!$B$27,
IF(AND($E54="Yes",$F54&lt;&gt;"",ISNA(MATCH($F54,Tables2!$B$48:$B$52,0))),
Error!$B$27,
IF(AND($D54="Off Site",$E54="Yes",$F54&lt;&gt;"",ISNA(MATCH($F54,Tables2!$B$60:$B$62,0))),
Error!$B$27,
IF(AND(_xlpm.baseRow,_xlpm.Street&gt;0,_xlpm.ECA&gt;0),
Error!$B$29,
IF(AND(_xlpm.baseRow,_xlpm.Street&gt;0,_xlpm.Points&gt;0),
Error!$B$30,
IF(AND(_xlpm.baseRow,_xlpm.Street&gt;0,_xlpm.ReplaceReq&gt;0),
Error!$B$31,
IF(AND(_xlpm.baseRow,$D54&lt;&gt;"",$E54&lt;&gt;"",$G54&lt;&gt;"",_xlpm.DecBroad&gt;0,OR(_xlpm.Points&gt;0,_xlpm.Green&gt;0,_xlpm.ReplaceReq&gt;0),_xlpm.Street=0,$G54&lt;1.5),
Error!$B$42,
IF(AND(_xlpm.baseRow,$D54&lt;&gt;"",$E54&lt;&gt;"",$H54&lt;&gt;"",$H54&lt;4,_xlpm.Street&gt;0,_xlpm.Green&gt;0,COUNTA(_xlpm.FRange)&gt;0),
Error!$B$32,
IF(AND(_xlpm.baseRow,$G54="",_xlpm.ECA&gt;0,_xlpm.DecBroad&gt;0,_xlpm.ReplaceReq&gt;0),
Error!$B$52,
IF(AND(_xlpm.baseRow,$E54&lt;&gt;"", $H54="",_xlpm.ECA&gt;0,_xlpm.Coniferous&gt;0,_xlpm.ReplaceReq&gt;0),
Error!$B$53,
IF(AND(_xlpm.baseRow,$G54="",$H54="",_xlpm.ECA&gt;0,_xlpm.ReplaceReq&gt;0),
Error!$B$39,
IF(AND(_xlpm.baseRow,$D54&lt;&gt;"",$E54&lt;&gt;"",$G54="",$H54="",_xlpm.Coniferous&gt;0,_xlpm.ReplaceReq&gt;0,_xlpm.ECA&gt;0),
Error!$B$50,
IF(AND(_xlpm.baseRow,$D54&lt;&gt;"",$E54&lt;&gt;"",$G54&lt;&gt;"",_xlpm.Street&gt;0,$G54&lt;2),
Error!$B$43,
IF(AND(_xlpm.baseRow,$D54&lt;&gt;"",$E54&lt;&gt;"",_xlpm.Green&gt;0,_xlpm.DecBroad&gt;0,$G54=""),
Error!$B$49,
IF(AND(_xlpm.baseRow,$D54&lt;&gt;"",$E54&lt;&gt;"",$H54&lt;&gt;"",$H54&lt;4,_xlpm.Green&gt;0,_xlpm.DecBroad&gt;0,$G54=""),
Error!$B$51,
IF(AND(_xlpm.baseRow,$D54&lt;&gt;"",$E54&lt;&gt;"",_xlpm.Green&gt;0,_xlpm.Coniferous&gt;0,$H54=""),
Error!$B$50,
IF(AND(_xlpm.baseRow,$D54&lt;&gt;"",$E54&lt;&gt;"",_xlpm.Points&gt;0,_xlpm.DecBroad&gt;0,$G54=""),
Error!$B$49,
IF(AND(_xlpm.baseRow,$D54&lt;&gt;"",$E54&lt;&gt;"",_xlpm.Points&gt;0,_xlpm.Coniferous&gt;0,$H54=""),
Error!$B$50,
IF(AND(_xlpm.baseRow,$D54&lt;&gt;"",$E54&lt;&gt;"",_xlpm.ReplaceReq&gt;0,_xlpm.DecBroad&gt;0,$G54=""),
Error!$B$49,
IF(AND(_xlpm.baseRow,$D54&lt;&gt;"",$E54&lt;&gt;"",_xlpm.ReplaceReq&gt;0,_xlpm.Coniferous&gt;0,$H54=""),
Error!$B$50,
IF(AND(_xlpm.baseRow,$D54&lt;&gt;"",$E54&lt;&gt;"",_xlpm.Street&gt;0,$G54=""),
Error!$B$49,
IF(AND(_xlpm.baseRow,$D54&lt;&gt;"",$E54&lt;&gt;"",$H54&lt;&gt;"",$H54&lt;4,OR(ISNA(MATCH($C54,'Tree List'!$C$3:$C$601,0)),$C54=""),_xlpm.Green&gt;0,COUNTA(_xlpm.FRange)&gt;0),
Error!$B$51,
IF(AND(_xlpm.baseRow,$D54&lt;&gt;"",$E54&lt;&gt;"",$H54&lt;&gt;"",$H54&lt;4,_xlpm.DecBroad&gt;0,_xlpm.Green&gt;0,COUNTA(_xlpm.FRange)&gt;0),
Error!$B$51,
IF(AND(_xlpm.baseRow,$D54&lt;&gt;"",$E54&lt;&gt;"",$G54="",$H54="",OR(_xlpm.ReplaceReq&gt;0,_xlpm.Green&gt;0,_xlpm.Points&gt;0,_xlpm.Street&gt;0)),
Error!$B$38,
IF(AND(_xlpm.baseRow,$D54&lt;&gt;"",$E54&lt;&gt;"",$H54&lt;&gt;"",$H54&lt;4,_xlpm.Street=0,_xlpm.Coniferous&gt;0,COUNTA(_xlpm.FRange)&gt;0),
Error!$B$32,
IF(AND(_xlpm.baseRow,_xlpm.DecBroad&gt;0,$D54&lt;&gt;"",$E54&lt;&gt;"",$G54&lt;&gt;"",$G54&lt;1.5,_xlpm.Street=0,COUNTA(_xlpm.FRange)&gt;0),
Error!$B$42,
IF(AND(_xlpm.baseRow,$I54="",$H54="",_xlpm.ECA&gt;0,_xlpm.ReplaceReq=0),
Error!$B$33,
IF(AND(_xlpm.baseRow,OR($J54="",$J54&lt;=0),_xlpm.ReplaceReq&gt;0),
Error!$B$34,
IF(AND(_xlpm.baseRow,$K54&lt;&gt;"",_xlpm.Points&gt;0,ISNA(MATCH($K54,Tables!$B$242:$B$253,0))),
Error!$B$58,
IF(AND($K54="Small",$L54&lt;&gt;"",ISNA(MATCH($L54,Tables2!$C$35:$C$36,0))),
Error!$B$60,
IF(AND($K54="Small/Medium",$L54&lt;&gt;"",ISNA(MATCH($L54,Tables2!$C$38:$C$39,0))),
Error!$B$60,
IF(AND($K54="Medium/Large",$L54&lt;&gt;"",ISNA(MATCH($L54,Tables2!$C$41:$C$42,0))),
Error!$B$60,
IF(AND($K54="Large",$L54&lt;&gt;"",ISNA(MATCH($L54,Tables2!$C$44:$C$45,0))),
Error!$B$60,
IF(AND(_xlpm.baseRow,$B54&lt;&gt;"", $C54&lt;&gt;"", $D54&lt;&gt;"", $E54&lt;&gt;"", OR($M54="",$K54="",$L54=""),_xlpm.Points&gt;0),
Error!$B$35,
IF(AND(_xlpm.baseRow,$D54&lt;&gt;"",$E54&lt;&gt;"",$N54=""),
Error!$B$36,
""))))))))))))))))))))))))))))))))))))))))))),Error!$B$37))</f>
        <v/>
      </c>
      <c r="P54" s="355" t="str" cm="1">
        <f t="array" aca="1" ref="P54" ca="1">IFERROR(_xlfn.LET(
    _xlpm.txt, $C54,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5" spans="1:16" ht="15" thickBot="1" x14ac:dyDescent="0.35">
      <c r="A55" s="437">
        <v>12</v>
      </c>
      <c r="B55" s="448"/>
      <c r="C55" s="444"/>
      <c r="D55" s="295"/>
      <c r="E55" s="295"/>
      <c r="F55" s="301"/>
      <c r="G55" s="257"/>
      <c r="H55" s="181"/>
      <c r="I55" s="178"/>
      <c r="J55" s="457"/>
      <c r="K55" s="172" t="str">
        <f>IFERROR(
IF(
    AND(
        MOD(ROW()-11,4)=0,
        COUNTIF(INDEX(F:F, 11 + 4*INT((ROW()-11)/4)):INDEX(F:F, 14 + 4*INT((ROW()-11)/4)),"Zoning: Tree Points")&gt;0,
        COUNTIFS('Tree List'!$C$3:$C$601,$C55,'Tree List'!$H$3:$H$601,"sp.")=0
    ),
    VLOOKUP($C55,'Tree List'!$C$3:$F$601,4,FALSE),
    ""
),
"")</f>
        <v/>
      </c>
      <c r="L55" s="173" t="str" cm="1">
        <f t="array" ref="L55">IFERROR(
IF(
    AND(
        COUNTIF(INDEX(F:F, 11 + 4*INT((ROW()-11)/4)):INDEX(F:F, 14 + 4*INT((ROW()-11)/4)),"Zoning: Tree Points")&gt;0,
        COUNTIFS('Tree List'!$C$3:$C$601,$C55,'Tree List'!$H$3:$H$601,"sp.")&gt;0
    ),
    "",
    _xlfn.IFS(
        (COUNTIFS('Tree List'!$C$3:$C$601,$C55,'Tree List'!$D$3:$D$601,"Coniferous")
        + COUNTIFS('Tree List'!$C$3:$C$601,$C55,'Tree List'!$D$3:$D$601,"Deciduous Conifer")) &gt; 0,
            _xlfn.IFS($K55="Small",1.25,$K55="Small/Medium",2.5,$K55="Medium/Large",3.75,$K55="Large",5),
        (COUNTIFS('Tree List'!$C$3:$C$601,$C55,'Tree List'!$D$3:$D$601,"Deciduous")
        + COUNTIFS('Tree List'!$C$3:$C$601,$C55,'Tree List'!$D$3:$D$601,"Broadleaf Evergreen")) &gt; 0,
            _xlfn.IFS($K55="Small",1,$K55="Small/Medium",2,$K55="Medium/Large",3,$K55="Large",4)
    )
),
"")</f>
        <v/>
      </c>
      <c r="M55" s="470" t="str">
        <f t="shared" si="0"/>
        <v/>
      </c>
      <c r="N55" s="744"/>
      <c r="O55" s="737" t="str" cm="1">
        <f t="array" aca="1" ref="O55"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List'!$C$3:$C$601,$C55,'Tree List'!$D$3:$D$601,{"Deciduous","Broadleaf Evergreen"})),
_xlpm.Coniferous,SUM(COUNTIFS('Tree List'!$C$3:$C$601,$C55,'Tree List'!$D$3:$D$601,{"Coniferous","Deciduous Conifer"})),
IFERROR(
IF(AND(_xlpm.baseRow,ISNA(MATCH($C55,'Tree List'!$C$3:$C$601,0)),SUMPRODUCT(--ISNUMBER(SEARCH(Tables2!$C$677:$C$825,$P55)))&gt;0),
Error!$B$64,
IF(AND(_xlpm.baseRow,COUNTIF(_xlpm.FRange,"ECA / Shoreline")&gt;0,$D55&lt;&gt;"",$E55&lt;&gt;"",$N55=""),
Error!$B$55,
IF(AND(_xlpm.baseRow,$D55&lt;&gt;"",$E55&lt;&gt;"",COUNTBLANK($B55:$C55)&gt;0,COUNTBLANK($F55:$F58)&lt;&gt;4),
Error!$B$22,
IF(AND(_xlpm.baseRow,$D55="Right-of-Way", $E55=""),
Error!$B$67,
IF(AND(_xlpm.baseRow,$D55&lt;&gt;"",ISNA(MATCH($D55,Tables2!$B$66:$B$68,0))),
Error!$B$63,
IF(AND(_xlpm.baseRow,$D55="Off Site",$E55&lt;&gt;"",$E55&lt;&gt;"Yes"),
Error!$B$28,
IF(AND(_xlpm.baseRow,OR($D55="On Site",$D55="Right-of-Way"),$E55&lt;&gt;"",ISNA(MATCH($E55,MultiSelect2[TreeMitigation],0))),
Error!$B$28,
IF(AND(_xlpm.baseRow,$D55&lt;&gt;"",$E55&lt;&gt;"",COUNTIF(_xlpm.FRange,"&lt;&gt;")=0),
Error!$B$26,
IF(AND($E55="No",$F55&lt;&gt;"",ISNA(MATCH($F55,Tables2!$B$55:$B$57,0))),
Error!$B$27,
IF(AND($E55="Yes",$F55&lt;&gt;"",ISNA(MATCH($F55,Tables2!$B$48:$B$52,0))),
Error!$B$27,
IF(AND($D55="Off Site",$E55="Yes",$F55&lt;&gt;"",ISNA(MATCH($F55,Tables2!$B$60:$B$62,0))),
Error!$B$27,
IF(AND(_xlpm.baseRow,_xlpm.Street&gt;0,_xlpm.ECA&gt;0),
Error!$B$29,
IF(AND(_xlpm.baseRow,_xlpm.Street&gt;0,_xlpm.Points&gt;0),
Error!$B$30,
IF(AND(_xlpm.baseRow,_xlpm.Street&gt;0,_xlpm.ReplaceReq&gt;0),
Error!$B$31,
IF(AND(_xlpm.baseRow,$D55&lt;&gt;"",$E55&lt;&gt;"",$G55&lt;&gt;"",_xlpm.DecBroad&gt;0,OR(_xlpm.Points&gt;0,_xlpm.Green&gt;0,_xlpm.ReplaceReq&gt;0),_xlpm.Street=0,$G55&lt;1.5),
Error!$B$42,
IF(AND(_xlpm.baseRow,$D55&lt;&gt;"",$E55&lt;&gt;"",$H55&lt;&gt;"",$H55&lt;4,_xlpm.Street&gt;0,_xlpm.Green&gt;0,COUNTA(_xlpm.FRange)&gt;0),
Error!$B$32,
IF(AND(_xlpm.baseRow,$G55="",_xlpm.ECA&gt;0,_xlpm.DecBroad&gt;0,_xlpm.ReplaceReq&gt;0),
Error!$B$52,
IF(AND(_xlpm.baseRow,$E55&lt;&gt;"", $H55="",_xlpm.ECA&gt;0,_xlpm.Coniferous&gt;0,_xlpm.ReplaceReq&gt;0),
Error!$B$53,
IF(AND(_xlpm.baseRow,$G55="",$H55="",_xlpm.ECA&gt;0,_xlpm.ReplaceReq&gt;0),
Error!$B$39,
IF(AND(_xlpm.baseRow,$D55&lt;&gt;"",$E55&lt;&gt;"",$G55="",$H55="",_xlpm.Coniferous&gt;0,_xlpm.ReplaceReq&gt;0,_xlpm.ECA&gt;0),
Error!$B$50,
IF(AND(_xlpm.baseRow,$D55&lt;&gt;"",$E55&lt;&gt;"",$G55&lt;&gt;"",_xlpm.Street&gt;0,$G55&lt;2),
Error!$B$43,
IF(AND(_xlpm.baseRow,$D55&lt;&gt;"",$E55&lt;&gt;"",_xlpm.Green&gt;0,_xlpm.DecBroad&gt;0,$G55=""),
Error!$B$49,
IF(AND(_xlpm.baseRow,$D55&lt;&gt;"",$E55&lt;&gt;"",$H55&lt;&gt;"",$H55&lt;4,_xlpm.Green&gt;0,_xlpm.DecBroad&gt;0,$G55=""),
Error!$B$51,
IF(AND(_xlpm.baseRow,$D55&lt;&gt;"",$E55&lt;&gt;"",_xlpm.Green&gt;0,_xlpm.Coniferous&gt;0,$H55=""),
Error!$B$50,
IF(AND(_xlpm.baseRow,$D55&lt;&gt;"",$E55&lt;&gt;"",_xlpm.Points&gt;0,_xlpm.DecBroad&gt;0,$G55=""),
Error!$B$49,
IF(AND(_xlpm.baseRow,$D55&lt;&gt;"",$E55&lt;&gt;"",_xlpm.Points&gt;0,_xlpm.Coniferous&gt;0,$H55=""),
Error!$B$50,
IF(AND(_xlpm.baseRow,$D55&lt;&gt;"",$E55&lt;&gt;"",_xlpm.ReplaceReq&gt;0,_xlpm.DecBroad&gt;0,$G55=""),
Error!$B$49,
IF(AND(_xlpm.baseRow,$D55&lt;&gt;"",$E55&lt;&gt;"",_xlpm.ReplaceReq&gt;0,_xlpm.Coniferous&gt;0,$H55=""),
Error!$B$50,
IF(AND(_xlpm.baseRow,$D55&lt;&gt;"",$E55&lt;&gt;"",_xlpm.Street&gt;0,$G55=""),
Error!$B$49,
IF(AND(_xlpm.baseRow,$D55&lt;&gt;"",$E55&lt;&gt;"",$H55&lt;&gt;"",$H55&lt;4,OR(ISNA(MATCH($C55,'Tree List'!$C$3:$C$601,0)),$C55=""),_xlpm.Green&gt;0,COUNTA(_xlpm.FRange)&gt;0),
Error!$B$51,
IF(AND(_xlpm.baseRow,$D55&lt;&gt;"",$E55&lt;&gt;"",$H55&lt;&gt;"",$H55&lt;4,_xlpm.DecBroad&gt;0,_xlpm.Green&gt;0,COUNTA(_xlpm.FRange)&gt;0),
Error!$B$51,
IF(AND(_xlpm.baseRow,$D55&lt;&gt;"",$E55&lt;&gt;"",$G55="",$H55="",OR(_xlpm.ReplaceReq&gt;0,_xlpm.Green&gt;0,_xlpm.Points&gt;0,_xlpm.Street&gt;0)),
Error!$B$38,
IF(AND(_xlpm.baseRow,$D55&lt;&gt;"",$E55&lt;&gt;"",$H55&lt;&gt;"",$H55&lt;4,_xlpm.Street=0,_xlpm.Coniferous&gt;0,COUNTA(_xlpm.FRange)&gt;0),
Error!$B$32,
IF(AND(_xlpm.baseRow,_xlpm.DecBroad&gt;0,$D55&lt;&gt;"",$E55&lt;&gt;"",$G55&lt;&gt;"",$G55&lt;1.5,_xlpm.Street=0,COUNTA(_xlpm.FRange)&gt;0),
Error!$B$42,
IF(AND(_xlpm.baseRow,$I55="",$H55="",_xlpm.ECA&gt;0,_xlpm.ReplaceReq=0),
Error!$B$33,
IF(AND(_xlpm.baseRow,OR($J55="",$J55&lt;=0),_xlpm.ReplaceReq&gt;0),
Error!$B$34,
IF(AND(_xlpm.baseRow,$K55&lt;&gt;"",_xlpm.Points&gt;0,ISNA(MATCH($K55,Tables!$B$242:$B$253,0))),
Error!$B$58,
IF(AND($K55="Small",$L55&lt;&gt;"",ISNA(MATCH($L55,Tables2!$C$35:$C$36,0))),
Error!$B$60,
IF(AND($K55="Small/Medium",$L55&lt;&gt;"",ISNA(MATCH($L55,Tables2!$C$38:$C$39,0))),
Error!$B$60,
IF(AND($K55="Medium/Large",$L55&lt;&gt;"",ISNA(MATCH($L55,Tables2!$C$41:$C$42,0))),
Error!$B$60,
IF(AND($K55="Large",$L55&lt;&gt;"",ISNA(MATCH($L55,Tables2!$C$44:$C$45,0))),
Error!$B$60,
IF(AND(_xlpm.baseRow,$B55&lt;&gt;"", $C55&lt;&gt;"", $D55&lt;&gt;"", $E55&lt;&gt;"", OR($M55="",$K55="",$L55=""),_xlpm.Points&gt;0),
Error!$B$35,
IF(AND(_xlpm.baseRow,$D55&lt;&gt;"",$E55&lt;&gt;"",$N55=""),
Error!$B$36,
""))))))))))))))))))))))))))))))))))))))))))),Error!$B$37))</f>
        <v/>
      </c>
      <c r="P55" s="355" t="str" cm="1">
        <f t="array" aca="1" ref="P55" ca="1">IFERROR(_xlfn.LET(
    _xlpm.txt, $C55,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6" spans="1:16" x14ac:dyDescent="0.3">
      <c r="A56" s="297"/>
      <c r="B56" s="439" t="str">
        <f t="shared" ref="B56" si="4">IF($B55="", "", $B55)</f>
        <v/>
      </c>
      <c r="C56" s="309"/>
      <c r="D56" s="157" t="str">
        <f>IF($D55="", "", $D55)</f>
        <v/>
      </c>
      <c r="E56" s="157" t="str">
        <f>IF($E55="", "", $E55)</f>
        <v/>
      </c>
      <c r="F56" s="300"/>
      <c r="G56" s="159"/>
      <c r="H56" s="182"/>
      <c r="I56" s="179"/>
      <c r="J56" s="458"/>
      <c r="K56" s="174" t="str">
        <f>IFERROR(
IF(
    AND(
        MOD(ROW()-11,4)=0,
        COUNTIF(INDEX(F:F, 11 + 4*INT((ROW()-11)/4)):INDEX(F:F, 14 + 4*INT((ROW()-11)/4)),"Zoning: Tree Points")&gt;0,
        COUNTIFS('Tree List'!$C$3:$C$601,$C56,'Tree List'!$H$3:$H$601,"sp.")=0
    ),
    VLOOKUP($C56,'Tree List'!$C$3:$F$601,4,FALSE),
    ""
),
"")</f>
        <v/>
      </c>
      <c r="L56" s="175" t="str" cm="1">
        <f t="array" ref="L56">IFERROR(
IF(
    AND(
        COUNTIF(INDEX(F:F, 11 + 4*INT((ROW()-11)/4)):INDEX(F:F, 14 + 4*INT((ROW()-11)/4)),"Zoning: Tree Points")&gt;0,
        COUNTIFS('Tree List'!$C$3:$C$601,$C56,'Tree List'!$H$3:$H$601,"sp.")&gt;0
    ),
    "",
    _xlfn.IFS(
        (COUNTIFS('Tree List'!$C$3:$C$601,$C56,'Tree List'!$D$3:$D$601,"Coniferous")
        + COUNTIFS('Tree List'!$C$3:$C$601,$C56,'Tree List'!$D$3:$D$601,"Deciduous Conifer")) &gt; 0,
            _xlfn.IFS($K56="Small",1.25,$K56="Small/Medium",2.5,$K56="Medium/Large",3.75,$K56="Large",5),
        (COUNTIFS('Tree List'!$C$3:$C$601,$C56,'Tree List'!$D$3:$D$601,"Deciduous")
        + COUNTIFS('Tree List'!$C$3:$C$601,$C56,'Tree List'!$D$3:$D$601,"Broadleaf Evergreen")) &gt; 0,
            _xlfn.IFS($K56="Small",1,$K56="Small/Medium",2,$K56="Medium/Large",3,$K56="Large",4)
    )
),
"")</f>
        <v/>
      </c>
      <c r="M56" s="471"/>
      <c r="N56" s="434"/>
      <c r="O56" s="340" t="str" cm="1">
        <f t="array" aca="1" ref="O56"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List'!$C$3:$C$601,$C56,'Tree List'!$D$3:$D$601,{"Deciduous","Broadleaf Evergreen"})),
_xlpm.Coniferous,SUM(COUNTIFS('Tree List'!$C$3:$C$601,$C56,'Tree List'!$D$3:$D$601,{"Coniferous","Deciduous Conifer"})),
IFERROR(
IF(AND(_xlpm.baseRow,ISNA(MATCH($C56,'Tree List'!$C$3:$C$601,0)),SUMPRODUCT(--ISNUMBER(SEARCH(Tables2!$C$677:$C$825,$P56)))&gt;0),
Error!$B$64,
IF(AND(_xlpm.baseRow,COUNTIF(_xlpm.FRange,"ECA / Shoreline")&gt;0,$D56&lt;&gt;"",$E56&lt;&gt;"",$N56=""),
Error!$B$55,
IF(AND(_xlpm.baseRow,$D56&lt;&gt;"",$E56&lt;&gt;"",COUNTBLANK($B56:$C56)&gt;0,COUNTBLANK($F56:$F59)&lt;&gt;4),
Error!$B$22,
IF(AND(_xlpm.baseRow,$D56="Right-of-Way", $E56=""),
Error!$B$67,
IF(AND(_xlpm.baseRow,$D56&lt;&gt;"",ISNA(MATCH($D56,Tables2!$B$66:$B$68,0))),
Error!$B$63,
IF(AND(_xlpm.baseRow,$D56="Off Site",$E56&lt;&gt;"",$E56&lt;&gt;"Yes"),
Error!$B$28,
IF(AND(_xlpm.baseRow,OR($D56="On Site",$D56="Right-of-Way"),$E56&lt;&gt;"",ISNA(MATCH($E56,MultiSelect2[TreeMitigation],0))),
Error!$B$28,
IF(AND(_xlpm.baseRow,$D56&lt;&gt;"",$E56&lt;&gt;"",COUNTIF(_xlpm.FRange,"&lt;&gt;")=0),
Error!$B$26,
IF(AND($E56="No",$F56&lt;&gt;"",ISNA(MATCH($F56,Tables2!$B$55:$B$57,0))),
Error!$B$27,
IF(AND($E56="Yes",$F56&lt;&gt;"",ISNA(MATCH($F56,Tables2!$B$48:$B$52,0))),
Error!$B$27,
IF(AND($D56="Off Site",$E56="Yes",$F56&lt;&gt;"",ISNA(MATCH($F56,Tables2!$B$60:$B$62,0))),
Error!$B$27,
IF(AND(_xlpm.baseRow,_xlpm.Street&gt;0,_xlpm.ECA&gt;0),
Error!$B$29,
IF(AND(_xlpm.baseRow,_xlpm.Street&gt;0,_xlpm.Points&gt;0),
Error!$B$30,
IF(AND(_xlpm.baseRow,_xlpm.Street&gt;0,_xlpm.ReplaceReq&gt;0),
Error!$B$31,
IF(AND(_xlpm.baseRow,$D56&lt;&gt;"",$E56&lt;&gt;"",$G56&lt;&gt;"",_xlpm.DecBroad&gt;0,OR(_xlpm.Points&gt;0,_xlpm.Green&gt;0,_xlpm.ReplaceReq&gt;0),_xlpm.Street=0,$G56&lt;1.5),
Error!$B$42,
IF(AND(_xlpm.baseRow,$D56&lt;&gt;"",$E56&lt;&gt;"",$H56&lt;&gt;"",$H56&lt;4,_xlpm.Street&gt;0,_xlpm.Green&gt;0,COUNTA(_xlpm.FRange)&gt;0),
Error!$B$32,
IF(AND(_xlpm.baseRow,$G56="",_xlpm.ECA&gt;0,_xlpm.DecBroad&gt;0,_xlpm.ReplaceReq&gt;0),
Error!$B$52,
IF(AND(_xlpm.baseRow,$E56&lt;&gt;"", $H56="",_xlpm.ECA&gt;0,_xlpm.Coniferous&gt;0,_xlpm.ReplaceReq&gt;0),
Error!$B$53,
IF(AND(_xlpm.baseRow,$G56="",$H56="",_xlpm.ECA&gt;0,_xlpm.ReplaceReq&gt;0),
Error!$B$39,
IF(AND(_xlpm.baseRow,$D56&lt;&gt;"",$E56&lt;&gt;"",$G56="",$H56="",_xlpm.Coniferous&gt;0,_xlpm.ReplaceReq&gt;0,_xlpm.ECA&gt;0),
Error!$B$50,
IF(AND(_xlpm.baseRow,$D56&lt;&gt;"",$E56&lt;&gt;"",$G56&lt;&gt;"",_xlpm.Street&gt;0,$G56&lt;2),
Error!$B$43,
IF(AND(_xlpm.baseRow,$D56&lt;&gt;"",$E56&lt;&gt;"",_xlpm.Green&gt;0,_xlpm.DecBroad&gt;0,$G56=""),
Error!$B$49,
IF(AND(_xlpm.baseRow,$D56&lt;&gt;"",$E56&lt;&gt;"",$H56&lt;&gt;"",$H56&lt;4,_xlpm.Green&gt;0,_xlpm.DecBroad&gt;0,$G56=""),
Error!$B$51,
IF(AND(_xlpm.baseRow,$D56&lt;&gt;"",$E56&lt;&gt;"",_xlpm.Green&gt;0,_xlpm.Coniferous&gt;0,$H56=""),
Error!$B$50,
IF(AND(_xlpm.baseRow,$D56&lt;&gt;"",$E56&lt;&gt;"",_xlpm.Points&gt;0,_xlpm.DecBroad&gt;0,$G56=""),
Error!$B$49,
IF(AND(_xlpm.baseRow,$D56&lt;&gt;"",$E56&lt;&gt;"",_xlpm.Points&gt;0,_xlpm.Coniferous&gt;0,$H56=""),
Error!$B$50,
IF(AND(_xlpm.baseRow,$D56&lt;&gt;"",$E56&lt;&gt;"",_xlpm.ReplaceReq&gt;0,_xlpm.DecBroad&gt;0,$G56=""),
Error!$B$49,
IF(AND(_xlpm.baseRow,$D56&lt;&gt;"",$E56&lt;&gt;"",_xlpm.ReplaceReq&gt;0,_xlpm.Coniferous&gt;0,$H56=""),
Error!$B$50,
IF(AND(_xlpm.baseRow,$D56&lt;&gt;"",$E56&lt;&gt;"",_xlpm.Street&gt;0,$G56=""),
Error!$B$49,
IF(AND(_xlpm.baseRow,$D56&lt;&gt;"",$E56&lt;&gt;"",$H56&lt;&gt;"",$H56&lt;4,OR(ISNA(MATCH($C56,'Tree List'!$C$3:$C$601,0)),$C56=""),_xlpm.Green&gt;0,COUNTA(_xlpm.FRange)&gt;0),
Error!$B$51,
IF(AND(_xlpm.baseRow,$D56&lt;&gt;"",$E56&lt;&gt;"",$H56&lt;&gt;"",$H56&lt;4,_xlpm.DecBroad&gt;0,_xlpm.Green&gt;0,COUNTA(_xlpm.FRange)&gt;0),
Error!$B$51,
IF(AND(_xlpm.baseRow,$D56&lt;&gt;"",$E56&lt;&gt;"",$G56="",$H56="",OR(_xlpm.ReplaceReq&gt;0,_xlpm.Green&gt;0,_xlpm.Points&gt;0,_xlpm.Street&gt;0)),
Error!$B$38,
IF(AND(_xlpm.baseRow,$D56&lt;&gt;"",$E56&lt;&gt;"",$H56&lt;&gt;"",$H56&lt;4,_xlpm.Street=0,_xlpm.Coniferous&gt;0,COUNTA(_xlpm.FRange)&gt;0),
Error!$B$32,
IF(AND(_xlpm.baseRow,_xlpm.DecBroad&gt;0,$D56&lt;&gt;"",$E56&lt;&gt;"",$G56&lt;&gt;"",$G56&lt;1.5,_xlpm.Street=0,COUNTA(_xlpm.FRange)&gt;0),
Error!$B$42,
IF(AND(_xlpm.baseRow,$I56="",$H56="",_xlpm.ECA&gt;0,_xlpm.ReplaceReq=0),
Error!$B$33,
IF(AND(_xlpm.baseRow,OR($J56="",$J56&lt;=0),_xlpm.ReplaceReq&gt;0),
Error!$B$34,
IF(AND(_xlpm.baseRow,$K56&lt;&gt;"",_xlpm.Points&gt;0,ISNA(MATCH($K56,Tables!$B$242:$B$253,0))),
Error!$B$58,
IF(AND($K56="Small",$L56&lt;&gt;"",ISNA(MATCH($L56,Tables2!$C$35:$C$36,0))),
Error!$B$60,
IF(AND($K56="Small/Medium",$L56&lt;&gt;"",ISNA(MATCH($L56,Tables2!$C$38:$C$39,0))),
Error!$B$60,
IF(AND($K56="Medium/Large",$L56&lt;&gt;"",ISNA(MATCH($L56,Tables2!$C$41:$C$42,0))),
Error!$B$60,
IF(AND($K56="Large",$L56&lt;&gt;"",ISNA(MATCH($L56,Tables2!$C$44:$C$45,0))),
Error!$B$60,
IF(AND(_xlpm.baseRow,$B56&lt;&gt;"", $C56&lt;&gt;"", $D56&lt;&gt;"", $E56&lt;&gt;"", OR($M56="",$K56="",$L56=""),_xlpm.Points&gt;0),
Error!$B$35,
IF(AND(_xlpm.baseRow,$D56&lt;&gt;"",$E56&lt;&gt;"",$N56=""),
Error!$B$36,
""))))))))))))))))))))))))))))))))))))))))))),Error!$B$37))</f>
        <v/>
      </c>
      <c r="P56" s="355" t="str" cm="1">
        <f t="array" aca="1" ref="P56" ca="1">IFERROR(_xlfn.LET(
    _xlpm.txt, $C56,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7" spans="1:16" x14ac:dyDescent="0.3">
      <c r="A57" s="297"/>
      <c r="B57" s="439" t="str">
        <f t="shared" ref="B57" si="5">IF($B55="", "", $B55)</f>
        <v/>
      </c>
      <c r="C57" s="438"/>
      <c r="D57" s="439" t="str">
        <f>IF($D55="", "", $D55)</f>
        <v/>
      </c>
      <c r="E57" s="439" t="str">
        <f>IF($E55="", "", $E55)</f>
        <v/>
      </c>
      <c r="F57" s="300"/>
      <c r="G57" s="160"/>
      <c r="H57" s="440"/>
      <c r="I57" s="441"/>
      <c r="J57" s="459"/>
      <c r="K57" s="442" t="str">
        <f>IFERROR(
IF(
    AND(
        MOD(ROW()-11,4)=0,
        COUNTIF(INDEX(F:F, 11 + 4*INT((ROW()-11)/4)):INDEX(F:F, 14 + 4*INT((ROW()-11)/4)),"Zoning: Tree Points")&gt;0,
        COUNTIFS('Tree List'!$C$3:$C$601,$C57,'Tree List'!$H$3:$H$601,"sp.")=0
    ),
    VLOOKUP($C57,'Tree List'!$C$3:$F$601,4,FALSE),
    ""
),
"")</f>
        <v/>
      </c>
      <c r="L57" s="443" t="str" cm="1">
        <f t="array" ref="L57">IFERROR(
IF(
    AND(
        COUNTIF(INDEX(F:F, 11 + 4*INT((ROW()-11)/4)):INDEX(F:F, 14 + 4*INT((ROW()-11)/4)),"Zoning: Tree Points")&gt;0,
        COUNTIFS('Tree List'!$C$3:$C$601,$C57,'Tree List'!$H$3:$H$601,"sp.")&gt;0
    ),
    "",
    _xlfn.IFS(
        (COUNTIFS('Tree List'!$C$3:$C$601,$C57,'Tree List'!$D$3:$D$601,"Coniferous")
        + COUNTIFS('Tree List'!$C$3:$C$601,$C57,'Tree List'!$D$3:$D$601,"Deciduous Conifer")) &gt; 0,
            _xlfn.IFS($K57="Small",1.25,$K57="Small/Medium",2.5,$K57="Medium/Large",3.75,$K57="Large",5),
        (COUNTIFS('Tree List'!$C$3:$C$601,$C57,'Tree List'!$D$3:$D$601,"Deciduous")
        + COUNTIFS('Tree List'!$C$3:$C$601,$C57,'Tree List'!$D$3:$D$601,"Broadleaf Evergreen")) &gt; 0,
            _xlfn.IFS($K57="Small",1,$K57="Small/Medium",2,$K57="Medium/Large",3,$K57="Large",4)
    )
),
"")</f>
        <v/>
      </c>
      <c r="M57" s="472"/>
      <c r="N57" s="434"/>
      <c r="O57" s="340" t="str" cm="1">
        <f t="array" aca="1" ref="O57"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List'!$C$3:$C$601,$C57,'Tree List'!$D$3:$D$601,{"Deciduous","Broadleaf Evergreen"})),
_xlpm.Coniferous,SUM(COUNTIFS('Tree List'!$C$3:$C$601,$C57,'Tree List'!$D$3:$D$601,{"Coniferous","Deciduous Conifer"})),
IFERROR(
IF(AND(_xlpm.baseRow,ISNA(MATCH($C57,'Tree List'!$C$3:$C$601,0)),SUMPRODUCT(--ISNUMBER(SEARCH(Tables2!$C$677:$C$825,$P57)))&gt;0),
Error!$B$64,
IF(AND(_xlpm.baseRow,COUNTIF(_xlpm.FRange,"ECA / Shoreline")&gt;0,$D57&lt;&gt;"",$E57&lt;&gt;"",$N57=""),
Error!$B$55,
IF(AND(_xlpm.baseRow,$D57&lt;&gt;"",$E57&lt;&gt;"",COUNTBLANK($B57:$C57)&gt;0,COUNTBLANK($F57:$F60)&lt;&gt;4),
Error!$B$22,
IF(AND(_xlpm.baseRow,$D57="Right-of-Way", $E57=""),
Error!$B$67,
IF(AND(_xlpm.baseRow,$D57&lt;&gt;"",ISNA(MATCH($D57,Tables2!$B$66:$B$68,0))),
Error!$B$63,
IF(AND(_xlpm.baseRow,$D57="Off Site",$E57&lt;&gt;"",$E57&lt;&gt;"Yes"),
Error!$B$28,
IF(AND(_xlpm.baseRow,OR($D57="On Site",$D57="Right-of-Way"),$E57&lt;&gt;"",ISNA(MATCH($E57,MultiSelect2[TreeMitigation],0))),
Error!$B$28,
IF(AND(_xlpm.baseRow,$D57&lt;&gt;"",$E57&lt;&gt;"",COUNTIF(_xlpm.FRange,"&lt;&gt;")=0),
Error!$B$26,
IF(AND($E57="No",$F57&lt;&gt;"",ISNA(MATCH($F57,Tables2!$B$55:$B$57,0))),
Error!$B$27,
IF(AND($E57="Yes",$F57&lt;&gt;"",ISNA(MATCH($F57,Tables2!$B$48:$B$52,0))),
Error!$B$27,
IF(AND($D57="Off Site",$E57="Yes",$F57&lt;&gt;"",ISNA(MATCH($F57,Tables2!$B$60:$B$62,0))),
Error!$B$27,
IF(AND(_xlpm.baseRow,_xlpm.Street&gt;0,_xlpm.ECA&gt;0),
Error!$B$29,
IF(AND(_xlpm.baseRow,_xlpm.Street&gt;0,_xlpm.Points&gt;0),
Error!$B$30,
IF(AND(_xlpm.baseRow,_xlpm.Street&gt;0,_xlpm.ReplaceReq&gt;0),
Error!$B$31,
IF(AND(_xlpm.baseRow,$D57&lt;&gt;"",$E57&lt;&gt;"",$G57&lt;&gt;"",_xlpm.DecBroad&gt;0,OR(_xlpm.Points&gt;0,_xlpm.Green&gt;0,_xlpm.ReplaceReq&gt;0),_xlpm.Street=0,$G57&lt;1.5),
Error!$B$42,
IF(AND(_xlpm.baseRow,$D57&lt;&gt;"",$E57&lt;&gt;"",$H57&lt;&gt;"",$H57&lt;4,_xlpm.Street&gt;0,_xlpm.Green&gt;0,COUNTA(_xlpm.FRange)&gt;0),
Error!$B$32,
IF(AND(_xlpm.baseRow,$G57="",_xlpm.ECA&gt;0,_xlpm.DecBroad&gt;0,_xlpm.ReplaceReq&gt;0),
Error!$B$52,
IF(AND(_xlpm.baseRow,$E57&lt;&gt;"", $H57="",_xlpm.ECA&gt;0,_xlpm.Coniferous&gt;0,_xlpm.ReplaceReq&gt;0),
Error!$B$53,
IF(AND(_xlpm.baseRow,$G57="",$H57="",_xlpm.ECA&gt;0,_xlpm.ReplaceReq&gt;0),
Error!$B$39,
IF(AND(_xlpm.baseRow,$D57&lt;&gt;"",$E57&lt;&gt;"",$G57="",$H57="",_xlpm.Coniferous&gt;0,_xlpm.ReplaceReq&gt;0,_xlpm.ECA&gt;0),
Error!$B$50,
IF(AND(_xlpm.baseRow,$D57&lt;&gt;"",$E57&lt;&gt;"",$G57&lt;&gt;"",_xlpm.Street&gt;0,$G57&lt;2),
Error!$B$43,
IF(AND(_xlpm.baseRow,$D57&lt;&gt;"",$E57&lt;&gt;"",_xlpm.Green&gt;0,_xlpm.DecBroad&gt;0,$G57=""),
Error!$B$49,
IF(AND(_xlpm.baseRow,$D57&lt;&gt;"",$E57&lt;&gt;"",$H57&lt;&gt;"",$H57&lt;4,_xlpm.Green&gt;0,_xlpm.DecBroad&gt;0,$G57=""),
Error!$B$51,
IF(AND(_xlpm.baseRow,$D57&lt;&gt;"",$E57&lt;&gt;"",_xlpm.Green&gt;0,_xlpm.Coniferous&gt;0,$H57=""),
Error!$B$50,
IF(AND(_xlpm.baseRow,$D57&lt;&gt;"",$E57&lt;&gt;"",_xlpm.Points&gt;0,_xlpm.DecBroad&gt;0,$G57=""),
Error!$B$49,
IF(AND(_xlpm.baseRow,$D57&lt;&gt;"",$E57&lt;&gt;"",_xlpm.Points&gt;0,_xlpm.Coniferous&gt;0,$H57=""),
Error!$B$50,
IF(AND(_xlpm.baseRow,$D57&lt;&gt;"",$E57&lt;&gt;"",_xlpm.ReplaceReq&gt;0,_xlpm.DecBroad&gt;0,$G57=""),
Error!$B$49,
IF(AND(_xlpm.baseRow,$D57&lt;&gt;"",$E57&lt;&gt;"",_xlpm.ReplaceReq&gt;0,_xlpm.Coniferous&gt;0,$H57=""),
Error!$B$50,
IF(AND(_xlpm.baseRow,$D57&lt;&gt;"",$E57&lt;&gt;"",_xlpm.Street&gt;0,$G57=""),
Error!$B$49,
IF(AND(_xlpm.baseRow,$D57&lt;&gt;"",$E57&lt;&gt;"",$H57&lt;&gt;"",$H57&lt;4,OR(ISNA(MATCH($C57,'Tree List'!$C$3:$C$601,0)),$C57=""),_xlpm.Green&gt;0,COUNTA(_xlpm.FRange)&gt;0),
Error!$B$51,
IF(AND(_xlpm.baseRow,$D57&lt;&gt;"",$E57&lt;&gt;"",$H57&lt;&gt;"",$H57&lt;4,_xlpm.DecBroad&gt;0,_xlpm.Green&gt;0,COUNTA(_xlpm.FRange)&gt;0),
Error!$B$51,
IF(AND(_xlpm.baseRow,$D57&lt;&gt;"",$E57&lt;&gt;"",$G57="",$H57="",OR(_xlpm.ReplaceReq&gt;0,_xlpm.Green&gt;0,_xlpm.Points&gt;0,_xlpm.Street&gt;0)),
Error!$B$38,
IF(AND(_xlpm.baseRow,$D57&lt;&gt;"",$E57&lt;&gt;"",$H57&lt;&gt;"",$H57&lt;4,_xlpm.Street=0,_xlpm.Coniferous&gt;0,COUNTA(_xlpm.FRange)&gt;0),
Error!$B$32,
IF(AND(_xlpm.baseRow,_xlpm.DecBroad&gt;0,$D57&lt;&gt;"",$E57&lt;&gt;"",$G57&lt;&gt;"",$G57&lt;1.5,_xlpm.Street=0,COUNTA(_xlpm.FRange)&gt;0),
Error!$B$42,
IF(AND(_xlpm.baseRow,$I57="",$H57="",_xlpm.ECA&gt;0,_xlpm.ReplaceReq=0),
Error!$B$33,
IF(AND(_xlpm.baseRow,OR($J57="",$J57&lt;=0),_xlpm.ReplaceReq&gt;0),
Error!$B$34,
IF(AND(_xlpm.baseRow,$K57&lt;&gt;"",_xlpm.Points&gt;0,ISNA(MATCH($K57,Tables!$B$242:$B$253,0))),
Error!$B$58,
IF(AND($K57="Small",$L57&lt;&gt;"",ISNA(MATCH($L57,Tables2!$C$35:$C$36,0))),
Error!$B$60,
IF(AND($K57="Small/Medium",$L57&lt;&gt;"",ISNA(MATCH($L57,Tables2!$C$38:$C$39,0))),
Error!$B$60,
IF(AND($K57="Medium/Large",$L57&lt;&gt;"",ISNA(MATCH($L57,Tables2!$C$41:$C$42,0))),
Error!$B$60,
IF(AND($K57="Large",$L57&lt;&gt;"",ISNA(MATCH($L57,Tables2!$C$44:$C$45,0))),
Error!$B$60,
IF(AND(_xlpm.baseRow,$B57&lt;&gt;"", $C57&lt;&gt;"", $D57&lt;&gt;"", $E57&lt;&gt;"", OR($M57="",$K57="",$L57=""),_xlpm.Points&gt;0),
Error!$B$35,
IF(AND(_xlpm.baseRow,$D57&lt;&gt;"",$E57&lt;&gt;"",$N57=""),
Error!$B$36,
""))))))))))))))))))))))))))))))))))))))))))),Error!$B$37))</f>
        <v/>
      </c>
      <c r="P57" s="355" t="str" cm="1">
        <f t="array" aca="1" ref="P57" ca="1">IFERROR(_xlfn.LET(
    _xlpm.txt, $C57,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8" spans="1:16" ht="15" thickBot="1" x14ac:dyDescent="0.35">
      <c r="A58" s="298"/>
      <c r="B58" s="439" t="str">
        <f t="shared" ref="B58" si="6">IF($B55="", "", $B55)</f>
        <v/>
      </c>
      <c r="C58" s="310"/>
      <c r="D58" s="154" t="str">
        <f>IF($D55="", "", $D55)</f>
        <v/>
      </c>
      <c r="E58" s="154" t="str">
        <f>IF($E55="", "", $E55)</f>
        <v/>
      </c>
      <c r="F58" s="302"/>
      <c r="G58" s="161"/>
      <c r="H58" s="183"/>
      <c r="I58" s="180"/>
      <c r="J58" s="460"/>
      <c r="K58" s="176" t="str">
        <f>IFERROR(
IF(
    AND(
        MOD(ROW()-11,4)=0,
        COUNTIF(INDEX(F:F, 11 + 4*INT((ROW()-11)/4)):INDEX(F:F, 14 + 4*INT((ROW()-11)/4)),"Zoning: Tree Points")&gt;0,
        COUNTIFS('Tree List'!$C$3:$C$601,$C58,'Tree List'!$H$3:$H$601,"sp.")=0
    ),
    VLOOKUP($C58,'Tree List'!$C$3:$F$601,4,FALSE),
    ""
),
"")</f>
        <v/>
      </c>
      <c r="L58" s="177" t="str" cm="1">
        <f t="array" ref="L58">IFERROR(
IF(
    AND(
        COUNTIF(INDEX(F:F, 11 + 4*INT((ROW()-11)/4)):INDEX(F:F, 14 + 4*INT((ROW()-11)/4)),"Zoning: Tree Points")&gt;0,
        COUNTIFS('Tree List'!$C$3:$C$601,$C58,'Tree List'!$H$3:$H$601,"sp.")&gt;0
    ),
    "",
    _xlfn.IFS(
        (COUNTIFS('Tree List'!$C$3:$C$601,$C58,'Tree List'!$D$3:$D$601,"Coniferous")
        + COUNTIFS('Tree List'!$C$3:$C$601,$C58,'Tree List'!$D$3:$D$601,"Deciduous Conifer")) &gt; 0,
            _xlfn.IFS($K58="Small",1.25,$K58="Small/Medium",2.5,$K58="Medium/Large",3.75,$K58="Large",5),
        (COUNTIFS('Tree List'!$C$3:$C$601,$C58,'Tree List'!$D$3:$D$601,"Deciduous")
        + COUNTIFS('Tree List'!$C$3:$C$601,$C58,'Tree List'!$D$3:$D$601,"Broadleaf Evergreen")) &gt; 0,
            _xlfn.IFS($K58="Small",1,$K58="Small/Medium",2,$K58="Medium/Large",3,$K58="Large",4)
    )
),
"")</f>
        <v/>
      </c>
      <c r="M58" s="473"/>
      <c r="N58" s="435"/>
      <c r="O58" s="341" t="str" cm="1">
        <f t="array" aca="1" ref="O58"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List'!$C$3:$C$601,$C58,'Tree List'!$D$3:$D$601,{"Deciduous","Broadleaf Evergreen"})),
_xlpm.Coniferous,SUM(COUNTIFS('Tree List'!$C$3:$C$601,$C58,'Tree List'!$D$3:$D$601,{"Coniferous","Deciduous Conifer"})),
IFERROR(
IF(AND(_xlpm.baseRow,ISNA(MATCH($C58,'Tree List'!$C$3:$C$601,0)),SUMPRODUCT(--ISNUMBER(SEARCH(Tables2!$C$677:$C$825,$P58)))&gt;0),
Error!$B$64,
IF(AND(_xlpm.baseRow,COUNTIF(_xlpm.FRange,"ECA / Shoreline")&gt;0,$D58&lt;&gt;"",$E58&lt;&gt;"",$N58=""),
Error!$B$55,
IF(AND(_xlpm.baseRow,$D58&lt;&gt;"",$E58&lt;&gt;"",COUNTBLANK($B58:$C58)&gt;0,COUNTBLANK($F58:$F61)&lt;&gt;4),
Error!$B$22,
IF(AND(_xlpm.baseRow,$D58="Right-of-Way", $E58=""),
Error!$B$67,
IF(AND(_xlpm.baseRow,$D58&lt;&gt;"",ISNA(MATCH($D58,Tables2!$B$66:$B$68,0))),
Error!$B$63,
IF(AND(_xlpm.baseRow,$D58="Off Site",$E58&lt;&gt;"",$E58&lt;&gt;"Yes"),
Error!$B$28,
IF(AND(_xlpm.baseRow,OR($D58="On Site",$D58="Right-of-Way"),$E58&lt;&gt;"",ISNA(MATCH($E58,MultiSelect2[TreeMitigation],0))),
Error!$B$28,
IF(AND(_xlpm.baseRow,$D58&lt;&gt;"",$E58&lt;&gt;"",COUNTIF(_xlpm.FRange,"&lt;&gt;")=0),
Error!$B$26,
IF(AND($E58="No",$F58&lt;&gt;"",ISNA(MATCH($F58,Tables2!$B$55:$B$57,0))),
Error!$B$27,
IF(AND($E58="Yes",$F58&lt;&gt;"",ISNA(MATCH($F58,Tables2!$B$48:$B$52,0))),
Error!$B$27,
IF(AND($D58="Off Site",$E58="Yes",$F58&lt;&gt;"",ISNA(MATCH($F58,Tables2!$B$60:$B$62,0))),
Error!$B$27,
IF(AND(_xlpm.baseRow,_xlpm.Street&gt;0,_xlpm.ECA&gt;0),
Error!$B$29,
IF(AND(_xlpm.baseRow,_xlpm.Street&gt;0,_xlpm.Points&gt;0),
Error!$B$30,
IF(AND(_xlpm.baseRow,_xlpm.Street&gt;0,_xlpm.ReplaceReq&gt;0),
Error!$B$31,
IF(AND(_xlpm.baseRow,$D58&lt;&gt;"",$E58&lt;&gt;"",$G58&lt;&gt;"",_xlpm.DecBroad&gt;0,OR(_xlpm.Points&gt;0,_xlpm.Green&gt;0,_xlpm.ReplaceReq&gt;0),_xlpm.Street=0,$G58&lt;1.5),
Error!$B$42,
IF(AND(_xlpm.baseRow,$D58&lt;&gt;"",$E58&lt;&gt;"",$H58&lt;&gt;"",$H58&lt;4,_xlpm.Street&gt;0,_xlpm.Green&gt;0,COUNTA(_xlpm.FRange)&gt;0),
Error!$B$32,
IF(AND(_xlpm.baseRow,$G58="",_xlpm.ECA&gt;0,_xlpm.DecBroad&gt;0,_xlpm.ReplaceReq&gt;0),
Error!$B$52,
IF(AND(_xlpm.baseRow,$E58&lt;&gt;"", $H58="",_xlpm.ECA&gt;0,_xlpm.Coniferous&gt;0,_xlpm.ReplaceReq&gt;0),
Error!$B$53,
IF(AND(_xlpm.baseRow,$G58="",$H58="",_xlpm.ECA&gt;0,_xlpm.ReplaceReq&gt;0),
Error!$B$39,
IF(AND(_xlpm.baseRow,$D58&lt;&gt;"",$E58&lt;&gt;"",$G58="",$H58="",_xlpm.Coniferous&gt;0,_xlpm.ReplaceReq&gt;0,_xlpm.ECA&gt;0),
Error!$B$50,
IF(AND(_xlpm.baseRow,$D58&lt;&gt;"",$E58&lt;&gt;"",$G58&lt;&gt;"",_xlpm.Street&gt;0,$G58&lt;2),
Error!$B$43,
IF(AND(_xlpm.baseRow,$D58&lt;&gt;"",$E58&lt;&gt;"",_xlpm.Green&gt;0,_xlpm.DecBroad&gt;0,$G58=""),
Error!$B$49,
IF(AND(_xlpm.baseRow,$D58&lt;&gt;"",$E58&lt;&gt;"",$H58&lt;&gt;"",$H58&lt;4,_xlpm.Green&gt;0,_xlpm.DecBroad&gt;0,$G58=""),
Error!$B$51,
IF(AND(_xlpm.baseRow,$D58&lt;&gt;"",$E58&lt;&gt;"",_xlpm.Green&gt;0,_xlpm.Coniferous&gt;0,$H58=""),
Error!$B$50,
IF(AND(_xlpm.baseRow,$D58&lt;&gt;"",$E58&lt;&gt;"",_xlpm.Points&gt;0,_xlpm.DecBroad&gt;0,$G58=""),
Error!$B$49,
IF(AND(_xlpm.baseRow,$D58&lt;&gt;"",$E58&lt;&gt;"",_xlpm.Points&gt;0,_xlpm.Coniferous&gt;0,$H58=""),
Error!$B$50,
IF(AND(_xlpm.baseRow,$D58&lt;&gt;"",$E58&lt;&gt;"",_xlpm.ReplaceReq&gt;0,_xlpm.DecBroad&gt;0,$G58=""),
Error!$B$49,
IF(AND(_xlpm.baseRow,$D58&lt;&gt;"",$E58&lt;&gt;"",_xlpm.ReplaceReq&gt;0,_xlpm.Coniferous&gt;0,$H58=""),
Error!$B$50,
IF(AND(_xlpm.baseRow,$D58&lt;&gt;"",$E58&lt;&gt;"",_xlpm.Street&gt;0,$G58=""),
Error!$B$49,
IF(AND(_xlpm.baseRow,$D58&lt;&gt;"",$E58&lt;&gt;"",$H58&lt;&gt;"",$H58&lt;4,OR(ISNA(MATCH($C58,'Tree List'!$C$3:$C$601,0)),$C58=""),_xlpm.Green&gt;0,COUNTA(_xlpm.FRange)&gt;0),
Error!$B$51,
IF(AND(_xlpm.baseRow,$D58&lt;&gt;"",$E58&lt;&gt;"",$H58&lt;&gt;"",$H58&lt;4,_xlpm.DecBroad&gt;0,_xlpm.Green&gt;0,COUNTA(_xlpm.FRange)&gt;0),
Error!$B$51,
IF(AND(_xlpm.baseRow,$D58&lt;&gt;"",$E58&lt;&gt;"",$G58="",$H58="",OR(_xlpm.ReplaceReq&gt;0,_xlpm.Green&gt;0,_xlpm.Points&gt;0,_xlpm.Street&gt;0)),
Error!$B$38,
IF(AND(_xlpm.baseRow,$D58&lt;&gt;"",$E58&lt;&gt;"",$H58&lt;&gt;"",$H58&lt;4,_xlpm.Street=0,_xlpm.Coniferous&gt;0,COUNTA(_xlpm.FRange)&gt;0),
Error!$B$32,
IF(AND(_xlpm.baseRow,_xlpm.DecBroad&gt;0,$D58&lt;&gt;"",$E58&lt;&gt;"",$G58&lt;&gt;"",$G58&lt;1.5,_xlpm.Street=0,COUNTA(_xlpm.FRange)&gt;0),
Error!$B$42,
IF(AND(_xlpm.baseRow,$I58="",$H58="",_xlpm.ECA&gt;0,_xlpm.ReplaceReq=0),
Error!$B$33,
IF(AND(_xlpm.baseRow,OR($J58="",$J58&lt;=0),_xlpm.ReplaceReq&gt;0),
Error!$B$34,
IF(AND(_xlpm.baseRow,$K58&lt;&gt;"",_xlpm.Points&gt;0,ISNA(MATCH($K58,Tables!$B$242:$B$253,0))),
Error!$B$58,
IF(AND($K58="Small",$L58&lt;&gt;"",ISNA(MATCH($L58,Tables2!$C$35:$C$36,0))),
Error!$B$60,
IF(AND($K58="Small/Medium",$L58&lt;&gt;"",ISNA(MATCH($L58,Tables2!$C$38:$C$39,0))),
Error!$B$60,
IF(AND($K58="Medium/Large",$L58&lt;&gt;"",ISNA(MATCH($L58,Tables2!$C$41:$C$42,0))),
Error!$B$60,
IF(AND($K58="Large",$L58&lt;&gt;"",ISNA(MATCH($L58,Tables2!$C$44:$C$45,0))),
Error!$B$60,
IF(AND(_xlpm.baseRow,$B58&lt;&gt;"", $C58&lt;&gt;"", $D58&lt;&gt;"", $E58&lt;&gt;"", OR($M58="",$K58="",$L58=""),_xlpm.Points&gt;0),
Error!$B$35,
IF(AND(_xlpm.baseRow,$D58&lt;&gt;"",$E58&lt;&gt;"",$N58=""),
Error!$B$36,
""))))))))))))))))))))))))))))))))))))))))))),Error!$B$37))</f>
        <v/>
      </c>
      <c r="P58" s="355" t="str" cm="1">
        <f t="array" aca="1" ref="P58" ca="1">IFERROR(_xlfn.LET(
    _xlpm.txt, $C58,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59" spans="1:16" ht="15" thickBot="1" x14ac:dyDescent="0.35">
      <c r="A59" s="437">
        <v>13</v>
      </c>
      <c r="B59" s="447"/>
      <c r="C59" s="444"/>
      <c r="D59" s="296"/>
      <c r="E59" s="296"/>
      <c r="F59" s="303"/>
      <c r="G59" s="257"/>
      <c r="H59" s="181"/>
      <c r="I59" s="178"/>
      <c r="J59" s="457"/>
      <c r="K59" s="172" t="str">
        <f>IFERROR(
IF(
    AND(
        MOD(ROW()-11,4)=0,
        COUNTIF(INDEX(F:F, 11 + 4*INT((ROW()-11)/4)):INDEX(F:F, 14 + 4*INT((ROW()-11)/4)),"Zoning: Tree Points")&gt;0,
        COUNTIFS('Tree List'!$C$3:$C$601,$C59,'Tree List'!$H$3:$H$601,"sp.")=0
    ),
    VLOOKUP($C59,'Tree List'!$C$3:$F$601,4,FALSE),
    ""
),
"")</f>
        <v/>
      </c>
      <c r="L59" s="173" t="str" cm="1">
        <f t="array" ref="L59">IFERROR(
IF(
    AND(
        COUNTIF(INDEX(F:F, 11 + 4*INT((ROW()-11)/4)):INDEX(F:F, 14 + 4*INT((ROW()-11)/4)),"Zoning: Tree Points")&gt;0,
        COUNTIFS('Tree List'!$C$3:$C$601,$C59,'Tree List'!$H$3:$H$601,"sp.")&gt;0
    ),
    "",
    _xlfn.IFS(
        (COUNTIFS('Tree List'!$C$3:$C$601,$C59,'Tree List'!$D$3:$D$601,"Coniferous")
        + COUNTIFS('Tree List'!$C$3:$C$601,$C59,'Tree List'!$D$3:$D$601,"Deciduous Conifer")) &gt; 0,
            _xlfn.IFS($K59="Small",1.25,$K59="Small/Medium",2.5,$K59="Medium/Large",3.75,$K59="Large",5),
        (COUNTIFS('Tree List'!$C$3:$C$601,$C59,'Tree List'!$D$3:$D$601,"Deciduous")
        + COUNTIFS('Tree List'!$C$3:$C$601,$C59,'Tree List'!$D$3:$D$601,"Broadleaf Evergreen")) &gt; 0,
            _xlfn.IFS($K59="Small",1,$K59="Small/Medium",2,$K59="Medium/Large",3,$K59="Large",4)
    )
),
"")</f>
        <v/>
      </c>
      <c r="M59" s="470" t="str">
        <f t="shared" ref="M59" si="7">IFERROR($L59*$N59,"")</f>
        <v/>
      </c>
      <c r="N59" s="744"/>
      <c r="O59" s="737" t="str" cm="1">
        <f t="array" aca="1" ref="O59"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List'!$C$3:$C$601,$C59,'Tree List'!$D$3:$D$601,{"Deciduous","Broadleaf Evergreen"})),
_xlpm.Coniferous,SUM(COUNTIFS('Tree List'!$C$3:$C$601,$C59,'Tree List'!$D$3:$D$601,{"Coniferous","Deciduous Conifer"})),
IFERROR(
IF(AND(_xlpm.baseRow,ISNA(MATCH($C59,'Tree List'!$C$3:$C$601,0)),SUMPRODUCT(--ISNUMBER(SEARCH(Tables2!$C$677:$C$825,$P59)))&gt;0),
Error!$B$64,
IF(AND(_xlpm.baseRow,COUNTIF(_xlpm.FRange,"ECA / Shoreline")&gt;0,$D59&lt;&gt;"",$E59&lt;&gt;"",$N59=""),
Error!$B$55,
IF(AND(_xlpm.baseRow,$D59&lt;&gt;"",$E59&lt;&gt;"",COUNTBLANK($B59:$C59)&gt;0,COUNTBLANK($F59:$F62)&lt;&gt;4),
Error!$B$22,
IF(AND(_xlpm.baseRow,$D59="Right-of-Way", $E59=""),
Error!$B$67,
IF(AND(_xlpm.baseRow,$D59&lt;&gt;"",ISNA(MATCH($D59,Tables2!$B$66:$B$68,0))),
Error!$B$63,
IF(AND(_xlpm.baseRow,$D59="Off Site",$E59&lt;&gt;"",$E59&lt;&gt;"Yes"),
Error!$B$28,
IF(AND(_xlpm.baseRow,OR($D59="On Site",$D59="Right-of-Way"),$E59&lt;&gt;"",ISNA(MATCH($E59,MultiSelect2[TreeMitigation],0))),
Error!$B$28,
IF(AND(_xlpm.baseRow,$D59&lt;&gt;"",$E59&lt;&gt;"",COUNTIF(_xlpm.FRange,"&lt;&gt;")=0),
Error!$B$26,
IF(AND($E59="No",$F59&lt;&gt;"",ISNA(MATCH($F59,Tables2!$B$55:$B$57,0))),
Error!$B$27,
IF(AND($E59="Yes",$F59&lt;&gt;"",ISNA(MATCH($F59,Tables2!$B$48:$B$52,0))),
Error!$B$27,
IF(AND($D59="Off Site",$E59="Yes",$F59&lt;&gt;"",ISNA(MATCH($F59,Tables2!$B$60:$B$62,0))),
Error!$B$27,
IF(AND(_xlpm.baseRow,_xlpm.Street&gt;0,_xlpm.ECA&gt;0),
Error!$B$29,
IF(AND(_xlpm.baseRow,_xlpm.Street&gt;0,_xlpm.Points&gt;0),
Error!$B$30,
IF(AND(_xlpm.baseRow,_xlpm.Street&gt;0,_xlpm.ReplaceReq&gt;0),
Error!$B$31,
IF(AND(_xlpm.baseRow,$D59&lt;&gt;"",$E59&lt;&gt;"",$G59&lt;&gt;"",_xlpm.DecBroad&gt;0,OR(_xlpm.Points&gt;0,_xlpm.Green&gt;0,_xlpm.ReplaceReq&gt;0),_xlpm.Street=0,$G59&lt;1.5),
Error!$B$42,
IF(AND(_xlpm.baseRow,$D59&lt;&gt;"",$E59&lt;&gt;"",$H59&lt;&gt;"",$H59&lt;4,_xlpm.Street&gt;0,_xlpm.Green&gt;0,COUNTA(_xlpm.FRange)&gt;0),
Error!$B$32,
IF(AND(_xlpm.baseRow,$G59="",_xlpm.ECA&gt;0,_xlpm.DecBroad&gt;0,_xlpm.ReplaceReq&gt;0),
Error!$B$52,
IF(AND(_xlpm.baseRow,$E59&lt;&gt;"", $H59="",_xlpm.ECA&gt;0,_xlpm.Coniferous&gt;0,_xlpm.ReplaceReq&gt;0),
Error!$B$53,
IF(AND(_xlpm.baseRow,$G59="",$H59="",_xlpm.ECA&gt;0,_xlpm.ReplaceReq&gt;0),
Error!$B$39,
IF(AND(_xlpm.baseRow,$D59&lt;&gt;"",$E59&lt;&gt;"",$G59="",$H59="",_xlpm.Coniferous&gt;0,_xlpm.ReplaceReq&gt;0,_xlpm.ECA&gt;0),
Error!$B$50,
IF(AND(_xlpm.baseRow,$D59&lt;&gt;"",$E59&lt;&gt;"",$G59&lt;&gt;"",_xlpm.Street&gt;0,$G59&lt;2),
Error!$B$43,
IF(AND(_xlpm.baseRow,$D59&lt;&gt;"",$E59&lt;&gt;"",_xlpm.Green&gt;0,_xlpm.DecBroad&gt;0,$G59=""),
Error!$B$49,
IF(AND(_xlpm.baseRow,$D59&lt;&gt;"",$E59&lt;&gt;"",$H59&lt;&gt;"",$H59&lt;4,_xlpm.Green&gt;0,_xlpm.DecBroad&gt;0,$G59=""),
Error!$B$51,
IF(AND(_xlpm.baseRow,$D59&lt;&gt;"",$E59&lt;&gt;"",_xlpm.Green&gt;0,_xlpm.Coniferous&gt;0,$H59=""),
Error!$B$50,
IF(AND(_xlpm.baseRow,$D59&lt;&gt;"",$E59&lt;&gt;"",_xlpm.Points&gt;0,_xlpm.DecBroad&gt;0,$G59=""),
Error!$B$49,
IF(AND(_xlpm.baseRow,$D59&lt;&gt;"",$E59&lt;&gt;"",_xlpm.Points&gt;0,_xlpm.Coniferous&gt;0,$H59=""),
Error!$B$50,
IF(AND(_xlpm.baseRow,$D59&lt;&gt;"",$E59&lt;&gt;"",_xlpm.ReplaceReq&gt;0,_xlpm.DecBroad&gt;0,$G59=""),
Error!$B$49,
IF(AND(_xlpm.baseRow,$D59&lt;&gt;"",$E59&lt;&gt;"",_xlpm.ReplaceReq&gt;0,_xlpm.Coniferous&gt;0,$H59=""),
Error!$B$50,
IF(AND(_xlpm.baseRow,$D59&lt;&gt;"",$E59&lt;&gt;"",_xlpm.Street&gt;0,$G59=""),
Error!$B$49,
IF(AND(_xlpm.baseRow,$D59&lt;&gt;"",$E59&lt;&gt;"",$H59&lt;&gt;"",$H59&lt;4,OR(ISNA(MATCH($C59,'Tree List'!$C$3:$C$601,0)),$C59=""),_xlpm.Green&gt;0,COUNTA(_xlpm.FRange)&gt;0),
Error!$B$51,
IF(AND(_xlpm.baseRow,$D59&lt;&gt;"",$E59&lt;&gt;"",$H59&lt;&gt;"",$H59&lt;4,_xlpm.DecBroad&gt;0,_xlpm.Green&gt;0,COUNTA(_xlpm.FRange)&gt;0),
Error!$B$51,
IF(AND(_xlpm.baseRow,$D59&lt;&gt;"",$E59&lt;&gt;"",$G59="",$H59="",OR(_xlpm.ReplaceReq&gt;0,_xlpm.Green&gt;0,_xlpm.Points&gt;0,_xlpm.Street&gt;0)),
Error!$B$38,
IF(AND(_xlpm.baseRow,$D59&lt;&gt;"",$E59&lt;&gt;"",$H59&lt;&gt;"",$H59&lt;4,_xlpm.Street=0,_xlpm.Coniferous&gt;0,COUNTA(_xlpm.FRange)&gt;0),
Error!$B$32,
IF(AND(_xlpm.baseRow,_xlpm.DecBroad&gt;0,$D59&lt;&gt;"",$E59&lt;&gt;"",$G59&lt;&gt;"",$G59&lt;1.5,_xlpm.Street=0,COUNTA(_xlpm.FRange)&gt;0),
Error!$B$42,
IF(AND(_xlpm.baseRow,$I59="",$H59="",_xlpm.ECA&gt;0,_xlpm.ReplaceReq=0),
Error!$B$33,
IF(AND(_xlpm.baseRow,OR($J59="",$J59&lt;=0),_xlpm.ReplaceReq&gt;0),
Error!$B$34,
IF(AND(_xlpm.baseRow,$K59&lt;&gt;"",_xlpm.Points&gt;0,ISNA(MATCH($K59,Tables!$B$242:$B$253,0))),
Error!$B$58,
IF(AND($K59="Small",$L59&lt;&gt;"",ISNA(MATCH($L59,Tables2!$C$35:$C$36,0))),
Error!$B$60,
IF(AND($K59="Small/Medium",$L59&lt;&gt;"",ISNA(MATCH($L59,Tables2!$C$38:$C$39,0))),
Error!$B$60,
IF(AND($K59="Medium/Large",$L59&lt;&gt;"",ISNA(MATCH($L59,Tables2!$C$41:$C$42,0))),
Error!$B$60,
IF(AND($K59="Large",$L59&lt;&gt;"",ISNA(MATCH($L59,Tables2!$C$44:$C$45,0))),
Error!$B$60,
IF(AND(_xlpm.baseRow,$B59&lt;&gt;"", $C59&lt;&gt;"", $D59&lt;&gt;"", $E59&lt;&gt;"", OR($M59="",$K59="",$L59=""),_xlpm.Points&gt;0),
Error!$B$35,
IF(AND(_xlpm.baseRow,$D59&lt;&gt;"",$E59&lt;&gt;"",$N59=""),
Error!$B$36,
""))))))))))))))))))))))))))))))))))))))))))),Error!$B$37))</f>
        <v/>
      </c>
      <c r="P59" s="355" t="str" cm="1">
        <f t="array" aca="1" ref="P59" ca="1">IFERROR(_xlfn.LET(
    _xlpm.txt, $C59,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0" spans="1:16" x14ac:dyDescent="0.3">
      <c r="A60" s="297"/>
      <c r="B60" s="439" t="str">
        <f t="shared" ref="B60" si="8">IF($B59="", "", $B59)</f>
        <v/>
      </c>
      <c r="C60" s="309"/>
      <c r="D60" s="157" t="str">
        <f t="shared" ref="D60" si="9">IF($D59="", "", $D59)</f>
        <v/>
      </c>
      <c r="E60" s="157" t="str">
        <f t="shared" ref="E60" si="10">IF($E59="", "", $E59)</f>
        <v/>
      </c>
      <c r="F60" s="300"/>
      <c r="G60" s="159"/>
      <c r="H60" s="182"/>
      <c r="I60" s="179"/>
      <c r="J60" s="458"/>
      <c r="K60" s="174" t="str">
        <f>IFERROR(
IF(
    AND(
        MOD(ROW()-11,4)=0,
        COUNTIF(INDEX(F:F, 11 + 4*INT((ROW()-11)/4)):INDEX(F:F, 14 + 4*INT((ROW()-11)/4)),"Zoning: Tree Points")&gt;0,
        COUNTIFS('Tree List'!$C$3:$C$601,$C60,'Tree List'!$H$3:$H$601,"sp.")=0
    ),
    VLOOKUP($C60,'Tree List'!$C$3:$F$601,4,FALSE),
    ""
),
"")</f>
        <v/>
      </c>
      <c r="L60" s="175" t="str" cm="1">
        <f t="array" ref="L60">IFERROR(
IF(
    AND(
        COUNTIF(INDEX(F:F, 11 + 4*INT((ROW()-11)/4)):INDEX(F:F, 14 + 4*INT((ROW()-11)/4)),"Zoning: Tree Points")&gt;0,
        COUNTIFS('Tree List'!$C$3:$C$601,$C60,'Tree List'!$H$3:$H$601,"sp.")&gt;0
    ),
    "",
    _xlfn.IFS(
        (COUNTIFS('Tree List'!$C$3:$C$601,$C60,'Tree List'!$D$3:$D$601,"Coniferous")
        + COUNTIFS('Tree List'!$C$3:$C$601,$C60,'Tree List'!$D$3:$D$601,"Deciduous Conifer")) &gt; 0,
            _xlfn.IFS($K60="Small",1.25,$K60="Small/Medium",2.5,$K60="Medium/Large",3.75,$K60="Large",5),
        (COUNTIFS('Tree List'!$C$3:$C$601,$C60,'Tree List'!$D$3:$D$601,"Deciduous")
        + COUNTIFS('Tree List'!$C$3:$C$601,$C60,'Tree List'!$D$3:$D$601,"Broadleaf Evergreen")) &gt; 0,
            _xlfn.IFS($K60="Small",1,$K60="Small/Medium",2,$K60="Medium/Large",3,$K60="Large",4)
    )
),
"")</f>
        <v/>
      </c>
      <c r="M60" s="471" t="str">
        <f t="shared" ref="M60:M62" si="11">IFERROR($L60*$N60,"")</f>
        <v/>
      </c>
      <c r="N60" s="434"/>
      <c r="O60" s="340" t="str" cm="1">
        <f t="array" aca="1" ref="O60"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List'!$C$3:$C$601,$C60,'Tree List'!$D$3:$D$601,{"Deciduous","Broadleaf Evergreen"})),
_xlpm.Coniferous,SUM(COUNTIFS('Tree List'!$C$3:$C$601,$C60,'Tree List'!$D$3:$D$601,{"Coniferous","Deciduous Conifer"})),
IFERROR(
IF(AND(_xlpm.baseRow,ISNA(MATCH($C60,'Tree List'!$C$3:$C$601,0)),SUMPRODUCT(--ISNUMBER(SEARCH(Tables2!$C$677:$C$825,$P60)))&gt;0),
Error!$B$64,
IF(AND(_xlpm.baseRow,COUNTIF(_xlpm.FRange,"ECA / Shoreline")&gt;0,$D60&lt;&gt;"",$E60&lt;&gt;"",$N60=""),
Error!$B$55,
IF(AND(_xlpm.baseRow,$D60&lt;&gt;"",$E60&lt;&gt;"",COUNTBLANK($B60:$C60)&gt;0,COUNTBLANK($F60:$F63)&lt;&gt;4),
Error!$B$22,
IF(AND(_xlpm.baseRow,$D60="Right-of-Way", $E60=""),
Error!$B$67,
IF(AND(_xlpm.baseRow,$D60&lt;&gt;"",ISNA(MATCH($D60,Tables2!$B$66:$B$68,0))),
Error!$B$63,
IF(AND(_xlpm.baseRow,$D60="Off Site",$E60&lt;&gt;"",$E60&lt;&gt;"Yes"),
Error!$B$28,
IF(AND(_xlpm.baseRow,OR($D60="On Site",$D60="Right-of-Way"),$E60&lt;&gt;"",ISNA(MATCH($E60,MultiSelect2[TreeMitigation],0))),
Error!$B$28,
IF(AND(_xlpm.baseRow,$D60&lt;&gt;"",$E60&lt;&gt;"",COUNTIF(_xlpm.FRange,"&lt;&gt;")=0),
Error!$B$26,
IF(AND($E60="No",$F60&lt;&gt;"",ISNA(MATCH($F60,Tables2!$B$55:$B$57,0))),
Error!$B$27,
IF(AND($E60="Yes",$F60&lt;&gt;"",ISNA(MATCH($F60,Tables2!$B$48:$B$52,0))),
Error!$B$27,
IF(AND($D60="Off Site",$E60="Yes",$F60&lt;&gt;"",ISNA(MATCH($F60,Tables2!$B$60:$B$62,0))),
Error!$B$27,
IF(AND(_xlpm.baseRow,_xlpm.Street&gt;0,_xlpm.ECA&gt;0),
Error!$B$29,
IF(AND(_xlpm.baseRow,_xlpm.Street&gt;0,_xlpm.Points&gt;0),
Error!$B$30,
IF(AND(_xlpm.baseRow,_xlpm.Street&gt;0,_xlpm.ReplaceReq&gt;0),
Error!$B$31,
IF(AND(_xlpm.baseRow,$D60&lt;&gt;"",$E60&lt;&gt;"",$G60&lt;&gt;"",_xlpm.DecBroad&gt;0,OR(_xlpm.Points&gt;0,_xlpm.Green&gt;0,_xlpm.ReplaceReq&gt;0),_xlpm.Street=0,$G60&lt;1.5),
Error!$B$42,
IF(AND(_xlpm.baseRow,$D60&lt;&gt;"",$E60&lt;&gt;"",$H60&lt;&gt;"",$H60&lt;4,_xlpm.Street&gt;0,_xlpm.Green&gt;0,COUNTA(_xlpm.FRange)&gt;0),
Error!$B$32,
IF(AND(_xlpm.baseRow,$G60="",_xlpm.ECA&gt;0,_xlpm.DecBroad&gt;0,_xlpm.ReplaceReq&gt;0),
Error!$B$52,
IF(AND(_xlpm.baseRow,$E60&lt;&gt;"", $H60="",_xlpm.ECA&gt;0,_xlpm.Coniferous&gt;0,_xlpm.ReplaceReq&gt;0),
Error!$B$53,
IF(AND(_xlpm.baseRow,$G60="",$H60="",_xlpm.ECA&gt;0,_xlpm.ReplaceReq&gt;0),
Error!$B$39,
IF(AND(_xlpm.baseRow,$D60&lt;&gt;"",$E60&lt;&gt;"",$G60="",$H60="",_xlpm.Coniferous&gt;0,_xlpm.ReplaceReq&gt;0,_xlpm.ECA&gt;0),
Error!$B$50,
IF(AND(_xlpm.baseRow,$D60&lt;&gt;"",$E60&lt;&gt;"",$G60&lt;&gt;"",_xlpm.Street&gt;0,$G60&lt;2),
Error!$B$43,
IF(AND(_xlpm.baseRow,$D60&lt;&gt;"",$E60&lt;&gt;"",_xlpm.Green&gt;0,_xlpm.DecBroad&gt;0,$G60=""),
Error!$B$49,
IF(AND(_xlpm.baseRow,$D60&lt;&gt;"",$E60&lt;&gt;"",$H60&lt;&gt;"",$H60&lt;4,_xlpm.Green&gt;0,_xlpm.DecBroad&gt;0,$G60=""),
Error!$B$51,
IF(AND(_xlpm.baseRow,$D60&lt;&gt;"",$E60&lt;&gt;"",_xlpm.Green&gt;0,_xlpm.Coniferous&gt;0,$H60=""),
Error!$B$50,
IF(AND(_xlpm.baseRow,$D60&lt;&gt;"",$E60&lt;&gt;"",_xlpm.Points&gt;0,_xlpm.DecBroad&gt;0,$G60=""),
Error!$B$49,
IF(AND(_xlpm.baseRow,$D60&lt;&gt;"",$E60&lt;&gt;"",_xlpm.Points&gt;0,_xlpm.Coniferous&gt;0,$H60=""),
Error!$B$50,
IF(AND(_xlpm.baseRow,$D60&lt;&gt;"",$E60&lt;&gt;"",_xlpm.ReplaceReq&gt;0,_xlpm.DecBroad&gt;0,$G60=""),
Error!$B$49,
IF(AND(_xlpm.baseRow,$D60&lt;&gt;"",$E60&lt;&gt;"",_xlpm.ReplaceReq&gt;0,_xlpm.Coniferous&gt;0,$H60=""),
Error!$B$50,
IF(AND(_xlpm.baseRow,$D60&lt;&gt;"",$E60&lt;&gt;"",_xlpm.Street&gt;0,$G60=""),
Error!$B$49,
IF(AND(_xlpm.baseRow,$D60&lt;&gt;"",$E60&lt;&gt;"",$H60&lt;&gt;"",$H60&lt;4,OR(ISNA(MATCH($C60,'Tree List'!$C$3:$C$601,0)),$C60=""),_xlpm.Green&gt;0,COUNTA(_xlpm.FRange)&gt;0),
Error!$B$51,
IF(AND(_xlpm.baseRow,$D60&lt;&gt;"",$E60&lt;&gt;"",$H60&lt;&gt;"",$H60&lt;4,_xlpm.DecBroad&gt;0,_xlpm.Green&gt;0,COUNTA(_xlpm.FRange)&gt;0),
Error!$B$51,
IF(AND(_xlpm.baseRow,$D60&lt;&gt;"",$E60&lt;&gt;"",$G60="",$H60="",OR(_xlpm.ReplaceReq&gt;0,_xlpm.Green&gt;0,_xlpm.Points&gt;0,_xlpm.Street&gt;0)),
Error!$B$38,
IF(AND(_xlpm.baseRow,$D60&lt;&gt;"",$E60&lt;&gt;"",$H60&lt;&gt;"",$H60&lt;4,_xlpm.Street=0,_xlpm.Coniferous&gt;0,COUNTA(_xlpm.FRange)&gt;0),
Error!$B$32,
IF(AND(_xlpm.baseRow,_xlpm.DecBroad&gt;0,$D60&lt;&gt;"",$E60&lt;&gt;"",$G60&lt;&gt;"",$G60&lt;1.5,_xlpm.Street=0,COUNTA(_xlpm.FRange)&gt;0),
Error!$B$42,
IF(AND(_xlpm.baseRow,$I60="",$H60="",_xlpm.ECA&gt;0,_xlpm.ReplaceReq=0),
Error!$B$33,
IF(AND(_xlpm.baseRow,OR($J60="",$J60&lt;=0),_xlpm.ReplaceReq&gt;0),
Error!$B$34,
IF(AND(_xlpm.baseRow,$K60&lt;&gt;"",_xlpm.Points&gt;0,ISNA(MATCH($K60,Tables!$B$242:$B$253,0))),
Error!$B$58,
IF(AND($K60="Small",$L60&lt;&gt;"",ISNA(MATCH($L60,Tables2!$C$35:$C$36,0))),
Error!$B$60,
IF(AND($K60="Small/Medium",$L60&lt;&gt;"",ISNA(MATCH($L60,Tables2!$C$38:$C$39,0))),
Error!$B$60,
IF(AND($K60="Medium/Large",$L60&lt;&gt;"",ISNA(MATCH($L60,Tables2!$C$41:$C$42,0))),
Error!$B$60,
IF(AND($K60="Large",$L60&lt;&gt;"",ISNA(MATCH($L60,Tables2!$C$44:$C$45,0))),
Error!$B$60,
IF(AND(_xlpm.baseRow,$B60&lt;&gt;"", $C60&lt;&gt;"", $D60&lt;&gt;"", $E60&lt;&gt;"", OR($M60="",$K60="",$L60=""),_xlpm.Points&gt;0),
Error!$B$35,
IF(AND(_xlpm.baseRow,$D60&lt;&gt;"",$E60&lt;&gt;"",$N60=""),
Error!$B$36,
""))))))))))))))))))))))))))))))))))))))))))),Error!$B$37))</f>
        <v/>
      </c>
      <c r="P60" s="355" t="str" cm="1">
        <f t="array" aca="1" ref="P60" ca="1">IFERROR(_xlfn.LET(
    _xlpm.txt, $C60,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1" spans="1:16" x14ac:dyDescent="0.3">
      <c r="A61" s="297"/>
      <c r="B61" s="439" t="str">
        <f t="shared" ref="B61" si="12">IF($B59="", "", $B59)</f>
        <v/>
      </c>
      <c r="C61" s="438"/>
      <c r="D61" s="439" t="str">
        <f t="shared" ref="D61" si="13">IF($D59="", "", $D59)</f>
        <v/>
      </c>
      <c r="E61" s="439" t="str">
        <f t="shared" ref="E61" si="14">IF($E59="", "", $E59)</f>
        <v/>
      </c>
      <c r="F61" s="300"/>
      <c r="G61" s="160"/>
      <c r="H61" s="440"/>
      <c r="I61" s="441"/>
      <c r="J61" s="459"/>
      <c r="K61" s="442" t="str">
        <f>IFERROR(
IF(
    AND(
        MOD(ROW()-11,4)=0,
        COUNTIF(INDEX(F:F, 11 + 4*INT((ROW()-11)/4)):INDEX(F:F, 14 + 4*INT((ROW()-11)/4)),"Zoning: Tree Points")&gt;0,
        COUNTIFS('Tree List'!$C$3:$C$601,$C61,'Tree List'!$H$3:$H$601,"sp.")=0
    ),
    VLOOKUP($C61,'Tree List'!$C$3:$F$601,4,FALSE),
    ""
),
"")</f>
        <v/>
      </c>
      <c r="L61" s="443" t="str" cm="1">
        <f t="array" ref="L61">IFERROR(
IF(
    AND(
        COUNTIF(INDEX(F:F, 11 + 4*INT((ROW()-11)/4)):INDEX(F:F, 14 + 4*INT((ROW()-11)/4)),"Zoning: Tree Points")&gt;0,
        COUNTIFS('Tree List'!$C$3:$C$601,$C61,'Tree List'!$H$3:$H$601,"sp.")&gt;0
    ),
    "",
    _xlfn.IFS(
        (COUNTIFS('Tree List'!$C$3:$C$601,$C61,'Tree List'!$D$3:$D$601,"Coniferous")
        + COUNTIFS('Tree List'!$C$3:$C$601,$C61,'Tree List'!$D$3:$D$601,"Deciduous Conifer")) &gt; 0,
            _xlfn.IFS($K61="Small",1.25,$K61="Small/Medium",2.5,$K61="Medium/Large",3.75,$K61="Large",5),
        (COUNTIFS('Tree List'!$C$3:$C$601,$C61,'Tree List'!$D$3:$D$601,"Deciduous")
        + COUNTIFS('Tree List'!$C$3:$C$601,$C61,'Tree List'!$D$3:$D$601,"Broadleaf Evergreen")) &gt; 0,
            _xlfn.IFS($K61="Small",1,$K61="Small/Medium",2,$K61="Medium/Large",3,$K61="Large",4)
    )
),
"")</f>
        <v/>
      </c>
      <c r="M61" s="472" t="str">
        <f t="shared" si="11"/>
        <v/>
      </c>
      <c r="N61" s="434"/>
      <c r="O61" s="340" t="str" cm="1">
        <f t="array" aca="1" ref="O61"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List'!$C$3:$C$601,$C61,'Tree List'!$D$3:$D$601,{"Deciduous","Broadleaf Evergreen"})),
_xlpm.Coniferous,SUM(COUNTIFS('Tree List'!$C$3:$C$601,$C61,'Tree List'!$D$3:$D$601,{"Coniferous","Deciduous Conifer"})),
IFERROR(
IF(AND(_xlpm.baseRow,ISNA(MATCH($C61,'Tree List'!$C$3:$C$601,0)),SUMPRODUCT(--ISNUMBER(SEARCH(Tables2!$C$677:$C$825,$P61)))&gt;0),
Error!$B$64,
IF(AND(_xlpm.baseRow,COUNTIF(_xlpm.FRange,"ECA / Shoreline")&gt;0,$D61&lt;&gt;"",$E61&lt;&gt;"",$N61=""),
Error!$B$55,
IF(AND(_xlpm.baseRow,$D61&lt;&gt;"",$E61&lt;&gt;"",COUNTBLANK($B61:$C61)&gt;0,COUNTBLANK($F61:$F64)&lt;&gt;4),
Error!$B$22,
IF(AND(_xlpm.baseRow,$D61="Right-of-Way", $E61=""),
Error!$B$67,
IF(AND(_xlpm.baseRow,$D61&lt;&gt;"",ISNA(MATCH($D61,Tables2!$B$66:$B$68,0))),
Error!$B$63,
IF(AND(_xlpm.baseRow,$D61="Off Site",$E61&lt;&gt;"",$E61&lt;&gt;"Yes"),
Error!$B$28,
IF(AND(_xlpm.baseRow,OR($D61="On Site",$D61="Right-of-Way"),$E61&lt;&gt;"",ISNA(MATCH($E61,MultiSelect2[TreeMitigation],0))),
Error!$B$28,
IF(AND(_xlpm.baseRow,$D61&lt;&gt;"",$E61&lt;&gt;"",COUNTIF(_xlpm.FRange,"&lt;&gt;")=0),
Error!$B$26,
IF(AND($E61="No",$F61&lt;&gt;"",ISNA(MATCH($F61,Tables2!$B$55:$B$57,0))),
Error!$B$27,
IF(AND($E61="Yes",$F61&lt;&gt;"",ISNA(MATCH($F61,Tables2!$B$48:$B$52,0))),
Error!$B$27,
IF(AND($D61="Off Site",$E61="Yes",$F61&lt;&gt;"",ISNA(MATCH($F61,Tables2!$B$60:$B$62,0))),
Error!$B$27,
IF(AND(_xlpm.baseRow,_xlpm.Street&gt;0,_xlpm.ECA&gt;0),
Error!$B$29,
IF(AND(_xlpm.baseRow,_xlpm.Street&gt;0,_xlpm.Points&gt;0),
Error!$B$30,
IF(AND(_xlpm.baseRow,_xlpm.Street&gt;0,_xlpm.ReplaceReq&gt;0),
Error!$B$31,
IF(AND(_xlpm.baseRow,$D61&lt;&gt;"",$E61&lt;&gt;"",$G61&lt;&gt;"",_xlpm.DecBroad&gt;0,OR(_xlpm.Points&gt;0,_xlpm.Green&gt;0,_xlpm.ReplaceReq&gt;0),_xlpm.Street=0,$G61&lt;1.5),
Error!$B$42,
IF(AND(_xlpm.baseRow,$D61&lt;&gt;"",$E61&lt;&gt;"",$H61&lt;&gt;"",$H61&lt;4,_xlpm.Street&gt;0,_xlpm.Green&gt;0,COUNTA(_xlpm.FRange)&gt;0),
Error!$B$32,
IF(AND(_xlpm.baseRow,$G61="",_xlpm.ECA&gt;0,_xlpm.DecBroad&gt;0,_xlpm.ReplaceReq&gt;0),
Error!$B$52,
IF(AND(_xlpm.baseRow,$E61&lt;&gt;"", $H61="",_xlpm.ECA&gt;0,_xlpm.Coniferous&gt;0,_xlpm.ReplaceReq&gt;0),
Error!$B$53,
IF(AND(_xlpm.baseRow,$G61="",$H61="",_xlpm.ECA&gt;0,_xlpm.ReplaceReq&gt;0),
Error!$B$39,
IF(AND(_xlpm.baseRow,$D61&lt;&gt;"",$E61&lt;&gt;"",$G61="",$H61="",_xlpm.Coniferous&gt;0,_xlpm.ReplaceReq&gt;0,_xlpm.ECA&gt;0),
Error!$B$50,
IF(AND(_xlpm.baseRow,$D61&lt;&gt;"",$E61&lt;&gt;"",$G61&lt;&gt;"",_xlpm.Street&gt;0,$G61&lt;2),
Error!$B$43,
IF(AND(_xlpm.baseRow,$D61&lt;&gt;"",$E61&lt;&gt;"",_xlpm.Green&gt;0,_xlpm.DecBroad&gt;0,$G61=""),
Error!$B$49,
IF(AND(_xlpm.baseRow,$D61&lt;&gt;"",$E61&lt;&gt;"",$H61&lt;&gt;"",$H61&lt;4,_xlpm.Green&gt;0,_xlpm.DecBroad&gt;0,$G61=""),
Error!$B$51,
IF(AND(_xlpm.baseRow,$D61&lt;&gt;"",$E61&lt;&gt;"",_xlpm.Green&gt;0,_xlpm.Coniferous&gt;0,$H61=""),
Error!$B$50,
IF(AND(_xlpm.baseRow,$D61&lt;&gt;"",$E61&lt;&gt;"",_xlpm.Points&gt;0,_xlpm.DecBroad&gt;0,$G61=""),
Error!$B$49,
IF(AND(_xlpm.baseRow,$D61&lt;&gt;"",$E61&lt;&gt;"",_xlpm.Points&gt;0,_xlpm.Coniferous&gt;0,$H61=""),
Error!$B$50,
IF(AND(_xlpm.baseRow,$D61&lt;&gt;"",$E61&lt;&gt;"",_xlpm.ReplaceReq&gt;0,_xlpm.DecBroad&gt;0,$G61=""),
Error!$B$49,
IF(AND(_xlpm.baseRow,$D61&lt;&gt;"",$E61&lt;&gt;"",_xlpm.ReplaceReq&gt;0,_xlpm.Coniferous&gt;0,$H61=""),
Error!$B$50,
IF(AND(_xlpm.baseRow,$D61&lt;&gt;"",$E61&lt;&gt;"",_xlpm.Street&gt;0,$G61=""),
Error!$B$49,
IF(AND(_xlpm.baseRow,$D61&lt;&gt;"",$E61&lt;&gt;"",$H61&lt;&gt;"",$H61&lt;4,OR(ISNA(MATCH($C61,'Tree List'!$C$3:$C$601,0)),$C61=""),_xlpm.Green&gt;0,COUNTA(_xlpm.FRange)&gt;0),
Error!$B$51,
IF(AND(_xlpm.baseRow,$D61&lt;&gt;"",$E61&lt;&gt;"",$H61&lt;&gt;"",$H61&lt;4,_xlpm.DecBroad&gt;0,_xlpm.Green&gt;0,COUNTA(_xlpm.FRange)&gt;0),
Error!$B$51,
IF(AND(_xlpm.baseRow,$D61&lt;&gt;"",$E61&lt;&gt;"",$G61="",$H61="",OR(_xlpm.ReplaceReq&gt;0,_xlpm.Green&gt;0,_xlpm.Points&gt;0,_xlpm.Street&gt;0)),
Error!$B$38,
IF(AND(_xlpm.baseRow,$D61&lt;&gt;"",$E61&lt;&gt;"",$H61&lt;&gt;"",$H61&lt;4,_xlpm.Street=0,_xlpm.Coniferous&gt;0,COUNTA(_xlpm.FRange)&gt;0),
Error!$B$32,
IF(AND(_xlpm.baseRow,_xlpm.DecBroad&gt;0,$D61&lt;&gt;"",$E61&lt;&gt;"",$G61&lt;&gt;"",$G61&lt;1.5,_xlpm.Street=0,COUNTA(_xlpm.FRange)&gt;0),
Error!$B$42,
IF(AND(_xlpm.baseRow,$I61="",$H61="",_xlpm.ECA&gt;0,_xlpm.ReplaceReq=0),
Error!$B$33,
IF(AND(_xlpm.baseRow,OR($J61="",$J61&lt;=0),_xlpm.ReplaceReq&gt;0),
Error!$B$34,
IF(AND(_xlpm.baseRow,$K61&lt;&gt;"",_xlpm.Points&gt;0,ISNA(MATCH($K61,Tables!$B$242:$B$253,0))),
Error!$B$58,
IF(AND($K61="Small",$L61&lt;&gt;"",ISNA(MATCH($L61,Tables2!$C$35:$C$36,0))),
Error!$B$60,
IF(AND($K61="Small/Medium",$L61&lt;&gt;"",ISNA(MATCH($L61,Tables2!$C$38:$C$39,0))),
Error!$B$60,
IF(AND($K61="Medium/Large",$L61&lt;&gt;"",ISNA(MATCH($L61,Tables2!$C$41:$C$42,0))),
Error!$B$60,
IF(AND($K61="Large",$L61&lt;&gt;"",ISNA(MATCH($L61,Tables2!$C$44:$C$45,0))),
Error!$B$60,
IF(AND(_xlpm.baseRow,$B61&lt;&gt;"", $C61&lt;&gt;"", $D61&lt;&gt;"", $E61&lt;&gt;"", OR($M61="",$K61="",$L61=""),_xlpm.Points&gt;0),
Error!$B$35,
IF(AND(_xlpm.baseRow,$D61&lt;&gt;"",$E61&lt;&gt;"",$N61=""),
Error!$B$36,
""))))))))))))))))))))))))))))))))))))))))))),Error!$B$37))</f>
        <v/>
      </c>
      <c r="P61" s="355" t="str" cm="1">
        <f t="array" aca="1" ref="P61" ca="1">IFERROR(_xlfn.LET(
    _xlpm.txt, $C61,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2" spans="1:16" ht="15" thickBot="1" x14ac:dyDescent="0.35">
      <c r="A62" s="298"/>
      <c r="B62" s="439" t="str">
        <f t="shared" ref="B62" si="15">IF($B59="", "", $B59)</f>
        <v/>
      </c>
      <c r="C62" s="310"/>
      <c r="D62" s="154" t="str">
        <f t="shared" ref="D62" si="16">IF($D59="", "", $D59)</f>
        <v/>
      </c>
      <c r="E62" s="154" t="str">
        <f t="shared" ref="E62" si="17">IF($E59="", "", $E59)</f>
        <v/>
      </c>
      <c r="F62" s="302"/>
      <c r="G62" s="161"/>
      <c r="H62" s="183"/>
      <c r="I62" s="180"/>
      <c r="J62" s="460"/>
      <c r="K62" s="176" t="str">
        <f>IFERROR(
IF(
    AND(
        MOD(ROW()-11,4)=0,
        COUNTIF(INDEX(F:F, 11 + 4*INT((ROW()-11)/4)):INDEX(F:F, 14 + 4*INT((ROW()-11)/4)),"Zoning: Tree Points")&gt;0,
        COUNTIFS('Tree List'!$C$3:$C$601,$C62,'Tree List'!$H$3:$H$601,"sp.")=0
    ),
    VLOOKUP($C62,'Tree List'!$C$3:$F$601,4,FALSE),
    ""
),
"")</f>
        <v/>
      </c>
      <c r="L62" s="177" t="str" cm="1">
        <f t="array" ref="L62">IFERROR(
IF(
    AND(
        COUNTIF(INDEX(F:F, 11 + 4*INT((ROW()-11)/4)):INDEX(F:F, 14 + 4*INT((ROW()-11)/4)),"Zoning: Tree Points")&gt;0,
        COUNTIFS('Tree List'!$C$3:$C$601,$C62,'Tree List'!$H$3:$H$601,"sp.")&gt;0
    ),
    "",
    _xlfn.IFS(
        (COUNTIFS('Tree List'!$C$3:$C$601,$C62,'Tree List'!$D$3:$D$601,"Coniferous")
        + COUNTIFS('Tree List'!$C$3:$C$601,$C62,'Tree List'!$D$3:$D$601,"Deciduous Conifer")) &gt; 0,
            _xlfn.IFS($K62="Small",1.25,$K62="Small/Medium",2.5,$K62="Medium/Large",3.75,$K62="Large",5),
        (COUNTIFS('Tree List'!$C$3:$C$601,$C62,'Tree List'!$D$3:$D$601,"Deciduous")
        + COUNTIFS('Tree List'!$C$3:$C$601,$C62,'Tree List'!$D$3:$D$601,"Broadleaf Evergreen")) &gt; 0,
            _xlfn.IFS($K62="Small",1,$K62="Small/Medium",2,$K62="Medium/Large",3,$K62="Large",4)
    )
),
"")</f>
        <v/>
      </c>
      <c r="M62" s="473" t="str">
        <f t="shared" si="11"/>
        <v/>
      </c>
      <c r="N62" s="435"/>
      <c r="O62" s="341" t="str" cm="1">
        <f t="array" aca="1" ref="O62"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List'!$C$3:$C$601,$C62,'Tree List'!$D$3:$D$601,{"Deciduous","Broadleaf Evergreen"})),
_xlpm.Coniferous,SUM(COUNTIFS('Tree List'!$C$3:$C$601,$C62,'Tree List'!$D$3:$D$601,{"Coniferous","Deciduous Conifer"})),
IFERROR(
IF(AND(_xlpm.baseRow,ISNA(MATCH($C62,'Tree List'!$C$3:$C$601,0)),SUMPRODUCT(--ISNUMBER(SEARCH(Tables2!$C$677:$C$825,$P62)))&gt;0),
Error!$B$64,
IF(AND(_xlpm.baseRow,COUNTIF(_xlpm.FRange,"ECA / Shoreline")&gt;0,$D62&lt;&gt;"",$E62&lt;&gt;"",$N62=""),
Error!$B$55,
IF(AND(_xlpm.baseRow,$D62&lt;&gt;"",$E62&lt;&gt;"",COUNTBLANK($B62:$C62)&gt;0,COUNTBLANK($F62:$F65)&lt;&gt;4),
Error!$B$22,
IF(AND(_xlpm.baseRow,$D62="Right-of-Way", $E62=""),
Error!$B$67,
IF(AND(_xlpm.baseRow,$D62&lt;&gt;"",ISNA(MATCH($D62,Tables2!$B$66:$B$68,0))),
Error!$B$63,
IF(AND(_xlpm.baseRow,$D62="Off Site",$E62&lt;&gt;"",$E62&lt;&gt;"Yes"),
Error!$B$28,
IF(AND(_xlpm.baseRow,OR($D62="On Site",$D62="Right-of-Way"),$E62&lt;&gt;"",ISNA(MATCH($E62,MultiSelect2[TreeMitigation],0))),
Error!$B$28,
IF(AND(_xlpm.baseRow,$D62&lt;&gt;"",$E62&lt;&gt;"",COUNTIF(_xlpm.FRange,"&lt;&gt;")=0),
Error!$B$26,
IF(AND($E62="No",$F62&lt;&gt;"",ISNA(MATCH($F62,Tables2!$B$55:$B$57,0))),
Error!$B$27,
IF(AND($E62="Yes",$F62&lt;&gt;"",ISNA(MATCH($F62,Tables2!$B$48:$B$52,0))),
Error!$B$27,
IF(AND($D62="Off Site",$E62="Yes",$F62&lt;&gt;"",ISNA(MATCH($F62,Tables2!$B$60:$B$62,0))),
Error!$B$27,
IF(AND(_xlpm.baseRow,_xlpm.Street&gt;0,_xlpm.ECA&gt;0),
Error!$B$29,
IF(AND(_xlpm.baseRow,_xlpm.Street&gt;0,_xlpm.Points&gt;0),
Error!$B$30,
IF(AND(_xlpm.baseRow,_xlpm.Street&gt;0,_xlpm.ReplaceReq&gt;0),
Error!$B$31,
IF(AND(_xlpm.baseRow,$D62&lt;&gt;"",$E62&lt;&gt;"",$G62&lt;&gt;"",_xlpm.DecBroad&gt;0,OR(_xlpm.Points&gt;0,_xlpm.Green&gt;0,_xlpm.ReplaceReq&gt;0),_xlpm.Street=0,$G62&lt;1.5),
Error!$B$42,
IF(AND(_xlpm.baseRow,$D62&lt;&gt;"",$E62&lt;&gt;"",$H62&lt;&gt;"",$H62&lt;4,_xlpm.Street&gt;0,_xlpm.Green&gt;0,COUNTA(_xlpm.FRange)&gt;0),
Error!$B$32,
IF(AND(_xlpm.baseRow,$G62="",_xlpm.ECA&gt;0,_xlpm.DecBroad&gt;0,_xlpm.ReplaceReq&gt;0),
Error!$B$52,
IF(AND(_xlpm.baseRow,$E62&lt;&gt;"", $H62="",_xlpm.ECA&gt;0,_xlpm.Coniferous&gt;0,_xlpm.ReplaceReq&gt;0),
Error!$B$53,
IF(AND(_xlpm.baseRow,$G62="",$H62="",_xlpm.ECA&gt;0,_xlpm.ReplaceReq&gt;0),
Error!$B$39,
IF(AND(_xlpm.baseRow,$D62&lt;&gt;"",$E62&lt;&gt;"",$G62="",$H62="",_xlpm.Coniferous&gt;0,_xlpm.ReplaceReq&gt;0,_xlpm.ECA&gt;0),
Error!$B$50,
IF(AND(_xlpm.baseRow,$D62&lt;&gt;"",$E62&lt;&gt;"",$G62&lt;&gt;"",_xlpm.Street&gt;0,$G62&lt;2),
Error!$B$43,
IF(AND(_xlpm.baseRow,$D62&lt;&gt;"",$E62&lt;&gt;"",_xlpm.Green&gt;0,_xlpm.DecBroad&gt;0,$G62=""),
Error!$B$49,
IF(AND(_xlpm.baseRow,$D62&lt;&gt;"",$E62&lt;&gt;"",$H62&lt;&gt;"",$H62&lt;4,_xlpm.Green&gt;0,_xlpm.DecBroad&gt;0,$G62=""),
Error!$B$51,
IF(AND(_xlpm.baseRow,$D62&lt;&gt;"",$E62&lt;&gt;"",_xlpm.Green&gt;0,_xlpm.Coniferous&gt;0,$H62=""),
Error!$B$50,
IF(AND(_xlpm.baseRow,$D62&lt;&gt;"",$E62&lt;&gt;"",_xlpm.Points&gt;0,_xlpm.DecBroad&gt;0,$G62=""),
Error!$B$49,
IF(AND(_xlpm.baseRow,$D62&lt;&gt;"",$E62&lt;&gt;"",_xlpm.Points&gt;0,_xlpm.Coniferous&gt;0,$H62=""),
Error!$B$50,
IF(AND(_xlpm.baseRow,$D62&lt;&gt;"",$E62&lt;&gt;"",_xlpm.ReplaceReq&gt;0,_xlpm.DecBroad&gt;0,$G62=""),
Error!$B$49,
IF(AND(_xlpm.baseRow,$D62&lt;&gt;"",$E62&lt;&gt;"",_xlpm.ReplaceReq&gt;0,_xlpm.Coniferous&gt;0,$H62=""),
Error!$B$50,
IF(AND(_xlpm.baseRow,$D62&lt;&gt;"",$E62&lt;&gt;"",_xlpm.Street&gt;0,$G62=""),
Error!$B$49,
IF(AND(_xlpm.baseRow,$D62&lt;&gt;"",$E62&lt;&gt;"",$H62&lt;&gt;"",$H62&lt;4,OR(ISNA(MATCH($C62,'Tree List'!$C$3:$C$601,0)),$C62=""),_xlpm.Green&gt;0,COUNTA(_xlpm.FRange)&gt;0),
Error!$B$51,
IF(AND(_xlpm.baseRow,$D62&lt;&gt;"",$E62&lt;&gt;"",$H62&lt;&gt;"",$H62&lt;4,_xlpm.DecBroad&gt;0,_xlpm.Green&gt;0,COUNTA(_xlpm.FRange)&gt;0),
Error!$B$51,
IF(AND(_xlpm.baseRow,$D62&lt;&gt;"",$E62&lt;&gt;"",$G62="",$H62="",OR(_xlpm.ReplaceReq&gt;0,_xlpm.Green&gt;0,_xlpm.Points&gt;0,_xlpm.Street&gt;0)),
Error!$B$38,
IF(AND(_xlpm.baseRow,$D62&lt;&gt;"",$E62&lt;&gt;"",$H62&lt;&gt;"",$H62&lt;4,_xlpm.Street=0,_xlpm.Coniferous&gt;0,COUNTA(_xlpm.FRange)&gt;0),
Error!$B$32,
IF(AND(_xlpm.baseRow,_xlpm.DecBroad&gt;0,$D62&lt;&gt;"",$E62&lt;&gt;"",$G62&lt;&gt;"",$G62&lt;1.5,_xlpm.Street=0,COUNTA(_xlpm.FRange)&gt;0),
Error!$B$42,
IF(AND(_xlpm.baseRow,$I62="",$H62="",_xlpm.ECA&gt;0,_xlpm.ReplaceReq=0),
Error!$B$33,
IF(AND(_xlpm.baseRow,OR($J62="",$J62&lt;=0),_xlpm.ReplaceReq&gt;0),
Error!$B$34,
IF(AND(_xlpm.baseRow,$K62&lt;&gt;"",_xlpm.Points&gt;0,ISNA(MATCH($K62,Tables!$B$242:$B$253,0))),
Error!$B$58,
IF(AND($K62="Small",$L62&lt;&gt;"",ISNA(MATCH($L62,Tables2!$C$35:$C$36,0))),
Error!$B$60,
IF(AND($K62="Small/Medium",$L62&lt;&gt;"",ISNA(MATCH($L62,Tables2!$C$38:$C$39,0))),
Error!$B$60,
IF(AND($K62="Medium/Large",$L62&lt;&gt;"",ISNA(MATCH($L62,Tables2!$C$41:$C$42,0))),
Error!$B$60,
IF(AND($K62="Large",$L62&lt;&gt;"",ISNA(MATCH($L62,Tables2!$C$44:$C$45,0))),
Error!$B$60,
IF(AND(_xlpm.baseRow,$B62&lt;&gt;"", $C62&lt;&gt;"", $D62&lt;&gt;"", $E62&lt;&gt;"", OR($M62="",$K62="",$L62=""),_xlpm.Points&gt;0),
Error!$B$35,
IF(AND(_xlpm.baseRow,$D62&lt;&gt;"",$E62&lt;&gt;"",$N62=""),
Error!$B$36,
""))))))))))))))))))))))))))))))))))))))))))),Error!$B$37))</f>
        <v/>
      </c>
      <c r="P62" s="355" t="str" cm="1">
        <f t="array" aca="1" ref="P62" ca="1">IFERROR(_xlfn.LET(
    _xlpm.txt, $C62,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3" spans="1:16" ht="15" thickBot="1" x14ac:dyDescent="0.35">
      <c r="A63" s="437">
        <v>14</v>
      </c>
      <c r="B63" s="447"/>
      <c r="C63" s="444"/>
      <c r="D63" s="296"/>
      <c r="E63" s="296"/>
      <c r="F63" s="304"/>
      <c r="G63" s="257"/>
      <c r="H63" s="181"/>
      <c r="I63" s="178"/>
      <c r="J63" s="457"/>
      <c r="K63" s="172" t="str">
        <f>IFERROR(
IF(
    AND(
        MOD(ROW()-11,4)=0,
        COUNTIF(INDEX(F:F, 11 + 4*INT((ROW()-11)/4)):INDEX(F:F, 14 + 4*INT((ROW()-11)/4)),"Zoning: Tree Points")&gt;0,
        COUNTIFS('Tree List'!$C$3:$C$601,$C63,'Tree List'!$H$3:$H$601,"sp.")=0
    ),
    VLOOKUP($C63,'Tree List'!$C$3:$F$601,4,FALSE),
    ""
),
"")</f>
        <v/>
      </c>
      <c r="L63" s="173" t="str" cm="1">
        <f t="array" ref="L63">IFERROR(
IF(
    AND(
        COUNTIF(INDEX(F:F, 11 + 4*INT((ROW()-11)/4)):INDEX(F:F, 14 + 4*INT((ROW()-11)/4)),"Zoning: Tree Points")&gt;0,
        COUNTIFS('Tree List'!$C$3:$C$601,$C63,'Tree List'!$H$3:$H$601,"sp.")&gt;0
    ),
    "",
    _xlfn.IFS(
        (COUNTIFS('Tree List'!$C$3:$C$601,$C63,'Tree List'!$D$3:$D$601,"Coniferous")
        + COUNTIFS('Tree List'!$C$3:$C$601,$C63,'Tree List'!$D$3:$D$601,"Deciduous Conifer")) &gt; 0,
            _xlfn.IFS($K63="Small",1.25,$K63="Small/Medium",2.5,$K63="Medium/Large",3.75,$K63="Large",5),
        (COUNTIFS('Tree List'!$C$3:$C$601,$C63,'Tree List'!$D$3:$D$601,"Deciduous")
        + COUNTIFS('Tree List'!$C$3:$C$601,$C63,'Tree List'!$D$3:$D$601,"Broadleaf Evergreen")) &gt; 0,
            _xlfn.IFS($K63="Small",1,$K63="Small/Medium",2,$K63="Medium/Large",3,$K63="Large",4)
    )
),
"")</f>
        <v/>
      </c>
      <c r="M63" s="470" t="str">
        <f t="shared" ref="M63" si="18">IFERROR($L63*$N63,"")</f>
        <v/>
      </c>
      <c r="N63" s="744"/>
      <c r="O63" s="737" t="str" cm="1">
        <f t="array" aca="1" ref="O63"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List'!$C$3:$C$601,$C63,'Tree List'!$D$3:$D$601,{"Deciduous","Broadleaf Evergreen"})),
_xlpm.Coniferous,SUM(COUNTIFS('Tree List'!$C$3:$C$601,$C63,'Tree List'!$D$3:$D$601,{"Coniferous","Deciduous Conifer"})),
IFERROR(
IF(AND(_xlpm.baseRow,ISNA(MATCH($C63,'Tree List'!$C$3:$C$601,0)),SUMPRODUCT(--ISNUMBER(SEARCH(Tables2!$C$677:$C$825,$P63)))&gt;0),
Error!$B$64,
IF(AND(_xlpm.baseRow,COUNTIF(_xlpm.FRange,"ECA / Shoreline")&gt;0,$D63&lt;&gt;"",$E63&lt;&gt;"",$N63=""),
Error!$B$55,
IF(AND(_xlpm.baseRow,$D63&lt;&gt;"",$E63&lt;&gt;"",COUNTBLANK($B63:$C63)&gt;0,COUNTBLANK($F63:$F66)&lt;&gt;4),
Error!$B$22,
IF(AND(_xlpm.baseRow,$D63="Right-of-Way", $E63=""),
Error!$B$67,
IF(AND(_xlpm.baseRow,$D63&lt;&gt;"",ISNA(MATCH($D63,Tables2!$B$66:$B$68,0))),
Error!$B$63,
IF(AND(_xlpm.baseRow,$D63="Off Site",$E63&lt;&gt;"",$E63&lt;&gt;"Yes"),
Error!$B$28,
IF(AND(_xlpm.baseRow,OR($D63="On Site",$D63="Right-of-Way"),$E63&lt;&gt;"",ISNA(MATCH($E63,MultiSelect2[TreeMitigation],0))),
Error!$B$28,
IF(AND(_xlpm.baseRow,$D63&lt;&gt;"",$E63&lt;&gt;"",COUNTIF(_xlpm.FRange,"&lt;&gt;")=0),
Error!$B$26,
IF(AND($E63="No",$F63&lt;&gt;"",ISNA(MATCH($F63,Tables2!$B$55:$B$57,0))),
Error!$B$27,
IF(AND($E63="Yes",$F63&lt;&gt;"",ISNA(MATCH($F63,Tables2!$B$48:$B$52,0))),
Error!$B$27,
IF(AND($D63="Off Site",$E63="Yes",$F63&lt;&gt;"",ISNA(MATCH($F63,Tables2!$B$60:$B$62,0))),
Error!$B$27,
IF(AND(_xlpm.baseRow,_xlpm.Street&gt;0,_xlpm.ECA&gt;0),
Error!$B$29,
IF(AND(_xlpm.baseRow,_xlpm.Street&gt;0,_xlpm.Points&gt;0),
Error!$B$30,
IF(AND(_xlpm.baseRow,_xlpm.Street&gt;0,_xlpm.ReplaceReq&gt;0),
Error!$B$31,
IF(AND(_xlpm.baseRow,$D63&lt;&gt;"",$E63&lt;&gt;"",$G63&lt;&gt;"",_xlpm.DecBroad&gt;0,OR(_xlpm.Points&gt;0,_xlpm.Green&gt;0,_xlpm.ReplaceReq&gt;0),_xlpm.Street=0,$G63&lt;1.5),
Error!$B$42,
IF(AND(_xlpm.baseRow,$D63&lt;&gt;"",$E63&lt;&gt;"",$H63&lt;&gt;"",$H63&lt;4,_xlpm.Street&gt;0,_xlpm.Green&gt;0,COUNTA(_xlpm.FRange)&gt;0),
Error!$B$32,
IF(AND(_xlpm.baseRow,$G63="",_xlpm.ECA&gt;0,_xlpm.DecBroad&gt;0,_xlpm.ReplaceReq&gt;0),
Error!$B$52,
IF(AND(_xlpm.baseRow,$E63&lt;&gt;"", $H63="",_xlpm.ECA&gt;0,_xlpm.Coniferous&gt;0,_xlpm.ReplaceReq&gt;0),
Error!$B$53,
IF(AND(_xlpm.baseRow,$G63="",$H63="",_xlpm.ECA&gt;0,_xlpm.ReplaceReq&gt;0),
Error!$B$39,
IF(AND(_xlpm.baseRow,$D63&lt;&gt;"",$E63&lt;&gt;"",$G63="",$H63="",_xlpm.Coniferous&gt;0,_xlpm.ReplaceReq&gt;0,_xlpm.ECA&gt;0),
Error!$B$50,
IF(AND(_xlpm.baseRow,$D63&lt;&gt;"",$E63&lt;&gt;"",$G63&lt;&gt;"",_xlpm.Street&gt;0,$G63&lt;2),
Error!$B$43,
IF(AND(_xlpm.baseRow,$D63&lt;&gt;"",$E63&lt;&gt;"",_xlpm.Green&gt;0,_xlpm.DecBroad&gt;0,$G63=""),
Error!$B$49,
IF(AND(_xlpm.baseRow,$D63&lt;&gt;"",$E63&lt;&gt;"",$H63&lt;&gt;"",$H63&lt;4,_xlpm.Green&gt;0,_xlpm.DecBroad&gt;0,$G63=""),
Error!$B$51,
IF(AND(_xlpm.baseRow,$D63&lt;&gt;"",$E63&lt;&gt;"",_xlpm.Green&gt;0,_xlpm.Coniferous&gt;0,$H63=""),
Error!$B$50,
IF(AND(_xlpm.baseRow,$D63&lt;&gt;"",$E63&lt;&gt;"",_xlpm.Points&gt;0,_xlpm.DecBroad&gt;0,$G63=""),
Error!$B$49,
IF(AND(_xlpm.baseRow,$D63&lt;&gt;"",$E63&lt;&gt;"",_xlpm.Points&gt;0,_xlpm.Coniferous&gt;0,$H63=""),
Error!$B$50,
IF(AND(_xlpm.baseRow,$D63&lt;&gt;"",$E63&lt;&gt;"",_xlpm.ReplaceReq&gt;0,_xlpm.DecBroad&gt;0,$G63=""),
Error!$B$49,
IF(AND(_xlpm.baseRow,$D63&lt;&gt;"",$E63&lt;&gt;"",_xlpm.ReplaceReq&gt;0,_xlpm.Coniferous&gt;0,$H63=""),
Error!$B$50,
IF(AND(_xlpm.baseRow,$D63&lt;&gt;"",$E63&lt;&gt;"",_xlpm.Street&gt;0,$G63=""),
Error!$B$49,
IF(AND(_xlpm.baseRow,$D63&lt;&gt;"",$E63&lt;&gt;"",$H63&lt;&gt;"",$H63&lt;4,OR(ISNA(MATCH($C63,'Tree List'!$C$3:$C$601,0)),$C63=""),_xlpm.Green&gt;0,COUNTA(_xlpm.FRange)&gt;0),
Error!$B$51,
IF(AND(_xlpm.baseRow,$D63&lt;&gt;"",$E63&lt;&gt;"",$H63&lt;&gt;"",$H63&lt;4,_xlpm.DecBroad&gt;0,_xlpm.Green&gt;0,COUNTA(_xlpm.FRange)&gt;0),
Error!$B$51,
IF(AND(_xlpm.baseRow,$D63&lt;&gt;"",$E63&lt;&gt;"",$G63="",$H63="",OR(_xlpm.ReplaceReq&gt;0,_xlpm.Green&gt;0,_xlpm.Points&gt;0,_xlpm.Street&gt;0)),
Error!$B$38,
IF(AND(_xlpm.baseRow,$D63&lt;&gt;"",$E63&lt;&gt;"",$H63&lt;&gt;"",$H63&lt;4,_xlpm.Street=0,_xlpm.Coniferous&gt;0,COUNTA(_xlpm.FRange)&gt;0),
Error!$B$32,
IF(AND(_xlpm.baseRow,_xlpm.DecBroad&gt;0,$D63&lt;&gt;"",$E63&lt;&gt;"",$G63&lt;&gt;"",$G63&lt;1.5,_xlpm.Street=0,COUNTA(_xlpm.FRange)&gt;0),
Error!$B$42,
IF(AND(_xlpm.baseRow,$I63="",$H63="",_xlpm.ECA&gt;0,_xlpm.ReplaceReq=0),
Error!$B$33,
IF(AND(_xlpm.baseRow,OR($J63="",$J63&lt;=0),_xlpm.ReplaceReq&gt;0),
Error!$B$34,
IF(AND(_xlpm.baseRow,$K63&lt;&gt;"",_xlpm.Points&gt;0,ISNA(MATCH($K63,Tables!$B$242:$B$253,0))),
Error!$B$58,
IF(AND($K63="Small",$L63&lt;&gt;"",ISNA(MATCH($L63,Tables2!$C$35:$C$36,0))),
Error!$B$60,
IF(AND($K63="Small/Medium",$L63&lt;&gt;"",ISNA(MATCH($L63,Tables2!$C$38:$C$39,0))),
Error!$B$60,
IF(AND($K63="Medium/Large",$L63&lt;&gt;"",ISNA(MATCH($L63,Tables2!$C$41:$C$42,0))),
Error!$B$60,
IF(AND($K63="Large",$L63&lt;&gt;"",ISNA(MATCH($L63,Tables2!$C$44:$C$45,0))),
Error!$B$60,
IF(AND(_xlpm.baseRow,$B63&lt;&gt;"", $C63&lt;&gt;"", $D63&lt;&gt;"", $E63&lt;&gt;"", OR($M63="",$K63="",$L63=""),_xlpm.Points&gt;0),
Error!$B$35,
IF(AND(_xlpm.baseRow,$D63&lt;&gt;"",$E63&lt;&gt;"",$N63=""),
Error!$B$36,
""))))))))))))))))))))))))))))))))))))))))))),Error!$B$37))</f>
        <v/>
      </c>
      <c r="P63" s="355" t="str" cm="1">
        <f t="array" aca="1" ref="P63" ca="1">IFERROR(_xlfn.LET(
    _xlpm.txt, $C63,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4" spans="1:16" x14ac:dyDescent="0.3">
      <c r="A64" s="297"/>
      <c r="B64" s="439" t="str">
        <f t="shared" ref="B64" si="19">IF($B63="", "", $B63)</f>
        <v/>
      </c>
      <c r="C64" s="309"/>
      <c r="D64" s="157" t="str">
        <f t="shared" ref="D64" si="20">IF($D63="", "", $D63)</f>
        <v/>
      </c>
      <c r="E64" s="157" t="str">
        <f t="shared" ref="E64" si="21">IF($E63="", "", $E63)</f>
        <v/>
      </c>
      <c r="F64" s="300"/>
      <c r="G64" s="159"/>
      <c r="H64" s="182"/>
      <c r="I64" s="179"/>
      <c r="J64" s="458"/>
      <c r="K64" s="174" t="str">
        <f>IFERROR(
IF(
    AND(
        MOD(ROW()-11,4)=0,
        COUNTIF(INDEX(F:F, 11 + 4*INT((ROW()-11)/4)):INDEX(F:F, 14 + 4*INT((ROW()-11)/4)),"Zoning: Tree Points")&gt;0,
        COUNTIFS('Tree List'!$C$3:$C$601,$C64,'Tree List'!$H$3:$H$601,"sp.")=0
    ),
    VLOOKUP($C64,'Tree List'!$C$3:$F$601,4,FALSE),
    ""
),
"")</f>
        <v/>
      </c>
      <c r="L64" s="175" t="str" cm="1">
        <f t="array" ref="L64">IFERROR(
IF(
    AND(
        COUNTIF(INDEX(F:F, 11 + 4*INT((ROW()-11)/4)):INDEX(F:F, 14 + 4*INT((ROW()-11)/4)),"Zoning: Tree Points")&gt;0,
        COUNTIFS('Tree List'!$C$3:$C$601,$C64,'Tree List'!$H$3:$H$601,"sp.")&gt;0
    ),
    "",
    _xlfn.IFS(
        (COUNTIFS('Tree List'!$C$3:$C$601,$C64,'Tree List'!$D$3:$D$601,"Coniferous")
        + COUNTIFS('Tree List'!$C$3:$C$601,$C64,'Tree List'!$D$3:$D$601,"Deciduous Conifer")) &gt; 0,
            _xlfn.IFS($K64="Small",1.25,$K64="Small/Medium",2.5,$K64="Medium/Large",3.75,$K64="Large",5),
        (COUNTIFS('Tree List'!$C$3:$C$601,$C64,'Tree List'!$D$3:$D$601,"Deciduous")
        + COUNTIFS('Tree List'!$C$3:$C$601,$C64,'Tree List'!$D$3:$D$601,"Broadleaf Evergreen")) &gt; 0,
            _xlfn.IFS($K64="Small",1,$K64="Small/Medium",2,$K64="Medium/Large",3,$K64="Large",4)
    )
),
"")</f>
        <v/>
      </c>
      <c r="M64" s="471" t="str">
        <f t="shared" ref="M64:M66" si="22">IFERROR($L64*$N64,"")</f>
        <v/>
      </c>
      <c r="N64" s="434"/>
      <c r="O64" s="340" t="str" cm="1">
        <f t="array" aca="1" ref="O64"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List'!$C$3:$C$601,$C64,'Tree List'!$D$3:$D$601,{"Deciduous","Broadleaf Evergreen"})),
_xlpm.Coniferous,SUM(COUNTIFS('Tree List'!$C$3:$C$601,$C64,'Tree List'!$D$3:$D$601,{"Coniferous","Deciduous Conifer"})),
IFERROR(
IF(AND(_xlpm.baseRow,ISNA(MATCH($C64,'Tree List'!$C$3:$C$601,0)),SUMPRODUCT(--ISNUMBER(SEARCH(Tables2!$C$677:$C$825,$P64)))&gt;0),
Error!$B$64,
IF(AND(_xlpm.baseRow,COUNTIF(_xlpm.FRange,"ECA / Shoreline")&gt;0,$D64&lt;&gt;"",$E64&lt;&gt;"",$N64=""),
Error!$B$55,
IF(AND(_xlpm.baseRow,$D64&lt;&gt;"",$E64&lt;&gt;"",COUNTBLANK($B64:$C64)&gt;0,COUNTBLANK($F64:$F67)&lt;&gt;4),
Error!$B$22,
IF(AND(_xlpm.baseRow,$D64="Right-of-Way", $E64=""),
Error!$B$67,
IF(AND(_xlpm.baseRow,$D64&lt;&gt;"",ISNA(MATCH($D64,Tables2!$B$66:$B$68,0))),
Error!$B$63,
IF(AND(_xlpm.baseRow,$D64="Off Site",$E64&lt;&gt;"",$E64&lt;&gt;"Yes"),
Error!$B$28,
IF(AND(_xlpm.baseRow,OR($D64="On Site",$D64="Right-of-Way"),$E64&lt;&gt;"",ISNA(MATCH($E64,MultiSelect2[TreeMitigation],0))),
Error!$B$28,
IF(AND(_xlpm.baseRow,$D64&lt;&gt;"",$E64&lt;&gt;"",COUNTIF(_xlpm.FRange,"&lt;&gt;")=0),
Error!$B$26,
IF(AND($E64="No",$F64&lt;&gt;"",ISNA(MATCH($F64,Tables2!$B$55:$B$57,0))),
Error!$B$27,
IF(AND($E64="Yes",$F64&lt;&gt;"",ISNA(MATCH($F64,Tables2!$B$48:$B$52,0))),
Error!$B$27,
IF(AND($D64="Off Site",$E64="Yes",$F64&lt;&gt;"",ISNA(MATCH($F64,Tables2!$B$60:$B$62,0))),
Error!$B$27,
IF(AND(_xlpm.baseRow,_xlpm.Street&gt;0,_xlpm.ECA&gt;0),
Error!$B$29,
IF(AND(_xlpm.baseRow,_xlpm.Street&gt;0,_xlpm.Points&gt;0),
Error!$B$30,
IF(AND(_xlpm.baseRow,_xlpm.Street&gt;0,_xlpm.ReplaceReq&gt;0),
Error!$B$31,
IF(AND(_xlpm.baseRow,$D64&lt;&gt;"",$E64&lt;&gt;"",$G64&lt;&gt;"",_xlpm.DecBroad&gt;0,OR(_xlpm.Points&gt;0,_xlpm.Green&gt;0,_xlpm.ReplaceReq&gt;0),_xlpm.Street=0,$G64&lt;1.5),
Error!$B$42,
IF(AND(_xlpm.baseRow,$D64&lt;&gt;"",$E64&lt;&gt;"",$H64&lt;&gt;"",$H64&lt;4,_xlpm.Street&gt;0,_xlpm.Green&gt;0,COUNTA(_xlpm.FRange)&gt;0),
Error!$B$32,
IF(AND(_xlpm.baseRow,$G64="",_xlpm.ECA&gt;0,_xlpm.DecBroad&gt;0,_xlpm.ReplaceReq&gt;0),
Error!$B$52,
IF(AND(_xlpm.baseRow,$E64&lt;&gt;"", $H64="",_xlpm.ECA&gt;0,_xlpm.Coniferous&gt;0,_xlpm.ReplaceReq&gt;0),
Error!$B$53,
IF(AND(_xlpm.baseRow,$G64="",$H64="",_xlpm.ECA&gt;0,_xlpm.ReplaceReq&gt;0),
Error!$B$39,
IF(AND(_xlpm.baseRow,$D64&lt;&gt;"",$E64&lt;&gt;"",$G64="",$H64="",_xlpm.Coniferous&gt;0,_xlpm.ReplaceReq&gt;0,_xlpm.ECA&gt;0),
Error!$B$50,
IF(AND(_xlpm.baseRow,$D64&lt;&gt;"",$E64&lt;&gt;"",$G64&lt;&gt;"",_xlpm.Street&gt;0,$G64&lt;2),
Error!$B$43,
IF(AND(_xlpm.baseRow,$D64&lt;&gt;"",$E64&lt;&gt;"",_xlpm.Green&gt;0,_xlpm.DecBroad&gt;0,$G64=""),
Error!$B$49,
IF(AND(_xlpm.baseRow,$D64&lt;&gt;"",$E64&lt;&gt;"",$H64&lt;&gt;"",$H64&lt;4,_xlpm.Green&gt;0,_xlpm.DecBroad&gt;0,$G64=""),
Error!$B$51,
IF(AND(_xlpm.baseRow,$D64&lt;&gt;"",$E64&lt;&gt;"",_xlpm.Green&gt;0,_xlpm.Coniferous&gt;0,$H64=""),
Error!$B$50,
IF(AND(_xlpm.baseRow,$D64&lt;&gt;"",$E64&lt;&gt;"",_xlpm.Points&gt;0,_xlpm.DecBroad&gt;0,$G64=""),
Error!$B$49,
IF(AND(_xlpm.baseRow,$D64&lt;&gt;"",$E64&lt;&gt;"",_xlpm.Points&gt;0,_xlpm.Coniferous&gt;0,$H64=""),
Error!$B$50,
IF(AND(_xlpm.baseRow,$D64&lt;&gt;"",$E64&lt;&gt;"",_xlpm.ReplaceReq&gt;0,_xlpm.DecBroad&gt;0,$G64=""),
Error!$B$49,
IF(AND(_xlpm.baseRow,$D64&lt;&gt;"",$E64&lt;&gt;"",_xlpm.ReplaceReq&gt;0,_xlpm.Coniferous&gt;0,$H64=""),
Error!$B$50,
IF(AND(_xlpm.baseRow,$D64&lt;&gt;"",$E64&lt;&gt;"",_xlpm.Street&gt;0,$G64=""),
Error!$B$49,
IF(AND(_xlpm.baseRow,$D64&lt;&gt;"",$E64&lt;&gt;"",$H64&lt;&gt;"",$H64&lt;4,OR(ISNA(MATCH($C64,'Tree List'!$C$3:$C$601,0)),$C64=""),_xlpm.Green&gt;0,COUNTA(_xlpm.FRange)&gt;0),
Error!$B$51,
IF(AND(_xlpm.baseRow,$D64&lt;&gt;"",$E64&lt;&gt;"",$H64&lt;&gt;"",$H64&lt;4,_xlpm.DecBroad&gt;0,_xlpm.Green&gt;0,COUNTA(_xlpm.FRange)&gt;0),
Error!$B$51,
IF(AND(_xlpm.baseRow,$D64&lt;&gt;"",$E64&lt;&gt;"",$G64="",$H64="",OR(_xlpm.ReplaceReq&gt;0,_xlpm.Green&gt;0,_xlpm.Points&gt;0,_xlpm.Street&gt;0)),
Error!$B$38,
IF(AND(_xlpm.baseRow,$D64&lt;&gt;"",$E64&lt;&gt;"",$H64&lt;&gt;"",$H64&lt;4,_xlpm.Street=0,_xlpm.Coniferous&gt;0,COUNTA(_xlpm.FRange)&gt;0),
Error!$B$32,
IF(AND(_xlpm.baseRow,_xlpm.DecBroad&gt;0,$D64&lt;&gt;"",$E64&lt;&gt;"",$G64&lt;&gt;"",$G64&lt;1.5,_xlpm.Street=0,COUNTA(_xlpm.FRange)&gt;0),
Error!$B$42,
IF(AND(_xlpm.baseRow,$I64="",$H64="",_xlpm.ECA&gt;0,_xlpm.ReplaceReq=0),
Error!$B$33,
IF(AND(_xlpm.baseRow,OR($J64="",$J64&lt;=0),_xlpm.ReplaceReq&gt;0),
Error!$B$34,
IF(AND(_xlpm.baseRow,$K64&lt;&gt;"",_xlpm.Points&gt;0,ISNA(MATCH($K64,Tables!$B$242:$B$253,0))),
Error!$B$58,
IF(AND($K64="Small",$L64&lt;&gt;"",ISNA(MATCH($L64,Tables2!$C$35:$C$36,0))),
Error!$B$60,
IF(AND($K64="Small/Medium",$L64&lt;&gt;"",ISNA(MATCH($L64,Tables2!$C$38:$C$39,0))),
Error!$B$60,
IF(AND($K64="Medium/Large",$L64&lt;&gt;"",ISNA(MATCH($L64,Tables2!$C$41:$C$42,0))),
Error!$B$60,
IF(AND($K64="Large",$L64&lt;&gt;"",ISNA(MATCH($L64,Tables2!$C$44:$C$45,0))),
Error!$B$60,
IF(AND(_xlpm.baseRow,$B64&lt;&gt;"", $C64&lt;&gt;"", $D64&lt;&gt;"", $E64&lt;&gt;"", OR($M64="",$K64="",$L64=""),_xlpm.Points&gt;0),
Error!$B$35,
IF(AND(_xlpm.baseRow,$D64&lt;&gt;"",$E64&lt;&gt;"",$N64=""),
Error!$B$36,
""))))))))))))))))))))))))))))))))))))))))))),Error!$B$37))</f>
        <v/>
      </c>
      <c r="P64" s="355" t="str" cm="1">
        <f t="array" aca="1" ref="P64" ca="1">IFERROR(_xlfn.LET(
    _xlpm.txt, $C64,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5" spans="1:16" x14ac:dyDescent="0.3">
      <c r="A65" s="297"/>
      <c r="B65" s="439" t="str">
        <f t="shared" ref="B65" si="23">IF($B63="", "", $B63)</f>
        <v/>
      </c>
      <c r="C65" s="438"/>
      <c r="D65" s="439" t="str">
        <f t="shared" ref="D65" si="24">IF($D63="", "", $D63)</f>
        <v/>
      </c>
      <c r="E65" s="439" t="str">
        <f t="shared" ref="E65" si="25">IF($E63="", "", $E63)</f>
        <v/>
      </c>
      <c r="F65" s="300"/>
      <c r="G65" s="160"/>
      <c r="H65" s="440"/>
      <c r="I65" s="441"/>
      <c r="J65" s="459"/>
      <c r="K65" s="442" t="str">
        <f>IFERROR(
IF(
    AND(
        MOD(ROW()-11,4)=0,
        COUNTIF(INDEX(F:F, 11 + 4*INT((ROW()-11)/4)):INDEX(F:F, 14 + 4*INT((ROW()-11)/4)),"Zoning: Tree Points")&gt;0,
        COUNTIFS('Tree List'!$C$3:$C$601,$C65,'Tree List'!$H$3:$H$601,"sp.")=0
    ),
    VLOOKUP($C65,'Tree List'!$C$3:$F$601,4,FALSE),
    ""
),
"")</f>
        <v/>
      </c>
      <c r="L65" s="443" t="str" cm="1">
        <f t="array" ref="L65">IFERROR(
IF(
    AND(
        COUNTIF(INDEX(F:F, 11 + 4*INT((ROW()-11)/4)):INDEX(F:F, 14 + 4*INT((ROW()-11)/4)),"Zoning: Tree Points")&gt;0,
        COUNTIFS('Tree List'!$C$3:$C$601,$C65,'Tree List'!$H$3:$H$601,"sp.")&gt;0
    ),
    "",
    _xlfn.IFS(
        (COUNTIFS('Tree List'!$C$3:$C$601,$C65,'Tree List'!$D$3:$D$601,"Coniferous")
        + COUNTIFS('Tree List'!$C$3:$C$601,$C65,'Tree List'!$D$3:$D$601,"Deciduous Conifer")) &gt; 0,
            _xlfn.IFS($K65="Small",1.25,$K65="Small/Medium",2.5,$K65="Medium/Large",3.75,$K65="Large",5),
        (COUNTIFS('Tree List'!$C$3:$C$601,$C65,'Tree List'!$D$3:$D$601,"Deciduous")
        + COUNTIFS('Tree List'!$C$3:$C$601,$C65,'Tree List'!$D$3:$D$601,"Broadleaf Evergreen")) &gt; 0,
            _xlfn.IFS($K65="Small",1,$K65="Small/Medium",2,$K65="Medium/Large",3,$K65="Large",4)
    )
),
"")</f>
        <v/>
      </c>
      <c r="M65" s="472" t="str">
        <f t="shared" si="22"/>
        <v/>
      </c>
      <c r="N65" s="434"/>
      <c r="O65" s="340" t="str" cm="1">
        <f t="array" aca="1" ref="O65"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List'!$C$3:$C$601,$C65,'Tree List'!$D$3:$D$601,{"Deciduous","Broadleaf Evergreen"})),
_xlpm.Coniferous,SUM(COUNTIFS('Tree List'!$C$3:$C$601,$C65,'Tree List'!$D$3:$D$601,{"Coniferous","Deciduous Conifer"})),
IFERROR(
IF(AND(_xlpm.baseRow,ISNA(MATCH($C65,'Tree List'!$C$3:$C$601,0)),SUMPRODUCT(--ISNUMBER(SEARCH(Tables2!$C$677:$C$825,$P65)))&gt;0),
Error!$B$64,
IF(AND(_xlpm.baseRow,COUNTIF(_xlpm.FRange,"ECA / Shoreline")&gt;0,$D65&lt;&gt;"",$E65&lt;&gt;"",$N65=""),
Error!$B$55,
IF(AND(_xlpm.baseRow,$D65&lt;&gt;"",$E65&lt;&gt;"",COUNTBLANK($B65:$C65)&gt;0,COUNTBLANK($F65:$F68)&lt;&gt;4),
Error!$B$22,
IF(AND(_xlpm.baseRow,$D65="Right-of-Way", $E65=""),
Error!$B$67,
IF(AND(_xlpm.baseRow,$D65&lt;&gt;"",ISNA(MATCH($D65,Tables2!$B$66:$B$68,0))),
Error!$B$63,
IF(AND(_xlpm.baseRow,$D65="Off Site",$E65&lt;&gt;"",$E65&lt;&gt;"Yes"),
Error!$B$28,
IF(AND(_xlpm.baseRow,OR($D65="On Site",$D65="Right-of-Way"),$E65&lt;&gt;"",ISNA(MATCH($E65,MultiSelect2[TreeMitigation],0))),
Error!$B$28,
IF(AND(_xlpm.baseRow,$D65&lt;&gt;"",$E65&lt;&gt;"",COUNTIF(_xlpm.FRange,"&lt;&gt;")=0),
Error!$B$26,
IF(AND($E65="No",$F65&lt;&gt;"",ISNA(MATCH($F65,Tables2!$B$55:$B$57,0))),
Error!$B$27,
IF(AND($E65="Yes",$F65&lt;&gt;"",ISNA(MATCH($F65,Tables2!$B$48:$B$52,0))),
Error!$B$27,
IF(AND($D65="Off Site",$E65="Yes",$F65&lt;&gt;"",ISNA(MATCH($F65,Tables2!$B$60:$B$62,0))),
Error!$B$27,
IF(AND(_xlpm.baseRow,_xlpm.Street&gt;0,_xlpm.ECA&gt;0),
Error!$B$29,
IF(AND(_xlpm.baseRow,_xlpm.Street&gt;0,_xlpm.Points&gt;0),
Error!$B$30,
IF(AND(_xlpm.baseRow,_xlpm.Street&gt;0,_xlpm.ReplaceReq&gt;0),
Error!$B$31,
IF(AND(_xlpm.baseRow,$D65&lt;&gt;"",$E65&lt;&gt;"",$G65&lt;&gt;"",_xlpm.DecBroad&gt;0,OR(_xlpm.Points&gt;0,_xlpm.Green&gt;0,_xlpm.ReplaceReq&gt;0),_xlpm.Street=0,$G65&lt;1.5),
Error!$B$42,
IF(AND(_xlpm.baseRow,$D65&lt;&gt;"",$E65&lt;&gt;"",$H65&lt;&gt;"",$H65&lt;4,_xlpm.Street&gt;0,_xlpm.Green&gt;0,COUNTA(_xlpm.FRange)&gt;0),
Error!$B$32,
IF(AND(_xlpm.baseRow,$G65="",_xlpm.ECA&gt;0,_xlpm.DecBroad&gt;0,_xlpm.ReplaceReq&gt;0),
Error!$B$52,
IF(AND(_xlpm.baseRow,$E65&lt;&gt;"", $H65="",_xlpm.ECA&gt;0,_xlpm.Coniferous&gt;0,_xlpm.ReplaceReq&gt;0),
Error!$B$53,
IF(AND(_xlpm.baseRow,$G65="",$H65="",_xlpm.ECA&gt;0,_xlpm.ReplaceReq&gt;0),
Error!$B$39,
IF(AND(_xlpm.baseRow,$D65&lt;&gt;"",$E65&lt;&gt;"",$G65="",$H65="",_xlpm.Coniferous&gt;0,_xlpm.ReplaceReq&gt;0,_xlpm.ECA&gt;0),
Error!$B$50,
IF(AND(_xlpm.baseRow,$D65&lt;&gt;"",$E65&lt;&gt;"",$G65&lt;&gt;"",_xlpm.Street&gt;0,$G65&lt;2),
Error!$B$43,
IF(AND(_xlpm.baseRow,$D65&lt;&gt;"",$E65&lt;&gt;"",_xlpm.Green&gt;0,_xlpm.DecBroad&gt;0,$G65=""),
Error!$B$49,
IF(AND(_xlpm.baseRow,$D65&lt;&gt;"",$E65&lt;&gt;"",$H65&lt;&gt;"",$H65&lt;4,_xlpm.Green&gt;0,_xlpm.DecBroad&gt;0,$G65=""),
Error!$B$51,
IF(AND(_xlpm.baseRow,$D65&lt;&gt;"",$E65&lt;&gt;"",_xlpm.Green&gt;0,_xlpm.Coniferous&gt;0,$H65=""),
Error!$B$50,
IF(AND(_xlpm.baseRow,$D65&lt;&gt;"",$E65&lt;&gt;"",_xlpm.Points&gt;0,_xlpm.DecBroad&gt;0,$G65=""),
Error!$B$49,
IF(AND(_xlpm.baseRow,$D65&lt;&gt;"",$E65&lt;&gt;"",_xlpm.Points&gt;0,_xlpm.Coniferous&gt;0,$H65=""),
Error!$B$50,
IF(AND(_xlpm.baseRow,$D65&lt;&gt;"",$E65&lt;&gt;"",_xlpm.ReplaceReq&gt;0,_xlpm.DecBroad&gt;0,$G65=""),
Error!$B$49,
IF(AND(_xlpm.baseRow,$D65&lt;&gt;"",$E65&lt;&gt;"",_xlpm.ReplaceReq&gt;0,_xlpm.Coniferous&gt;0,$H65=""),
Error!$B$50,
IF(AND(_xlpm.baseRow,$D65&lt;&gt;"",$E65&lt;&gt;"",_xlpm.Street&gt;0,$G65=""),
Error!$B$49,
IF(AND(_xlpm.baseRow,$D65&lt;&gt;"",$E65&lt;&gt;"",$H65&lt;&gt;"",$H65&lt;4,OR(ISNA(MATCH($C65,'Tree List'!$C$3:$C$601,0)),$C65=""),_xlpm.Green&gt;0,COUNTA(_xlpm.FRange)&gt;0),
Error!$B$51,
IF(AND(_xlpm.baseRow,$D65&lt;&gt;"",$E65&lt;&gt;"",$H65&lt;&gt;"",$H65&lt;4,_xlpm.DecBroad&gt;0,_xlpm.Green&gt;0,COUNTA(_xlpm.FRange)&gt;0),
Error!$B$51,
IF(AND(_xlpm.baseRow,$D65&lt;&gt;"",$E65&lt;&gt;"",$G65="",$H65="",OR(_xlpm.ReplaceReq&gt;0,_xlpm.Green&gt;0,_xlpm.Points&gt;0,_xlpm.Street&gt;0)),
Error!$B$38,
IF(AND(_xlpm.baseRow,$D65&lt;&gt;"",$E65&lt;&gt;"",$H65&lt;&gt;"",$H65&lt;4,_xlpm.Street=0,_xlpm.Coniferous&gt;0,COUNTA(_xlpm.FRange)&gt;0),
Error!$B$32,
IF(AND(_xlpm.baseRow,_xlpm.DecBroad&gt;0,$D65&lt;&gt;"",$E65&lt;&gt;"",$G65&lt;&gt;"",$G65&lt;1.5,_xlpm.Street=0,COUNTA(_xlpm.FRange)&gt;0),
Error!$B$42,
IF(AND(_xlpm.baseRow,$I65="",$H65="",_xlpm.ECA&gt;0,_xlpm.ReplaceReq=0),
Error!$B$33,
IF(AND(_xlpm.baseRow,OR($J65="",$J65&lt;=0),_xlpm.ReplaceReq&gt;0),
Error!$B$34,
IF(AND(_xlpm.baseRow,$K65&lt;&gt;"",_xlpm.Points&gt;0,ISNA(MATCH($K65,Tables!$B$242:$B$253,0))),
Error!$B$58,
IF(AND($K65="Small",$L65&lt;&gt;"",ISNA(MATCH($L65,Tables2!$C$35:$C$36,0))),
Error!$B$60,
IF(AND($K65="Small/Medium",$L65&lt;&gt;"",ISNA(MATCH($L65,Tables2!$C$38:$C$39,0))),
Error!$B$60,
IF(AND($K65="Medium/Large",$L65&lt;&gt;"",ISNA(MATCH($L65,Tables2!$C$41:$C$42,0))),
Error!$B$60,
IF(AND($K65="Large",$L65&lt;&gt;"",ISNA(MATCH($L65,Tables2!$C$44:$C$45,0))),
Error!$B$60,
IF(AND(_xlpm.baseRow,$B65&lt;&gt;"", $C65&lt;&gt;"", $D65&lt;&gt;"", $E65&lt;&gt;"", OR($M65="",$K65="",$L65=""),_xlpm.Points&gt;0),
Error!$B$35,
IF(AND(_xlpm.baseRow,$D65&lt;&gt;"",$E65&lt;&gt;"",$N65=""),
Error!$B$36,
""))))))))))))))))))))))))))))))))))))))))))),Error!$B$37))</f>
        <v/>
      </c>
      <c r="P65" s="355" t="str" cm="1">
        <f t="array" aca="1" ref="P65" ca="1">IFERROR(_xlfn.LET(
    _xlpm.txt, $C65,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6" spans="1:16" ht="15" thickBot="1" x14ac:dyDescent="0.35">
      <c r="A66" s="298"/>
      <c r="B66" s="439" t="str">
        <f t="shared" ref="B66" si="26">IF($B63="", "", $B63)</f>
        <v/>
      </c>
      <c r="C66" s="310"/>
      <c r="D66" s="154" t="str">
        <f t="shared" ref="D66" si="27">IF($D63="", "", $D63)</f>
        <v/>
      </c>
      <c r="E66" s="154" t="str">
        <f t="shared" ref="E66" si="28">IF($E63="", "", $E63)</f>
        <v/>
      </c>
      <c r="F66" s="302"/>
      <c r="G66" s="161"/>
      <c r="H66" s="183"/>
      <c r="I66" s="180"/>
      <c r="J66" s="460"/>
      <c r="K66" s="176" t="str">
        <f>IFERROR(
IF(
    AND(
        MOD(ROW()-11,4)=0,
        COUNTIF(INDEX(F:F, 11 + 4*INT((ROW()-11)/4)):INDEX(F:F, 14 + 4*INT((ROW()-11)/4)),"Zoning: Tree Points")&gt;0,
        COUNTIFS('Tree List'!$C$3:$C$601,$C66,'Tree List'!$H$3:$H$601,"sp.")=0
    ),
    VLOOKUP($C66,'Tree List'!$C$3:$F$601,4,FALSE),
    ""
),
"")</f>
        <v/>
      </c>
      <c r="L66" s="177" t="str" cm="1">
        <f t="array" ref="L66">IFERROR(
IF(
    AND(
        COUNTIF(INDEX(F:F, 11 + 4*INT((ROW()-11)/4)):INDEX(F:F, 14 + 4*INT((ROW()-11)/4)),"Zoning: Tree Points")&gt;0,
        COUNTIFS('Tree List'!$C$3:$C$601,$C66,'Tree List'!$H$3:$H$601,"sp.")&gt;0
    ),
    "",
    _xlfn.IFS(
        (COUNTIFS('Tree List'!$C$3:$C$601,$C66,'Tree List'!$D$3:$D$601,"Coniferous")
        + COUNTIFS('Tree List'!$C$3:$C$601,$C66,'Tree List'!$D$3:$D$601,"Deciduous Conifer")) &gt; 0,
            _xlfn.IFS($K66="Small",1.25,$K66="Small/Medium",2.5,$K66="Medium/Large",3.75,$K66="Large",5),
        (COUNTIFS('Tree List'!$C$3:$C$601,$C66,'Tree List'!$D$3:$D$601,"Deciduous")
        + COUNTIFS('Tree List'!$C$3:$C$601,$C66,'Tree List'!$D$3:$D$601,"Broadleaf Evergreen")) &gt; 0,
            _xlfn.IFS($K66="Small",1,$K66="Small/Medium",2,$K66="Medium/Large",3,$K66="Large",4)
    )
),
"")</f>
        <v/>
      </c>
      <c r="M66" s="473" t="str">
        <f t="shared" si="22"/>
        <v/>
      </c>
      <c r="N66" s="435"/>
      <c r="O66" s="341" t="str" cm="1">
        <f t="array" aca="1" ref="O66"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List'!$C$3:$C$601,$C66,'Tree List'!$D$3:$D$601,{"Deciduous","Broadleaf Evergreen"})),
_xlpm.Coniferous,SUM(COUNTIFS('Tree List'!$C$3:$C$601,$C66,'Tree List'!$D$3:$D$601,{"Coniferous","Deciduous Conifer"})),
IFERROR(
IF(AND(_xlpm.baseRow,ISNA(MATCH($C66,'Tree List'!$C$3:$C$601,0)),SUMPRODUCT(--ISNUMBER(SEARCH(Tables2!$C$677:$C$825,$P66)))&gt;0),
Error!$B$64,
IF(AND(_xlpm.baseRow,COUNTIF(_xlpm.FRange,"ECA / Shoreline")&gt;0,$D66&lt;&gt;"",$E66&lt;&gt;"",$N66=""),
Error!$B$55,
IF(AND(_xlpm.baseRow,$D66&lt;&gt;"",$E66&lt;&gt;"",COUNTBLANK($B66:$C66)&gt;0,COUNTBLANK($F66:$F69)&lt;&gt;4),
Error!$B$22,
IF(AND(_xlpm.baseRow,$D66="Right-of-Way", $E66=""),
Error!$B$67,
IF(AND(_xlpm.baseRow,$D66&lt;&gt;"",ISNA(MATCH($D66,Tables2!$B$66:$B$68,0))),
Error!$B$63,
IF(AND(_xlpm.baseRow,$D66="Off Site",$E66&lt;&gt;"",$E66&lt;&gt;"Yes"),
Error!$B$28,
IF(AND(_xlpm.baseRow,OR($D66="On Site",$D66="Right-of-Way"),$E66&lt;&gt;"",ISNA(MATCH($E66,MultiSelect2[TreeMitigation],0))),
Error!$B$28,
IF(AND(_xlpm.baseRow,$D66&lt;&gt;"",$E66&lt;&gt;"",COUNTIF(_xlpm.FRange,"&lt;&gt;")=0),
Error!$B$26,
IF(AND($E66="No",$F66&lt;&gt;"",ISNA(MATCH($F66,Tables2!$B$55:$B$57,0))),
Error!$B$27,
IF(AND($E66="Yes",$F66&lt;&gt;"",ISNA(MATCH($F66,Tables2!$B$48:$B$52,0))),
Error!$B$27,
IF(AND($D66="Off Site",$E66="Yes",$F66&lt;&gt;"",ISNA(MATCH($F66,Tables2!$B$60:$B$62,0))),
Error!$B$27,
IF(AND(_xlpm.baseRow,_xlpm.Street&gt;0,_xlpm.ECA&gt;0),
Error!$B$29,
IF(AND(_xlpm.baseRow,_xlpm.Street&gt;0,_xlpm.Points&gt;0),
Error!$B$30,
IF(AND(_xlpm.baseRow,_xlpm.Street&gt;0,_xlpm.ReplaceReq&gt;0),
Error!$B$31,
IF(AND(_xlpm.baseRow,$D66&lt;&gt;"",$E66&lt;&gt;"",$G66&lt;&gt;"",_xlpm.DecBroad&gt;0,OR(_xlpm.Points&gt;0,_xlpm.Green&gt;0,_xlpm.ReplaceReq&gt;0),_xlpm.Street=0,$G66&lt;1.5),
Error!$B$42,
IF(AND(_xlpm.baseRow,$D66&lt;&gt;"",$E66&lt;&gt;"",$H66&lt;&gt;"",$H66&lt;4,_xlpm.Street&gt;0,_xlpm.Green&gt;0,COUNTA(_xlpm.FRange)&gt;0),
Error!$B$32,
IF(AND(_xlpm.baseRow,$G66="",_xlpm.ECA&gt;0,_xlpm.DecBroad&gt;0,_xlpm.ReplaceReq&gt;0),
Error!$B$52,
IF(AND(_xlpm.baseRow,$E66&lt;&gt;"", $H66="",_xlpm.ECA&gt;0,_xlpm.Coniferous&gt;0,_xlpm.ReplaceReq&gt;0),
Error!$B$53,
IF(AND(_xlpm.baseRow,$G66="",$H66="",_xlpm.ECA&gt;0,_xlpm.ReplaceReq&gt;0),
Error!$B$39,
IF(AND(_xlpm.baseRow,$D66&lt;&gt;"",$E66&lt;&gt;"",$G66="",$H66="",_xlpm.Coniferous&gt;0,_xlpm.ReplaceReq&gt;0,_xlpm.ECA&gt;0),
Error!$B$50,
IF(AND(_xlpm.baseRow,$D66&lt;&gt;"",$E66&lt;&gt;"",$G66&lt;&gt;"",_xlpm.Street&gt;0,$G66&lt;2),
Error!$B$43,
IF(AND(_xlpm.baseRow,$D66&lt;&gt;"",$E66&lt;&gt;"",_xlpm.Green&gt;0,_xlpm.DecBroad&gt;0,$G66=""),
Error!$B$49,
IF(AND(_xlpm.baseRow,$D66&lt;&gt;"",$E66&lt;&gt;"",$H66&lt;&gt;"",$H66&lt;4,_xlpm.Green&gt;0,_xlpm.DecBroad&gt;0,$G66=""),
Error!$B$51,
IF(AND(_xlpm.baseRow,$D66&lt;&gt;"",$E66&lt;&gt;"",_xlpm.Green&gt;0,_xlpm.Coniferous&gt;0,$H66=""),
Error!$B$50,
IF(AND(_xlpm.baseRow,$D66&lt;&gt;"",$E66&lt;&gt;"",_xlpm.Points&gt;0,_xlpm.DecBroad&gt;0,$G66=""),
Error!$B$49,
IF(AND(_xlpm.baseRow,$D66&lt;&gt;"",$E66&lt;&gt;"",_xlpm.Points&gt;0,_xlpm.Coniferous&gt;0,$H66=""),
Error!$B$50,
IF(AND(_xlpm.baseRow,$D66&lt;&gt;"",$E66&lt;&gt;"",_xlpm.ReplaceReq&gt;0,_xlpm.DecBroad&gt;0,$G66=""),
Error!$B$49,
IF(AND(_xlpm.baseRow,$D66&lt;&gt;"",$E66&lt;&gt;"",_xlpm.ReplaceReq&gt;0,_xlpm.Coniferous&gt;0,$H66=""),
Error!$B$50,
IF(AND(_xlpm.baseRow,$D66&lt;&gt;"",$E66&lt;&gt;"",_xlpm.Street&gt;0,$G66=""),
Error!$B$49,
IF(AND(_xlpm.baseRow,$D66&lt;&gt;"",$E66&lt;&gt;"",$H66&lt;&gt;"",$H66&lt;4,OR(ISNA(MATCH($C66,'Tree List'!$C$3:$C$601,0)),$C66=""),_xlpm.Green&gt;0,COUNTA(_xlpm.FRange)&gt;0),
Error!$B$51,
IF(AND(_xlpm.baseRow,$D66&lt;&gt;"",$E66&lt;&gt;"",$H66&lt;&gt;"",$H66&lt;4,_xlpm.DecBroad&gt;0,_xlpm.Green&gt;0,COUNTA(_xlpm.FRange)&gt;0),
Error!$B$51,
IF(AND(_xlpm.baseRow,$D66&lt;&gt;"",$E66&lt;&gt;"",$G66="",$H66="",OR(_xlpm.ReplaceReq&gt;0,_xlpm.Green&gt;0,_xlpm.Points&gt;0,_xlpm.Street&gt;0)),
Error!$B$38,
IF(AND(_xlpm.baseRow,$D66&lt;&gt;"",$E66&lt;&gt;"",$H66&lt;&gt;"",$H66&lt;4,_xlpm.Street=0,_xlpm.Coniferous&gt;0,COUNTA(_xlpm.FRange)&gt;0),
Error!$B$32,
IF(AND(_xlpm.baseRow,_xlpm.DecBroad&gt;0,$D66&lt;&gt;"",$E66&lt;&gt;"",$G66&lt;&gt;"",$G66&lt;1.5,_xlpm.Street=0,COUNTA(_xlpm.FRange)&gt;0),
Error!$B$42,
IF(AND(_xlpm.baseRow,$I66="",$H66="",_xlpm.ECA&gt;0,_xlpm.ReplaceReq=0),
Error!$B$33,
IF(AND(_xlpm.baseRow,OR($J66="",$J66&lt;=0),_xlpm.ReplaceReq&gt;0),
Error!$B$34,
IF(AND(_xlpm.baseRow,$K66&lt;&gt;"",_xlpm.Points&gt;0,ISNA(MATCH($K66,Tables!$B$242:$B$253,0))),
Error!$B$58,
IF(AND($K66="Small",$L66&lt;&gt;"",ISNA(MATCH($L66,Tables2!$C$35:$C$36,0))),
Error!$B$60,
IF(AND($K66="Small/Medium",$L66&lt;&gt;"",ISNA(MATCH($L66,Tables2!$C$38:$C$39,0))),
Error!$B$60,
IF(AND($K66="Medium/Large",$L66&lt;&gt;"",ISNA(MATCH($L66,Tables2!$C$41:$C$42,0))),
Error!$B$60,
IF(AND($K66="Large",$L66&lt;&gt;"",ISNA(MATCH($L66,Tables2!$C$44:$C$45,0))),
Error!$B$60,
IF(AND(_xlpm.baseRow,$B66&lt;&gt;"", $C66&lt;&gt;"", $D66&lt;&gt;"", $E66&lt;&gt;"", OR($M66="",$K66="",$L66=""),_xlpm.Points&gt;0),
Error!$B$35,
IF(AND(_xlpm.baseRow,$D66&lt;&gt;"",$E66&lt;&gt;"",$N66=""),
Error!$B$36,
""))))))))))))))))))))))))))))))))))))))))))),Error!$B$37))</f>
        <v/>
      </c>
      <c r="P66" s="355" t="str" cm="1">
        <f t="array" aca="1" ref="P66" ca="1">IFERROR(_xlfn.LET(
    _xlpm.txt, $C66,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7" spans="1:16" ht="15" thickBot="1" x14ac:dyDescent="0.35">
      <c r="A67" s="437">
        <v>15</v>
      </c>
      <c r="B67" s="447"/>
      <c r="C67" s="444"/>
      <c r="D67" s="296"/>
      <c r="E67" s="296"/>
      <c r="F67" s="304"/>
      <c r="G67" s="257"/>
      <c r="H67" s="181"/>
      <c r="I67" s="178"/>
      <c r="J67" s="457"/>
      <c r="K67" s="172" t="str">
        <f>IFERROR(
IF(
    AND(
        MOD(ROW()-11,4)=0,
        COUNTIF(INDEX(F:F, 11 + 4*INT((ROW()-11)/4)):INDEX(F:F, 14 + 4*INT((ROW()-11)/4)),"Zoning: Tree Points")&gt;0,
        COUNTIFS('Tree List'!$C$3:$C$601,$C67,'Tree List'!$H$3:$H$601,"sp.")=0
    ),
    VLOOKUP($C67,'Tree List'!$C$3:$F$601,4,FALSE),
    ""
),
"")</f>
        <v/>
      </c>
      <c r="L67" s="173" t="str" cm="1">
        <f t="array" ref="L67">IFERROR(
IF(
    AND(
        COUNTIF(INDEX(F:F, 11 + 4*INT((ROW()-11)/4)):INDEX(F:F, 14 + 4*INT((ROW()-11)/4)),"Zoning: Tree Points")&gt;0,
        COUNTIFS('Tree List'!$C$3:$C$601,$C67,'Tree List'!$H$3:$H$601,"sp.")&gt;0
    ),
    "",
    _xlfn.IFS(
        (COUNTIFS('Tree List'!$C$3:$C$601,$C67,'Tree List'!$D$3:$D$601,"Coniferous")
        + COUNTIFS('Tree List'!$C$3:$C$601,$C67,'Tree List'!$D$3:$D$601,"Deciduous Conifer")) &gt; 0,
            _xlfn.IFS($K67="Small",1.25,$K67="Small/Medium",2.5,$K67="Medium/Large",3.75,$K67="Large",5),
        (COUNTIFS('Tree List'!$C$3:$C$601,$C67,'Tree List'!$D$3:$D$601,"Deciduous")
        + COUNTIFS('Tree List'!$C$3:$C$601,$C67,'Tree List'!$D$3:$D$601,"Broadleaf Evergreen")) &gt; 0,
            _xlfn.IFS($K67="Small",1,$K67="Small/Medium",2,$K67="Medium/Large",3,$K67="Large",4)
    )
),
"")</f>
        <v/>
      </c>
      <c r="M67" s="470" t="str">
        <f t="shared" ref="M67" si="29">IFERROR($L67*$N67,"")</f>
        <v/>
      </c>
      <c r="N67" s="744"/>
      <c r="O67" s="737" t="str" cm="1">
        <f t="array" aca="1" ref="O67"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List'!$C$3:$C$601,$C67,'Tree List'!$D$3:$D$601,{"Deciduous","Broadleaf Evergreen"})),
_xlpm.Coniferous,SUM(COUNTIFS('Tree List'!$C$3:$C$601,$C67,'Tree List'!$D$3:$D$601,{"Coniferous","Deciduous Conifer"})),
IFERROR(
IF(AND(_xlpm.baseRow,ISNA(MATCH($C67,'Tree List'!$C$3:$C$601,0)),SUMPRODUCT(--ISNUMBER(SEARCH(Tables2!$C$677:$C$825,$P67)))&gt;0),
Error!$B$64,
IF(AND(_xlpm.baseRow,COUNTIF(_xlpm.FRange,"ECA / Shoreline")&gt;0,$D67&lt;&gt;"",$E67&lt;&gt;"",$N67=""),
Error!$B$55,
IF(AND(_xlpm.baseRow,$D67&lt;&gt;"",$E67&lt;&gt;"",COUNTBLANK($B67:$C67)&gt;0,COUNTBLANK($F67:$F70)&lt;&gt;4),
Error!$B$22,
IF(AND(_xlpm.baseRow,$D67="Right-of-Way", $E67=""),
Error!$B$67,
IF(AND(_xlpm.baseRow,$D67&lt;&gt;"",ISNA(MATCH($D67,Tables2!$B$66:$B$68,0))),
Error!$B$63,
IF(AND(_xlpm.baseRow,$D67="Off Site",$E67&lt;&gt;"",$E67&lt;&gt;"Yes"),
Error!$B$28,
IF(AND(_xlpm.baseRow,OR($D67="On Site",$D67="Right-of-Way"),$E67&lt;&gt;"",ISNA(MATCH($E67,MultiSelect2[TreeMitigation],0))),
Error!$B$28,
IF(AND(_xlpm.baseRow,$D67&lt;&gt;"",$E67&lt;&gt;"",COUNTIF(_xlpm.FRange,"&lt;&gt;")=0),
Error!$B$26,
IF(AND($E67="No",$F67&lt;&gt;"",ISNA(MATCH($F67,Tables2!$B$55:$B$57,0))),
Error!$B$27,
IF(AND($E67="Yes",$F67&lt;&gt;"",ISNA(MATCH($F67,Tables2!$B$48:$B$52,0))),
Error!$B$27,
IF(AND($D67="Off Site",$E67="Yes",$F67&lt;&gt;"",ISNA(MATCH($F67,Tables2!$B$60:$B$62,0))),
Error!$B$27,
IF(AND(_xlpm.baseRow,_xlpm.Street&gt;0,_xlpm.ECA&gt;0),
Error!$B$29,
IF(AND(_xlpm.baseRow,_xlpm.Street&gt;0,_xlpm.Points&gt;0),
Error!$B$30,
IF(AND(_xlpm.baseRow,_xlpm.Street&gt;0,_xlpm.ReplaceReq&gt;0),
Error!$B$31,
IF(AND(_xlpm.baseRow,$D67&lt;&gt;"",$E67&lt;&gt;"",$G67&lt;&gt;"",_xlpm.DecBroad&gt;0,OR(_xlpm.Points&gt;0,_xlpm.Green&gt;0,_xlpm.ReplaceReq&gt;0),_xlpm.Street=0,$G67&lt;1.5),
Error!$B$42,
IF(AND(_xlpm.baseRow,$D67&lt;&gt;"",$E67&lt;&gt;"",$H67&lt;&gt;"",$H67&lt;4,_xlpm.Street&gt;0,_xlpm.Green&gt;0,COUNTA(_xlpm.FRange)&gt;0),
Error!$B$32,
IF(AND(_xlpm.baseRow,$G67="",_xlpm.ECA&gt;0,_xlpm.DecBroad&gt;0,_xlpm.ReplaceReq&gt;0),
Error!$B$52,
IF(AND(_xlpm.baseRow,$E67&lt;&gt;"", $H67="",_xlpm.ECA&gt;0,_xlpm.Coniferous&gt;0,_xlpm.ReplaceReq&gt;0),
Error!$B$53,
IF(AND(_xlpm.baseRow,$G67="",$H67="",_xlpm.ECA&gt;0,_xlpm.ReplaceReq&gt;0),
Error!$B$39,
IF(AND(_xlpm.baseRow,$D67&lt;&gt;"",$E67&lt;&gt;"",$G67="",$H67="",_xlpm.Coniferous&gt;0,_xlpm.ReplaceReq&gt;0,_xlpm.ECA&gt;0),
Error!$B$50,
IF(AND(_xlpm.baseRow,$D67&lt;&gt;"",$E67&lt;&gt;"",$G67&lt;&gt;"",_xlpm.Street&gt;0,$G67&lt;2),
Error!$B$43,
IF(AND(_xlpm.baseRow,$D67&lt;&gt;"",$E67&lt;&gt;"",_xlpm.Green&gt;0,_xlpm.DecBroad&gt;0,$G67=""),
Error!$B$49,
IF(AND(_xlpm.baseRow,$D67&lt;&gt;"",$E67&lt;&gt;"",$H67&lt;&gt;"",$H67&lt;4,_xlpm.Green&gt;0,_xlpm.DecBroad&gt;0,$G67=""),
Error!$B$51,
IF(AND(_xlpm.baseRow,$D67&lt;&gt;"",$E67&lt;&gt;"",_xlpm.Green&gt;0,_xlpm.Coniferous&gt;0,$H67=""),
Error!$B$50,
IF(AND(_xlpm.baseRow,$D67&lt;&gt;"",$E67&lt;&gt;"",_xlpm.Points&gt;0,_xlpm.DecBroad&gt;0,$G67=""),
Error!$B$49,
IF(AND(_xlpm.baseRow,$D67&lt;&gt;"",$E67&lt;&gt;"",_xlpm.Points&gt;0,_xlpm.Coniferous&gt;0,$H67=""),
Error!$B$50,
IF(AND(_xlpm.baseRow,$D67&lt;&gt;"",$E67&lt;&gt;"",_xlpm.ReplaceReq&gt;0,_xlpm.DecBroad&gt;0,$G67=""),
Error!$B$49,
IF(AND(_xlpm.baseRow,$D67&lt;&gt;"",$E67&lt;&gt;"",_xlpm.ReplaceReq&gt;0,_xlpm.Coniferous&gt;0,$H67=""),
Error!$B$50,
IF(AND(_xlpm.baseRow,$D67&lt;&gt;"",$E67&lt;&gt;"",_xlpm.Street&gt;0,$G67=""),
Error!$B$49,
IF(AND(_xlpm.baseRow,$D67&lt;&gt;"",$E67&lt;&gt;"",$H67&lt;&gt;"",$H67&lt;4,OR(ISNA(MATCH($C67,'Tree List'!$C$3:$C$601,0)),$C67=""),_xlpm.Green&gt;0,COUNTA(_xlpm.FRange)&gt;0),
Error!$B$51,
IF(AND(_xlpm.baseRow,$D67&lt;&gt;"",$E67&lt;&gt;"",$H67&lt;&gt;"",$H67&lt;4,_xlpm.DecBroad&gt;0,_xlpm.Green&gt;0,COUNTA(_xlpm.FRange)&gt;0),
Error!$B$51,
IF(AND(_xlpm.baseRow,$D67&lt;&gt;"",$E67&lt;&gt;"",$G67="",$H67="",OR(_xlpm.ReplaceReq&gt;0,_xlpm.Green&gt;0,_xlpm.Points&gt;0,_xlpm.Street&gt;0)),
Error!$B$38,
IF(AND(_xlpm.baseRow,$D67&lt;&gt;"",$E67&lt;&gt;"",$H67&lt;&gt;"",$H67&lt;4,_xlpm.Street=0,_xlpm.Coniferous&gt;0,COUNTA(_xlpm.FRange)&gt;0),
Error!$B$32,
IF(AND(_xlpm.baseRow,_xlpm.DecBroad&gt;0,$D67&lt;&gt;"",$E67&lt;&gt;"",$G67&lt;&gt;"",$G67&lt;1.5,_xlpm.Street=0,COUNTA(_xlpm.FRange)&gt;0),
Error!$B$42,
IF(AND(_xlpm.baseRow,$I67="",$H67="",_xlpm.ECA&gt;0,_xlpm.ReplaceReq=0),
Error!$B$33,
IF(AND(_xlpm.baseRow,OR($J67="",$J67&lt;=0),_xlpm.ReplaceReq&gt;0),
Error!$B$34,
IF(AND(_xlpm.baseRow,$K67&lt;&gt;"",_xlpm.Points&gt;0,ISNA(MATCH($K67,Tables!$B$242:$B$253,0))),
Error!$B$58,
IF(AND($K67="Small",$L67&lt;&gt;"",ISNA(MATCH($L67,Tables2!$C$35:$C$36,0))),
Error!$B$60,
IF(AND($K67="Small/Medium",$L67&lt;&gt;"",ISNA(MATCH($L67,Tables2!$C$38:$C$39,0))),
Error!$B$60,
IF(AND($K67="Medium/Large",$L67&lt;&gt;"",ISNA(MATCH($L67,Tables2!$C$41:$C$42,0))),
Error!$B$60,
IF(AND($K67="Large",$L67&lt;&gt;"",ISNA(MATCH($L67,Tables2!$C$44:$C$45,0))),
Error!$B$60,
IF(AND(_xlpm.baseRow,$B67&lt;&gt;"", $C67&lt;&gt;"", $D67&lt;&gt;"", $E67&lt;&gt;"", OR($M67="",$K67="",$L67=""),_xlpm.Points&gt;0),
Error!$B$35,
IF(AND(_xlpm.baseRow,$D67&lt;&gt;"",$E67&lt;&gt;"",$N67=""),
Error!$B$36,
""))))))))))))))))))))))))))))))))))))))))))),Error!$B$37))</f>
        <v/>
      </c>
      <c r="P67" s="355" t="str" cm="1">
        <f t="array" aca="1" ref="P67" ca="1">IFERROR(_xlfn.LET(
    _xlpm.txt, $C67,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8" spans="1:16" x14ac:dyDescent="0.3">
      <c r="A68" s="297"/>
      <c r="B68" s="439" t="str">
        <f t="shared" ref="B68" si="30">IF($B67="", "", $B67)</f>
        <v/>
      </c>
      <c r="C68" s="309"/>
      <c r="D68" s="157" t="str">
        <f t="shared" ref="D68" si="31">IF($D67="", "", $D67)</f>
        <v/>
      </c>
      <c r="E68" s="157" t="str">
        <f t="shared" ref="E68" si="32">IF($E67="", "", $E67)</f>
        <v/>
      </c>
      <c r="F68" s="300"/>
      <c r="G68" s="159"/>
      <c r="H68" s="182"/>
      <c r="I68" s="179"/>
      <c r="J68" s="458"/>
      <c r="K68" s="174" t="str">
        <f>IFERROR(
IF(
    AND(
        MOD(ROW()-11,4)=0,
        COUNTIF(INDEX(F:F, 11 + 4*INT((ROW()-11)/4)):INDEX(F:F, 14 + 4*INT((ROW()-11)/4)),"Zoning: Tree Points")&gt;0,
        COUNTIFS('Tree List'!$C$3:$C$601,$C68,'Tree List'!$H$3:$H$601,"sp.")=0
    ),
    VLOOKUP($C68,'Tree List'!$C$3:$F$601,4,FALSE),
    ""
),
"")</f>
        <v/>
      </c>
      <c r="L68" s="175" t="str" cm="1">
        <f t="array" ref="L68">IFERROR(
IF(
    AND(
        COUNTIF(INDEX(F:F, 11 + 4*INT((ROW()-11)/4)):INDEX(F:F, 14 + 4*INT((ROW()-11)/4)),"Zoning: Tree Points")&gt;0,
        COUNTIFS('Tree List'!$C$3:$C$601,$C68,'Tree List'!$H$3:$H$601,"sp.")&gt;0
    ),
    "",
    _xlfn.IFS(
        (COUNTIFS('Tree List'!$C$3:$C$601,$C68,'Tree List'!$D$3:$D$601,"Coniferous")
        + COUNTIFS('Tree List'!$C$3:$C$601,$C68,'Tree List'!$D$3:$D$601,"Deciduous Conifer")) &gt; 0,
            _xlfn.IFS($K68="Small",1.25,$K68="Small/Medium",2.5,$K68="Medium/Large",3.75,$K68="Large",5),
        (COUNTIFS('Tree List'!$C$3:$C$601,$C68,'Tree List'!$D$3:$D$601,"Deciduous")
        + COUNTIFS('Tree List'!$C$3:$C$601,$C68,'Tree List'!$D$3:$D$601,"Broadleaf Evergreen")) &gt; 0,
            _xlfn.IFS($K68="Small",1,$K68="Small/Medium",2,$K68="Medium/Large",3,$K68="Large",4)
    )
),
"")</f>
        <v/>
      </c>
      <c r="M68" s="471" t="str">
        <f t="shared" ref="M68:M70" si="33">IFERROR($L68*$N68,"")</f>
        <v/>
      </c>
      <c r="N68" s="434"/>
      <c r="O68" s="340" t="str" cm="1">
        <f t="array" aca="1" ref="O68"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List'!$C$3:$C$601,$C68,'Tree List'!$D$3:$D$601,{"Deciduous","Broadleaf Evergreen"})),
_xlpm.Coniferous,SUM(COUNTIFS('Tree List'!$C$3:$C$601,$C68,'Tree List'!$D$3:$D$601,{"Coniferous","Deciduous Conifer"})),
IFERROR(
IF(AND(_xlpm.baseRow,ISNA(MATCH($C68,'Tree List'!$C$3:$C$601,0)),SUMPRODUCT(--ISNUMBER(SEARCH(Tables2!$C$677:$C$825,$P68)))&gt;0),
Error!$B$64,
IF(AND(_xlpm.baseRow,COUNTIF(_xlpm.FRange,"ECA / Shoreline")&gt;0,$D68&lt;&gt;"",$E68&lt;&gt;"",$N68=""),
Error!$B$55,
IF(AND(_xlpm.baseRow,$D68&lt;&gt;"",$E68&lt;&gt;"",COUNTBLANK($B68:$C68)&gt;0,COUNTBLANK($F68:$F71)&lt;&gt;4),
Error!$B$22,
IF(AND(_xlpm.baseRow,$D68="Right-of-Way", $E68=""),
Error!$B$67,
IF(AND(_xlpm.baseRow,$D68&lt;&gt;"",ISNA(MATCH($D68,Tables2!$B$66:$B$68,0))),
Error!$B$63,
IF(AND(_xlpm.baseRow,$D68="Off Site",$E68&lt;&gt;"",$E68&lt;&gt;"Yes"),
Error!$B$28,
IF(AND(_xlpm.baseRow,OR($D68="On Site",$D68="Right-of-Way"),$E68&lt;&gt;"",ISNA(MATCH($E68,MultiSelect2[TreeMitigation],0))),
Error!$B$28,
IF(AND(_xlpm.baseRow,$D68&lt;&gt;"",$E68&lt;&gt;"",COUNTIF(_xlpm.FRange,"&lt;&gt;")=0),
Error!$B$26,
IF(AND($E68="No",$F68&lt;&gt;"",ISNA(MATCH($F68,Tables2!$B$55:$B$57,0))),
Error!$B$27,
IF(AND($E68="Yes",$F68&lt;&gt;"",ISNA(MATCH($F68,Tables2!$B$48:$B$52,0))),
Error!$B$27,
IF(AND($D68="Off Site",$E68="Yes",$F68&lt;&gt;"",ISNA(MATCH($F68,Tables2!$B$60:$B$62,0))),
Error!$B$27,
IF(AND(_xlpm.baseRow,_xlpm.Street&gt;0,_xlpm.ECA&gt;0),
Error!$B$29,
IF(AND(_xlpm.baseRow,_xlpm.Street&gt;0,_xlpm.Points&gt;0),
Error!$B$30,
IF(AND(_xlpm.baseRow,_xlpm.Street&gt;0,_xlpm.ReplaceReq&gt;0),
Error!$B$31,
IF(AND(_xlpm.baseRow,$D68&lt;&gt;"",$E68&lt;&gt;"",$G68&lt;&gt;"",_xlpm.DecBroad&gt;0,OR(_xlpm.Points&gt;0,_xlpm.Green&gt;0,_xlpm.ReplaceReq&gt;0),_xlpm.Street=0,$G68&lt;1.5),
Error!$B$42,
IF(AND(_xlpm.baseRow,$D68&lt;&gt;"",$E68&lt;&gt;"",$H68&lt;&gt;"",$H68&lt;4,_xlpm.Street&gt;0,_xlpm.Green&gt;0,COUNTA(_xlpm.FRange)&gt;0),
Error!$B$32,
IF(AND(_xlpm.baseRow,$G68="",_xlpm.ECA&gt;0,_xlpm.DecBroad&gt;0,_xlpm.ReplaceReq&gt;0),
Error!$B$52,
IF(AND(_xlpm.baseRow,$E68&lt;&gt;"", $H68="",_xlpm.ECA&gt;0,_xlpm.Coniferous&gt;0,_xlpm.ReplaceReq&gt;0),
Error!$B$53,
IF(AND(_xlpm.baseRow,$G68="",$H68="",_xlpm.ECA&gt;0,_xlpm.ReplaceReq&gt;0),
Error!$B$39,
IF(AND(_xlpm.baseRow,$D68&lt;&gt;"",$E68&lt;&gt;"",$G68="",$H68="",_xlpm.Coniferous&gt;0,_xlpm.ReplaceReq&gt;0,_xlpm.ECA&gt;0),
Error!$B$50,
IF(AND(_xlpm.baseRow,$D68&lt;&gt;"",$E68&lt;&gt;"",$G68&lt;&gt;"",_xlpm.Street&gt;0,$G68&lt;2),
Error!$B$43,
IF(AND(_xlpm.baseRow,$D68&lt;&gt;"",$E68&lt;&gt;"",_xlpm.Green&gt;0,_xlpm.DecBroad&gt;0,$G68=""),
Error!$B$49,
IF(AND(_xlpm.baseRow,$D68&lt;&gt;"",$E68&lt;&gt;"",$H68&lt;&gt;"",$H68&lt;4,_xlpm.Green&gt;0,_xlpm.DecBroad&gt;0,$G68=""),
Error!$B$51,
IF(AND(_xlpm.baseRow,$D68&lt;&gt;"",$E68&lt;&gt;"",_xlpm.Green&gt;0,_xlpm.Coniferous&gt;0,$H68=""),
Error!$B$50,
IF(AND(_xlpm.baseRow,$D68&lt;&gt;"",$E68&lt;&gt;"",_xlpm.Points&gt;0,_xlpm.DecBroad&gt;0,$G68=""),
Error!$B$49,
IF(AND(_xlpm.baseRow,$D68&lt;&gt;"",$E68&lt;&gt;"",_xlpm.Points&gt;0,_xlpm.Coniferous&gt;0,$H68=""),
Error!$B$50,
IF(AND(_xlpm.baseRow,$D68&lt;&gt;"",$E68&lt;&gt;"",_xlpm.ReplaceReq&gt;0,_xlpm.DecBroad&gt;0,$G68=""),
Error!$B$49,
IF(AND(_xlpm.baseRow,$D68&lt;&gt;"",$E68&lt;&gt;"",_xlpm.ReplaceReq&gt;0,_xlpm.Coniferous&gt;0,$H68=""),
Error!$B$50,
IF(AND(_xlpm.baseRow,$D68&lt;&gt;"",$E68&lt;&gt;"",_xlpm.Street&gt;0,$G68=""),
Error!$B$49,
IF(AND(_xlpm.baseRow,$D68&lt;&gt;"",$E68&lt;&gt;"",$H68&lt;&gt;"",$H68&lt;4,OR(ISNA(MATCH($C68,'Tree List'!$C$3:$C$601,0)),$C68=""),_xlpm.Green&gt;0,COUNTA(_xlpm.FRange)&gt;0),
Error!$B$51,
IF(AND(_xlpm.baseRow,$D68&lt;&gt;"",$E68&lt;&gt;"",$H68&lt;&gt;"",$H68&lt;4,_xlpm.DecBroad&gt;0,_xlpm.Green&gt;0,COUNTA(_xlpm.FRange)&gt;0),
Error!$B$51,
IF(AND(_xlpm.baseRow,$D68&lt;&gt;"",$E68&lt;&gt;"",$G68="",$H68="",OR(_xlpm.ReplaceReq&gt;0,_xlpm.Green&gt;0,_xlpm.Points&gt;0,_xlpm.Street&gt;0)),
Error!$B$38,
IF(AND(_xlpm.baseRow,$D68&lt;&gt;"",$E68&lt;&gt;"",$H68&lt;&gt;"",$H68&lt;4,_xlpm.Street=0,_xlpm.Coniferous&gt;0,COUNTA(_xlpm.FRange)&gt;0),
Error!$B$32,
IF(AND(_xlpm.baseRow,_xlpm.DecBroad&gt;0,$D68&lt;&gt;"",$E68&lt;&gt;"",$G68&lt;&gt;"",$G68&lt;1.5,_xlpm.Street=0,COUNTA(_xlpm.FRange)&gt;0),
Error!$B$42,
IF(AND(_xlpm.baseRow,$I68="",$H68="",_xlpm.ECA&gt;0,_xlpm.ReplaceReq=0),
Error!$B$33,
IF(AND(_xlpm.baseRow,OR($J68="",$J68&lt;=0),_xlpm.ReplaceReq&gt;0),
Error!$B$34,
IF(AND(_xlpm.baseRow,$K68&lt;&gt;"",_xlpm.Points&gt;0,ISNA(MATCH($K68,Tables!$B$242:$B$253,0))),
Error!$B$58,
IF(AND($K68="Small",$L68&lt;&gt;"",ISNA(MATCH($L68,Tables2!$C$35:$C$36,0))),
Error!$B$60,
IF(AND($K68="Small/Medium",$L68&lt;&gt;"",ISNA(MATCH($L68,Tables2!$C$38:$C$39,0))),
Error!$B$60,
IF(AND($K68="Medium/Large",$L68&lt;&gt;"",ISNA(MATCH($L68,Tables2!$C$41:$C$42,0))),
Error!$B$60,
IF(AND($K68="Large",$L68&lt;&gt;"",ISNA(MATCH($L68,Tables2!$C$44:$C$45,0))),
Error!$B$60,
IF(AND(_xlpm.baseRow,$B68&lt;&gt;"", $C68&lt;&gt;"", $D68&lt;&gt;"", $E68&lt;&gt;"", OR($M68="",$K68="",$L68=""),_xlpm.Points&gt;0),
Error!$B$35,
IF(AND(_xlpm.baseRow,$D68&lt;&gt;"",$E68&lt;&gt;"",$N68=""),
Error!$B$36,
""))))))))))))))))))))))))))))))))))))))))))),Error!$B$37))</f>
        <v/>
      </c>
      <c r="P68" s="355" t="str" cm="1">
        <f t="array" aca="1" ref="P68" ca="1">IFERROR(_xlfn.LET(
    _xlpm.txt, $C68,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69" spans="1:16" x14ac:dyDescent="0.3">
      <c r="A69" s="297"/>
      <c r="B69" s="439" t="str">
        <f t="shared" ref="B69" si="34">IF($B67="", "", $B67)</f>
        <v/>
      </c>
      <c r="C69" s="438"/>
      <c r="D69" s="439" t="str">
        <f t="shared" ref="D69" si="35">IF($D67="", "", $D67)</f>
        <v/>
      </c>
      <c r="E69" s="439" t="str">
        <f t="shared" ref="E69" si="36">IF($E67="", "", $E67)</f>
        <v/>
      </c>
      <c r="F69" s="300"/>
      <c r="G69" s="160"/>
      <c r="H69" s="440"/>
      <c r="I69" s="441"/>
      <c r="J69" s="459"/>
      <c r="K69" s="442" t="str">
        <f>IFERROR(
IF(
    AND(
        MOD(ROW()-11,4)=0,
        COUNTIF(INDEX(F:F, 11 + 4*INT((ROW()-11)/4)):INDEX(F:F, 14 + 4*INT((ROW()-11)/4)),"Zoning: Tree Points")&gt;0,
        COUNTIFS('Tree List'!$C$3:$C$601,$C69,'Tree List'!$H$3:$H$601,"sp.")=0
    ),
    VLOOKUP($C69,'Tree List'!$C$3:$F$601,4,FALSE),
    ""
),
"")</f>
        <v/>
      </c>
      <c r="L69" s="443" t="str" cm="1">
        <f t="array" ref="L69">IFERROR(
IF(
    AND(
        COUNTIF(INDEX(F:F, 11 + 4*INT((ROW()-11)/4)):INDEX(F:F, 14 + 4*INT((ROW()-11)/4)),"Zoning: Tree Points")&gt;0,
        COUNTIFS('Tree List'!$C$3:$C$601,$C69,'Tree List'!$H$3:$H$601,"sp.")&gt;0
    ),
    "",
    _xlfn.IFS(
        (COUNTIFS('Tree List'!$C$3:$C$601,$C69,'Tree List'!$D$3:$D$601,"Coniferous")
        + COUNTIFS('Tree List'!$C$3:$C$601,$C69,'Tree List'!$D$3:$D$601,"Deciduous Conifer")) &gt; 0,
            _xlfn.IFS($K69="Small",1.25,$K69="Small/Medium",2.5,$K69="Medium/Large",3.75,$K69="Large",5),
        (COUNTIFS('Tree List'!$C$3:$C$601,$C69,'Tree List'!$D$3:$D$601,"Deciduous")
        + COUNTIFS('Tree List'!$C$3:$C$601,$C69,'Tree List'!$D$3:$D$601,"Broadleaf Evergreen")) &gt; 0,
            _xlfn.IFS($K69="Small",1,$K69="Small/Medium",2,$K69="Medium/Large",3,$K69="Large",4)
    )
),
"")</f>
        <v/>
      </c>
      <c r="M69" s="472" t="str">
        <f t="shared" si="33"/>
        <v/>
      </c>
      <c r="N69" s="434"/>
      <c r="O69" s="340" t="str" cm="1">
        <f t="array" aca="1" ref="O69"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List'!$C$3:$C$601,$C69,'Tree List'!$D$3:$D$601,{"Deciduous","Broadleaf Evergreen"})),
_xlpm.Coniferous,SUM(COUNTIFS('Tree List'!$C$3:$C$601,$C69,'Tree List'!$D$3:$D$601,{"Coniferous","Deciduous Conifer"})),
IFERROR(
IF(AND(_xlpm.baseRow,ISNA(MATCH($C69,'Tree List'!$C$3:$C$601,0)),SUMPRODUCT(--ISNUMBER(SEARCH(Tables2!$C$677:$C$825,$P69)))&gt;0),
Error!$B$64,
IF(AND(_xlpm.baseRow,COUNTIF(_xlpm.FRange,"ECA / Shoreline")&gt;0,$D69&lt;&gt;"",$E69&lt;&gt;"",$N69=""),
Error!$B$55,
IF(AND(_xlpm.baseRow,$D69&lt;&gt;"",$E69&lt;&gt;"",COUNTBLANK($B69:$C69)&gt;0,COUNTBLANK($F69:$F72)&lt;&gt;4),
Error!$B$22,
IF(AND(_xlpm.baseRow,$D69="Right-of-Way", $E69=""),
Error!$B$67,
IF(AND(_xlpm.baseRow,$D69&lt;&gt;"",ISNA(MATCH($D69,Tables2!$B$66:$B$68,0))),
Error!$B$63,
IF(AND(_xlpm.baseRow,$D69="Off Site",$E69&lt;&gt;"",$E69&lt;&gt;"Yes"),
Error!$B$28,
IF(AND(_xlpm.baseRow,OR($D69="On Site",$D69="Right-of-Way"),$E69&lt;&gt;"",ISNA(MATCH($E69,MultiSelect2[TreeMitigation],0))),
Error!$B$28,
IF(AND(_xlpm.baseRow,$D69&lt;&gt;"",$E69&lt;&gt;"",COUNTIF(_xlpm.FRange,"&lt;&gt;")=0),
Error!$B$26,
IF(AND($E69="No",$F69&lt;&gt;"",ISNA(MATCH($F69,Tables2!$B$55:$B$57,0))),
Error!$B$27,
IF(AND($E69="Yes",$F69&lt;&gt;"",ISNA(MATCH($F69,Tables2!$B$48:$B$52,0))),
Error!$B$27,
IF(AND($D69="Off Site",$E69="Yes",$F69&lt;&gt;"",ISNA(MATCH($F69,Tables2!$B$60:$B$62,0))),
Error!$B$27,
IF(AND(_xlpm.baseRow,_xlpm.Street&gt;0,_xlpm.ECA&gt;0),
Error!$B$29,
IF(AND(_xlpm.baseRow,_xlpm.Street&gt;0,_xlpm.Points&gt;0),
Error!$B$30,
IF(AND(_xlpm.baseRow,_xlpm.Street&gt;0,_xlpm.ReplaceReq&gt;0),
Error!$B$31,
IF(AND(_xlpm.baseRow,$D69&lt;&gt;"",$E69&lt;&gt;"",$G69&lt;&gt;"",_xlpm.DecBroad&gt;0,OR(_xlpm.Points&gt;0,_xlpm.Green&gt;0,_xlpm.ReplaceReq&gt;0),_xlpm.Street=0,$G69&lt;1.5),
Error!$B$42,
IF(AND(_xlpm.baseRow,$D69&lt;&gt;"",$E69&lt;&gt;"",$H69&lt;&gt;"",$H69&lt;4,_xlpm.Street&gt;0,_xlpm.Green&gt;0,COUNTA(_xlpm.FRange)&gt;0),
Error!$B$32,
IF(AND(_xlpm.baseRow,$G69="",_xlpm.ECA&gt;0,_xlpm.DecBroad&gt;0,_xlpm.ReplaceReq&gt;0),
Error!$B$52,
IF(AND(_xlpm.baseRow,$E69&lt;&gt;"", $H69="",_xlpm.ECA&gt;0,_xlpm.Coniferous&gt;0,_xlpm.ReplaceReq&gt;0),
Error!$B$53,
IF(AND(_xlpm.baseRow,$G69="",$H69="",_xlpm.ECA&gt;0,_xlpm.ReplaceReq&gt;0),
Error!$B$39,
IF(AND(_xlpm.baseRow,$D69&lt;&gt;"",$E69&lt;&gt;"",$G69="",$H69="",_xlpm.Coniferous&gt;0,_xlpm.ReplaceReq&gt;0,_xlpm.ECA&gt;0),
Error!$B$50,
IF(AND(_xlpm.baseRow,$D69&lt;&gt;"",$E69&lt;&gt;"",$G69&lt;&gt;"",_xlpm.Street&gt;0,$G69&lt;2),
Error!$B$43,
IF(AND(_xlpm.baseRow,$D69&lt;&gt;"",$E69&lt;&gt;"",_xlpm.Green&gt;0,_xlpm.DecBroad&gt;0,$G69=""),
Error!$B$49,
IF(AND(_xlpm.baseRow,$D69&lt;&gt;"",$E69&lt;&gt;"",$H69&lt;&gt;"",$H69&lt;4,_xlpm.Green&gt;0,_xlpm.DecBroad&gt;0,$G69=""),
Error!$B$51,
IF(AND(_xlpm.baseRow,$D69&lt;&gt;"",$E69&lt;&gt;"",_xlpm.Green&gt;0,_xlpm.Coniferous&gt;0,$H69=""),
Error!$B$50,
IF(AND(_xlpm.baseRow,$D69&lt;&gt;"",$E69&lt;&gt;"",_xlpm.Points&gt;0,_xlpm.DecBroad&gt;0,$G69=""),
Error!$B$49,
IF(AND(_xlpm.baseRow,$D69&lt;&gt;"",$E69&lt;&gt;"",_xlpm.Points&gt;0,_xlpm.Coniferous&gt;0,$H69=""),
Error!$B$50,
IF(AND(_xlpm.baseRow,$D69&lt;&gt;"",$E69&lt;&gt;"",_xlpm.ReplaceReq&gt;0,_xlpm.DecBroad&gt;0,$G69=""),
Error!$B$49,
IF(AND(_xlpm.baseRow,$D69&lt;&gt;"",$E69&lt;&gt;"",_xlpm.ReplaceReq&gt;0,_xlpm.Coniferous&gt;0,$H69=""),
Error!$B$50,
IF(AND(_xlpm.baseRow,$D69&lt;&gt;"",$E69&lt;&gt;"",_xlpm.Street&gt;0,$G69=""),
Error!$B$49,
IF(AND(_xlpm.baseRow,$D69&lt;&gt;"",$E69&lt;&gt;"",$H69&lt;&gt;"",$H69&lt;4,OR(ISNA(MATCH($C69,'Tree List'!$C$3:$C$601,0)),$C69=""),_xlpm.Green&gt;0,COUNTA(_xlpm.FRange)&gt;0),
Error!$B$51,
IF(AND(_xlpm.baseRow,$D69&lt;&gt;"",$E69&lt;&gt;"",$H69&lt;&gt;"",$H69&lt;4,_xlpm.DecBroad&gt;0,_xlpm.Green&gt;0,COUNTA(_xlpm.FRange)&gt;0),
Error!$B$51,
IF(AND(_xlpm.baseRow,$D69&lt;&gt;"",$E69&lt;&gt;"",$G69="",$H69="",OR(_xlpm.ReplaceReq&gt;0,_xlpm.Green&gt;0,_xlpm.Points&gt;0,_xlpm.Street&gt;0)),
Error!$B$38,
IF(AND(_xlpm.baseRow,$D69&lt;&gt;"",$E69&lt;&gt;"",$H69&lt;&gt;"",$H69&lt;4,_xlpm.Street=0,_xlpm.Coniferous&gt;0,COUNTA(_xlpm.FRange)&gt;0),
Error!$B$32,
IF(AND(_xlpm.baseRow,_xlpm.DecBroad&gt;0,$D69&lt;&gt;"",$E69&lt;&gt;"",$G69&lt;&gt;"",$G69&lt;1.5,_xlpm.Street=0,COUNTA(_xlpm.FRange)&gt;0),
Error!$B$42,
IF(AND(_xlpm.baseRow,$I69="",$H69="",_xlpm.ECA&gt;0,_xlpm.ReplaceReq=0),
Error!$B$33,
IF(AND(_xlpm.baseRow,OR($J69="",$J69&lt;=0),_xlpm.ReplaceReq&gt;0),
Error!$B$34,
IF(AND(_xlpm.baseRow,$K69&lt;&gt;"",_xlpm.Points&gt;0,ISNA(MATCH($K69,Tables!$B$242:$B$253,0))),
Error!$B$58,
IF(AND($K69="Small",$L69&lt;&gt;"",ISNA(MATCH($L69,Tables2!$C$35:$C$36,0))),
Error!$B$60,
IF(AND($K69="Small/Medium",$L69&lt;&gt;"",ISNA(MATCH($L69,Tables2!$C$38:$C$39,0))),
Error!$B$60,
IF(AND($K69="Medium/Large",$L69&lt;&gt;"",ISNA(MATCH($L69,Tables2!$C$41:$C$42,0))),
Error!$B$60,
IF(AND($K69="Large",$L69&lt;&gt;"",ISNA(MATCH($L69,Tables2!$C$44:$C$45,0))),
Error!$B$60,
IF(AND(_xlpm.baseRow,$B69&lt;&gt;"", $C69&lt;&gt;"", $D69&lt;&gt;"", $E69&lt;&gt;"", OR($M69="",$K69="",$L69=""),_xlpm.Points&gt;0),
Error!$B$35,
IF(AND(_xlpm.baseRow,$D69&lt;&gt;"",$E69&lt;&gt;"",$N69=""),
Error!$B$36,
""))))))))))))))))))))))))))))))))))))))))))),Error!$B$37))</f>
        <v/>
      </c>
      <c r="P69" s="355" t="str" cm="1">
        <f t="array" aca="1" ref="P69" ca="1">IFERROR(_xlfn.LET(
    _xlpm.txt, $C69,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0" spans="1:16" ht="15" thickBot="1" x14ac:dyDescent="0.35">
      <c r="A70" s="298"/>
      <c r="B70" s="439" t="str">
        <f t="shared" ref="B70" si="37">IF($B67="", "", $B67)</f>
        <v/>
      </c>
      <c r="C70" s="310"/>
      <c r="D70" s="154" t="str">
        <f t="shared" ref="D70" si="38">IF($D67="", "", $D67)</f>
        <v/>
      </c>
      <c r="E70" s="154" t="str">
        <f t="shared" ref="E70" si="39">IF($E67="", "", $E67)</f>
        <v/>
      </c>
      <c r="F70" s="302"/>
      <c r="G70" s="161"/>
      <c r="H70" s="183"/>
      <c r="I70" s="180"/>
      <c r="J70" s="460"/>
      <c r="K70" s="176" t="str">
        <f>IFERROR(
IF(
    AND(
        MOD(ROW()-11,4)=0,
        COUNTIF(INDEX(F:F, 11 + 4*INT((ROW()-11)/4)):INDEX(F:F, 14 + 4*INT((ROW()-11)/4)),"Zoning: Tree Points")&gt;0,
        COUNTIFS('Tree List'!$C$3:$C$601,$C70,'Tree List'!$H$3:$H$601,"sp.")=0
    ),
    VLOOKUP($C70,'Tree List'!$C$3:$F$601,4,FALSE),
    ""
),
"")</f>
        <v/>
      </c>
      <c r="L70" s="177" t="str" cm="1">
        <f t="array" ref="L70">IFERROR(
IF(
    AND(
        COUNTIF(INDEX(F:F, 11 + 4*INT((ROW()-11)/4)):INDEX(F:F, 14 + 4*INT((ROW()-11)/4)),"Zoning: Tree Points")&gt;0,
        COUNTIFS('Tree List'!$C$3:$C$601,$C70,'Tree List'!$H$3:$H$601,"sp.")&gt;0
    ),
    "",
    _xlfn.IFS(
        (COUNTIFS('Tree List'!$C$3:$C$601,$C70,'Tree List'!$D$3:$D$601,"Coniferous")
        + COUNTIFS('Tree List'!$C$3:$C$601,$C70,'Tree List'!$D$3:$D$601,"Deciduous Conifer")) &gt; 0,
            _xlfn.IFS($K70="Small",1.25,$K70="Small/Medium",2.5,$K70="Medium/Large",3.75,$K70="Large",5),
        (COUNTIFS('Tree List'!$C$3:$C$601,$C70,'Tree List'!$D$3:$D$601,"Deciduous")
        + COUNTIFS('Tree List'!$C$3:$C$601,$C70,'Tree List'!$D$3:$D$601,"Broadleaf Evergreen")) &gt; 0,
            _xlfn.IFS($K70="Small",1,$K70="Small/Medium",2,$K70="Medium/Large",3,$K70="Large",4)
    )
),
"")</f>
        <v/>
      </c>
      <c r="M70" s="473" t="str">
        <f t="shared" si="33"/>
        <v/>
      </c>
      <c r="N70" s="435"/>
      <c r="O70" s="341" t="str" cm="1">
        <f t="array" aca="1" ref="O70"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List'!$C$3:$C$601,$C70,'Tree List'!$D$3:$D$601,{"Deciduous","Broadleaf Evergreen"})),
_xlpm.Coniferous,SUM(COUNTIFS('Tree List'!$C$3:$C$601,$C70,'Tree List'!$D$3:$D$601,{"Coniferous","Deciduous Conifer"})),
IFERROR(
IF(AND(_xlpm.baseRow,ISNA(MATCH($C70,'Tree List'!$C$3:$C$601,0)),SUMPRODUCT(--ISNUMBER(SEARCH(Tables2!$C$677:$C$825,$P70)))&gt;0),
Error!$B$64,
IF(AND(_xlpm.baseRow,COUNTIF(_xlpm.FRange,"ECA / Shoreline")&gt;0,$D70&lt;&gt;"",$E70&lt;&gt;"",$N70=""),
Error!$B$55,
IF(AND(_xlpm.baseRow,$D70&lt;&gt;"",$E70&lt;&gt;"",COUNTBLANK($B70:$C70)&gt;0,COUNTBLANK($F70:$F73)&lt;&gt;4),
Error!$B$22,
IF(AND(_xlpm.baseRow,$D70="Right-of-Way", $E70=""),
Error!$B$67,
IF(AND(_xlpm.baseRow,$D70&lt;&gt;"",ISNA(MATCH($D70,Tables2!$B$66:$B$68,0))),
Error!$B$63,
IF(AND(_xlpm.baseRow,$D70="Off Site",$E70&lt;&gt;"",$E70&lt;&gt;"Yes"),
Error!$B$28,
IF(AND(_xlpm.baseRow,OR($D70="On Site",$D70="Right-of-Way"),$E70&lt;&gt;"",ISNA(MATCH($E70,MultiSelect2[TreeMitigation],0))),
Error!$B$28,
IF(AND(_xlpm.baseRow,$D70&lt;&gt;"",$E70&lt;&gt;"",COUNTIF(_xlpm.FRange,"&lt;&gt;")=0),
Error!$B$26,
IF(AND($E70="No",$F70&lt;&gt;"",ISNA(MATCH($F70,Tables2!$B$55:$B$57,0))),
Error!$B$27,
IF(AND($E70="Yes",$F70&lt;&gt;"",ISNA(MATCH($F70,Tables2!$B$48:$B$52,0))),
Error!$B$27,
IF(AND($D70="Off Site",$E70="Yes",$F70&lt;&gt;"",ISNA(MATCH($F70,Tables2!$B$60:$B$62,0))),
Error!$B$27,
IF(AND(_xlpm.baseRow,_xlpm.Street&gt;0,_xlpm.ECA&gt;0),
Error!$B$29,
IF(AND(_xlpm.baseRow,_xlpm.Street&gt;0,_xlpm.Points&gt;0),
Error!$B$30,
IF(AND(_xlpm.baseRow,_xlpm.Street&gt;0,_xlpm.ReplaceReq&gt;0),
Error!$B$31,
IF(AND(_xlpm.baseRow,$D70&lt;&gt;"",$E70&lt;&gt;"",$G70&lt;&gt;"",_xlpm.DecBroad&gt;0,OR(_xlpm.Points&gt;0,_xlpm.Green&gt;0,_xlpm.ReplaceReq&gt;0),_xlpm.Street=0,$G70&lt;1.5),
Error!$B$42,
IF(AND(_xlpm.baseRow,$D70&lt;&gt;"",$E70&lt;&gt;"",$H70&lt;&gt;"",$H70&lt;4,_xlpm.Street&gt;0,_xlpm.Green&gt;0,COUNTA(_xlpm.FRange)&gt;0),
Error!$B$32,
IF(AND(_xlpm.baseRow,$G70="",_xlpm.ECA&gt;0,_xlpm.DecBroad&gt;0,_xlpm.ReplaceReq&gt;0),
Error!$B$52,
IF(AND(_xlpm.baseRow,$E70&lt;&gt;"", $H70="",_xlpm.ECA&gt;0,_xlpm.Coniferous&gt;0,_xlpm.ReplaceReq&gt;0),
Error!$B$53,
IF(AND(_xlpm.baseRow,$G70="",$H70="",_xlpm.ECA&gt;0,_xlpm.ReplaceReq&gt;0),
Error!$B$39,
IF(AND(_xlpm.baseRow,$D70&lt;&gt;"",$E70&lt;&gt;"",$G70="",$H70="",_xlpm.Coniferous&gt;0,_xlpm.ReplaceReq&gt;0,_xlpm.ECA&gt;0),
Error!$B$50,
IF(AND(_xlpm.baseRow,$D70&lt;&gt;"",$E70&lt;&gt;"",$G70&lt;&gt;"",_xlpm.Street&gt;0,$G70&lt;2),
Error!$B$43,
IF(AND(_xlpm.baseRow,$D70&lt;&gt;"",$E70&lt;&gt;"",_xlpm.Green&gt;0,_xlpm.DecBroad&gt;0,$G70=""),
Error!$B$49,
IF(AND(_xlpm.baseRow,$D70&lt;&gt;"",$E70&lt;&gt;"",$H70&lt;&gt;"",$H70&lt;4,_xlpm.Green&gt;0,_xlpm.DecBroad&gt;0,$G70=""),
Error!$B$51,
IF(AND(_xlpm.baseRow,$D70&lt;&gt;"",$E70&lt;&gt;"",_xlpm.Green&gt;0,_xlpm.Coniferous&gt;0,$H70=""),
Error!$B$50,
IF(AND(_xlpm.baseRow,$D70&lt;&gt;"",$E70&lt;&gt;"",_xlpm.Points&gt;0,_xlpm.DecBroad&gt;0,$G70=""),
Error!$B$49,
IF(AND(_xlpm.baseRow,$D70&lt;&gt;"",$E70&lt;&gt;"",_xlpm.Points&gt;0,_xlpm.Coniferous&gt;0,$H70=""),
Error!$B$50,
IF(AND(_xlpm.baseRow,$D70&lt;&gt;"",$E70&lt;&gt;"",_xlpm.ReplaceReq&gt;0,_xlpm.DecBroad&gt;0,$G70=""),
Error!$B$49,
IF(AND(_xlpm.baseRow,$D70&lt;&gt;"",$E70&lt;&gt;"",_xlpm.ReplaceReq&gt;0,_xlpm.Coniferous&gt;0,$H70=""),
Error!$B$50,
IF(AND(_xlpm.baseRow,$D70&lt;&gt;"",$E70&lt;&gt;"",_xlpm.Street&gt;0,$G70=""),
Error!$B$49,
IF(AND(_xlpm.baseRow,$D70&lt;&gt;"",$E70&lt;&gt;"",$H70&lt;&gt;"",$H70&lt;4,OR(ISNA(MATCH($C70,'Tree List'!$C$3:$C$601,0)),$C70=""),_xlpm.Green&gt;0,COUNTA(_xlpm.FRange)&gt;0),
Error!$B$51,
IF(AND(_xlpm.baseRow,$D70&lt;&gt;"",$E70&lt;&gt;"",$H70&lt;&gt;"",$H70&lt;4,_xlpm.DecBroad&gt;0,_xlpm.Green&gt;0,COUNTA(_xlpm.FRange)&gt;0),
Error!$B$51,
IF(AND(_xlpm.baseRow,$D70&lt;&gt;"",$E70&lt;&gt;"",$G70="",$H70="",OR(_xlpm.ReplaceReq&gt;0,_xlpm.Green&gt;0,_xlpm.Points&gt;0,_xlpm.Street&gt;0)),
Error!$B$38,
IF(AND(_xlpm.baseRow,$D70&lt;&gt;"",$E70&lt;&gt;"",$H70&lt;&gt;"",$H70&lt;4,_xlpm.Street=0,_xlpm.Coniferous&gt;0,COUNTA(_xlpm.FRange)&gt;0),
Error!$B$32,
IF(AND(_xlpm.baseRow,_xlpm.DecBroad&gt;0,$D70&lt;&gt;"",$E70&lt;&gt;"",$G70&lt;&gt;"",$G70&lt;1.5,_xlpm.Street=0,COUNTA(_xlpm.FRange)&gt;0),
Error!$B$42,
IF(AND(_xlpm.baseRow,$I70="",$H70="",_xlpm.ECA&gt;0,_xlpm.ReplaceReq=0),
Error!$B$33,
IF(AND(_xlpm.baseRow,OR($J70="",$J70&lt;=0),_xlpm.ReplaceReq&gt;0),
Error!$B$34,
IF(AND(_xlpm.baseRow,$K70&lt;&gt;"",_xlpm.Points&gt;0,ISNA(MATCH($K70,Tables!$B$242:$B$253,0))),
Error!$B$58,
IF(AND($K70="Small",$L70&lt;&gt;"",ISNA(MATCH($L70,Tables2!$C$35:$C$36,0))),
Error!$B$60,
IF(AND($K70="Small/Medium",$L70&lt;&gt;"",ISNA(MATCH($L70,Tables2!$C$38:$C$39,0))),
Error!$B$60,
IF(AND($K70="Medium/Large",$L70&lt;&gt;"",ISNA(MATCH($L70,Tables2!$C$41:$C$42,0))),
Error!$B$60,
IF(AND($K70="Large",$L70&lt;&gt;"",ISNA(MATCH($L70,Tables2!$C$44:$C$45,0))),
Error!$B$60,
IF(AND(_xlpm.baseRow,$B70&lt;&gt;"", $C70&lt;&gt;"", $D70&lt;&gt;"", $E70&lt;&gt;"", OR($M70="",$K70="",$L70=""),_xlpm.Points&gt;0),
Error!$B$35,
IF(AND(_xlpm.baseRow,$D70&lt;&gt;"",$E70&lt;&gt;"",$N70=""),
Error!$B$36,
""))))))))))))))))))))))))))))))))))))))))))),Error!$B$37))</f>
        <v/>
      </c>
      <c r="P70" s="355" t="str" cm="1">
        <f t="array" aca="1" ref="P70" ca="1">IFERROR(_xlfn.LET(
    _xlpm.txt, $C70,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1" spans="1:16" ht="15" thickBot="1" x14ac:dyDescent="0.35">
      <c r="A71" s="437">
        <v>16</v>
      </c>
      <c r="B71" s="447"/>
      <c r="C71" s="444"/>
      <c r="D71" s="296"/>
      <c r="E71" s="296"/>
      <c r="F71" s="304"/>
      <c r="G71" s="257"/>
      <c r="H71" s="181"/>
      <c r="I71" s="178"/>
      <c r="J71" s="457"/>
      <c r="K71" s="172" t="str">
        <f>IFERROR(
IF(
    AND(
        MOD(ROW()-11,4)=0,
        COUNTIF(INDEX(F:F, 11 + 4*INT((ROW()-11)/4)):INDEX(F:F, 14 + 4*INT((ROW()-11)/4)),"Zoning: Tree Points")&gt;0,
        COUNTIFS('Tree List'!$C$3:$C$601,$C71,'Tree List'!$H$3:$H$601,"sp.")=0
    ),
    VLOOKUP($C71,'Tree List'!$C$3:$F$601,4,FALSE),
    ""
),
"")</f>
        <v/>
      </c>
      <c r="L71" s="173" t="str" cm="1">
        <f t="array" ref="L71">IFERROR(
IF(
    AND(
        COUNTIF(INDEX(F:F, 11 + 4*INT((ROW()-11)/4)):INDEX(F:F, 14 + 4*INT((ROW()-11)/4)),"Zoning: Tree Points")&gt;0,
        COUNTIFS('Tree List'!$C$3:$C$601,$C71,'Tree List'!$H$3:$H$601,"sp.")&gt;0
    ),
    "",
    _xlfn.IFS(
        (COUNTIFS('Tree List'!$C$3:$C$601,$C71,'Tree List'!$D$3:$D$601,"Coniferous")
        + COUNTIFS('Tree List'!$C$3:$C$601,$C71,'Tree List'!$D$3:$D$601,"Deciduous Conifer")) &gt; 0,
            _xlfn.IFS($K71="Small",1.25,$K71="Small/Medium",2.5,$K71="Medium/Large",3.75,$K71="Large",5),
        (COUNTIFS('Tree List'!$C$3:$C$601,$C71,'Tree List'!$D$3:$D$601,"Deciduous")
        + COUNTIFS('Tree List'!$C$3:$C$601,$C71,'Tree List'!$D$3:$D$601,"Broadleaf Evergreen")) &gt; 0,
            _xlfn.IFS($K71="Small",1,$K71="Small/Medium",2,$K71="Medium/Large",3,$K71="Large",4)
    )
),
"")</f>
        <v/>
      </c>
      <c r="M71" s="470" t="str">
        <f t="shared" ref="M71" si="40">IFERROR($L71*$N71,"")</f>
        <v/>
      </c>
      <c r="N71" s="744"/>
      <c r="O71" s="737" t="str" cm="1">
        <f t="array" aca="1" ref="O71"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List'!$C$3:$C$601,$C71,'Tree List'!$D$3:$D$601,{"Deciduous","Broadleaf Evergreen"})),
_xlpm.Coniferous,SUM(COUNTIFS('Tree List'!$C$3:$C$601,$C71,'Tree List'!$D$3:$D$601,{"Coniferous","Deciduous Conifer"})),
IFERROR(
IF(AND(_xlpm.baseRow,ISNA(MATCH($C71,'Tree List'!$C$3:$C$601,0)),SUMPRODUCT(--ISNUMBER(SEARCH(Tables2!$C$677:$C$825,$P71)))&gt;0),
Error!$B$64,
IF(AND(_xlpm.baseRow,COUNTIF(_xlpm.FRange,"ECA / Shoreline")&gt;0,$D71&lt;&gt;"",$E71&lt;&gt;"",$N71=""),
Error!$B$55,
IF(AND(_xlpm.baseRow,$D71&lt;&gt;"",$E71&lt;&gt;"",COUNTBLANK($B71:$C71)&gt;0,COUNTBLANK($F71:$F74)&lt;&gt;4),
Error!$B$22,
IF(AND(_xlpm.baseRow,$D71="Right-of-Way", $E71=""),
Error!$B$67,
IF(AND(_xlpm.baseRow,$D71&lt;&gt;"",ISNA(MATCH($D71,Tables2!$B$66:$B$68,0))),
Error!$B$63,
IF(AND(_xlpm.baseRow,$D71="Off Site",$E71&lt;&gt;"",$E71&lt;&gt;"Yes"),
Error!$B$28,
IF(AND(_xlpm.baseRow,OR($D71="On Site",$D71="Right-of-Way"),$E71&lt;&gt;"",ISNA(MATCH($E71,MultiSelect2[TreeMitigation],0))),
Error!$B$28,
IF(AND(_xlpm.baseRow,$D71&lt;&gt;"",$E71&lt;&gt;"",COUNTIF(_xlpm.FRange,"&lt;&gt;")=0),
Error!$B$26,
IF(AND($E71="No",$F71&lt;&gt;"",ISNA(MATCH($F71,Tables2!$B$55:$B$57,0))),
Error!$B$27,
IF(AND($E71="Yes",$F71&lt;&gt;"",ISNA(MATCH($F71,Tables2!$B$48:$B$52,0))),
Error!$B$27,
IF(AND($D71="Off Site",$E71="Yes",$F71&lt;&gt;"",ISNA(MATCH($F71,Tables2!$B$60:$B$62,0))),
Error!$B$27,
IF(AND(_xlpm.baseRow,_xlpm.Street&gt;0,_xlpm.ECA&gt;0),
Error!$B$29,
IF(AND(_xlpm.baseRow,_xlpm.Street&gt;0,_xlpm.Points&gt;0),
Error!$B$30,
IF(AND(_xlpm.baseRow,_xlpm.Street&gt;0,_xlpm.ReplaceReq&gt;0),
Error!$B$31,
IF(AND(_xlpm.baseRow,$D71&lt;&gt;"",$E71&lt;&gt;"",$G71&lt;&gt;"",_xlpm.DecBroad&gt;0,OR(_xlpm.Points&gt;0,_xlpm.Green&gt;0,_xlpm.ReplaceReq&gt;0),_xlpm.Street=0,$G71&lt;1.5),
Error!$B$42,
IF(AND(_xlpm.baseRow,$D71&lt;&gt;"",$E71&lt;&gt;"",$H71&lt;&gt;"",$H71&lt;4,_xlpm.Street&gt;0,_xlpm.Green&gt;0,COUNTA(_xlpm.FRange)&gt;0),
Error!$B$32,
IF(AND(_xlpm.baseRow,$G71="",_xlpm.ECA&gt;0,_xlpm.DecBroad&gt;0,_xlpm.ReplaceReq&gt;0),
Error!$B$52,
IF(AND(_xlpm.baseRow,$E71&lt;&gt;"", $H71="",_xlpm.ECA&gt;0,_xlpm.Coniferous&gt;0,_xlpm.ReplaceReq&gt;0),
Error!$B$53,
IF(AND(_xlpm.baseRow,$G71="",$H71="",_xlpm.ECA&gt;0,_xlpm.ReplaceReq&gt;0),
Error!$B$39,
IF(AND(_xlpm.baseRow,$D71&lt;&gt;"",$E71&lt;&gt;"",$G71="",$H71="",_xlpm.Coniferous&gt;0,_xlpm.ReplaceReq&gt;0,_xlpm.ECA&gt;0),
Error!$B$50,
IF(AND(_xlpm.baseRow,$D71&lt;&gt;"",$E71&lt;&gt;"",$G71&lt;&gt;"",_xlpm.Street&gt;0,$G71&lt;2),
Error!$B$43,
IF(AND(_xlpm.baseRow,$D71&lt;&gt;"",$E71&lt;&gt;"",_xlpm.Green&gt;0,_xlpm.DecBroad&gt;0,$G71=""),
Error!$B$49,
IF(AND(_xlpm.baseRow,$D71&lt;&gt;"",$E71&lt;&gt;"",$H71&lt;&gt;"",$H71&lt;4,_xlpm.Green&gt;0,_xlpm.DecBroad&gt;0,$G71=""),
Error!$B$51,
IF(AND(_xlpm.baseRow,$D71&lt;&gt;"",$E71&lt;&gt;"",_xlpm.Green&gt;0,_xlpm.Coniferous&gt;0,$H71=""),
Error!$B$50,
IF(AND(_xlpm.baseRow,$D71&lt;&gt;"",$E71&lt;&gt;"",_xlpm.Points&gt;0,_xlpm.DecBroad&gt;0,$G71=""),
Error!$B$49,
IF(AND(_xlpm.baseRow,$D71&lt;&gt;"",$E71&lt;&gt;"",_xlpm.Points&gt;0,_xlpm.Coniferous&gt;0,$H71=""),
Error!$B$50,
IF(AND(_xlpm.baseRow,$D71&lt;&gt;"",$E71&lt;&gt;"",_xlpm.ReplaceReq&gt;0,_xlpm.DecBroad&gt;0,$G71=""),
Error!$B$49,
IF(AND(_xlpm.baseRow,$D71&lt;&gt;"",$E71&lt;&gt;"",_xlpm.ReplaceReq&gt;0,_xlpm.Coniferous&gt;0,$H71=""),
Error!$B$50,
IF(AND(_xlpm.baseRow,$D71&lt;&gt;"",$E71&lt;&gt;"",_xlpm.Street&gt;0,$G71=""),
Error!$B$49,
IF(AND(_xlpm.baseRow,$D71&lt;&gt;"",$E71&lt;&gt;"",$H71&lt;&gt;"",$H71&lt;4,OR(ISNA(MATCH($C71,'Tree List'!$C$3:$C$601,0)),$C71=""),_xlpm.Green&gt;0,COUNTA(_xlpm.FRange)&gt;0),
Error!$B$51,
IF(AND(_xlpm.baseRow,$D71&lt;&gt;"",$E71&lt;&gt;"",$H71&lt;&gt;"",$H71&lt;4,_xlpm.DecBroad&gt;0,_xlpm.Green&gt;0,COUNTA(_xlpm.FRange)&gt;0),
Error!$B$51,
IF(AND(_xlpm.baseRow,$D71&lt;&gt;"",$E71&lt;&gt;"",$G71="",$H71="",OR(_xlpm.ReplaceReq&gt;0,_xlpm.Green&gt;0,_xlpm.Points&gt;0,_xlpm.Street&gt;0)),
Error!$B$38,
IF(AND(_xlpm.baseRow,$D71&lt;&gt;"",$E71&lt;&gt;"",$H71&lt;&gt;"",$H71&lt;4,_xlpm.Street=0,_xlpm.Coniferous&gt;0,COUNTA(_xlpm.FRange)&gt;0),
Error!$B$32,
IF(AND(_xlpm.baseRow,_xlpm.DecBroad&gt;0,$D71&lt;&gt;"",$E71&lt;&gt;"",$G71&lt;&gt;"",$G71&lt;1.5,_xlpm.Street=0,COUNTA(_xlpm.FRange)&gt;0),
Error!$B$42,
IF(AND(_xlpm.baseRow,$I71="",$H71="",_xlpm.ECA&gt;0,_xlpm.ReplaceReq=0),
Error!$B$33,
IF(AND(_xlpm.baseRow,OR($J71="",$J71&lt;=0),_xlpm.ReplaceReq&gt;0),
Error!$B$34,
IF(AND(_xlpm.baseRow,$K71&lt;&gt;"",_xlpm.Points&gt;0,ISNA(MATCH($K71,Tables!$B$242:$B$253,0))),
Error!$B$58,
IF(AND($K71="Small",$L71&lt;&gt;"",ISNA(MATCH($L71,Tables2!$C$35:$C$36,0))),
Error!$B$60,
IF(AND($K71="Small/Medium",$L71&lt;&gt;"",ISNA(MATCH($L71,Tables2!$C$38:$C$39,0))),
Error!$B$60,
IF(AND($K71="Medium/Large",$L71&lt;&gt;"",ISNA(MATCH($L71,Tables2!$C$41:$C$42,0))),
Error!$B$60,
IF(AND($K71="Large",$L71&lt;&gt;"",ISNA(MATCH($L71,Tables2!$C$44:$C$45,0))),
Error!$B$60,
IF(AND(_xlpm.baseRow,$B71&lt;&gt;"", $C71&lt;&gt;"", $D71&lt;&gt;"", $E71&lt;&gt;"", OR($M71="",$K71="",$L71=""),_xlpm.Points&gt;0),
Error!$B$35,
IF(AND(_xlpm.baseRow,$D71&lt;&gt;"",$E71&lt;&gt;"",$N71=""),
Error!$B$36,
""))))))))))))))))))))))))))))))))))))))))))),Error!$B$37))</f>
        <v/>
      </c>
      <c r="P71" s="355" t="str" cm="1">
        <f t="array" aca="1" ref="P71" ca="1">IFERROR(_xlfn.LET(
    _xlpm.txt, $C71,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2" spans="1:16" x14ac:dyDescent="0.3">
      <c r="A72" s="297"/>
      <c r="B72" s="439" t="str">
        <f t="shared" ref="B72" si="41">IF($B71="", "", $B71)</f>
        <v/>
      </c>
      <c r="C72" s="309"/>
      <c r="D72" s="157" t="str">
        <f t="shared" ref="D72" si="42">IF($D71="", "", $D71)</f>
        <v/>
      </c>
      <c r="E72" s="157" t="str">
        <f t="shared" ref="E72" si="43">IF($E71="", "", $E71)</f>
        <v/>
      </c>
      <c r="F72" s="300"/>
      <c r="G72" s="159"/>
      <c r="H72" s="182"/>
      <c r="I72" s="179"/>
      <c r="J72" s="458"/>
      <c r="K72" s="174" t="str">
        <f>IFERROR(
IF(
    AND(
        MOD(ROW()-11,4)=0,
        COUNTIF(INDEX(F:F, 11 + 4*INT((ROW()-11)/4)):INDEX(F:F, 14 + 4*INT((ROW()-11)/4)),"Zoning: Tree Points")&gt;0,
        COUNTIFS('Tree List'!$C$3:$C$601,$C72,'Tree List'!$H$3:$H$601,"sp.")=0
    ),
    VLOOKUP($C72,'Tree List'!$C$3:$F$601,4,FALSE),
    ""
),
"")</f>
        <v/>
      </c>
      <c r="L72" s="175" t="str" cm="1">
        <f t="array" ref="L72">IFERROR(
IF(
    AND(
        COUNTIF(INDEX(F:F, 11 + 4*INT((ROW()-11)/4)):INDEX(F:F, 14 + 4*INT((ROW()-11)/4)),"Zoning: Tree Points")&gt;0,
        COUNTIFS('Tree List'!$C$3:$C$601,$C72,'Tree List'!$H$3:$H$601,"sp.")&gt;0
    ),
    "",
    _xlfn.IFS(
        (COUNTIFS('Tree List'!$C$3:$C$601,$C72,'Tree List'!$D$3:$D$601,"Coniferous")
        + COUNTIFS('Tree List'!$C$3:$C$601,$C72,'Tree List'!$D$3:$D$601,"Deciduous Conifer")) &gt; 0,
            _xlfn.IFS($K72="Small",1.25,$K72="Small/Medium",2.5,$K72="Medium/Large",3.75,$K72="Large",5),
        (COUNTIFS('Tree List'!$C$3:$C$601,$C72,'Tree List'!$D$3:$D$601,"Deciduous")
        + COUNTIFS('Tree List'!$C$3:$C$601,$C72,'Tree List'!$D$3:$D$601,"Broadleaf Evergreen")) &gt; 0,
            _xlfn.IFS($K72="Small",1,$K72="Small/Medium",2,$K72="Medium/Large",3,$K72="Large",4)
    )
),
"")</f>
        <v/>
      </c>
      <c r="M72" s="471" t="str">
        <f t="shared" ref="M72:M74" si="44">IFERROR($L72*$N72,"")</f>
        <v/>
      </c>
      <c r="N72" s="434"/>
      <c r="O72" s="340" t="str" cm="1">
        <f t="array" aca="1" ref="O72"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List'!$C$3:$C$601,$C72,'Tree List'!$D$3:$D$601,{"Deciduous","Broadleaf Evergreen"})),
_xlpm.Coniferous,SUM(COUNTIFS('Tree List'!$C$3:$C$601,$C72,'Tree List'!$D$3:$D$601,{"Coniferous","Deciduous Conifer"})),
IFERROR(
IF(AND(_xlpm.baseRow,ISNA(MATCH($C72,'Tree List'!$C$3:$C$601,0)),SUMPRODUCT(--ISNUMBER(SEARCH(Tables2!$C$677:$C$825,$P72)))&gt;0),
Error!$B$64,
IF(AND(_xlpm.baseRow,COUNTIF(_xlpm.FRange,"ECA / Shoreline")&gt;0,$D72&lt;&gt;"",$E72&lt;&gt;"",$N72=""),
Error!$B$55,
IF(AND(_xlpm.baseRow,$D72&lt;&gt;"",$E72&lt;&gt;"",COUNTBLANK($B72:$C72)&gt;0,COUNTBLANK($F72:$F75)&lt;&gt;4),
Error!$B$22,
IF(AND(_xlpm.baseRow,$D72="Right-of-Way", $E72=""),
Error!$B$67,
IF(AND(_xlpm.baseRow,$D72&lt;&gt;"",ISNA(MATCH($D72,Tables2!$B$66:$B$68,0))),
Error!$B$63,
IF(AND(_xlpm.baseRow,$D72="Off Site",$E72&lt;&gt;"",$E72&lt;&gt;"Yes"),
Error!$B$28,
IF(AND(_xlpm.baseRow,OR($D72="On Site",$D72="Right-of-Way"),$E72&lt;&gt;"",ISNA(MATCH($E72,MultiSelect2[TreeMitigation],0))),
Error!$B$28,
IF(AND(_xlpm.baseRow,$D72&lt;&gt;"",$E72&lt;&gt;"",COUNTIF(_xlpm.FRange,"&lt;&gt;")=0),
Error!$B$26,
IF(AND($E72="No",$F72&lt;&gt;"",ISNA(MATCH($F72,Tables2!$B$55:$B$57,0))),
Error!$B$27,
IF(AND($E72="Yes",$F72&lt;&gt;"",ISNA(MATCH($F72,Tables2!$B$48:$B$52,0))),
Error!$B$27,
IF(AND($D72="Off Site",$E72="Yes",$F72&lt;&gt;"",ISNA(MATCH($F72,Tables2!$B$60:$B$62,0))),
Error!$B$27,
IF(AND(_xlpm.baseRow,_xlpm.Street&gt;0,_xlpm.ECA&gt;0),
Error!$B$29,
IF(AND(_xlpm.baseRow,_xlpm.Street&gt;0,_xlpm.Points&gt;0),
Error!$B$30,
IF(AND(_xlpm.baseRow,_xlpm.Street&gt;0,_xlpm.ReplaceReq&gt;0),
Error!$B$31,
IF(AND(_xlpm.baseRow,$D72&lt;&gt;"",$E72&lt;&gt;"",$G72&lt;&gt;"",_xlpm.DecBroad&gt;0,OR(_xlpm.Points&gt;0,_xlpm.Green&gt;0,_xlpm.ReplaceReq&gt;0),_xlpm.Street=0,$G72&lt;1.5),
Error!$B$42,
IF(AND(_xlpm.baseRow,$D72&lt;&gt;"",$E72&lt;&gt;"",$H72&lt;&gt;"",$H72&lt;4,_xlpm.Street&gt;0,_xlpm.Green&gt;0,COUNTA(_xlpm.FRange)&gt;0),
Error!$B$32,
IF(AND(_xlpm.baseRow,$G72="",_xlpm.ECA&gt;0,_xlpm.DecBroad&gt;0,_xlpm.ReplaceReq&gt;0),
Error!$B$52,
IF(AND(_xlpm.baseRow,$E72&lt;&gt;"", $H72="",_xlpm.ECA&gt;0,_xlpm.Coniferous&gt;0,_xlpm.ReplaceReq&gt;0),
Error!$B$53,
IF(AND(_xlpm.baseRow,$G72="",$H72="",_xlpm.ECA&gt;0,_xlpm.ReplaceReq&gt;0),
Error!$B$39,
IF(AND(_xlpm.baseRow,$D72&lt;&gt;"",$E72&lt;&gt;"",$G72="",$H72="",_xlpm.Coniferous&gt;0,_xlpm.ReplaceReq&gt;0,_xlpm.ECA&gt;0),
Error!$B$50,
IF(AND(_xlpm.baseRow,$D72&lt;&gt;"",$E72&lt;&gt;"",$G72&lt;&gt;"",_xlpm.Street&gt;0,$G72&lt;2),
Error!$B$43,
IF(AND(_xlpm.baseRow,$D72&lt;&gt;"",$E72&lt;&gt;"",_xlpm.Green&gt;0,_xlpm.DecBroad&gt;0,$G72=""),
Error!$B$49,
IF(AND(_xlpm.baseRow,$D72&lt;&gt;"",$E72&lt;&gt;"",$H72&lt;&gt;"",$H72&lt;4,_xlpm.Green&gt;0,_xlpm.DecBroad&gt;0,$G72=""),
Error!$B$51,
IF(AND(_xlpm.baseRow,$D72&lt;&gt;"",$E72&lt;&gt;"",_xlpm.Green&gt;0,_xlpm.Coniferous&gt;0,$H72=""),
Error!$B$50,
IF(AND(_xlpm.baseRow,$D72&lt;&gt;"",$E72&lt;&gt;"",_xlpm.Points&gt;0,_xlpm.DecBroad&gt;0,$G72=""),
Error!$B$49,
IF(AND(_xlpm.baseRow,$D72&lt;&gt;"",$E72&lt;&gt;"",_xlpm.Points&gt;0,_xlpm.Coniferous&gt;0,$H72=""),
Error!$B$50,
IF(AND(_xlpm.baseRow,$D72&lt;&gt;"",$E72&lt;&gt;"",_xlpm.ReplaceReq&gt;0,_xlpm.DecBroad&gt;0,$G72=""),
Error!$B$49,
IF(AND(_xlpm.baseRow,$D72&lt;&gt;"",$E72&lt;&gt;"",_xlpm.ReplaceReq&gt;0,_xlpm.Coniferous&gt;0,$H72=""),
Error!$B$50,
IF(AND(_xlpm.baseRow,$D72&lt;&gt;"",$E72&lt;&gt;"",_xlpm.Street&gt;0,$G72=""),
Error!$B$49,
IF(AND(_xlpm.baseRow,$D72&lt;&gt;"",$E72&lt;&gt;"",$H72&lt;&gt;"",$H72&lt;4,OR(ISNA(MATCH($C72,'Tree List'!$C$3:$C$601,0)),$C72=""),_xlpm.Green&gt;0,COUNTA(_xlpm.FRange)&gt;0),
Error!$B$51,
IF(AND(_xlpm.baseRow,$D72&lt;&gt;"",$E72&lt;&gt;"",$H72&lt;&gt;"",$H72&lt;4,_xlpm.DecBroad&gt;0,_xlpm.Green&gt;0,COUNTA(_xlpm.FRange)&gt;0),
Error!$B$51,
IF(AND(_xlpm.baseRow,$D72&lt;&gt;"",$E72&lt;&gt;"",$G72="",$H72="",OR(_xlpm.ReplaceReq&gt;0,_xlpm.Green&gt;0,_xlpm.Points&gt;0,_xlpm.Street&gt;0)),
Error!$B$38,
IF(AND(_xlpm.baseRow,$D72&lt;&gt;"",$E72&lt;&gt;"",$H72&lt;&gt;"",$H72&lt;4,_xlpm.Street=0,_xlpm.Coniferous&gt;0,COUNTA(_xlpm.FRange)&gt;0),
Error!$B$32,
IF(AND(_xlpm.baseRow,_xlpm.DecBroad&gt;0,$D72&lt;&gt;"",$E72&lt;&gt;"",$G72&lt;&gt;"",$G72&lt;1.5,_xlpm.Street=0,COUNTA(_xlpm.FRange)&gt;0),
Error!$B$42,
IF(AND(_xlpm.baseRow,$I72="",$H72="",_xlpm.ECA&gt;0,_xlpm.ReplaceReq=0),
Error!$B$33,
IF(AND(_xlpm.baseRow,OR($J72="",$J72&lt;=0),_xlpm.ReplaceReq&gt;0),
Error!$B$34,
IF(AND(_xlpm.baseRow,$K72&lt;&gt;"",_xlpm.Points&gt;0,ISNA(MATCH($K72,Tables!$B$242:$B$253,0))),
Error!$B$58,
IF(AND($K72="Small",$L72&lt;&gt;"",ISNA(MATCH($L72,Tables2!$C$35:$C$36,0))),
Error!$B$60,
IF(AND($K72="Small/Medium",$L72&lt;&gt;"",ISNA(MATCH($L72,Tables2!$C$38:$C$39,0))),
Error!$B$60,
IF(AND($K72="Medium/Large",$L72&lt;&gt;"",ISNA(MATCH($L72,Tables2!$C$41:$C$42,0))),
Error!$B$60,
IF(AND($K72="Large",$L72&lt;&gt;"",ISNA(MATCH($L72,Tables2!$C$44:$C$45,0))),
Error!$B$60,
IF(AND(_xlpm.baseRow,$B72&lt;&gt;"", $C72&lt;&gt;"", $D72&lt;&gt;"", $E72&lt;&gt;"", OR($M72="",$K72="",$L72=""),_xlpm.Points&gt;0),
Error!$B$35,
IF(AND(_xlpm.baseRow,$D72&lt;&gt;"",$E72&lt;&gt;"",$N72=""),
Error!$B$36,
""))))))))))))))))))))))))))))))))))))))))))),Error!$B$37))</f>
        <v/>
      </c>
      <c r="P72" s="355" t="str" cm="1">
        <f t="array" aca="1" ref="P72" ca="1">IFERROR(_xlfn.LET(
    _xlpm.txt, $C72,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3" spans="1:16" x14ac:dyDescent="0.3">
      <c r="A73" s="297"/>
      <c r="B73" s="439" t="str">
        <f t="shared" ref="B73" si="45">IF($B71="", "", $B71)</f>
        <v/>
      </c>
      <c r="C73" s="438"/>
      <c r="D73" s="439" t="str">
        <f t="shared" ref="D73" si="46">IF($D71="", "", $D71)</f>
        <v/>
      </c>
      <c r="E73" s="439" t="str">
        <f t="shared" ref="E73" si="47">IF($E71="", "", $E71)</f>
        <v/>
      </c>
      <c r="F73" s="300"/>
      <c r="G73" s="160"/>
      <c r="H73" s="440"/>
      <c r="I73" s="441"/>
      <c r="J73" s="459"/>
      <c r="K73" s="442" t="str">
        <f>IFERROR(
IF(
    AND(
        MOD(ROW()-11,4)=0,
        COUNTIF(INDEX(F:F, 11 + 4*INT((ROW()-11)/4)):INDEX(F:F, 14 + 4*INT((ROW()-11)/4)),"Zoning: Tree Points")&gt;0,
        COUNTIFS('Tree List'!$C$3:$C$601,$C73,'Tree List'!$H$3:$H$601,"sp.")=0
    ),
    VLOOKUP($C73,'Tree List'!$C$3:$F$601,4,FALSE),
    ""
),
"")</f>
        <v/>
      </c>
      <c r="L73" s="443" t="str" cm="1">
        <f t="array" ref="L73">IFERROR(
IF(
    AND(
        COUNTIF(INDEX(F:F, 11 + 4*INT((ROW()-11)/4)):INDEX(F:F, 14 + 4*INT((ROW()-11)/4)),"Zoning: Tree Points")&gt;0,
        COUNTIFS('Tree List'!$C$3:$C$601,$C73,'Tree List'!$H$3:$H$601,"sp.")&gt;0
    ),
    "",
    _xlfn.IFS(
        (COUNTIFS('Tree List'!$C$3:$C$601,$C73,'Tree List'!$D$3:$D$601,"Coniferous")
        + COUNTIFS('Tree List'!$C$3:$C$601,$C73,'Tree List'!$D$3:$D$601,"Deciduous Conifer")) &gt; 0,
            _xlfn.IFS($K73="Small",1.25,$K73="Small/Medium",2.5,$K73="Medium/Large",3.75,$K73="Large",5),
        (COUNTIFS('Tree List'!$C$3:$C$601,$C73,'Tree List'!$D$3:$D$601,"Deciduous")
        + COUNTIFS('Tree List'!$C$3:$C$601,$C73,'Tree List'!$D$3:$D$601,"Broadleaf Evergreen")) &gt; 0,
            _xlfn.IFS($K73="Small",1,$K73="Small/Medium",2,$K73="Medium/Large",3,$K73="Large",4)
    )
),
"")</f>
        <v/>
      </c>
      <c r="M73" s="472" t="str">
        <f t="shared" si="44"/>
        <v/>
      </c>
      <c r="N73" s="434"/>
      <c r="O73" s="340" t="str" cm="1">
        <f t="array" aca="1" ref="O73"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List'!$C$3:$C$601,$C73,'Tree List'!$D$3:$D$601,{"Deciduous","Broadleaf Evergreen"})),
_xlpm.Coniferous,SUM(COUNTIFS('Tree List'!$C$3:$C$601,$C73,'Tree List'!$D$3:$D$601,{"Coniferous","Deciduous Conifer"})),
IFERROR(
IF(AND(_xlpm.baseRow,ISNA(MATCH($C73,'Tree List'!$C$3:$C$601,0)),SUMPRODUCT(--ISNUMBER(SEARCH(Tables2!$C$677:$C$825,$P73)))&gt;0),
Error!$B$64,
IF(AND(_xlpm.baseRow,COUNTIF(_xlpm.FRange,"ECA / Shoreline")&gt;0,$D73&lt;&gt;"",$E73&lt;&gt;"",$N73=""),
Error!$B$55,
IF(AND(_xlpm.baseRow,$D73&lt;&gt;"",$E73&lt;&gt;"",COUNTBLANK($B73:$C73)&gt;0,COUNTBLANK($F73:$F76)&lt;&gt;4),
Error!$B$22,
IF(AND(_xlpm.baseRow,$D73="Right-of-Way", $E73=""),
Error!$B$67,
IF(AND(_xlpm.baseRow,$D73&lt;&gt;"",ISNA(MATCH($D73,Tables2!$B$66:$B$68,0))),
Error!$B$63,
IF(AND(_xlpm.baseRow,$D73="Off Site",$E73&lt;&gt;"",$E73&lt;&gt;"Yes"),
Error!$B$28,
IF(AND(_xlpm.baseRow,OR($D73="On Site",$D73="Right-of-Way"),$E73&lt;&gt;"",ISNA(MATCH($E73,MultiSelect2[TreeMitigation],0))),
Error!$B$28,
IF(AND(_xlpm.baseRow,$D73&lt;&gt;"",$E73&lt;&gt;"",COUNTIF(_xlpm.FRange,"&lt;&gt;")=0),
Error!$B$26,
IF(AND($E73="No",$F73&lt;&gt;"",ISNA(MATCH($F73,Tables2!$B$55:$B$57,0))),
Error!$B$27,
IF(AND($E73="Yes",$F73&lt;&gt;"",ISNA(MATCH($F73,Tables2!$B$48:$B$52,0))),
Error!$B$27,
IF(AND($D73="Off Site",$E73="Yes",$F73&lt;&gt;"",ISNA(MATCH($F73,Tables2!$B$60:$B$62,0))),
Error!$B$27,
IF(AND(_xlpm.baseRow,_xlpm.Street&gt;0,_xlpm.ECA&gt;0),
Error!$B$29,
IF(AND(_xlpm.baseRow,_xlpm.Street&gt;0,_xlpm.Points&gt;0),
Error!$B$30,
IF(AND(_xlpm.baseRow,_xlpm.Street&gt;0,_xlpm.ReplaceReq&gt;0),
Error!$B$31,
IF(AND(_xlpm.baseRow,$D73&lt;&gt;"",$E73&lt;&gt;"",$G73&lt;&gt;"",_xlpm.DecBroad&gt;0,OR(_xlpm.Points&gt;0,_xlpm.Green&gt;0,_xlpm.ReplaceReq&gt;0),_xlpm.Street=0,$G73&lt;1.5),
Error!$B$42,
IF(AND(_xlpm.baseRow,$D73&lt;&gt;"",$E73&lt;&gt;"",$H73&lt;&gt;"",$H73&lt;4,_xlpm.Street&gt;0,_xlpm.Green&gt;0,COUNTA(_xlpm.FRange)&gt;0),
Error!$B$32,
IF(AND(_xlpm.baseRow,$G73="",_xlpm.ECA&gt;0,_xlpm.DecBroad&gt;0,_xlpm.ReplaceReq&gt;0),
Error!$B$52,
IF(AND(_xlpm.baseRow,$E73&lt;&gt;"", $H73="",_xlpm.ECA&gt;0,_xlpm.Coniferous&gt;0,_xlpm.ReplaceReq&gt;0),
Error!$B$53,
IF(AND(_xlpm.baseRow,$G73="",$H73="",_xlpm.ECA&gt;0,_xlpm.ReplaceReq&gt;0),
Error!$B$39,
IF(AND(_xlpm.baseRow,$D73&lt;&gt;"",$E73&lt;&gt;"",$G73="",$H73="",_xlpm.Coniferous&gt;0,_xlpm.ReplaceReq&gt;0,_xlpm.ECA&gt;0),
Error!$B$50,
IF(AND(_xlpm.baseRow,$D73&lt;&gt;"",$E73&lt;&gt;"",$G73&lt;&gt;"",_xlpm.Street&gt;0,$G73&lt;2),
Error!$B$43,
IF(AND(_xlpm.baseRow,$D73&lt;&gt;"",$E73&lt;&gt;"",_xlpm.Green&gt;0,_xlpm.DecBroad&gt;0,$G73=""),
Error!$B$49,
IF(AND(_xlpm.baseRow,$D73&lt;&gt;"",$E73&lt;&gt;"",$H73&lt;&gt;"",$H73&lt;4,_xlpm.Green&gt;0,_xlpm.DecBroad&gt;0,$G73=""),
Error!$B$51,
IF(AND(_xlpm.baseRow,$D73&lt;&gt;"",$E73&lt;&gt;"",_xlpm.Green&gt;0,_xlpm.Coniferous&gt;0,$H73=""),
Error!$B$50,
IF(AND(_xlpm.baseRow,$D73&lt;&gt;"",$E73&lt;&gt;"",_xlpm.Points&gt;0,_xlpm.DecBroad&gt;0,$G73=""),
Error!$B$49,
IF(AND(_xlpm.baseRow,$D73&lt;&gt;"",$E73&lt;&gt;"",_xlpm.Points&gt;0,_xlpm.Coniferous&gt;0,$H73=""),
Error!$B$50,
IF(AND(_xlpm.baseRow,$D73&lt;&gt;"",$E73&lt;&gt;"",_xlpm.ReplaceReq&gt;0,_xlpm.DecBroad&gt;0,$G73=""),
Error!$B$49,
IF(AND(_xlpm.baseRow,$D73&lt;&gt;"",$E73&lt;&gt;"",_xlpm.ReplaceReq&gt;0,_xlpm.Coniferous&gt;0,$H73=""),
Error!$B$50,
IF(AND(_xlpm.baseRow,$D73&lt;&gt;"",$E73&lt;&gt;"",_xlpm.Street&gt;0,$G73=""),
Error!$B$49,
IF(AND(_xlpm.baseRow,$D73&lt;&gt;"",$E73&lt;&gt;"",$H73&lt;&gt;"",$H73&lt;4,OR(ISNA(MATCH($C73,'Tree List'!$C$3:$C$601,0)),$C73=""),_xlpm.Green&gt;0,COUNTA(_xlpm.FRange)&gt;0),
Error!$B$51,
IF(AND(_xlpm.baseRow,$D73&lt;&gt;"",$E73&lt;&gt;"",$H73&lt;&gt;"",$H73&lt;4,_xlpm.DecBroad&gt;0,_xlpm.Green&gt;0,COUNTA(_xlpm.FRange)&gt;0),
Error!$B$51,
IF(AND(_xlpm.baseRow,$D73&lt;&gt;"",$E73&lt;&gt;"",$G73="",$H73="",OR(_xlpm.ReplaceReq&gt;0,_xlpm.Green&gt;0,_xlpm.Points&gt;0,_xlpm.Street&gt;0)),
Error!$B$38,
IF(AND(_xlpm.baseRow,$D73&lt;&gt;"",$E73&lt;&gt;"",$H73&lt;&gt;"",$H73&lt;4,_xlpm.Street=0,_xlpm.Coniferous&gt;0,COUNTA(_xlpm.FRange)&gt;0),
Error!$B$32,
IF(AND(_xlpm.baseRow,_xlpm.DecBroad&gt;0,$D73&lt;&gt;"",$E73&lt;&gt;"",$G73&lt;&gt;"",$G73&lt;1.5,_xlpm.Street=0,COUNTA(_xlpm.FRange)&gt;0),
Error!$B$42,
IF(AND(_xlpm.baseRow,$I73="",$H73="",_xlpm.ECA&gt;0,_xlpm.ReplaceReq=0),
Error!$B$33,
IF(AND(_xlpm.baseRow,OR($J73="",$J73&lt;=0),_xlpm.ReplaceReq&gt;0),
Error!$B$34,
IF(AND(_xlpm.baseRow,$K73&lt;&gt;"",_xlpm.Points&gt;0,ISNA(MATCH($K73,Tables!$B$242:$B$253,0))),
Error!$B$58,
IF(AND($K73="Small",$L73&lt;&gt;"",ISNA(MATCH($L73,Tables2!$C$35:$C$36,0))),
Error!$B$60,
IF(AND($K73="Small/Medium",$L73&lt;&gt;"",ISNA(MATCH($L73,Tables2!$C$38:$C$39,0))),
Error!$B$60,
IF(AND($K73="Medium/Large",$L73&lt;&gt;"",ISNA(MATCH($L73,Tables2!$C$41:$C$42,0))),
Error!$B$60,
IF(AND($K73="Large",$L73&lt;&gt;"",ISNA(MATCH($L73,Tables2!$C$44:$C$45,0))),
Error!$B$60,
IF(AND(_xlpm.baseRow,$B73&lt;&gt;"", $C73&lt;&gt;"", $D73&lt;&gt;"", $E73&lt;&gt;"", OR($M73="",$K73="",$L73=""),_xlpm.Points&gt;0),
Error!$B$35,
IF(AND(_xlpm.baseRow,$D73&lt;&gt;"",$E73&lt;&gt;"",$N73=""),
Error!$B$36,
""))))))))))))))))))))))))))))))))))))))))))),Error!$B$37))</f>
        <v/>
      </c>
      <c r="P73" s="355" t="str" cm="1">
        <f t="array" aca="1" ref="P73" ca="1">IFERROR(_xlfn.LET(
    _xlpm.txt, $C73,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4" spans="1:16" ht="15" thickBot="1" x14ac:dyDescent="0.35">
      <c r="A74" s="298"/>
      <c r="B74" s="439" t="str">
        <f t="shared" ref="B74" si="48">IF($B71="", "", $B71)</f>
        <v/>
      </c>
      <c r="C74" s="310"/>
      <c r="D74" s="154" t="str">
        <f t="shared" ref="D74" si="49">IF($D71="", "", $D71)</f>
        <v/>
      </c>
      <c r="E74" s="154" t="str">
        <f t="shared" ref="E74" si="50">IF($E71="", "", $E71)</f>
        <v/>
      </c>
      <c r="F74" s="302"/>
      <c r="G74" s="161"/>
      <c r="H74" s="183"/>
      <c r="I74" s="180"/>
      <c r="J74" s="460"/>
      <c r="K74" s="176" t="str">
        <f>IFERROR(
IF(
    AND(
        MOD(ROW()-11,4)=0,
        COUNTIF(INDEX(F:F, 11 + 4*INT((ROW()-11)/4)):INDEX(F:F, 14 + 4*INT((ROW()-11)/4)),"Zoning: Tree Points")&gt;0,
        COUNTIFS('Tree List'!$C$3:$C$601,$C74,'Tree List'!$H$3:$H$601,"sp.")=0
    ),
    VLOOKUP($C74,'Tree List'!$C$3:$F$601,4,FALSE),
    ""
),
"")</f>
        <v/>
      </c>
      <c r="L74" s="177" t="str" cm="1">
        <f t="array" ref="L74">IFERROR(
IF(
    AND(
        COUNTIF(INDEX(F:F, 11 + 4*INT((ROW()-11)/4)):INDEX(F:F, 14 + 4*INT((ROW()-11)/4)),"Zoning: Tree Points")&gt;0,
        COUNTIFS('Tree List'!$C$3:$C$601,$C74,'Tree List'!$H$3:$H$601,"sp.")&gt;0
    ),
    "",
    _xlfn.IFS(
        (COUNTIFS('Tree List'!$C$3:$C$601,$C74,'Tree List'!$D$3:$D$601,"Coniferous")
        + COUNTIFS('Tree List'!$C$3:$C$601,$C74,'Tree List'!$D$3:$D$601,"Deciduous Conifer")) &gt; 0,
            _xlfn.IFS($K74="Small",1.25,$K74="Small/Medium",2.5,$K74="Medium/Large",3.75,$K74="Large",5),
        (COUNTIFS('Tree List'!$C$3:$C$601,$C74,'Tree List'!$D$3:$D$601,"Deciduous")
        + COUNTIFS('Tree List'!$C$3:$C$601,$C74,'Tree List'!$D$3:$D$601,"Broadleaf Evergreen")) &gt; 0,
            _xlfn.IFS($K74="Small",1,$K74="Small/Medium",2,$K74="Medium/Large",3,$K74="Large",4)
    )
),
"")</f>
        <v/>
      </c>
      <c r="M74" s="473" t="str">
        <f t="shared" si="44"/>
        <v/>
      </c>
      <c r="N74" s="435"/>
      <c r="O74" s="341" t="str" cm="1">
        <f t="array" aca="1" ref="O74"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List'!$C$3:$C$601,$C74,'Tree List'!$D$3:$D$601,{"Deciduous","Broadleaf Evergreen"})),
_xlpm.Coniferous,SUM(COUNTIFS('Tree List'!$C$3:$C$601,$C74,'Tree List'!$D$3:$D$601,{"Coniferous","Deciduous Conifer"})),
IFERROR(
IF(AND(_xlpm.baseRow,ISNA(MATCH($C74,'Tree List'!$C$3:$C$601,0)),SUMPRODUCT(--ISNUMBER(SEARCH(Tables2!$C$677:$C$825,$P74)))&gt;0),
Error!$B$64,
IF(AND(_xlpm.baseRow,COUNTIF(_xlpm.FRange,"ECA / Shoreline")&gt;0,$D74&lt;&gt;"",$E74&lt;&gt;"",$N74=""),
Error!$B$55,
IF(AND(_xlpm.baseRow,$D74&lt;&gt;"",$E74&lt;&gt;"",COUNTBLANK($B74:$C74)&gt;0,COUNTBLANK($F74:$F77)&lt;&gt;4),
Error!$B$22,
IF(AND(_xlpm.baseRow,$D74="Right-of-Way", $E74=""),
Error!$B$67,
IF(AND(_xlpm.baseRow,$D74&lt;&gt;"",ISNA(MATCH($D74,Tables2!$B$66:$B$68,0))),
Error!$B$63,
IF(AND(_xlpm.baseRow,$D74="Off Site",$E74&lt;&gt;"",$E74&lt;&gt;"Yes"),
Error!$B$28,
IF(AND(_xlpm.baseRow,OR($D74="On Site",$D74="Right-of-Way"),$E74&lt;&gt;"",ISNA(MATCH($E74,MultiSelect2[TreeMitigation],0))),
Error!$B$28,
IF(AND(_xlpm.baseRow,$D74&lt;&gt;"",$E74&lt;&gt;"",COUNTIF(_xlpm.FRange,"&lt;&gt;")=0),
Error!$B$26,
IF(AND($E74="No",$F74&lt;&gt;"",ISNA(MATCH($F74,Tables2!$B$55:$B$57,0))),
Error!$B$27,
IF(AND($E74="Yes",$F74&lt;&gt;"",ISNA(MATCH($F74,Tables2!$B$48:$B$52,0))),
Error!$B$27,
IF(AND($D74="Off Site",$E74="Yes",$F74&lt;&gt;"",ISNA(MATCH($F74,Tables2!$B$60:$B$62,0))),
Error!$B$27,
IF(AND(_xlpm.baseRow,_xlpm.Street&gt;0,_xlpm.ECA&gt;0),
Error!$B$29,
IF(AND(_xlpm.baseRow,_xlpm.Street&gt;0,_xlpm.Points&gt;0),
Error!$B$30,
IF(AND(_xlpm.baseRow,_xlpm.Street&gt;0,_xlpm.ReplaceReq&gt;0),
Error!$B$31,
IF(AND(_xlpm.baseRow,$D74&lt;&gt;"",$E74&lt;&gt;"",$G74&lt;&gt;"",_xlpm.DecBroad&gt;0,OR(_xlpm.Points&gt;0,_xlpm.Green&gt;0,_xlpm.ReplaceReq&gt;0),_xlpm.Street=0,$G74&lt;1.5),
Error!$B$42,
IF(AND(_xlpm.baseRow,$D74&lt;&gt;"",$E74&lt;&gt;"",$H74&lt;&gt;"",$H74&lt;4,_xlpm.Street&gt;0,_xlpm.Green&gt;0,COUNTA(_xlpm.FRange)&gt;0),
Error!$B$32,
IF(AND(_xlpm.baseRow,$G74="",_xlpm.ECA&gt;0,_xlpm.DecBroad&gt;0,_xlpm.ReplaceReq&gt;0),
Error!$B$52,
IF(AND(_xlpm.baseRow,$E74&lt;&gt;"", $H74="",_xlpm.ECA&gt;0,_xlpm.Coniferous&gt;0,_xlpm.ReplaceReq&gt;0),
Error!$B$53,
IF(AND(_xlpm.baseRow,$G74="",$H74="",_xlpm.ECA&gt;0,_xlpm.ReplaceReq&gt;0),
Error!$B$39,
IF(AND(_xlpm.baseRow,$D74&lt;&gt;"",$E74&lt;&gt;"",$G74="",$H74="",_xlpm.Coniferous&gt;0,_xlpm.ReplaceReq&gt;0,_xlpm.ECA&gt;0),
Error!$B$50,
IF(AND(_xlpm.baseRow,$D74&lt;&gt;"",$E74&lt;&gt;"",$G74&lt;&gt;"",_xlpm.Street&gt;0,$G74&lt;2),
Error!$B$43,
IF(AND(_xlpm.baseRow,$D74&lt;&gt;"",$E74&lt;&gt;"",_xlpm.Green&gt;0,_xlpm.DecBroad&gt;0,$G74=""),
Error!$B$49,
IF(AND(_xlpm.baseRow,$D74&lt;&gt;"",$E74&lt;&gt;"",$H74&lt;&gt;"",$H74&lt;4,_xlpm.Green&gt;0,_xlpm.DecBroad&gt;0,$G74=""),
Error!$B$51,
IF(AND(_xlpm.baseRow,$D74&lt;&gt;"",$E74&lt;&gt;"",_xlpm.Green&gt;0,_xlpm.Coniferous&gt;0,$H74=""),
Error!$B$50,
IF(AND(_xlpm.baseRow,$D74&lt;&gt;"",$E74&lt;&gt;"",_xlpm.Points&gt;0,_xlpm.DecBroad&gt;0,$G74=""),
Error!$B$49,
IF(AND(_xlpm.baseRow,$D74&lt;&gt;"",$E74&lt;&gt;"",_xlpm.Points&gt;0,_xlpm.Coniferous&gt;0,$H74=""),
Error!$B$50,
IF(AND(_xlpm.baseRow,$D74&lt;&gt;"",$E74&lt;&gt;"",_xlpm.ReplaceReq&gt;0,_xlpm.DecBroad&gt;0,$G74=""),
Error!$B$49,
IF(AND(_xlpm.baseRow,$D74&lt;&gt;"",$E74&lt;&gt;"",_xlpm.ReplaceReq&gt;0,_xlpm.Coniferous&gt;0,$H74=""),
Error!$B$50,
IF(AND(_xlpm.baseRow,$D74&lt;&gt;"",$E74&lt;&gt;"",_xlpm.Street&gt;0,$G74=""),
Error!$B$49,
IF(AND(_xlpm.baseRow,$D74&lt;&gt;"",$E74&lt;&gt;"",$H74&lt;&gt;"",$H74&lt;4,OR(ISNA(MATCH($C74,'Tree List'!$C$3:$C$601,0)),$C74=""),_xlpm.Green&gt;0,COUNTA(_xlpm.FRange)&gt;0),
Error!$B$51,
IF(AND(_xlpm.baseRow,$D74&lt;&gt;"",$E74&lt;&gt;"",$H74&lt;&gt;"",$H74&lt;4,_xlpm.DecBroad&gt;0,_xlpm.Green&gt;0,COUNTA(_xlpm.FRange)&gt;0),
Error!$B$51,
IF(AND(_xlpm.baseRow,$D74&lt;&gt;"",$E74&lt;&gt;"",$G74="",$H74="",OR(_xlpm.ReplaceReq&gt;0,_xlpm.Green&gt;0,_xlpm.Points&gt;0,_xlpm.Street&gt;0)),
Error!$B$38,
IF(AND(_xlpm.baseRow,$D74&lt;&gt;"",$E74&lt;&gt;"",$H74&lt;&gt;"",$H74&lt;4,_xlpm.Street=0,_xlpm.Coniferous&gt;0,COUNTA(_xlpm.FRange)&gt;0),
Error!$B$32,
IF(AND(_xlpm.baseRow,_xlpm.DecBroad&gt;0,$D74&lt;&gt;"",$E74&lt;&gt;"",$G74&lt;&gt;"",$G74&lt;1.5,_xlpm.Street=0,COUNTA(_xlpm.FRange)&gt;0),
Error!$B$42,
IF(AND(_xlpm.baseRow,$I74="",$H74="",_xlpm.ECA&gt;0,_xlpm.ReplaceReq=0),
Error!$B$33,
IF(AND(_xlpm.baseRow,OR($J74="",$J74&lt;=0),_xlpm.ReplaceReq&gt;0),
Error!$B$34,
IF(AND(_xlpm.baseRow,$K74&lt;&gt;"",_xlpm.Points&gt;0,ISNA(MATCH($K74,Tables!$B$242:$B$253,0))),
Error!$B$58,
IF(AND($K74="Small",$L74&lt;&gt;"",ISNA(MATCH($L74,Tables2!$C$35:$C$36,0))),
Error!$B$60,
IF(AND($K74="Small/Medium",$L74&lt;&gt;"",ISNA(MATCH($L74,Tables2!$C$38:$C$39,0))),
Error!$B$60,
IF(AND($K74="Medium/Large",$L74&lt;&gt;"",ISNA(MATCH($L74,Tables2!$C$41:$C$42,0))),
Error!$B$60,
IF(AND($K74="Large",$L74&lt;&gt;"",ISNA(MATCH($L74,Tables2!$C$44:$C$45,0))),
Error!$B$60,
IF(AND(_xlpm.baseRow,$B74&lt;&gt;"", $C74&lt;&gt;"", $D74&lt;&gt;"", $E74&lt;&gt;"", OR($M74="",$K74="",$L74=""),_xlpm.Points&gt;0),
Error!$B$35,
IF(AND(_xlpm.baseRow,$D74&lt;&gt;"",$E74&lt;&gt;"",$N74=""),
Error!$B$36,
""))))))))))))))))))))))))))))))))))))))))))),Error!$B$37))</f>
        <v/>
      </c>
      <c r="P74" s="355" t="str" cm="1">
        <f t="array" aca="1" ref="P74" ca="1">IFERROR(_xlfn.LET(
    _xlpm.txt, $C74,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5" spans="1:16" ht="15" thickBot="1" x14ac:dyDescent="0.35">
      <c r="A75" s="437">
        <v>17</v>
      </c>
      <c r="B75" s="447"/>
      <c r="C75" s="444"/>
      <c r="D75" s="296"/>
      <c r="E75" s="296"/>
      <c r="F75" s="304"/>
      <c r="G75" s="257"/>
      <c r="H75" s="181"/>
      <c r="I75" s="178"/>
      <c r="J75" s="457"/>
      <c r="K75" s="172" t="str">
        <f>IFERROR(
IF(
    AND(
        MOD(ROW()-11,4)=0,
        COUNTIF(INDEX(F:F, 11 + 4*INT((ROW()-11)/4)):INDEX(F:F, 14 + 4*INT((ROW()-11)/4)),"Zoning: Tree Points")&gt;0,
        COUNTIFS('Tree List'!$C$3:$C$601,$C75,'Tree List'!$H$3:$H$601,"sp.")=0
    ),
    VLOOKUP($C75,'Tree List'!$C$3:$F$601,4,FALSE),
    ""
),
"")</f>
        <v/>
      </c>
      <c r="L75" s="173" t="str" cm="1">
        <f t="array" ref="L75">IFERROR(
IF(
    AND(
        COUNTIF(INDEX(F:F, 11 + 4*INT((ROW()-11)/4)):INDEX(F:F, 14 + 4*INT((ROW()-11)/4)),"Zoning: Tree Points")&gt;0,
        COUNTIFS('Tree List'!$C$3:$C$601,$C75,'Tree List'!$H$3:$H$601,"sp.")&gt;0
    ),
    "",
    _xlfn.IFS(
        (COUNTIFS('Tree List'!$C$3:$C$601,$C75,'Tree List'!$D$3:$D$601,"Coniferous")
        + COUNTIFS('Tree List'!$C$3:$C$601,$C75,'Tree List'!$D$3:$D$601,"Deciduous Conifer")) &gt; 0,
            _xlfn.IFS($K75="Small",1.25,$K75="Small/Medium",2.5,$K75="Medium/Large",3.75,$K75="Large",5),
        (COUNTIFS('Tree List'!$C$3:$C$601,$C75,'Tree List'!$D$3:$D$601,"Deciduous")
        + COUNTIFS('Tree List'!$C$3:$C$601,$C75,'Tree List'!$D$3:$D$601,"Broadleaf Evergreen")) &gt; 0,
            _xlfn.IFS($K75="Small",1,$K75="Small/Medium",2,$K75="Medium/Large",3,$K75="Large",4)
    )
),
"")</f>
        <v/>
      </c>
      <c r="M75" s="470" t="str">
        <f t="shared" ref="M75" si="51">IFERROR($L75*$N75,"")</f>
        <v/>
      </c>
      <c r="N75" s="744"/>
      <c r="O75" s="737" t="str" cm="1">
        <f t="array" aca="1" ref="O75"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List'!$C$3:$C$601,$C75,'Tree List'!$D$3:$D$601,{"Deciduous","Broadleaf Evergreen"})),
_xlpm.Coniferous,SUM(COUNTIFS('Tree List'!$C$3:$C$601,$C75,'Tree List'!$D$3:$D$601,{"Coniferous","Deciduous Conifer"})),
IFERROR(
IF(AND(_xlpm.baseRow,ISNA(MATCH($C75,'Tree List'!$C$3:$C$601,0)),SUMPRODUCT(--ISNUMBER(SEARCH(Tables2!$C$677:$C$825,$P75)))&gt;0),
Error!$B$64,
IF(AND(_xlpm.baseRow,COUNTIF(_xlpm.FRange,"ECA / Shoreline")&gt;0,$D75&lt;&gt;"",$E75&lt;&gt;"",$N75=""),
Error!$B$55,
IF(AND(_xlpm.baseRow,$D75&lt;&gt;"",$E75&lt;&gt;"",COUNTBLANK($B75:$C75)&gt;0,COUNTBLANK($F75:$F78)&lt;&gt;4),
Error!$B$22,
IF(AND(_xlpm.baseRow,$D75="Right-of-Way", $E75=""),
Error!$B$67,
IF(AND(_xlpm.baseRow,$D75&lt;&gt;"",ISNA(MATCH($D75,Tables2!$B$66:$B$68,0))),
Error!$B$63,
IF(AND(_xlpm.baseRow,$D75="Off Site",$E75&lt;&gt;"",$E75&lt;&gt;"Yes"),
Error!$B$28,
IF(AND(_xlpm.baseRow,OR($D75="On Site",$D75="Right-of-Way"),$E75&lt;&gt;"",ISNA(MATCH($E75,MultiSelect2[TreeMitigation],0))),
Error!$B$28,
IF(AND(_xlpm.baseRow,$D75&lt;&gt;"",$E75&lt;&gt;"",COUNTIF(_xlpm.FRange,"&lt;&gt;")=0),
Error!$B$26,
IF(AND($E75="No",$F75&lt;&gt;"",ISNA(MATCH($F75,Tables2!$B$55:$B$57,0))),
Error!$B$27,
IF(AND($E75="Yes",$F75&lt;&gt;"",ISNA(MATCH($F75,Tables2!$B$48:$B$52,0))),
Error!$B$27,
IF(AND($D75="Off Site",$E75="Yes",$F75&lt;&gt;"",ISNA(MATCH($F75,Tables2!$B$60:$B$62,0))),
Error!$B$27,
IF(AND(_xlpm.baseRow,_xlpm.Street&gt;0,_xlpm.ECA&gt;0),
Error!$B$29,
IF(AND(_xlpm.baseRow,_xlpm.Street&gt;0,_xlpm.Points&gt;0),
Error!$B$30,
IF(AND(_xlpm.baseRow,_xlpm.Street&gt;0,_xlpm.ReplaceReq&gt;0),
Error!$B$31,
IF(AND(_xlpm.baseRow,$D75&lt;&gt;"",$E75&lt;&gt;"",$G75&lt;&gt;"",_xlpm.DecBroad&gt;0,OR(_xlpm.Points&gt;0,_xlpm.Green&gt;0,_xlpm.ReplaceReq&gt;0),_xlpm.Street=0,$G75&lt;1.5),
Error!$B$42,
IF(AND(_xlpm.baseRow,$D75&lt;&gt;"",$E75&lt;&gt;"",$H75&lt;&gt;"",$H75&lt;4,_xlpm.Street&gt;0,_xlpm.Green&gt;0,COUNTA(_xlpm.FRange)&gt;0),
Error!$B$32,
IF(AND(_xlpm.baseRow,$G75="",_xlpm.ECA&gt;0,_xlpm.DecBroad&gt;0,_xlpm.ReplaceReq&gt;0),
Error!$B$52,
IF(AND(_xlpm.baseRow,$E75&lt;&gt;"", $H75="",_xlpm.ECA&gt;0,_xlpm.Coniferous&gt;0,_xlpm.ReplaceReq&gt;0),
Error!$B$53,
IF(AND(_xlpm.baseRow,$G75="",$H75="",_xlpm.ECA&gt;0,_xlpm.ReplaceReq&gt;0),
Error!$B$39,
IF(AND(_xlpm.baseRow,$D75&lt;&gt;"",$E75&lt;&gt;"",$G75="",$H75="",_xlpm.Coniferous&gt;0,_xlpm.ReplaceReq&gt;0,_xlpm.ECA&gt;0),
Error!$B$50,
IF(AND(_xlpm.baseRow,$D75&lt;&gt;"",$E75&lt;&gt;"",$G75&lt;&gt;"",_xlpm.Street&gt;0,$G75&lt;2),
Error!$B$43,
IF(AND(_xlpm.baseRow,$D75&lt;&gt;"",$E75&lt;&gt;"",_xlpm.Green&gt;0,_xlpm.DecBroad&gt;0,$G75=""),
Error!$B$49,
IF(AND(_xlpm.baseRow,$D75&lt;&gt;"",$E75&lt;&gt;"",$H75&lt;&gt;"",$H75&lt;4,_xlpm.Green&gt;0,_xlpm.DecBroad&gt;0,$G75=""),
Error!$B$51,
IF(AND(_xlpm.baseRow,$D75&lt;&gt;"",$E75&lt;&gt;"",_xlpm.Green&gt;0,_xlpm.Coniferous&gt;0,$H75=""),
Error!$B$50,
IF(AND(_xlpm.baseRow,$D75&lt;&gt;"",$E75&lt;&gt;"",_xlpm.Points&gt;0,_xlpm.DecBroad&gt;0,$G75=""),
Error!$B$49,
IF(AND(_xlpm.baseRow,$D75&lt;&gt;"",$E75&lt;&gt;"",_xlpm.Points&gt;0,_xlpm.Coniferous&gt;0,$H75=""),
Error!$B$50,
IF(AND(_xlpm.baseRow,$D75&lt;&gt;"",$E75&lt;&gt;"",_xlpm.ReplaceReq&gt;0,_xlpm.DecBroad&gt;0,$G75=""),
Error!$B$49,
IF(AND(_xlpm.baseRow,$D75&lt;&gt;"",$E75&lt;&gt;"",_xlpm.ReplaceReq&gt;0,_xlpm.Coniferous&gt;0,$H75=""),
Error!$B$50,
IF(AND(_xlpm.baseRow,$D75&lt;&gt;"",$E75&lt;&gt;"",_xlpm.Street&gt;0,$G75=""),
Error!$B$49,
IF(AND(_xlpm.baseRow,$D75&lt;&gt;"",$E75&lt;&gt;"",$H75&lt;&gt;"",$H75&lt;4,OR(ISNA(MATCH($C75,'Tree List'!$C$3:$C$601,0)),$C75=""),_xlpm.Green&gt;0,COUNTA(_xlpm.FRange)&gt;0),
Error!$B$51,
IF(AND(_xlpm.baseRow,$D75&lt;&gt;"",$E75&lt;&gt;"",$H75&lt;&gt;"",$H75&lt;4,_xlpm.DecBroad&gt;0,_xlpm.Green&gt;0,COUNTA(_xlpm.FRange)&gt;0),
Error!$B$51,
IF(AND(_xlpm.baseRow,$D75&lt;&gt;"",$E75&lt;&gt;"",$G75="",$H75="",OR(_xlpm.ReplaceReq&gt;0,_xlpm.Green&gt;0,_xlpm.Points&gt;0,_xlpm.Street&gt;0)),
Error!$B$38,
IF(AND(_xlpm.baseRow,$D75&lt;&gt;"",$E75&lt;&gt;"",$H75&lt;&gt;"",$H75&lt;4,_xlpm.Street=0,_xlpm.Coniferous&gt;0,COUNTA(_xlpm.FRange)&gt;0),
Error!$B$32,
IF(AND(_xlpm.baseRow,_xlpm.DecBroad&gt;0,$D75&lt;&gt;"",$E75&lt;&gt;"",$G75&lt;&gt;"",$G75&lt;1.5,_xlpm.Street=0,COUNTA(_xlpm.FRange)&gt;0),
Error!$B$42,
IF(AND(_xlpm.baseRow,$I75="",$H75="",_xlpm.ECA&gt;0,_xlpm.ReplaceReq=0),
Error!$B$33,
IF(AND(_xlpm.baseRow,OR($J75="",$J75&lt;=0),_xlpm.ReplaceReq&gt;0),
Error!$B$34,
IF(AND(_xlpm.baseRow,$K75&lt;&gt;"",_xlpm.Points&gt;0,ISNA(MATCH($K75,Tables!$B$242:$B$253,0))),
Error!$B$58,
IF(AND($K75="Small",$L75&lt;&gt;"",ISNA(MATCH($L75,Tables2!$C$35:$C$36,0))),
Error!$B$60,
IF(AND($K75="Small/Medium",$L75&lt;&gt;"",ISNA(MATCH($L75,Tables2!$C$38:$C$39,0))),
Error!$B$60,
IF(AND($K75="Medium/Large",$L75&lt;&gt;"",ISNA(MATCH($L75,Tables2!$C$41:$C$42,0))),
Error!$B$60,
IF(AND($K75="Large",$L75&lt;&gt;"",ISNA(MATCH($L75,Tables2!$C$44:$C$45,0))),
Error!$B$60,
IF(AND(_xlpm.baseRow,$B75&lt;&gt;"", $C75&lt;&gt;"", $D75&lt;&gt;"", $E75&lt;&gt;"", OR($M75="",$K75="",$L75=""),_xlpm.Points&gt;0),
Error!$B$35,
IF(AND(_xlpm.baseRow,$D75&lt;&gt;"",$E75&lt;&gt;"",$N75=""),
Error!$B$36,
""))))))))))))))))))))))))))))))))))))))))))),Error!$B$37))</f>
        <v/>
      </c>
      <c r="P75" s="355" t="str" cm="1">
        <f t="array" aca="1" ref="P75" ca="1">IFERROR(_xlfn.LET(
    _xlpm.txt, $C75,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6" spans="1:16" x14ac:dyDescent="0.3">
      <c r="A76" s="297"/>
      <c r="B76" s="439" t="str">
        <f t="shared" ref="B76" si="52">IF($B75="", "", $B75)</f>
        <v/>
      </c>
      <c r="C76" s="309"/>
      <c r="D76" s="157" t="str">
        <f t="shared" ref="D76" si="53">IF($D75="", "", $D75)</f>
        <v/>
      </c>
      <c r="E76" s="157" t="str">
        <f t="shared" ref="E76" si="54">IF($E75="", "", $E75)</f>
        <v/>
      </c>
      <c r="F76" s="300"/>
      <c r="G76" s="159"/>
      <c r="H76" s="182"/>
      <c r="I76" s="179"/>
      <c r="J76" s="458"/>
      <c r="K76" s="174" t="str">
        <f>IFERROR(
IF(
    AND(
        MOD(ROW()-11,4)=0,
        COUNTIF(INDEX(F:F, 11 + 4*INT((ROW()-11)/4)):INDEX(F:F, 14 + 4*INT((ROW()-11)/4)),"Zoning: Tree Points")&gt;0,
        COUNTIFS('Tree List'!$C$3:$C$601,$C76,'Tree List'!$H$3:$H$601,"sp.")=0
    ),
    VLOOKUP($C76,'Tree List'!$C$3:$F$601,4,FALSE),
    ""
),
"")</f>
        <v/>
      </c>
      <c r="L76" s="175" t="str" cm="1">
        <f t="array" ref="L76">IFERROR(
IF(
    AND(
        COUNTIF(INDEX(F:F, 11 + 4*INT((ROW()-11)/4)):INDEX(F:F, 14 + 4*INT((ROW()-11)/4)),"Zoning: Tree Points")&gt;0,
        COUNTIFS('Tree List'!$C$3:$C$601,$C76,'Tree List'!$H$3:$H$601,"sp.")&gt;0
    ),
    "",
    _xlfn.IFS(
        (COUNTIFS('Tree List'!$C$3:$C$601,$C76,'Tree List'!$D$3:$D$601,"Coniferous")
        + COUNTIFS('Tree List'!$C$3:$C$601,$C76,'Tree List'!$D$3:$D$601,"Deciduous Conifer")) &gt; 0,
            _xlfn.IFS($K76="Small",1.25,$K76="Small/Medium",2.5,$K76="Medium/Large",3.75,$K76="Large",5),
        (COUNTIFS('Tree List'!$C$3:$C$601,$C76,'Tree List'!$D$3:$D$601,"Deciduous")
        + COUNTIFS('Tree List'!$C$3:$C$601,$C76,'Tree List'!$D$3:$D$601,"Broadleaf Evergreen")) &gt; 0,
            _xlfn.IFS($K76="Small",1,$K76="Small/Medium",2,$K76="Medium/Large",3,$K76="Large",4)
    )
),
"")</f>
        <v/>
      </c>
      <c r="M76" s="471" t="str">
        <f t="shared" ref="M76:M78" si="55">IFERROR($L76*$N76,"")</f>
        <v/>
      </c>
      <c r="N76" s="434"/>
      <c r="O76" s="340" t="str" cm="1">
        <f t="array" aca="1" ref="O76"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List'!$C$3:$C$601,$C76,'Tree List'!$D$3:$D$601,{"Deciduous","Broadleaf Evergreen"})),
_xlpm.Coniferous,SUM(COUNTIFS('Tree List'!$C$3:$C$601,$C76,'Tree List'!$D$3:$D$601,{"Coniferous","Deciduous Conifer"})),
IFERROR(
IF(AND(_xlpm.baseRow,ISNA(MATCH($C76,'Tree List'!$C$3:$C$601,0)),SUMPRODUCT(--ISNUMBER(SEARCH(Tables2!$C$677:$C$825,$P76)))&gt;0),
Error!$B$64,
IF(AND(_xlpm.baseRow,COUNTIF(_xlpm.FRange,"ECA / Shoreline")&gt;0,$D76&lt;&gt;"",$E76&lt;&gt;"",$N76=""),
Error!$B$55,
IF(AND(_xlpm.baseRow,$D76&lt;&gt;"",$E76&lt;&gt;"",COUNTBLANK($B76:$C76)&gt;0,COUNTBLANK($F76:$F79)&lt;&gt;4),
Error!$B$22,
IF(AND(_xlpm.baseRow,$D76="Right-of-Way", $E76=""),
Error!$B$67,
IF(AND(_xlpm.baseRow,$D76&lt;&gt;"",ISNA(MATCH($D76,Tables2!$B$66:$B$68,0))),
Error!$B$63,
IF(AND(_xlpm.baseRow,$D76="Off Site",$E76&lt;&gt;"",$E76&lt;&gt;"Yes"),
Error!$B$28,
IF(AND(_xlpm.baseRow,OR($D76="On Site",$D76="Right-of-Way"),$E76&lt;&gt;"",ISNA(MATCH($E76,MultiSelect2[TreeMitigation],0))),
Error!$B$28,
IF(AND(_xlpm.baseRow,$D76&lt;&gt;"",$E76&lt;&gt;"",COUNTIF(_xlpm.FRange,"&lt;&gt;")=0),
Error!$B$26,
IF(AND($E76="No",$F76&lt;&gt;"",ISNA(MATCH($F76,Tables2!$B$55:$B$57,0))),
Error!$B$27,
IF(AND($E76="Yes",$F76&lt;&gt;"",ISNA(MATCH($F76,Tables2!$B$48:$B$52,0))),
Error!$B$27,
IF(AND($D76="Off Site",$E76="Yes",$F76&lt;&gt;"",ISNA(MATCH($F76,Tables2!$B$60:$B$62,0))),
Error!$B$27,
IF(AND(_xlpm.baseRow,_xlpm.Street&gt;0,_xlpm.ECA&gt;0),
Error!$B$29,
IF(AND(_xlpm.baseRow,_xlpm.Street&gt;0,_xlpm.Points&gt;0),
Error!$B$30,
IF(AND(_xlpm.baseRow,_xlpm.Street&gt;0,_xlpm.ReplaceReq&gt;0),
Error!$B$31,
IF(AND(_xlpm.baseRow,$D76&lt;&gt;"",$E76&lt;&gt;"",$G76&lt;&gt;"",_xlpm.DecBroad&gt;0,OR(_xlpm.Points&gt;0,_xlpm.Green&gt;0,_xlpm.ReplaceReq&gt;0),_xlpm.Street=0,$G76&lt;1.5),
Error!$B$42,
IF(AND(_xlpm.baseRow,$D76&lt;&gt;"",$E76&lt;&gt;"",$H76&lt;&gt;"",$H76&lt;4,_xlpm.Street&gt;0,_xlpm.Green&gt;0,COUNTA(_xlpm.FRange)&gt;0),
Error!$B$32,
IF(AND(_xlpm.baseRow,$G76="",_xlpm.ECA&gt;0,_xlpm.DecBroad&gt;0,_xlpm.ReplaceReq&gt;0),
Error!$B$52,
IF(AND(_xlpm.baseRow,$E76&lt;&gt;"", $H76="",_xlpm.ECA&gt;0,_xlpm.Coniferous&gt;0,_xlpm.ReplaceReq&gt;0),
Error!$B$53,
IF(AND(_xlpm.baseRow,$G76="",$H76="",_xlpm.ECA&gt;0,_xlpm.ReplaceReq&gt;0),
Error!$B$39,
IF(AND(_xlpm.baseRow,$D76&lt;&gt;"",$E76&lt;&gt;"",$G76="",$H76="",_xlpm.Coniferous&gt;0,_xlpm.ReplaceReq&gt;0,_xlpm.ECA&gt;0),
Error!$B$50,
IF(AND(_xlpm.baseRow,$D76&lt;&gt;"",$E76&lt;&gt;"",$G76&lt;&gt;"",_xlpm.Street&gt;0,$G76&lt;2),
Error!$B$43,
IF(AND(_xlpm.baseRow,$D76&lt;&gt;"",$E76&lt;&gt;"",_xlpm.Green&gt;0,_xlpm.DecBroad&gt;0,$G76=""),
Error!$B$49,
IF(AND(_xlpm.baseRow,$D76&lt;&gt;"",$E76&lt;&gt;"",$H76&lt;&gt;"",$H76&lt;4,_xlpm.Green&gt;0,_xlpm.DecBroad&gt;0,$G76=""),
Error!$B$51,
IF(AND(_xlpm.baseRow,$D76&lt;&gt;"",$E76&lt;&gt;"",_xlpm.Green&gt;0,_xlpm.Coniferous&gt;0,$H76=""),
Error!$B$50,
IF(AND(_xlpm.baseRow,$D76&lt;&gt;"",$E76&lt;&gt;"",_xlpm.Points&gt;0,_xlpm.DecBroad&gt;0,$G76=""),
Error!$B$49,
IF(AND(_xlpm.baseRow,$D76&lt;&gt;"",$E76&lt;&gt;"",_xlpm.Points&gt;0,_xlpm.Coniferous&gt;0,$H76=""),
Error!$B$50,
IF(AND(_xlpm.baseRow,$D76&lt;&gt;"",$E76&lt;&gt;"",_xlpm.ReplaceReq&gt;0,_xlpm.DecBroad&gt;0,$G76=""),
Error!$B$49,
IF(AND(_xlpm.baseRow,$D76&lt;&gt;"",$E76&lt;&gt;"",_xlpm.ReplaceReq&gt;0,_xlpm.Coniferous&gt;0,$H76=""),
Error!$B$50,
IF(AND(_xlpm.baseRow,$D76&lt;&gt;"",$E76&lt;&gt;"",_xlpm.Street&gt;0,$G76=""),
Error!$B$49,
IF(AND(_xlpm.baseRow,$D76&lt;&gt;"",$E76&lt;&gt;"",$H76&lt;&gt;"",$H76&lt;4,OR(ISNA(MATCH($C76,'Tree List'!$C$3:$C$601,0)),$C76=""),_xlpm.Green&gt;0,COUNTA(_xlpm.FRange)&gt;0),
Error!$B$51,
IF(AND(_xlpm.baseRow,$D76&lt;&gt;"",$E76&lt;&gt;"",$H76&lt;&gt;"",$H76&lt;4,_xlpm.DecBroad&gt;0,_xlpm.Green&gt;0,COUNTA(_xlpm.FRange)&gt;0),
Error!$B$51,
IF(AND(_xlpm.baseRow,$D76&lt;&gt;"",$E76&lt;&gt;"",$G76="",$H76="",OR(_xlpm.ReplaceReq&gt;0,_xlpm.Green&gt;0,_xlpm.Points&gt;0,_xlpm.Street&gt;0)),
Error!$B$38,
IF(AND(_xlpm.baseRow,$D76&lt;&gt;"",$E76&lt;&gt;"",$H76&lt;&gt;"",$H76&lt;4,_xlpm.Street=0,_xlpm.Coniferous&gt;0,COUNTA(_xlpm.FRange)&gt;0),
Error!$B$32,
IF(AND(_xlpm.baseRow,_xlpm.DecBroad&gt;0,$D76&lt;&gt;"",$E76&lt;&gt;"",$G76&lt;&gt;"",$G76&lt;1.5,_xlpm.Street=0,COUNTA(_xlpm.FRange)&gt;0),
Error!$B$42,
IF(AND(_xlpm.baseRow,$I76="",$H76="",_xlpm.ECA&gt;0,_xlpm.ReplaceReq=0),
Error!$B$33,
IF(AND(_xlpm.baseRow,OR($J76="",$J76&lt;=0),_xlpm.ReplaceReq&gt;0),
Error!$B$34,
IF(AND(_xlpm.baseRow,$K76&lt;&gt;"",_xlpm.Points&gt;0,ISNA(MATCH($K76,Tables!$B$242:$B$253,0))),
Error!$B$58,
IF(AND($K76="Small",$L76&lt;&gt;"",ISNA(MATCH($L76,Tables2!$C$35:$C$36,0))),
Error!$B$60,
IF(AND($K76="Small/Medium",$L76&lt;&gt;"",ISNA(MATCH($L76,Tables2!$C$38:$C$39,0))),
Error!$B$60,
IF(AND($K76="Medium/Large",$L76&lt;&gt;"",ISNA(MATCH($L76,Tables2!$C$41:$C$42,0))),
Error!$B$60,
IF(AND($K76="Large",$L76&lt;&gt;"",ISNA(MATCH($L76,Tables2!$C$44:$C$45,0))),
Error!$B$60,
IF(AND(_xlpm.baseRow,$B76&lt;&gt;"", $C76&lt;&gt;"", $D76&lt;&gt;"", $E76&lt;&gt;"", OR($M76="",$K76="",$L76=""),_xlpm.Points&gt;0),
Error!$B$35,
IF(AND(_xlpm.baseRow,$D76&lt;&gt;"",$E76&lt;&gt;"",$N76=""),
Error!$B$36,
""))))))))))))))))))))))))))))))))))))))))))),Error!$B$37))</f>
        <v/>
      </c>
      <c r="P76" s="355" t="str" cm="1">
        <f t="array" aca="1" ref="P76" ca="1">IFERROR(_xlfn.LET(
    _xlpm.txt, $C76,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7" spans="1:16" x14ac:dyDescent="0.3">
      <c r="A77" s="297"/>
      <c r="B77" s="439" t="str">
        <f t="shared" ref="B77" si="56">IF($B75="", "", $B75)</f>
        <v/>
      </c>
      <c r="C77" s="438"/>
      <c r="D77" s="439" t="str">
        <f t="shared" ref="D77" si="57">IF($D75="", "", $D75)</f>
        <v/>
      </c>
      <c r="E77" s="439" t="str">
        <f t="shared" ref="E77" si="58">IF($E75="", "", $E75)</f>
        <v/>
      </c>
      <c r="F77" s="300"/>
      <c r="G77" s="160"/>
      <c r="H77" s="440"/>
      <c r="I77" s="441"/>
      <c r="J77" s="459"/>
      <c r="K77" s="442" t="str">
        <f>IFERROR(
IF(
    AND(
        MOD(ROW()-11,4)=0,
        COUNTIF(INDEX(F:F, 11 + 4*INT((ROW()-11)/4)):INDEX(F:F, 14 + 4*INT((ROW()-11)/4)),"Zoning: Tree Points")&gt;0,
        COUNTIFS('Tree List'!$C$3:$C$601,$C77,'Tree List'!$H$3:$H$601,"sp.")=0
    ),
    VLOOKUP($C77,'Tree List'!$C$3:$F$601,4,FALSE),
    ""
),
"")</f>
        <v/>
      </c>
      <c r="L77" s="443" t="str" cm="1">
        <f t="array" ref="L77">IFERROR(
IF(
    AND(
        COUNTIF(INDEX(F:F, 11 + 4*INT((ROW()-11)/4)):INDEX(F:F, 14 + 4*INT((ROW()-11)/4)),"Zoning: Tree Points")&gt;0,
        COUNTIFS('Tree List'!$C$3:$C$601,$C77,'Tree List'!$H$3:$H$601,"sp.")&gt;0
    ),
    "",
    _xlfn.IFS(
        (COUNTIFS('Tree List'!$C$3:$C$601,$C77,'Tree List'!$D$3:$D$601,"Coniferous")
        + COUNTIFS('Tree List'!$C$3:$C$601,$C77,'Tree List'!$D$3:$D$601,"Deciduous Conifer")) &gt; 0,
            _xlfn.IFS($K77="Small",1.25,$K77="Small/Medium",2.5,$K77="Medium/Large",3.75,$K77="Large",5),
        (COUNTIFS('Tree List'!$C$3:$C$601,$C77,'Tree List'!$D$3:$D$601,"Deciduous")
        + COUNTIFS('Tree List'!$C$3:$C$601,$C77,'Tree List'!$D$3:$D$601,"Broadleaf Evergreen")) &gt; 0,
            _xlfn.IFS($K77="Small",1,$K77="Small/Medium",2,$K77="Medium/Large",3,$K77="Large",4)
    )
),
"")</f>
        <v/>
      </c>
      <c r="M77" s="472" t="str">
        <f t="shared" si="55"/>
        <v/>
      </c>
      <c r="N77" s="434"/>
      <c r="O77" s="340" t="str" cm="1">
        <f t="array" aca="1" ref="O77"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List'!$C$3:$C$601,$C77,'Tree List'!$D$3:$D$601,{"Deciduous","Broadleaf Evergreen"})),
_xlpm.Coniferous,SUM(COUNTIFS('Tree List'!$C$3:$C$601,$C77,'Tree List'!$D$3:$D$601,{"Coniferous","Deciduous Conifer"})),
IFERROR(
IF(AND(_xlpm.baseRow,ISNA(MATCH($C77,'Tree List'!$C$3:$C$601,0)),SUMPRODUCT(--ISNUMBER(SEARCH(Tables2!$C$677:$C$825,$P77)))&gt;0),
Error!$B$64,
IF(AND(_xlpm.baseRow,COUNTIF(_xlpm.FRange,"ECA / Shoreline")&gt;0,$D77&lt;&gt;"",$E77&lt;&gt;"",$N77=""),
Error!$B$55,
IF(AND(_xlpm.baseRow,$D77&lt;&gt;"",$E77&lt;&gt;"",COUNTBLANK($B77:$C77)&gt;0,COUNTBLANK($F77:$F80)&lt;&gt;4),
Error!$B$22,
IF(AND(_xlpm.baseRow,$D77="Right-of-Way", $E77=""),
Error!$B$67,
IF(AND(_xlpm.baseRow,$D77&lt;&gt;"",ISNA(MATCH($D77,Tables2!$B$66:$B$68,0))),
Error!$B$63,
IF(AND(_xlpm.baseRow,$D77="Off Site",$E77&lt;&gt;"",$E77&lt;&gt;"Yes"),
Error!$B$28,
IF(AND(_xlpm.baseRow,OR($D77="On Site",$D77="Right-of-Way"),$E77&lt;&gt;"",ISNA(MATCH($E77,MultiSelect2[TreeMitigation],0))),
Error!$B$28,
IF(AND(_xlpm.baseRow,$D77&lt;&gt;"",$E77&lt;&gt;"",COUNTIF(_xlpm.FRange,"&lt;&gt;")=0),
Error!$B$26,
IF(AND($E77="No",$F77&lt;&gt;"",ISNA(MATCH($F77,Tables2!$B$55:$B$57,0))),
Error!$B$27,
IF(AND($E77="Yes",$F77&lt;&gt;"",ISNA(MATCH($F77,Tables2!$B$48:$B$52,0))),
Error!$B$27,
IF(AND($D77="Off Site",$E77="Yes",$F77&lt;&gt;"",ISNA(MATCH($F77,Tables2!$B$60:$B$62,0))),
Error!$B$27,
IF(AND(_xlpm.baseRow,_xlpm.Street&gt;0,_xlpm.ECA&gt;0),
Error!$B$29,
IF(AND(_xlpm.baseRow,_xlpm.Street&gt;0,_xlpm.Points&gt;0),
Error!$B$30,
IF(AND(_xlpm.baseRow,_xlpm.Street&gt;0,_xlpm.ReplaceReq&gt;0),
Error!$B$31,
IF(AND(_xlpm.baseRow,$D77&lt;&gt;"",$E77&lt;&gt;"",$G77&lt;&gt;"",_xlpm.DecBroad&gt;0,OR(_xlpm.Points&gt;0,_xlpm.Green&gt;0,_xlpm.ReplaceReq&gt;0),_xlpm.Street=0,$G77&lt;1.5),
Error!$B$42,
IF(AND(_xlpm.baseRow,$D77&lt;&gt;"",$E77&lt;&gt;"",$H77&lt;&gt;"",$H77&lt;4,_xlpm.Street&gt;0,_xlpm.Green&gt;0,COUNTA(_xlpm.FRange)&gt;0),
Error!$B$32,
IF(AND(_xlpm.baseRow,$G77="",_xlpm.ECA&gt;0,_xlpm.DecBroad&gt;0,_xlpm.ReplaceReq&gt;0),
Error!$B$52,
IF(AND(_xlpm.baseRow,$E77&lt;&gt;"", $H77="",_xlpm.ECA&gt;0,_xlpm.Coniferous&gt;0,_xlpm.ReplaceReq&gt;0),
Error!$B$53,
IF(AND(_xlpm.baseRow,$G77="",$H77="",_xlpm.ECA&gt;0,_xlpm.ReplaceReq&gt;0),
Error!$B$39,
IF(AND(_xlpm.baseRow,$D77&lt;&gt;"",$E77&lt;&gt;"",$G77="",$H77="",_xlpm.Coniferous&gt;0,_xlpm.ReplaceReq&gt;0,_xlpm.ECA&gt;0),
Error!$B$50,
IF(AND(_xlpm.baseRow,$D77&lt;&gt;"",$E77&lt;&gt;"",$G77&lt;&gt;"",_xlpm.Street&gt;0,$G77&lt;2),
Error!$B$43,
IF(AND(_xlpm.baseRow,$D77&lt;&gt;"",$E77&lt;&gt;"",_xlpm.Green&gt;0,_xlpm.DecBroad&gt;0,$G77=""),
Error!$B$49,
IF(AND(_xlpm.baseRow,$D77&lt;&gt;"",$E77&lt;&gt;"",$H77&lt;&gt;"",$H77&lt;4,_xlpm.Green&gt;0,_xlpm.DecBroad&gt;0,$G77=""),
Error!$B$51,
IF(AND(_xlpm.baseRow,$D77&lt;&gt;"",$E77&lt;&gt;"",_xlpm.Green&gt;0,_xlpm.Coniferous&gt;0,$H77=""),
Error!$B$50,
IF(AND(_xlpm.baseRow,$D77&lt;&gt;"",$E77&lt;&gt;"",_xlpm.Points&gt;0,_xlpm.DecBroad&gt;0,$G77=""),
Error!$B$49,
IF(AND(_xlpm.baseRow,$D77&lt;&gt;"",$E77&lt;&gt;"",_xlpm.Points&gt;0,_xlpm.Coniferous&gt;0,$H77=""),
Error!$B$50,
IF(AND(_xlpm.baseRow,$D77&lt;&gt;"",$E77&lt;&gt;"",_xlpm.ReplaceReq&gt;0,_xlpm.DecBroad&gt;0,$G77=""),
Error!$B$49,
IF(AND(_xlpm.baseRow,$D77&lt;&gt;"",$E77&lt;&gt;"",_xlpm.ReplaceReq&gt;0,_xlpm.Coniferous&gt;0,$H77=""),
Error!$B$50,
IF(AND(_xlpm.baseRow,$D77&lt;&gt;"",$E77&lt;&gt;"",_xlpm.Street&gt;0,$G77=""),
Error!$B$49,
IF(AND(_xlpm.baseRow,$D77&lt;&gt;"",$E77&lt;&gt;"",$H77&lt;&gt;"",$H77&lt;4,OR(ISNA(MATCH($C77,'Tree List'!$C$3:$C$601,0)),$C77=""),_xlpm.Green&gt;0,COUNTA(_xlpm.FRange)&gt;0),
Error!$B$51,
IF(AND(_xlpm.baseRow,$D77&lt;&gt;"",$E77&lt;&gt;"",$H77&lt;&gt;"",$H77&lt;4,_xlpm.DecBroad&gt;0,_xlpm.Green&gt;0,COUNTA(_xlpm.FRange)&gt;0),
Error!$B$51,
IF(AND(_xlpm.baseRow,$D77&lt;&gt;"",$E77&lt;&gt;"",$G77="",$H77="",OR(_xlpm.ReplaceReq&gt;0,_xlpm.Green&gt;0,_xlpm.Points&gt;0,_xlpm.Street&gt;0)),
Error!$B$38,
IF(AND(_xlpm.baseRow,$D77&lt;&gt;"",$E77&lt;&gt;"",$H77&lt;&gt;"",$H77&lt;4,_xlpm.Street=0,_xlpm.Coniferous&gt;0,COUNTA(_xlpm.FRange)&gt;0),
Error!$B$32,
IF(AND(_xlpm.baseRow,_xlpm.DecBroad&gt;0,$D77&lt;&gt;"",$E77&lt;&gt;"",$G77&lt;&gt;"",$G77&lt;1.5,_xlpm.Street=0,COUNTA(_xlpm.FRange)&gt;0),
Error!$B$42,
IF(AND(_xlpm.baseRow,$I77="",$H77="",_xlpm.ECA&gt;0,_xlpm.ReplaceReq=0),
Error!$B$33,
IF(AND(_xlpm.baseRow,OR($J77="",$J77&lt;=0),_xlpm.ReplaceReq&gt;0),
Error!$B$34,
IF(AND(_xlpm.baseRow,$K77&lt;&gt;"",_xlpm.Points&gt;0,ISNA(MATCH($K77,Tables!$B$242:$B$253,0))),
Error!$B$58,
IF(AND($K77="Small",$L77&lt;&gt;"",ISNA(MATCH($L77,Tables2!$C$35:$C$36,0))),
Error!$B$60,
IF(AND($K77="Small/Medium",$L77&lt;&gt;"",ISNA(MATCH($L77,Tables2!$C$38:$C$39,0))),
Error!$B$60,
IF(AND($K77="Medium/Large",$L77&lt;&gt;"",ISNA(MATCH($L77,Tables2!$C$41:$C$42,0))),
Error!$B$60,
IF(AND($K77="Large",$L77&lt;&gt;"",ISNA(MATCH($L77,Tables2!$C$44:$C$45,0))),
Error!$B$60,
IF(AND(_xlpm.baseRow,$B77&lt;&gt;"", $C77&lt;&gt;"", $D77&lt;&gt;"", $E77&lt;&gt;"", OR($M77="",$K77="",$L77=""),_xlpm.Points&gt;0),
Error!$B$35,
IF(AND(_xlpm.baseRow,$D77&lt;&gt;"",$E77&lt;&gt;"",$N77=""),
Error!$B$36,
""))))))))))))))))))))))))))))))))))))))))))),Error!$B$37))</f>
        <v/>
      </c>
      <c r="P77" s="355" t="str" cm="1">
        <f t="array" aca="1" ref="P77" ca="1">IFERROR(_xlfn.LET(
    _xlpm.txt, $C77,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8" spans="1:16" ht="15" thickBot="1" x14ac:dyDescent="0.35">
      <c r="A78" s="298"/>
      <c r="B78" s="439" t="str">
        <f t="shared" ref="B78" si="59">IF($B75="", "", $B75)</f>
        <v/>
      </c>
      <c r="C78" s="310"/>
      <c r="D78" s="154" t="str">
        <f t="shared" ref="D78" si="60">IF($D75="", "", $D75)</f>
        <v/>
      </c>
      <c r="E78" s="154" t="str">
        <f t="shared" ref="E78" si="61">IF($E75="", "", $E75)</f>
        <v/>
      </c>
      <c r="F78" s="302"/>
      <c r="G78" s="161"/>
      <c r="H78" s="183"/>
      <c r="I78" s="180"/>
      <c r="J78" s="460"/>
      <c r="K78" s="176" t="str">
        <f>IFERROR(
IF(
    AND(
        MOD(ROW()-11,4)=0,
        COUNTIF(INDEX(F:F, 11 + 4*INT((ROW()-11)/4)):INDEX(F:F, 14 + 4*INT((ROW()-11)/4)),"Zoning: Tree Points")&gt;0,
        COUNTIFS('Tree List'!$C$3:$C$601,$C78,'Tree List'!$H$3:$H$601,"sp.")=0
    ),
    VLOOKUP($C78,'Tree List'!$C$3:$F$601,4,FALSE),
    ""
),
"")</f>
        <v/>
      </c>
      <c r="L78" s="177" t="str" cm="1">
        <f t="array" ref="L78">IFERROR(
IF(
    AND(
        COUNTIF(INDEX(F:F, 11 + 4*INT((ROW()-11)/4)):INDEX(F:F, 14 + 4*INT((ROW()-11)/4)),"Zoning: Tree Points")&gt;0,
        COUNTIFS('Tree List'!$C$3:$C$601,$C78,'Tree List'!$H$3:$H$601,"sp.")&gt;0
    ),
    "",
    _xlfn.IFS(
        (COUNTIFS('Tree List'!$C$3:$C$601,$C78,'Tree List'!$D$3:$D$601,"Coniferous")
        + COUNTIFS('Tree List'!$C$3:$C$601,$C78,'Tree List'!$D$3:$D$601,"Deciduous Conifer")) &gt; 0,
            _xlfn.IFS($K78="Small",1.25,$K78="Small/Medium",2.5,$K78="Medium/Large",3.75,$K78="Large",5),
        (COUNTIFS('Tree List'!$C$3:$C$601,$C78,'Tree List'!$D$3:$D$601,"Deciduous")
        + COUNTIFS('Tree List'!$C$3:$C$601,$C78,'Tree List'!$D$3:$D$601,"Broadleaf Evergreen")) &gt; 0,
            _xlfn.IFS($K78="Small",1,$K78="Small/Medium",2,$K78="Medium/Large",3,$K78="Large",4)
    )
),
"")</f>
        <v/>
      </c>
      <c r="M78" s="473" t="str">
        <f t="shared" si="55"/>
        <v/>
      </c>
      <c r="N78" s="435"/>
      <c r="O78" s="341" t="str" cm="1">
        <f t="array" aca="1" ref="O78"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List'!$C$3:$C$601,$C78,'Tree List'!$D$3:$D$601,{"Deciduous","Broadleaf Evergreen"})),
_xlpm.Coniferous,SUM(COUNTIFS('Tree List'!$C$3:$C$601,$C78,'Tree List'!$D$3:$D$601,{"Coniferous","Deciduous Conifer"})),
IFERROR(
IF(AND(_xlpm.baseRow,ISNA(MATCH($C78,'Tree List'!$C$3:$C$601,0)),SUMPRODUCT(--ISNUMBER(SEARCH(Tables2!$C$677:$C$825,$P78)))&gt;0),
Error!$B$64,
IF(AND(_xlpm.baseRow,COUNTIF(_xlpm.FRange,"ECA / Shoreline")&gt;0,$D78&lt;&gt;"",$E78&lt;&gt;"",$N78=""),
Error!$B$55,
IF(AND(_xlpm.baseRow,$D78&lt;&gt;"",$E78&lt;&gt;"",COUNTBLANK($B78:$C78)&gt;0,COUNTBLANK($F78:$F81)&lt;&gt;4),
Error!$B$22,
IF(AND(_xlpm.baseRow,$D78="Right-of-Way", $E78=""),
Error!$B$67,
IF(AND(_xlpm.baseRow,$D78&lt;&gt;"",ISNA(MATCH($D78,Tables2!$B$66:$B$68,0))),
Error!$B$63,
IF(AND(_xlpm.baseRow,$D78="Off Site",$E78&lt;&gt;"",$E78&lt;&gt;"Yes"),
Error!$B$28,
IF(AND(_xlpm.baseRow,OR($D78="On Site",$D78="Right-of-Way"),$E78&lt;&gt;"",ISNA(MATCH($E78,MultiSelect2[TreeMitigation],0))),
Error!$B$28,
IF(AND(_xlpm.baseRow,$D78&lt;&gt;"",$E78&lt;&gt;"",COUNTIF(_xlpm.FRange,"&lt;&gt;")=0),
Error!$B$26,
IF(AND($E78="No",$F78&lt;&gt;"",ISNA(MATCH($F78,Tables2!$B$55:$B$57,0))),
Error!$B$27,
IF(AND($E78="Yes",$F78&lt;&gt;"",ISNA(MATCH($F78,Tables2!$B$48:$B$52,0))),
Error!$B$27,
IF(AND($D78="Off Site",$E78="Yes",$F78&lt;&gt;"",ISNA(MATCH($F78,Tables2!$B$60:$B$62,0))),
Error!$B$27,
IF(AND(_xlpm.baseRow,_xlpm.Street&gt;0,_xlpm.ECA&gt;0),
Error!$B$29,
IF(AND(_xlpm.baseRow,_xlpm.Street&gt;0,_xlpm.Points&gt;0),
Error!$B$30,
IF(AND(_xlpm.baseRow,_xlpm.Street&gt;0,_xlpm.ReplaceReq&gt;0),
Error!$B$31,
IF(AND(_xlpm.baseRow,$D78&lt;&gt;"",$E78&lt;&gt;"",$G78&lt;&gt;"",_xlpm.DecBroad&gt;0,OR(_xlpm.Points&gt;0,_xlpm.Green&gt;0,_xlpm.ReplaceReq&gt;0),_xlpm.Street=0,$G78&lt;1.5),
Error!$B$42,
IF(AND(_xlpm.baseRow,$D78&lt;&gt;"",$E78&lt;&gt;"",$H78&lt;&gt;"",$H78&lt;4,_xlpm.Street&gt;0,_xlpm.Green&gt;0,COUNTA(_xlpm.FRange)&gt;0),
Error!$B$32,
IF(AND(_xlpm.baseRow,$G78="",_xlpm.ECA&gt;0,_xlpm.DecBroad&gt;0,_xlpm.ReplaceReq&gt;0),
Error!$B$52,
IF(AND(_xlpm.baseRow,$E78&lt;&gt;"", $H78="",_xlpm.ECA&gt;0,_xlpm.Coniferous&gt;0,_xlpm.ReplaceReq&gt;0),
Error!$B$53,
IF(AND(_xlpm.baseRow,$G78="",$H78="",_xlpm.ECA&gt;0,_xlpm.ReplaceReq&gt;0),
Error!$B$39,
IF(AND(_xlpm.baseRow,$D78&lt;&gt;"",$E78&lt;&gt;"",$G78="",$H78="",_xlpm.Coniferous&gt;0,_xlpm.ReplaceReq&gt;0,_xlpm.ECA&gt;0),
Error!$B$50,
IF(AND(_xlpm.baseRow,$D78&lt;&gt;"",$E78&lt;&gt;"",$G78&lt;&gt;"",_xlpm.Street&gt;0,$G78&lt;2),
Error!$B$43,
IF(AND(_xlpm.baseRow,$D78&lt;&gt;"",$E78&lt;&gt;"",_xlpm.Green&gt;0,_xlpm.DecBroad&gt;0,$G78=""),
Error!$B$49,
IF(AND(_xlpm.baseRow,$D78&lt;&gt;"",$E78&lt;&gt;"",$H78&lt;&gt;"",$H78&lt;4,_xlpm.Green&gt;0,_xlpm.DecBroad&gt;0,$G78=""),
Error!$B$51,
IF(AND(_xlpm.baseRow,$D78&lt;&gt;"",$E78&lt;&gt;"",_xlpm.Green&gt;0,_xlpm.Coniferous&gt;0,$H78=""),
Error!$B$50,
IF(AND(_xlpm.baseRow,$D78&lt;&gt;"",$E78&lt;&gt;"",_xlpm.Points&gt;0,_xlpm.DecBroad&gt;0,$G78=""),
Error!$B$49,
IF(AND(_xlpm.baseRow,$D78&lt;&gt;"",$E78&lt;&gt;"",_xlpm.Points&gt;0,_xlpm.Coniferous&gt;0,$H78=""),
Error!$B$50,
IF(AND(_xlpm.baseRow,$D78&lt;&gt;"",$E78&lt;&gt;"",_xlpm.ReplaceReq&gt;0,_xlpm.DecBroad&gt;0,$G78=""),
Error!$B$49,
IF(AND(_xlpm.baseRow,$D78&lt;&gt;"",$E78&lt;&gt;"",_xlpm.ReplaceReq&gt;0,_xlpm.Coniferous&gt;0,$H78=""),
Error!$B$50,
IF(AND(_xlpm.baseRow,$D78&lt;&gt;"",$E78&lt;&gt;"",_xlpm.Street&gt;0,$G78=""),
Error!$B$49,
IF(AND(_xlpm.baseRow,$D78&lt;&gt;"",$E78&lt;&gt;"",$H78&lt;&gt;"",$H78&lt;4,OR(ISNA(MATCH($C78,'Tree List'!$C$3:$C$601,0)),$C78=""),_xlpm.Green&gt;0,COUNTA(_xlpm.FRange)&gt;0),
Error!$B$51,
IF(AND(_xlpm.baseRow,$D78&lt;&gt;"",$E78&lt;&gt;"",$H78&lt;&gt;"",$H78&lt;4,_xlpm.DecBroad&gt;0,_xlpm.Green&gt;0,COUNTA(_xlpm.FRange)&gt;0),
Error!$B$51,
IF(AND(_xlpm.baseRow,$D78&lt;&gt;"",$E78&lt;&gt;"",$G78="",$H78="",OR(_xlpm.ReplaceReq&gt;0,_xlpm.Green&gt;0,_xlpm.Points&gt;0,_xlpm.Street&gt;0)),
Error!$B$38,
IF(AND(_xlpm.baseRow,$D78&lt;&gt;"",$E78&lt;&gt;"",$H78&lt;&gt;"",$H78&lt;4,_xlpm.Street=0,_xlpm.Coniferous&gt;0,COUNTA(_xlpm.FRange)&gt;0),
Error!$B$32,
IF(AND(_xlpm.baseRow,_xlpm.DecBroad&gt;0,$D78&lt;&gt;"",$E78&lt;&gt;"",$G78&lt;&gt;"",$G78&lt;1.5,_xlpm.Street=0,COUNTA(_xlpm.FRange)&gt;0),
Error!$B$42,
IF(AND(_xlpm.baseRow,$I78="",$H78="",_xlpm.ECA&gt;0,_xlpm.ReplaceReq=0),
Error!$B$33,
IF(AND(_xlpm.baseRow,OR($J78="",$J78&lt;=0),_xlpm.ReplaceReq&gt;0),
Error!$B$34,
IF(AND(_xlpm.baseRow,$K78&lt;&gt;"",_xlpm.Points&gt;0,ISNA(MATCH($K78,Tables!$B$242:$B$253,0))),
Error!$B$58,
IF(AND($K78="Small",$L78&lt;&gt;"",ISNA(MATCH($L78,Tables2!$C$35:$C$36,0))),
Error!$B$60,
IF(AND($K78="Small/Medium",$L78&lt;&gt;"",ISNA(MATCH($L78,Tables2!$C$38:$C$39,0))),
Error!$B$60,
IF(AND($K78="Medium/Large",$L78&lt;&gt;"",ISNA(MATCH($L78,Tables2!$C$41:$C$42,0))),
Error!$B$60,
IF(AND($K78="Large",$L78&lt;&gt;"",ISNA(MATCH($L78,Tables2!$C$44:$C$45,0))),
Error!$B$60,
IF(AND(_xlpm.baseRow,$B78&lt;&gt;"", $C78&lt;&gt;"", $D78&lt;&gt;"", $E78&lt;&gt;"", OR($M78="",$K78="",$L78=""),_xlpm.Points&gt;0),
Error!$B$35,
IF(AND(_xlpm.baseRow,$D78&lt;&gt;"",$E78&lt;&gt;"",$N78=""),
Error!$B$36,
""))))))))))))))))))))))))))))))))))))))))))),Error!$B$37))</f>
        <v/>
      </c>
      <c r="P78" s="355" t="str" cm="1">
        <f t="array" aca="1" ref="P78" ca="1">IFERROR(_xlfn.LET(
    _xlpm.txt, $C78,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79" spans="1:16" ht="15" thickBot="1" x14ac:dyDescent="0.35">
      <c r="A79" s="437">
        <v>18</v>
      </c>
      <c r="B79" s="447"/>
      <c r="C79" s="444"/>
      <c r="D79" s="296"/>
      <c r="E79" s="296"/>
      <c r="F79" s="304"/>
      <c r="G79" s="257"/>
      <c r="H79" s="181"/>
      <c r="I79" s="178"/>
      <c r="J79" s="457"/>
      <c r="K79" s="172" t="str">
        <f>IFERROR(
IF(
    AND(
        MOD(ROW()-11,4)=0,
        COUNTIF(INDEX(F:F, 11 + 4*INT((ROW()-11)/4)):INDEX(F:F, 14 + 4*INT((ROW()-11)/4)),"Zoning: Tree Points")&gt;0,
        COUNTIFS('Tree List'!$C$3:$C$601,$C79,'Tree List'!$H$3:$H$601,"sp.")=0
    ),
    VLOOKUP($C79,'Tree List'!$C$3:$F$601,4,FALSE),
    ""
),
"")</f>
        <v/>
      </c>
      <c r="L79" s="173" t="str" cm="1">
        <f t="array" ref="L79">IFERROR(
IF(
    AND(
        COUNTIF(INDEX(F:F, 11 + 4*INT((ROW()-11)/4)):INDEX(F:F, 14 + 4*INT((ROW()-11)/4)),"Zoning: Tree Points")&gt;0,
        COUNTIFS('Tree List'!$C$3:$C$601,$C79,'Tree List'!$H$3:$H$601,"sp.")&gt;0
    ),
    "",
    _xlfn.IFS(
        (COUNTIFS('Tree List'!$C$3:$C$601,$C79,'Tree List'!$D$3:$D$601,"Coniferous")
        + COUNTIFS('Tree List'!$C$3:$C$601,$C79,'Tree List'!$D$3:$D$601,"Deciduous Conifer")) &gt; 0,
            _xlfn.IFS($K79="Small",1.25,$K79="Small/Medium",2.5,$K79="Medium/Large",3.75,$K79="Large",5),
        (COUNTIFS('Tree List'!$C$3:$C$601,$C79,'Tree List'!$D$3:$D$601,"Deciduous")
        + COUNTIFS('Tree List'!$C$3:$C$601,$C79,'Tree List'!$D$3:$D$601,"Broadleaf Evergreen")) &gt; 0,
            _xlfn.IFS($K79="Small",1,$K79="Small/Medium",2,$K79="Medium/Large",3,$K79="Large",4)
    )
),
"")</f>
        <v/>
      </c>
      <c r="M79" s="470" t="str">
        <f t="shared" ref="M79" si="62">IFERROR($L79*$N79,"")</f>
        <v/>
      </c>
      <c r="N79" s="744"/>
      <c r="O79" s="737" t="str" cm="1">
        <f t="array" aca="1" ref="O79"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List'!$C$3:$C$601,$C79,'Tree List'!$D$3:$D$601,{"Deciduous","Broadleaf Evergreen"})),
_xlpm.Coniferous,SUM(COUNTIFS('Tree List'!$C$3:$C$601,$C79,'Tree List'!$D$3:$D$601,{"Coniferous","Deciduous Conifer"})),
IFERROR(
IF(AND(_xlpm.baseRow,ISNA(MATCH($C79,'Tree List'!$C$3:$C$601,0)),SUMPRODUCT(--ISNUMBER(SEARCH(Tables2!$C$677:$C$825,$P79)))&gt;0),
Error!$B$64,
IF(AND(_xlpm.baseRow,COUNTIF(_xlpm.FRange,"ECA / Shoreline")&gt;0,$D79&lt;&gt;"",$E79&lt;&gt;"",$N79=""),
Error!$B$55,
IF(AND(_xlpm.baseRow,$D79&lt;&gt;"",$E79&lt;&gt;"",COUNTBLANK($B79:$C79)&gt;0,COUNTBLANK($F79:$F82)&lt;&gt;4),
Error!$B$22,
IF(AND(_xlpm.baseRow,$D79="Right-of-Way", $E79=""),
Error!$B$67,
IF(AND(_xlpm.baseRow,$D79&lt;&gt;"",ISNA(MATCH($D79,Tables2!$B$66:$B$68,0))),
Error!$B$63,
IF(AND(_xlpm.baseRow,$D79="Off Site",$E79&lt;&gt;"",$E79&lt;&gt;"Yes"),
Error!$B$28,
IF(AND(_xlpm.baseRow,OR($D79="On Site",$D79="Right-of-Way"),$E79&lt;&gt;"",ISNA(MATCH($E79,MultiSelect2[TreeMitigation],0))),
Error!$B$28,
IF(AND(_xlpm.baseRow,$D79&lt;&gt;"",$E79&lt;&gt;"",COUNTIF(_xlpm.FRange,"&lt;&gt;")=0),
Error!$B$26,
IF(AND($E79="No",$F79&lt;&gt;"",ISNA(MATCH($F79,Tables2!$B$55:$B$57,0))),
Error!$B$27,
IF(AND($E79="Yes",$F79&lt;&gt;"",ISNA(MATCH($F79,Tables2!$B$48:$B$52,0))),
Error!$B$27,
IF(AND($D79="Off Site",$E79="Yes",$F79&lt;&gt;"",ISNA(MATCH($F79,Tables2!$B$60:$B$62,0))),
Error!$B$27,
IF(AND(_xlpm.baseRow,_xlpm.Street&gt;0,_xlpm.ECA&gt;0),
Error!$B$29,
IF(AND(_xlpm.baseRow,_xlpm.Street&gt;0,_xlpm.Points&gt;0),
Error!$B$30,
IF(AND(_xlpm.baseRow,_xlpm.Street&gt;0,_xlpm.ReplaceReq&gt;0),
Error!$B$31,
IF(AND(_xlpm.baseRow,$D79&lt;&gt;"",$E79&lt;&gt;"",$G79&lt;&gt;"",_xlpm.DecBroad&gt;0,OR(_xlpm.Points&gt;0,_xlpm.Green&gt;0,_xlpm.ReplaceReq&gt;0),_xlpm.Street=0,$G79&lt;1.5),
Error!$B$42,
IF(AND(_xlpm.baseRow,$D79&lt;&gt;"",$E79&lt;&gt;"",$H79&lt;&gt;"",$H79&lt;4,_xlpm.Street&gt;0,_xlpm.Green&gt;0,COUNTA(_xlpm.FRange)&gt;0),
Error!$B$32,
IF(AND(_xlpm.baseRow,$G79="",_xlpm.ECA&gt;0,_xlpm.DecBroad&gt;0,_xlpm.ReplaceReq&gt;0),
Error!$B$52,
IF(AND(_xlpm.baseRow,$E79&lt;&gt;"", $H79="",_xlpm.ECA&gt;0,_xlpm.Coniferous&gt;0,_xlpm.ReplaceReq&gt;0),
Error!$B$53,
IF(AND(_xlpm.baseRow,$G79="",$H79="",_xlpm.ECA&gt;0,_xlpm.ReplaceReq&gt;0),
Error!$B$39,
IF(AND(_xlpm.baseRow,$D79&lt;&gt;"",$E79&lt;&gt;"",$G79="",$H79="",_xlpm.Coniferous&gt;0,_xlpm.ReplaceReq&gt;0,_xlpm.ECA&gt;0),
Error!$B$50,
IF(AND(_xlpm.baseRow,$D79&lt;&gt;"",$E79&lt;&gt;"",$G79&lt;&gt;"",_xlpm.Street&gt;0,$G79&lt;2),
Error!$B$43,
IF(AND(_xlpm.baseRow,$D79&lt;&gt;"",$E79&lt;&gt;"",_xlpm.Green&gt;0,_xlpm.DecBroad&gt;0,$G79=""),
Error!$B$49,
IF(AND(_xlpm.baseRow,$D79&lt;&gt;"",$E79&lt;&gt;"",$H79&lt;&gt;"",$H79&lt;4,_xlpm.Green&gt;0,_xlpm.DecBroad&gt;0,$G79=""),
Error!$B$51,
IF(AND(_xlpm.baseRow,$D79&lt;&gt;"",$E79&lt;&gt;"",_xlpm.Green&gt;0,_xlpm.Coniferous&gt;0,$H79=""),
Error!$B$50,
IF(AND(_xlpm.baseRow,$D79&lt;&gt;"",$E79&lt;&gt;"",_xlpm.Points&gt;0,_xlpm.DecBroad&gt;0,$G79=""),
Error!$B$49,
IF(AND(_xlpm.baseRow,$D79&lt;&gt;"",$E79&lt;&gt;"",_xlpm.Points&gt;0,_xlpm.Coniferous&gt;0,$H79=""),
Error!$B$50,
IF(AND(_xlpm.baseRow,$D79&lt;&gt;"",$E79&lt;&gt;"",_xlpm.ReplaceReq&gt;0,_xlpm.DecBroad&gt;0,$G79=""),
Error!$B$49,
IF(AND(_xlpm.baseRow,$D79&lt;&gt;"",$E79&lt;&gt;"",_xlpm.ReplaceReq&gt;0,_xlpm.Coniferous&gt;0,$H79=""),
Error!$B$50,
IF(AND(_xlpm.baseRow,$D79&lt;&gt;"",$E79&lt;&gt;"",_xlpm.Street&gt;0,$G79=""),
Error!$B$49,
IF(AND(_xlpm.baseRow,$D79&lt;&gt;"",$E79&lt;&gt;"",$H79&lt;&gt;"",$H79&lt;4,OR(ISNA(MATCH($C79,'Tree List'!$C$3:$C$601,0)),$C79=""),_xlpm.Green&gt;0,COUNTA(_xlpm.FRange)&gt;0),
Error!$B$51,
IF(AND(_xlpm.baseRow,$D79&lt;&gt;"",$E79&lt;&gt;"",$H79&lt;&gt;"",$H79&lt;4,_xlpm.DecBroad&gt;0,_xlpm.Green&gt;0,COUNTA(_xlpm.FRange)&gt;0),
Error!$B$51,
IF(AND(_xlpm.baseRow,$D79&lt;&gt;"",$E79&lt;&gt;"",$G79="",$H79="",OR(_xlpm.ReplaceReq&gt;0,_xlpm.Green&gt;0,_xlpm.Points&gt;0,_xlpm.Street&gt;0)),
Error!$B$38,
IF(AND(_xlpm.baseRow,$D79&lt;&gt;"",$E79&lt;&gt;"",$H79&lt;&gt;"",$H79&lt;4,_xlpm.Street=0,_xlpm.Coniferous&gt;0,COUNTA(_xlpm.FRange)&gt;0),
Error!$B$32,
IF(AND(_xlpm.baseRow,_xlpm.DecBroad&gt;0,$D79&lt;&gt;"",$E79&lt;&gt;"",$G79&lt;&gt;"",$G79&lt;1.5,_xlpm.Street=0,COUNTA(_xlpm.FRange)&gt;0),
Error!$B$42,
IF(AND(_xlpm.baseRow,$I79="",$H79="",_xlpm.ECA&gt;0,_xlpm.ReplaceReq=0),
Error!$B$33,
IF(AND(_xlpm.baseRow,OR($J79="",$J79&lt;=0),_xlpm.ReplaceReq&gt;0),
Error!$B$34,
IF(AND(_xlpm.baseRow,$K79&lt;&gt;"",_xlpm.Points&gt;0,ISNA(MATCH($K79,Tables!$B$242:$B$253,0))),
Error!$B$58,
IF(AND($K79="Small",$L79&lt;&gt;"",ISNA(MATCH($L79,Tables2!$C$35:$C$36,0))),
Error!$B$60,
IF(AND($K79="Small/Medium",$L79&lt;&gt;"",ISNA(MATCH($L79,Tables2!$C$38:$C$39,0))),
Error!$B$60,
IF(AND($K79="Medium/Large",$L79&lt;&gt;"",ISNA(MATCH($L79,Tables2!$C$41:$C$42,0))),
Error!$B$60,
IF(AND($K79="Large",$L79&lt;&gt;"",ISNA(MATCH($L79,Tables2!$C$44:$C$45,0))),
Error!$B$60,
IF(AND(_xlpm.baseRow,$B79&lt;&gt;"", $C79&lt;&gt;"", $D79&lt;&gt;"", $E79&lt;&gt;"", OR($M79="",$K79="",$L79=""),_xlpm.Points&gt;0),
Error!$B$35,
IF(AND(_xlpm.baseRow,$D79&lt;&gt;"",$E79&lt;&gt;"",$N79=""),
Error!$B$36,
""))))))))))))))))))))))))))))))))))))))))))),Error!$B$37))</f>
        <v/>
      </c>
      <c r="P79" s="355" t="str" cm="1">
        <f t="array" aca="1" ref="P79" ca="1">IFERROR(_xlfn.LET(
    _xlpm.txt, $C79,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0" spans="1:16" x14ac:dyDescent="0.3">
      <c r="A80" s="297"/>
      <c r="B80" s="439" t="str">
        <f t="shared" ref="B80" si="63">IF($B79="", "", $B79)</f>
        <v/>
      </c>
      <c r="C80" s="309"/>
      <c r="D80" s="157" t="str">
        <f t="shared" ref="D80" si="64">IF($D79="", "", $D79)</f>
        <v/>
      </c>
      <c r="E80" s="157" t="str">
        <f t="shared" ref="E80" si="65">IF($E79="", "", $E79)</f>
        <v/>
      </c>
      <c r="F80" s="300"/>
      <c r="G80" s="159"/>
      <c r="H80" s="182"/>
      <c r="I80" s="179"/>
      <c r="J80" s="458"/>
      <c r="K80" s="174" t="str">
        <f>IFERROR(
IF(
    AND(
        MOD(ROW()-11,4)=0,
        COUNTIF(INDEX(F:F, 11 + 4*INT((ROW()-11)/4)):INDEX(F:F, 14 + 4*INT((ROW()-11)/4)),"Zoning: Tree Points")&gt;0,
        COUNTIFS('Tree List'!$C$3:$C$601,$C80,'Tree List'!$H$3:$H$601,"sp.")=0
    ),
    VLOOKUP($C80,'Tree List'!$C$3:$F$601,4,FALSE),
    ""
),
"")</f>
        <v/>
      </c>
      <c r="L80" s="175" t="str" cm="1">
        <f t="array" ref="L80">IFERROR(
IF(
    AND(
        COUNTIF(INDEX(F:F, 11 + 4*INT((ROW()-11)/4)):INDEX(F:F, 14 + 4*INT((ROW()-11)/4)),"Zoning: Tree Points")&gt;0,
        COUNTIFS('Tree List'!$C$3:$C$601,$C80,'Tree List'!$H$3:$H$601,"sp.")&gt;0
    ),
    "",
    _xlfn.IFS(
        (COUNTIFS('Tree List'!$C$3:$C$601,$C80,'Tree List'!$D$3:$D$601,"Coniferous")
        + COUNTIFS('Tree List'!$C$3:$C$601,$C80,'Tree List'!$D$3:$D$601,"Deciduous Conifer")) &gt; 0,
            _xlfn.IFS($K80="Small",1.25,$K80="Small/Medium",2.5,$K80="Medium/Large",3.75,$K80="Large",5),
        (COUNTIFS('Tree List'!$C$3:$C$601,$C80,'Tree List'!$D$3:$D$601,"Deciduous")
        + COUNTIFS('Tree List'!$C$3:$C$601,$C80,'Tree List'!$D$3:$D$601,"Broadleaf Evergreen")) &gt; 0,
            _xlfn.IFS($K80="Small",1,$K80="Small/Medium",2,$K80="Medium/Large",3,$K80="Large",4)
    )
),
"")</f>
        <v/>
      </c>
      <c r="M80" s="471" t="str">
        <f t="shared" ref="M80:M82" si="66">IFERROR($L80*$N80,"")</f>
        <v/>
      </c>
      <c r="N80" s="434"/>
      <c r="O80" s="340" t="str" cm="1">
        <f t="array" aca="1" ref="O80"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List'!$C$3:$C$601,$C80,'Tree List'!$D$3:$D$601,{"Deciduous","Broadleaf Evergreen"})),
_xlpm.Coniferous,SUM(COUNTIFS('Tree List'!$C$3:$C$601,$C80,'Tree List'!$D$3:$D$601,{"Coniferous","Deciduous Conifer"})),
IFERROR(
IF(AND(_xlpm.baseRow,ISNA(MATCH($C80,'Tree List'!$C$3:$C$601,0)),SUMPRODUCT(--ISNUMBER(SEARCH(Tables2!$C$677:$C$825,$P80)))&gt;0),
Error!$B$64,
IF(AND(_xlpm.baseRow,COUNTIF(_xlpm.FRange,"ECA / Shoreline")&gt;0,$D80&lt;&gt;"",$E80&lt;&gt;"",$N80=""),
Error!$B$55,
IF(AND(_xlpm.baseRow,$D80&lt;&gt;"",$E80&lt;&gt;"",COUNTBLANK($B80:$C80)&gt;0,COUNTBLANK($F80:$F83)&lt;&gt;4),
Error!$B$22,
IF(AND(_xlpm.baseRow,$D80="Right-of-Way", $E80=""),
Error!$B$67,
IF(AND(_xlpm.baseRow,$D80&lt;&gt;"",ISNA(MATCH($D80,Tables2!$B$66:$B$68,0))),
Error!$B$63,
IF(AND(_xlpm.baseRow,$D80="Off Site",$E80&lt;&gt;"",$E80&lt;&gt;"Yes"),
Error!$B$28,
IF(AND(_xlpm.baseRow,OR($D80="On Site",$D80="Right-of-Way"),$E80&lt;&gt;"",ISNA(MATCH($E80,MultiSelect2[TreeMitigation],0))),
Error!$B$28,
IF(AND(_xlpm.baseRow,$D80&lt;&gt;"",$E80&lt;&gt;"",COUNTIF(_xlpm.FRange,"&lt;&gt;")=0),
Error!$B$26,
IF(AND($E80="No",$F80&lt;&gt;"",ISNA(MATCH($F80,Tables2!$B$55:$B$57,0))),
Error!$B$27,
IF(AND($E80="Yes",$F80&lt;&gt;"",ISNA(MATCH($F80,Tables2!$B$48:$B$52,0))),
Error!$B$27,
IF(AND($D80="Off Site",$E80="Yes",$F80&lt;&gt;"",ISNA(MATCH($F80,Tables2!$B$60:$B$62,0))),
Error!$B$27,
IF(AND(_xlpm.baseRow,_xlpm.Street&gt;0,_xlpm.ECA&gt;0),
Error!$B$29,
IF(AND(_xlpm.baseRow,_xlpm.Street&gt;0,_xlpm.Points&gt;0),
Error!$B$30,
IF(AND(_xlpm.baseRow,_xlpm.Street&gt;0,_xlpm.ReplaceReq&gt;0),
Error!$B$31,
IF(AND(_xlpm.baseRow,$D80&lt;&gt;"",$E80&lt;&gt;"",$G80&lt;&gt;"",_xlpm.DecBroad&gt;0,OR(_xlpm.Points&gt;0,_xlpm.Green&gt;0,_xlpm.ReplaceReq&gt;0),_xlpm.Street=0,$G80&lt;1.5),
Error!$B$42,
IF(AND(_xlpm.baseRow,$D80&lt;&gt;"",$E80&lt;&gt;"",$H80&lt;&gt;"",$H80&lt;4,_xlpm.Street&gt;0,_xlpm.Green&gt;0,COUNTA(_xlpm.FRange)&gt;0),
Error!$B$32,
IF(AND(_xlpm.baseRow,$G80="",_xlpm.ECA&gt;0,_xlpm.DecBroad&gt;0,_xlpm.ReplaceReq&gt;0),
Error!$B$52,
IF(AND(_xlpm.baseRow,$E80&lt;&gt;"", $H80="",_xlpm.ECA&gt;0,_xlpm.Coniferous&gt;0,_xlpm.ReplaceReq&gt;0),
Error!$B$53,
IF(AND(_xlpm.baseRow,$G80="",$H80="",_xlpm.ECA&gt;0,_xlpm.ReplaceReq&gt;0),
Error!$B$39,
IF(AND(_xlpm.baseRow,$D80&lt;&gt;"",$E80&lt;&gt;"",$G80="",$H80="",_xlpm.Coniferous&gt;0,_xlpm.ReplaceReq&gt;0,_xlpm.ECA&gt;0),
Error!$B$50,
IF(AND(_xlpm.baseRow,$D80&lt;&gt;"",$E80&lt;&gt;"",$G80&lt;&gt;"",_xlpm.Street&gt;0,$G80&lt;2),
Error!$B$43,
IF(AND(_xlpm.baseRow,$D80&lt;&gt;"",$E80&lt;&gt;"",_xlpm.Green&gt;0,_xlpm.DecBroad&gt;0,$G80=""),
Error!$B$49,
IF(AND(_xlpm.baseRow,$D80&lt;&gt;"",$E80&lt;&gt;"",$H80&lt;&gt;"",$H80&lt;4,_xlpm.Green&gt;0,_xlpm.DecBroad&gt;0,$G80=""),
Error!$B$51,
IF(AND(_xlpm.baseRow,$D80&lt;&gt;"",$E80&lt;&gt;"",_xlpm.Green&gt;0,_xlpm.Coniferous&gt;0,$H80=""),
Error!$B$50,
IF(AND(_xlpm.baseRow,$D80&lt;&gt;"",$E80&lt;&gt;"",_xlpm.Points&gt;0,_xlpm.DecBroad&gt;0,$G80=""),
Error!$B$49,
IF(AND(_xlpm.baseRow,$D80&lt;&gt;"",$E80&lt;&gt;"",_xlpm.Points&gt;0,_xlpm.Coniferous&gt;0,$H80=""),
Error!$B$50,
IF(AND(_xlpm.baseRow,$D80&lt;&gt;"",$E80&lt;&gt;"",_xlpm.ReplaceReq&gt;0,_xlpm.DecBroad&gt;0,$G80=""),
Error!$B$49,
IF(AND(_xlpm.baseRow,$D80&lt;&gt;"",$E80&lt;&gt;"",_xlpm.ReplaceReq&gt;0,_xlpm.Coniferous&gt;0,$H80=""),
Error!$B$50,
IF(AND(_xlpm.baseRow,$D80&lt;&gt;"",$E80&lt;&gt;"",_xlpm.Street&gt;0,$G80=""),
Error!$B$49,
IF(AND(_xlpm.baseRow,$D80&lt;&gt;"",$E80&lt;&gt;"",$H80&lt;&gt;"",$H80&lt;4,OR(ISNA(MATCH($C80,'Tree List'!$C$3:$C$601,0)),$C80=""),_xlpm.Green&gt;0,COUNTA(_xlpm.FRange)&gt;0),
Error!$B$51,
IF(AND(_xlpm.baseRow,$D80&lt;&gt;"",$E80&lt;&gt;"",$H80&lt;&gt;"",$H80&lt;4,_xlpm.DecBroad&gt;0,_xlpm.Green&gt;0,COUNTA(_xlpm.FRange)&gt;0),
Error!$B$51,
IF(AND(_xlpm.baseRow,$D80&lt;&gt;"",$E80&lt;&gt;"",$G80="",$H80="",OR(_xlpm.ReplaceReq&gt;0,_xlpm.Green&gt;0,_xlpm.Points&gt;0,_xlpm.Street&gt;0)),
Error!$B$38,
IF(AND(_xlpm.baseRow,$D80&lt;&gt;"",$E80&lt;&gt;"",$H80&lt;&gt;"",$H80&lt;4,_xlpm.Street=0,_xlpm.Coniferous&gt;0,COUNTA(_xlpm.FRange)&gt;0),
Error!$B$32,
IF(AND(_xlpm.baseRow,_xlpm.DecBroad&gt;0,$D80&lt;&gt;"",$E80&lt;&gt;"",$G80&lt;&gt;"",$G80&lt;1.5,_xlpm.Street=0,COUNTA(_xlpm.FRange)&gt;0),
Error!$B$42,
IF(AND(_xlpm.baseRow,$I80="",$H80="",_xlpm.ECA&gt;0,_xlpm.ReplaceReq=0),
Error!$B$33,
IF(AND(_xlpm.baseRow,OR($J80="",$J80&lt;=0),_xlpm.ReplaceReq&gt;0),
Error!$B$34,
IF(AND(_xlpm.baseRow,$K80&lt;&gt;"",_xlpm.Points&gt;0,ISNA(MATCH($K80,Tables!$B$242:$B$253,0))),
Error!$B$58,
IF(AND($K80="Small",$L80&lt;&gt;"",ISNA(MATCH($L80,Tables2!$C$35:$C$36,0))),
Error!$B$60,
IF(AND($K80="Small/Medium",$L80&lt;&gt;"",ISNA(MATCH($L80,Tables2!$C$38:$C$39,0))),
Error!$B$60,
IF(AND($K80="Medium/Large",$L80&lt;&gt;"",ISNA(MATCH($L80,Tables2!$C$41:$C$42,0))),
Error!$B$60,
IF(AND($K80="Large",$L80&lt;&gt;"",ISNA(MATCH($L80,Tables2!$C$44:$C$45,0))),
Error!$B$60,
IF(AND(_xlpm.baseRow,$B80&lt;&gt;"", $C80&lt;&gt;"", $D80&lt;&gt;"", $E80&lt;&gt;"", OR($M80="",$K80="",$L80=""),_xlpm.Points&gt;0),
Error!$B$35,
IF(AND(_xlpm.baseRow,$D80&lt;&gt;"",$E80&lt;&gt;"",$N80=""),
Error!$B$36,
""))))))))))))))))))))))))))))))))))))))))))),Error!$B$37))</f>
        <v/>
      </c>
      <c r="P80" s="355" t="str" cm="1">
        <f t="array" aca="1" ref="P80" ca="1">IFERROR(_xlfn.LET(
    _xlpm.txt, $C80,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1" spans="1:16" x14ac:dyDescent="0.3">
      <c r="A81" s="297"/>
      <c r="B81" s="439" t="str">
        <f t="shared" ref="B81" si="67">IF($B79="", "", $B79)</f>
        <v/>
      </c>
      <c r="C81" s="438"/>
      <c r="D81" s="439" t="str">
        <f t="shared" ref="D81" si="68">IF($D79="", "", $D79)</f>
        <v/>
      </c>
      <c r="E81" s="439" t="str">
        <f t="shared" ref="E81" si="69">IF($E79="", "", $E79)</f>
        <v/>
      </c>
      <c r="F81" s="300"/>
      <c r="G81" s="160"/>
      <c r="H81" s="440"/>
      <c r="I81" s="441"/>
      <c r="J81" s="459"/>
      <c r="K81" s="442" t="str">
        <f>IFERROR(
IF(
    AND(
        MOD(ROW()-11,4)=0,
        COUNTIF(INDEX(F:F, 11 + 4*INT((ROW()-11)/4)):INDEX(F:F, 14 + 4*INT((ROW()-11)/4)),"Zoning: Tree Points")&gt;0,
        COUNTIFS('Tree List'!$C$3:$C$601,$C81,'Tree List'!$H$3:$H$601,"sp.")=0
    ),
    VLOOKUP($C81,'Tree List'!$C$3:$F$601,4,FALSE),
    ""
),
"")</f>
        <v/>
      </c>
      <c r="L81" s="443" t="str" cm="1">
        <f t="array" ref="L81">IFERROR(
IF(
    AND(
        COUNTIF(INDEX(F:F, 11 + 4*INT((ROW()-11)/4)):INDEX(F:F, 14 + 4*INT((ROW()-11)/4)),"Zoning: Tree Points")&gt;0,
        COUNTIFS('Tree List'!$C$3:$C$601,$C81,'Tree List'!$H$3:$H$601,"sp.")&gt;0
    ),
    "",
    _xlfn.IFS(
        (COUNTIFS('Tree List'!$C$3:$C$601,$C81,'Tree List'!$D$3:$D$601,"Coniferous")
        + COUNTIFS('Tree List'!$C$3:$C$601,$C81,'Tree List'!$D$3:$D$601,"Deciduous Conifer")) &gt; 0,
            _xlfn.IFS($K81="Small",1.25,$K81="Small/Medium",2.5,$K81="Medium/Large",3.75,$K81="Large",5),
        (COUNTIFS('Tree List'!$C$3:$C$601,$C81,'Tree List'!$D$3:$D$601,"Deciduous")
        + COUNTIFS('Tree List'!$C$3:$C$601,$C81,'Tree List'!$D$3:$D$601,"Broadleaf Evergreen")) &gt; 0,
            _xlfn.IFS($K81="Small",1,$K81="Small/Medium",2,$K81="Medium/Large",3,$K81="Large",4)
    )
),
"")</f>
        <v/>
      </c>
      <c r="M81" s="472" t="str">
        <f t="shared" si="66"/>
        <v/>
      </c>
      <c r="N81" s="434"/>
      <c r="O81" s="340" t="str" cm="1">
        <f t="array" aca="1" ref="O81"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List'!$C$3:$C$601,$C81,'Tree List'!$D$3:$D$601,{"Deciduous","Broadleaf Evergreen"})),
_xlpm.Coniferous,SUM(COUNTIFS('Tree List'!$C$3:$C$601,$C81,'Tree List'!$D$3:$D$601,{"Coniferous","Deciduous Conifer"})),
IFERROR(
IF(AND(_xlpm.baseRow,ISNA(MATCH($C81,'Tree List'!$C$3:$C$601,0)),SUMPRODUCT(--ISNUMBER(SEARCH(Tables2!$C$677:$C$825,$P81)))&gt;0),
Error!$B$64,
IF(AND(_xlpm.baseRow,COUNTIF(_xlpm.FRange,"ECA / Shoreline")&gt;0,$D81&lt;&gt;"",$E81&lt;&gt;"",$N81=""),
Error!$B$55,
IF(AND(_xlpm.baseRow,$D81&lt;&gt;"",$E81&lt;&gt;"",COUNTBLANK($B81:$C81)&gt;0,COUNTBLANK($F81:$F84)&lt;&gt;4),
Error!$B$22,
IF(AND(_xlpm.baseRow,$D81="Right-of-Way", $E81=""),
Error!$B$67,
IF(AND(_xlpm.baseRow,$D81&lt;&gt;"",ISNA(MATCH($D81,Tables2!$B$66:$B$68,0))),
Error!$B$63,
IF(AND(_xlpm.baseRow,$D81="Off Site",$E81&lt;&gt;"",$E81&lt;&gt;"Yes"),
Error!$B$28,
IF(AND(_xlpm.baseRow,OR($D81="On Site",$D81="Right-of-Way"),$E81&lt;&gt;"",ISNA(MATCH($E81,MultiSelect2[TreeMitigation],0))),
Error!$B$28,
IF(AND(_xlpm.baseRow,$D81&lt;&gt;"",$E81&lt;&gt;"",COUNTIF(_xlpm.FRange,"&lt;&gt;")=0),
Error!$B$26,
IF(AND($E81="No",$F81&lt;&gt;"",ISNA(MATCH($F81,Tables2!$B$55:$B$57,0))),
Error!$B$27,
IF(AND($E81="Yes",$F81&lt;&gt;"",ISNA(MATCH($F81,Tables2!$B$48:$B$52,0))),
Error!$B$27,
IF(AND($D81="Off Site",$E81="Yes",$F81&lt;&gt;"",ISNA(MATCH($F81,Tables2!$B$60:$B$62,0))),
Error!$B$27,
IF(AND(_xlpm.baseRow,_xlpm.Street&gt;0,_xlpm.ECA&gt;0),
Error!$B$29,
IF(AND(_xlpm.baseRow,_xlpm.Street&gt;0,_xlpm.Points&gt;0),
Error!$B$30,
IF(AND(_xlpm.baseRow,_xlpm.Street&gt;0,_xlpm.ReplaceReq&gt;0),
Error!$B$31,
IF(AND(_xlpm.baseRow,$D81&lt;&gt;"",$E81&lt;&gt;"",$G81&lt;&gt;"",_xlpm.DecBroad&gt;0,OR(_xlpm.Points&gt;0,_xlpm.Green&gt;0,_xlpm.ReplaceReq&gt;0),_xlpm.Street=0,$G81&lt;1.5),
Error!$B$42,
IF(AND(_xlpm.baseRow,$D81&lt;&gt;"",$E81&lt;&gt;"",$H81&lt;&gt;"",$H81&lt;4,_xlpm.Street&gt;0,_xlpm.Green&gt;0,COUNTA(_xlpm.FRange)&gt;0),
Error!$B$32,
IF(AND(_xlpm.baseRow,$G81="",_xlpm.ECA&gt;0,_xlpm.DecBroad&gt;0,_xlpm.ReplaceReq&gt;0),
Error!$B$52,
IF(AND(_xlpm.baseRow,$E81&lt;&gt;"", $H81="",_xlpm.ECA&gt;0,_xlpm.Coniferous&gt;0,_xlpm.ReplaceReq&gt;0),
Error!$B$53,
IF(AND(_xlpm.baseRow,$G81="",$H81="",_xlpm.ECA&gt;0,_xlpm.ReplaceReq&gt;0),
Error!$B$39,
IF(AND(_xlpm.baseRow,$D81&lt;&gt;"",$E81&lt;&gt;"",$G81="",$H81="",_xlpm.Coniferous&gt;0,_xlpm.ReplaceReq&gt;0,_xlpm.ECA&gt;0),
Error!$B$50,
IF(AND(_xlpm.baseRow,$D81&lt;&gt;"",$E81&lt;&gt;"",$G81&lt;&gt;"",_xlpm.Street&gt;0,$G81&lt;2),
Error!$B$43,
IF(AND(_xlpm.baseRow,$D81&lt;&gt;"",$E81&lt;&gt;"",_xlpm.Green&gt;0,_xlpm.DecBroad&gt;0,$G81=""),
Error!$B$49,
IF(AND(_xlpm.baseRow,$D81&lt;&gt;"",$E81&lt;&gt;"",$H81&lt;&gt;"",$H81&lt;4,_xlpm.Green&gt;0,_xlpm.DecBroad&gt;0,$G81=""),
Error!$B$51,
IF(AND(_xlpm.baseRow,$D81&lt;&gt;"",$E81&lt;&gt;"",_xlpm.Green&gt;0,_xlpm.Coniferous&gt;0,$H81=""),
Error!$B$50,
IF(AND(_xlpm.baseRow,$D81&lt;&gt;"",$E81&lt;&gt;"",_xlpm.Points&gt;0,_xlpm.DecBroad&gt;0,$G81=""),
Error!$B$49,
IF(AND(_xlpm.baseRow,$D81&lt;&gt;"",$E81&lt;&gt;"",_xlpm.Points&gt;0,_xlpm.Coniferous&gt;0,$H81=""),
Error!$B$50,
IF(AND(_xlpm.baseRow,$D81&lt;&gt;"",$E81&lt;&gt;"",_xlpm.ReplaceReq&gt;0,_xlpm.DecBroad&gt;0,$G81=""),
Error!$B$49,
IF(AND(_xlpm.baseRow,$D81&lt;&gt;"",$E81&lt;&gt;"",_xlpm.ReplaceReq&gt;0,_xlpm.Coniferous&gt;0,$H81=""),
Error!$B$50,
IF(AND(_xlpm.baseRow,$D81&lt;&gt;"",$E81&lt;&gt;"",_xlpm.Street&gt;0,$G81=""),
Error!$B$49,
IF(AND(_xlpm.baseRow,$D81&lt;&gt;"",$E81&lt;&gt;"",$H81&lt;&gt;"",$H81&lt;4,OR(ISNA(MATCH($C81,'Tree List'!$C$3:$C$601,0)),$C81=""),_xlpm.Green&gt;0,COUNTA(_xlpm.FRange)&gt;0),
Error!$B$51,
IF(AND(_xlpm.baseRow,$D81&lt;&gt;"",$E81&lt;&gt;"",$H81&lt;&gt;"",$H81&lt;4,_xlpm.DecBroad&gt;0,_xlpm.Green&gt;0,COUNTA(_xlpm.FRange)&gt;0),
Error!$B$51,
IF(AND(_xlpm.baseRow,$D81&lt;&gt;"",$E81&lt;&gt;"",$G81="",$H81="",OR(_xlpm.ReplaceReq&gt;0,_xlpm.Green&gt;0,_xlpm.Points&gt;0,_xlpm.Street&gt;0)),
Error!$B$38,
IF(AND(_xlpm.baseRow,$D81&lt;&gt;"",$E81&lt;&gt;"",$H81&lt;&gt;"",$H81&lt;4,_xlpm.Street=0,_xlpm.Coniferous&gt;0,COUNTA(_xlpm.FRange)&gt;0),
Error!$B$32,
IF(AND(_xlpm.baseRow,_xlpm.DecBroad&gt;0,$D81&lt;&gt;"",$E81&lt;&gt;"",$G81&lt;&gt;"",$G81&lt;1.5,_xlpm.Street=0,COUNTA(_xlpm.FRange)&gt;0),
Error!$B$42,
IF(AND(_xlpm.baseRow,$I81="",$H81="",_xlpm.ECA&gt;0,_xlpm.ReplaceReq=0),
Error!$B$33,
IF(AND(_xlpm.baseRow,OR($J81="",$J81&lt;=0),_xlpm.ReplaceReq&gt;0),
Error!$B$34,
IF(AND(_xlpm.baseRow,$K81&lt;&gt;"",_xlpm.Points&gt;0,ISNA(MATCH($K81,Tables!$B$242:$B$253,0))),
Error!$B$58,
IF(AND($K81="Small",$L81&lt;&gt;"",ISNA(MATCH($L81,Tables2!$C$35:$C$36,0))),
Error!$B$60,
IF(AND($K81="Small/Medium",$L81&lt;&gt;"",ISNA(MATCH($L81,Tables2!$C$38:$C$39,0))),
Error!$B$60,
IF(AND($K81="Medium/Large",$L81&lt;&gt;"",ISNA(MATCH($L81,Tables2!$C$41:$C$42,0))),
Error!$B$60,
IF(AND($K81="Large",$L81&lt;&gt;"",ISNA(MATCH($L81,Tables2!$C$44:$C$45,0))),
Error!$B$60,
IF(AND(_xlpm.baseRow,$B81&lt;&gt;"", $C81&lt;&gt;"", $D81&lt;&gt;"", $E81&lt;&gt;"", OR($M81="",$K81="",$L81=""),_xlpm.Points&gt;0),
Error!$B$35,
IF(AND(_xlpm.baseRow,$D81&lt;&gt;"",$E81&lt;&gt;"",$N81=""),
Error!$B$36,
""))))))))))))))))))))))))))))))))))))))))))),Error!$B$37))</f>
        <v/>
      </c>
      <c r="P81" s="355" t="str" cm="1">
        <f t="array" aca="1" ref="P81" ca="1">IFERROR(_xlfn.LET(
    _xlpm.txt, $C81,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2" spans="1:16" ht="15" thickBot="1" x14ac:dyDescent="0.35">
      <c r="A82" s="298"/>
      <c r="B82" s="439" t="str">
        <f t="shared" ref="B82" si="70">IF($B79="", "", $B79)</f>
        <v/>
      </c>
      <c r="C82" s="310"/>
      <c r="D82" s="154" t="str">
        <f t="shared" ref="D82" si="71">IF($D79="", "", $D79)</f>
        <v/>
      </c>
      <c r="E82" s="154" t="str">
        <f t="shared" ref="E82" si="72">IF($E79="", "", $E79)</f>
        <v/>
      </c>
      <c r="F82" s="302"/>
      <c r="G82" s="161"/>
      <c r="H82" s="183"/>
      <c r="I82" s="180"/>
      <c r="J82" s="460"/>
      <c r="K82" s="176" t="str">
        <f>IFERROR(
IF(
    AND(
        MOD(ROW()-11,4)=0,
        COUNTIF(INDEX(F:F, 11 + 4*INT((ROW()-11)/4)):INDEX(F:F, 14 + 4*INT((ROW()-11)/4)),"Zoning: Tree Points")&gt;0,
        COUNTIFS('Tree List'!$C$3:$C$601,$C82,'Tree List'!$H$3:$H$601,"sp.")=0
    ),
    VLOOKUP($C82,'Tree List'!$C$3:$F$601,4,FALSE),
    ""
),
"")</f>
        <v/>
      </c>
      <c r="L82" s="177" t="str" cm="1">
        <f t="array" ref="L82">IFERROR(
IF(
    AND(
        COUNTIF(INDEX(F:F, 11 + 4*INT((ROW()-11)/4)):INDEX(F:F, 14 + 4*INT((ROW()-11)/4)),"Zoning: Tree Points")&gt;0,
        COUNTIFS('Tree List'!$C$3:$C$601,$C82,'Tree List'!$H$3:$H$601,"sp.")&gt;0
    ),
    "",
    _xlfn.IFS(
        (COUNTIFS('Tree List'!$C$3:$C$601,$C82,'Tree List'!$D$3:$D$601,"Coniferous")
        + COUNTIFS('Tree List'!$C$3:$C$601,$C82,'Tree List'!$D$3:$D$601,"Deciduous Conifer")) &gt; 0,
            _xlfn.IFS($K82="Small",1.25,$K82="Small/Medium",2.5,$K82="Medium/Large",3.75,$K82="Large",5),
        (COUNTIFS('Tree List'!$C$3:$C$601,$C82,'Tree List'!$D$3:$D$601,"Deciduous")
        + COUNTIFS('Tree List'!$C$3:$C$601,$C82,'Tree List'!$D$3:$D$601,"Broadleaf Evergreen")) &gt; 0,
            _xlfn.IFS($K82="Small",1,$K82="Small/Medium",2,$K82="Medium/Large",3,$K82="Large",4)
    )
),
"")</f>
        <v/>
      </c>
      <c r="M82" s="473" t="str">
        <f t="shared" si="66"/>
        <v/>
      </c>
      <c r="N82" s="435"/>
      <c r="O82" s="341" t="str" cm="1">
        <f t="array" aca="1" ref="O82"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List'!$C$3:$C$601,$C82,'Tree List'!$D$3:$D$601,{"Deciduous","Broadleaf Evergreen"})),
_xlpm.Coniferous,SUM(COUNTIFS('Tree List'!$C$3:$C$601,$C82,'Tree List'!$D$3:$D$601,{"Coniferous","Deciduous Conifer"})),
IFERROR(
IF(AND(_xlpm.baseRow,ISNA(MATCH($C82,'Tree List'!$C$3:$C$601,0)),SUMPRODUCT(--ISNUMBER(SEARCH(Tables2!$C$677:$C$825,$P82)))&gt;0),
Error!$B$64,
IF(AND(_xlpm.baseRow,COUNTIF(_xlpm.FRange,"ECA / Shoreline")&gt;0,$D82&lt;&gt;"",$E82&lt;&gt;"",$N82=""),
Error!$B$55,
IF(AND(_xlpm.baseRow,$D82&lt;&gt;"",$E82&lt;&gt;"",COUNTBLANK($B82:$C82)&gt;0,COUNTBLANK($F82:$F85)&lt;&gt;4),
Error!$B$22,
IF(AND(_xlpm.baseRow,$D82="Right-of-Way", $E82=""),
Error!$B$67,
IF(AND(_xlpm.baseRow,$D82&lt;&gt;"",ISNA(MATCH($D82,Tables2!$B$66:$B$68,0))),
Error!$B$63,
IF(AND(_xlpm.baseRow,$D82="Off Site",$E82&lt;&gt;"",$E82&lt;&gt;"Yes"),
Error!$B$28,
IF(AND(_xlpm.baseRow,OR($D82="On Site",$D82="Right-of-Way"),$E82&lt;&gt;"",ISNA(MATCH($E82,MultiSelect2[TreeMitigation],0))),
Error!$B$28,
IF(AND(_xlpm.baseRow,$D82&lt;&gt;"",$E82&lt;&gt;"",COUNTIF(_xlpm.FRange,"&lt;&gt;")=0),
Error!$B$26,
IF(AND($E82="No",$F82&lt;&gt;"",ISNA(MATCH($F82,Tables2!$B$55:$B$57,0))),
Error!$B$27,
IF(AND($E82="Yes",$F82&lt;&gt;"",ISNA(MATCH($F82,Tables2!$B$48:$B$52,0))),
Error!$B$27,
IF(AND($D82="Off Site",$E82="Yes",$F82&lt;&gt;"",ISNA(MATCH($F82,Tables2!$B$60:$B$62,0))),
Error!$B$27,
IF(AND(_xlpm.baseRow,_xlpm.Street&gt;0,_xlpm.ECA&gt;0),
Error!$B$29,
IF(AND(_xlpm.baseRow,_xlpm.Street&gt;0,_xlpm.Points&gt;0),
Error!$B$30,
IF(AND(_xlpm.baseRow,_xlpm.Street&gt;0,_xlpm.ReplaceReq&gt;0),
Error!$B$31,
IF(AND(_xlpm.baseRow,$D82&lt;&gt;"",$E82&lt;&gt;"",$G82&lt;&gt;"",_xlpm.DecBroad&gt;0,OR(_xlpm.Points&gt;0,_xlpm.Green&gt;0,_xlpm.ReplaceReq&gt;0),_xlpm.Street=0,$G82&lt;1.5),
Error!$B$42,
IF(AND(_xlpm.baseRow,$D82&lt;&gt;"",$E82&lt;&gt;"",$H82&lt;&gt;"",$H82&lt;4,_xlpm.Street&gt;0,_xlpm.Green&gt;0,COUNTA(_xlpm.FRange)&gt;0),
Error!$B$32,
IF(AND(_xlpm.baseRow,$G82="",_xlpm.ECA&gt;0,_xlpm.DecBroad&gt;0,_xlpm.ReplaceReq&gt;0),
Error!$B$52,
IF(AND(_xlpm.baseRow,$E82&lt;&gt;"", $H82="",_xlpm.ECA&gt;0,_xlpm.Coniferous&gt;0,_xlpm.ReplaceReq&gt;0),
Error!$B$53,
IF(AND(_xlpm.baseRow,$G82="",$H82="",_xlpm.ECA&gt;0,_xlpm.ReplaceReq&gt;0),
Error!$B$39,
IF(AND(_xlpm.baseRow,$D82&lt;&gt;"",$E82&lt;&gt;"",$G82="",$H82="",_xlpm.Coniferous&gt;0,_xlpm.ReplaceReq&gt;0,_xlpm.ECA&gt;0),
Error!$B$50,
IF(AND(_xlpm.baseRow,$D82&lt;&gt;"",$E82&lt;&gt;"",$G82&lt;&gt;"",_xlpm.Street&gt;0,$G82&lt;2),
Error!$B$43,
IF(AND(_xlpm.baseRow,$D82&lt;&gt;"",$E82&lt;&gt;"",_xlpm.Green&gt;0,_xlpm.DecBroad&gt;0,$G82=""),
Error!$B$49,
IF(AND(_xlpm.baseRow,$D82&lt;&gt;"",$E82&lt;&gt;"",$H82&lt;&gt;"",$H82&lt;4,_xlpm.Green&gt;0,_xlpm.DecBroad&gt;0,$G82=""),
Error!$B$51,
IF(AND(_xlpm.baseRow,$D82&lt;&gt;"",$E82&lt;&gt;"",_xlpm.Green&gt;0,_xlpm.Coniferous&gt;0,$H82=""),
Error!$B$50,
IF(AND(_xlpm.baseRow,$D82&lt;&gt;"",$E82&lt;&gt;"",_xlpm.Points&gt;0,_xlpm.DecBroad&gt;0,$G82=""),
Error!$B$49,
IF(AND(_xlpm.baseRow,$D82&lt;&gt;"",$E82&lt;&gt;"",_xlpm.Points&gt;0,_xlpm.Coniferous&gt;0,$H82=""),
Error!$B$50,
IF(AND(_xlpm.baseRow,$D82&lt;&gt;"",$E82&lt;&gt;"",_xlpm.ReplaceReq&gt;0,_xlpm.DecBroad&gt;0,$G82=""),
Error!$B$49,
IF(AND(_xlpm.baseRow,$D82&lt;&gt;"",$E82&lt;&gt;"",_xlpm.ReplaceReq&gt;0,_xlpm.Coniferous&gt;0,$H82=""),
Error!$B$50,
IF(AND(_xlpm.baseRow,$D82&lt;&gt;"",$E82&lt;&gt;"",_xlpm.Street&gt;0,$G82=""),
Error!$B$49,
IF(AND(_xlpm.baseRow,$D82&lt;&gt;"",$E82&lt;&gt;"",$H82&lt;&gt;"",$H82&lt;4,OR(ISNA(MATCH($C82,'Tree List'!$C$3:$C$601,0)),$C82=""),_xlpm.Green&gt;0,COUNTA(_xlpm.FRange)&gt;0),
Error!$B$51,
IF(AND(_xlpm.baseRow,$D82&lt;&gt;"",$E82&lt;&gt;"",$H82&lt;&gt;"",$H82&lt;4,_xlpm.DecBroad&gt;0,_xlpm.Green&gt;0,COUNTA(_xlpm.FRange)&gt;0),
Error!$B$51,
IF(AND(_xlpm.baseRow,$D82&lt;&gt;"",$E82&lt;&gt;"",$G82="",$H82="",OR(_xlpm.ReplaceReq&gt;0,_xlpm.Green&gt;0,_xlpm.Points&gt;0,_xlpm.Street&gt;0)),
Error!$B$38,
IF(AND(_xlpm.baseRow,$D82&lt;&gt;"",$E82&lt;&gt;"",$H82&lt;&gt;"",$H82&lt;4,_xlpm.Street=0,_xlpm.Coniferous&gt;0,COUNTA(_xlpm.FRange)&gt;0),
Error!$B$32,
IF(AND(_xlpm.baseRow,_xlpm.DecBroad&gt;0,$D82&lt;&gt;"",$E82&lt;&gt;"",$G82&lt;&gt;"",$G82&lt;1.5,_xlpm.Street=0,COUNTA(_xlpm.FRange)&gt;0),
Error!$B$42,
IF(AND(_xlpm.baseRow,$I82="",$H82="",_xlpm.ECA&gt;0,_xlpm.ReplaceReq=0),
Error!$B$33,
IF(AND(_xlpm.baseRow,OR($J82="",$J82&lt;=0),_xlpm.ReplaceReq&gt;0),
Error!$B$34,
IF(AND(_xlpm.baseRow,$K82&lt;&gt;"",_xlpm.Points&gt;0,ISNA(MATCH($K82,Tables!$B$242:$B$253,0))),
Error!$B$58,
IF(AND($K82="Small",$L82&lt;&gt;"",ISNA(MATCH($L82,Tables2!$C$35:$C$36,0))),
Error!$B$60,
IF(AND($K82="Small/Medium",$L82&lt;&gt;"",ISNA(MATCH($L82,Tables2!$C$38:$C$39,0))),
Error!$B$60,
IF(AND($K82="Medium/Large",$L82&lt;&gt;"",ISNA(MATCH($L82,Tables2!$C$41:$C$42,0))),
Error!$B$60,
IF(AND($K82="Large",$L82&lt;&gt;"",ISNA(MATCH($L82,Tables2!$C$44:$C$45,0))),
Error!$B$60,
IF(AND(_xlpm.baseRow,$B82&lt;&gt;"", $C82&lt;&gt;"", $D82&lt;&gt;"", $E82&lt;&gt;"", OR($M82="",$K82="",$L82=""),_xlpm.Points&gt;0),
Error!$B$35,
IF(AND(_xlpm.baseRow,$D82&lt;&gt;"",$E82&lt;&gt;"",$N82=""),
Error!$B$36,
""))))))))))))))))))))))))))))))))))))))))))),Error!$B$37))</f>
        <v/>
      </c>
      <c r="P82" s="355" t="str" cm="1">
        <f t="array" aca="1" ref="P82" ca="1">IFERROR(_xlfn.LET(
    _xlpm.txt, $C82,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3" spans="1:16" ht="15" thickBot="1" x14ac:dyDescent="0.35">
      <c r="A83" s="437">
        <v>19</v>
      </c>
      <c r="B83" s="447"/>
      <c r="C83" s="444"/>
      <c r="D83" s="296"/>
      <c r="E83" s="296"/>
      <c r="F83" s="304"/>
      <c r="G83" s="257"/>
      <c r="H83" s="181"/>
      <c r="I83" s="178"/>
      <c r="J83" s="457"/>
      <c r="K83" s="172" t="str">
        <f>IFERROR(
IF(
    AND(
        MOD(ROW()-11,4)=0,
        COUNTIF(INDEX(F:F, 11 + 4*INT((ROW()-11)/4)):INDEX(F:F, 14 + 4*INT((ROW()-11)/4)),"Zoning: Tree Points")&gt;0,
        COUNTIFS('Tree List'!$C$3:$C$601,$C83,'Tree List'!$H$3:$H$601,"sp.")=0
    ),
    VLOOKUP($C83,'Tree List'!$C$3:$F$601,4,FALSE),
    ""
),
"")</f>
        <v/>
      </c>
      <c r="L83" s="173" t="str" cm="1">
        <f t="array" ref="L83">IFERROR(
IF(
    AND(
        COUNTIF(INDEX(F:F, 11 + 4*INT((ROW()-11)/4)):INDEX(F:F, 14 + 4*INT((ROW()-11)/4)),"Zoning: Tree Points")&gt;0,
        COUNTIFS('Tree List'!$C$3:$C$601,$C83,'Tree List'!$H$3:$H$601,"sp.")&gt;0
    ),
    "",
    _xlfn.IFS(
        (COUNTIFS('Tree List'!$C$3:$C$601,$C83,'Tree List'!$D$3:$D$601,"Coniferous")
        + COUNTIFS('Tree List'!$C$3:$C$601,$C83,'Tree List'!$D$3:$D$601,"Deciduous Conifer")) &gt; 0,
            _xlfn.IFS($K83="Small",1.25,$K83="Small/Medium",2.5,$K83="Medium/Large",3.75,$K83="Large",5),
        (COUNTIFS('Tree List'!$C$3:$C$601,$C83,'Tree List'!$D$3:$D$601,"Deciduous")
        + COUNTIFS('Tree List'!$C$3:$C$601,$C83,'Tree List'!$D$3:$D$601,"Broadleaf Evergreen")) &gt; 0,
            _xlfn.IFS($K83="Small",1,$K83="Small/Medium",2,$K83="Medium/Large",3,$K83="Large",4)
    )
),
"")</f>
        <v/>
      </c>
      <c r="M83" s="470" t="str">
        <f t="shared" ref="M83" si="73">IFERROR($L83*$N83,"")</f>
        <v/>
      </c>
      <c r="N83" s="744"/>
      <c r="O83" s="737" t="str" cm="1">
        <f t="array" aca="1" ref="O83"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List'!$C$3:$C$601,$C83,'Tree List'!$D$3:$D$601,{"Deciduous","Broadleaf Evergreen"})),
_xlpm.Coniferous,SUM(COUNTIFS('Tree List'!$C$3:$C$601,$C83,'Tree List'!$D$3:$D$601,{"Coniferous","Deciduous Conifer"})),
IFERROR(
IF(AND(_xlpm.baseRow,ISNA(MATCH($C83,'Tree List'!$C$3:$C$601,0)),SUMPRODUCT(--ISNUMBER(SEARCH(Tables2!$C$677:$C$825,$P83)))&gt;0),
Error!$B$64,
IF(AND(_xlpm.baseRow,COUNTIF(_xlpm.FRange,"ECA / Shoreline")&gt;0,$D83&lt;&gt;"",$E83&lt;&gt;"",$N83=""),
Error!$B$55,
IF(AND(_xlpm.baseRow,$D83&lt;&gt;"",$E83&lt;&gt;"",COUNTBLANK($B83:$C83)&gt;0,COUNTBLANK($F83:$F86)&lt;&gt;4),
Error!$B$22,
IF(AND(_xlpm.baseRow,$D83="Right-of-Way", $E83=""),
Error!$B$67,
IF(AND(_xlpm.baseRow,$D83&lt;&gt;"",ISNA(MATCH($D83,Tables2!$B$66:$B$68,0))),
Error!$B$63,
IF(AND(_xlpm.baseRow,$D83="Off Site",$E83&lt;&gt;"",$E83&lt;&gt;"Yes"),
Error!$B$28,
IF(AND(_xlpm.baseRow,OR($D83="On Site",$D83="Right-of-Way"),$E83&lt;&gt;"",ISNA(MATCH($E83,MultiSelect2[TreeMitigation],0))),
Error!$B$28,
IF(AND(_xlpm.baseRow,$D83&lt;&gt;"",$E83&lt;&gt;"",COUNTIF(_xlpm.FRange,"&lt;&gt;")=0),
Error!$B$26,
IF(AND($E83="No",$F83&lt;&gt;"",ISNA(MATCH($F83,Tables2!$B$55:$B$57,0))),
Error!$B$27,
IF(AND($E83="Yes",$F83&lt;&gt;"",ISNA(MATCH($F83,Tables2!$B$48:$B$52,0))),
Error!$B$27,
IF(AND($D83="Off Site",$E83="Yes",$F83&lt;&gt;"",ISNA(MATCH($F83,Tables2!$B$60:$B$62,0))),
Error!$B$27,
IF(AND(_xlpm.baseRow,_xlpm.Street&gt;0,_xlpm.ECA&gt;0),
Error!$B$29,
IF(AND(_xlpm.baseRow,_xlpm.Street&gt;0,_xlpm.Points&gt;0),
Error!$B$30,
IF(AND(_xlpm.baseRow,_xlpm.Street&gt;0,_xlpm.ReplaceReq&gt;0),
Error!$B$31,
IF(AND(_xlpm.baseRow,$D83&lt;&gt;"",$E83&lt;&gt;"",$G83&lt;&gt;"",_xlpm.DecBroad&gt;0,OR(_xlpm.Points&gt;0,_xlpm.Green&gt;0,_xlpm.ReplaceReq&gt;0),_xlpm.Street=0,$G83&lt;1.5),
Error!$B$42,
IF(AND(_xlpm.baseRow,$D83&lt;&gt;"",$E83&lt;&gt;"",$H83&lt;&gt;"",$H83&lt;4,_xlpm.Street&gt;0,_xlpm.Green&gt;0,COUNTA(_xlpm.FRange)&gt;0),
Error!$B$32,
IF(AND(_xlpm.baseRow,$G83="",_xlpm.ECA&gt;0,_xlpm.DecBroad&gt;0,_xlpm.ReplaceReq&gt;0),
Error!$B$52,
IF(AND(_xlpm.baseRow,$E83&lt;&gt;"", $H83="",_xlpm.ECA&gt;0,_xlpm.Coniferous&gt;0,_xlpm.ReplaceReq&gt;0),
Error!$B$53,
IF(AND(_xlpm.baseRow,$G83="",$H83="",_xlpm.ECA&gt;0,_xlpm.ReplaceReq&gt;0),
Error!$B$39,
IF(AND(_xlpm.baseRow,$D83&lt;&gt;"",$E83&lt;&gt;"",$G83="",$H83="",_xlpm.Coniferous&gt;0,_xlpm.ReplaceReq&gt;0,_xlpm.ECA&gt;0),
Error!$B$50,
IF(AND(_xlpm.baseRow,$D83&lt;&gt;"",$E83&lt;&gt;"",$G83&lt;&gt;"",_xlpm.Street&gt;0,$G83&lt;2),
Error!$B$43,
IF(AND(_xlpm.baseRow,$D83&lt;&gt;"",$E83&lt;&gt;"",_xlpm.Green&gt;0,_xlpm.DecBroad&gt;0,$G83=""),
Error!$B$49,
IF(AND(_xlpm.baseRow,$D83&lt;&gt;"",$E83&lt;&gt;"",$H83&lt;&gt;"",$H83&lt;4,_xlpm.Green&gt;0,_xlpm.DecBroad&gt;0,$G83=""),
Error!$B$51,
IF(AND(_xlpm.baseRow,$D83&lt;&gt;"",$E83&lt;&gt;"",_xlpm.Green&gt;0,_xlpm.Coniferous&gt;0,$H83=""),
Error!$B$50,
IF(AND(_xlpm.baseRow,$D83&lt;&gt;"",$E83&lt;&gt;"",_xlpm.Points&gt;0,_xlpm.DecBroad&gt;0,$G83=""),
Error!$B$49,
IF(AND(_xlpm.baseRow,$D83&lt;&gt;"",$E83&lt;&gt;"",_xlpm.Points&gt;0,_xlpm.Coniferous&gt;0,$H83=""),
Error!$B$50,
IF(AND(_xlpm.baseRow,$D83&lt;&gt;"",$E83&lt;&gt;"",_xlpm.ReplaceReq&gt;0,_xlpm.DecBroad&gt;0,$G83=""),
Error!$B$49,
IF(AND(_xlpm.baseRow,$D83&lt;&gt;"",$E83&lt;&gt;"",_xlpm.ReplaceReq&gt;0,_xlpm.Coniferous&gt;0,$H83=""),
Error!$B$50,
IF(AND(_xlpm.baseRow,$D83&lt;&gt;"",$E83&lt;&gt;"",_xlpm.Street&gt;0,$G83=""),
Error!$B$49,
IF(AND(_xlpm.baseRow,$D83&lt;&gt;"",$E83&lt;&gt;"",$H83&lt;&gt;"",$H83&lt;4,OR(ISNA(MATCH($C83,'Tree List'!$C$3:$C$601,0)),$C83=""),_xlpm.Green&gt;0,COUNTA(_xlpm.FRange)&gt;0),
Error!$B$51,
IF(AND(_xlpm.baseRow,$D83&lt;&gt;"",$E83&lt;&gt;"",$H83&lt;&gt;"",$H83&lt;4,_xlpm.DecBroad&gt;0,_xlpm.Green&gt;0,COUNTA(_xlpm.FRange)&gt;0),
Error!$B$51,
IF(AND(_xlpm.baseRow,$D83&lt;&gt;"",$E83&lt;&gt;"",$G83="",$H83="",OR(_xlpm.ReplaceReq&gt;0,_xlpm.Green&gt;0,_xlpm.Points&gt;0,_xlpm.Street&gt;0)),
Error!$B$38,
IF(AND(_xlpm.baseRow,$D83&lt;&gt;"",$E83&lt;&gt;"",$H83&lt;&gt;"",$H83&lt;4,_xlpm.Street=0,_xlpm.Coniferous&gt;0,COUNTA(_xlpm.FRange)&gt;0),
Error!$B$32,
IF(AND(_xlpm.baseRow,_xlpm.DecBroad&gt;0,$D83&lt;&gt;"",$E83&lt;&gt;"",$G83&lt;&gt;"",$G83&lt;1.5,_xlpm.Street=0,COUNTA(_xlpm.FRange)&gt;0),
Error!$B$42,
IF(AND(_xlpm.baseRow,$I83="",$H83="",_xlpm.ECA&gt;0,_xlpm.ReplaceReq=0),
Error!$B$33,
IF(AND(_xlpm.baseRow,OR($J83="",$J83&lt;=0),_xlpm.ReplaceReq&gt;0),
Error!$B$34,
IF(AND(_xlpm.baseRow,$K83&lt;&gt;"",_xlpm.Points&gt;0,ISNA(MATCH($K83,Tables!$B$242:$B$253,0))),
Error!$B$58,
IF(AND($K83="Small",$L83&lt;&gt;"",ISNA(MATCH($L83,Tables2!$C$35:$C$36,0))),
Error!$B$60,
IF(AND($K83="Small/Medium",$L83&lt;&gt;"",ISNA(MATCH($L83,Tables2!$C$38:$C$39,0))),
Error!$B$60,
IF(AND($K83="Medium/Large",$L83&lt;&gt;"",ISNA(MATCH($L83,Tables2!$C$41:$C$42,0))),
Error!$B$60,
IF(AND($K83="Large",$L83&lt;&gt;"",ISNA(MATCH($L83,Tables2!$C$44:$C$45,0))),
Error!$B$60,
IF(AND(_xlpm.baseRow,$B83&lt;&gt;"", $C83&lt;&gt;"", $D83&lt;&gt;"", $E83&lt;&gt;"", OR($M83="",$K83="",$L83=""),_xlpm.Points&gt;0),
Error!$B$35,
IF(AND(_xlpm.baseRow,$D83&lt;&gt;"",$E83&lt;&gt;"",$N83=""),
Error!$B$36,
""))))))))))))))))))))))))))))))))))))))))))),Error!$B$37))</f>
        <v/>
      </c>
      <c r="P83" s="355" t="str" cm="1">
        <f t="array" aca="1" ref="P83" ca="1">IFERROR(_xlfn.LET(
    _xlpm.txt, $C83,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4" spans="1:16" x14ac:dyDescent="0.3">
      <c r="A84" s="297"/>
      <c r="B84" s="439" t="str">
        <f t="shared" ref="B84" si="74">IF($B83="", "", $B83)</f>
        <v/>
      </c>
      <c r="C84" s="309"/>
      <c r="D84" s="157" t="str">
        <f t="shared" ref="D84" si="75">IF($D83="", "", $D83)</f>
        <v/>
      </c>
      <c r="E84" s="157" t="str">
        <f t="shared" ref="E84" si="76">IF($E83="", "", $E83)</f>
        <v/>
      </c>
      <c r="F84" s="300"/>
      <c r="G84" s="159"/>
      <c r="H84" s="182"/>
      <c r="I84" s="179"/>
      <c r="J84" s="458"/>
      <c r="K84" s="174" t="str">
        <f>IFERROR(
IF(
    AND(
        MOD(ROW()-11,4)=0,
        COUNTIF(INDEX(F:F, 11 + 4*INT((ROW()-11)/4)):INDEX(F:F, 14 + 4*INT((ROW()-11)/4)),"Zoning: Tree Points")&gt;0,
        COUNTIFS('Tree List'!$C$3:$C$601,$C84,'Tree List'!$H$3:$H$601,"sp.")=0
    ),
    VLOOKUP($C84,'Tree List'!$C$3:$F$601,4,FALSE),
    ""
),
"")</f>
        <v/>
      </c>
      <c r="L84" s="175" t="str" cm="1">
        <f t="array" ref="L84">IFERROR(
IF(
    AND(
        COUNTIF(INDEX(F:F, 11 + 4*INT((ROW()-11)/4)):INDEX(F:F, 14 + 4*INT((ROW()-11)/4)),"Zoning: Tree Points")&gt;0,
        COUNTIFS('Tree List'!$C$3:$C$601,$C84,'Tree List'!$H$3:$H$601,"sp.")&gt;0
    ),
    "",
    _xlfn.IFS(
        (COUNTIFS('Tree List'!$C$3:$C$601,$C84,'Tree List'!$D$3:$D$601,"Coniferous")
        + COUNTIFS('Tree List'!$C$3:$C$601,$C84,'Tree List'!$D$3:$D$601,"Deciduous Conifer")) &gt; 0,
            _xlfn.IFS($K84="Small",1.25,$K84="Small/Medium",2.5,$K84="Medium/Large",3.75,$K84="Large",5),
        (COUNTIFS('Tree List'!$C$3:$C$601,$C84,'Tree List'!$D$3:$D$601,"Deciduous")
        + COUNTIFS('Tree List'!$C$3:$C$601,$C84,'Tree List'!$D$3:$D$601,"Broadleaf Evergreen")) &gt; 0,
            _xlfn.IFS($K84="Small",1,$K84="Small/Medium",2,$K84="Medium/Large",3,$K84="Large",4)
    )
),
"")</f>
        <v/>
      </c>
      <c r="M84" s="471" t="str">
        <f t="shared" ref="M84:M86" si="77">IFERROR($L84*$N84,"")</f>
        <v/>
      </c>
      <c r="N84" s="434"/>
      <c r="O84" s="340" t="str" cm="1">
        <f t="array" aca="1" ref="O84"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List'!$C$3:$C$601,$C84,'Tree List'!$D$3:$D$601,{"Deciduous","Broadleaf Evergreen"})),
_xlpm.Coniferous,SUM(COUNTIFS('Tree List'!$C$3:$C$601,$C84,'Tree List'!$D$3:$D$601,{"Coniferous","Deciduous Conifer"})),
IFERROR(
IF(AND(_xlpm.baseRow,ISNA(MATCH($C84,'Tree List'!$C$3:$C$601,0)),SUMPRODUCT(--ISNUMBER(SEARCH(Tables2!$C$677:$C$825,$P84)))&gt;0),
Error!$B$64,
IF(AND(_xlpm.baseRow,COUNTIF(_xlpm.FRange,"ECA / Shoreline")&gt;0,$D84&lt;&gt;"",$E84&lt;&gt;"",$N84=""),
Error!$B$55,
IF(AND(_xlpm.baseRow,$D84&lt;&gt;"",$E84&lt;&gt;"",COUNTBLANK($B84:$C84)&gt;0,COUNTBLANK($F84:$F87)&lt;&gt;4),
Error!$B$22,
IF(AND(_xlpm.baseRow,$D84="Right-of-Way", $E84=""),
Error!$B$67,
IF(AND(_xlpm.baseRow,$D84&lt;&gt;"",ISNA(MATCH($D84,Tables2!$B$66:$B$68,0))),
Error!$B$63,
IF(AND(_xlpm.baseRow,$D84="Off Site",$E84&lt;&gt;"",$E84&lt;&gt;"Yes"),
Error!$B$28,
IF(AND(_xlpm.baseRow,OR($D84="On Site",$D84="Right-of-Way"),$E84&lt;&gt;"",ISNA(MATCH($E84,MultiSelect2[TreeMitigation],0))),
Error!$B$28,
IF(AND(_xlpm.baseRow,$D84&lt;&gt;"",$E84&lt;&gt;"",COUNTIF(_xlpm.FRange,"&lt;&gt;")=0),
Error!$B$26,
IF(AND($E84="No",$F84&lt;&gt;"",ISNA(MATCH($F84,Tables2!$B$55:$B$57,0))),
Error!$B$27,
IF(AND($E84="Yes",$F84&lt;&gt;"",ISNA(MATCH($F84,Tables2!$B$48:$B$52,0))),
Error!$B$27,
IF(AND($D84="Off Site",$E84="Yes",$F84&lt;&gt;"",ISNA(MATCH($F84,Tables2!$B$60:$B$62,0))),
Error!$B$27,
IF(AND(_xlpm.baseRow,_xlpm.Street&gt;0,_xlpm.ECA&gt;0),
Error!$B$29,
IF(AND(_xlpm.baseRow,_xlpm.Street&gt;0,_xlpm.Points&gt;0),
Error!$B$30,
IF(AND(_xlpm.baseRow,_xlpm.Street&gt;0,_xlpm.ReplaceReq&gt;0),
Error!$B$31,
IF(AND(_xlpm.baseRow,$D84&lt;&gt;"",$E84&lt;&gt;"",$G84&lt;&gt;"",_xlpm.DecBroad&gt;0,OR(_xlpm.Points&gt;0,_xlpm.Green&gt;0,_xlpm.ReplaceReq&gt;0),_xlpm.Street=0,$G84&lt;1.5),
Error!$B$42,
IF(AND(_xlpm.baseRow,$D84&lt;&gt;"",$E84&lt;&gt;"",$H84&lt;&gt;"",$H84&lt;4,_xlpm.Street&gt;0,_xlpm.Green&gt;0,COUNTA(_xlpm.FRange)&gt;0),
Error!$B$32,
IF(AND(_xlpm.baseRow,$G84="",_xlpm.ECA&gt;0,_xlpm.DecBroad&gt;0,_xlpm.ReplaceReq&gt;0),
Error!$B$52,
IF(AND(_xlpm.baseRow,$E84&lt;&gt;"", $H84="",_xlpm.ECA&gt;0,_xlpm.Coniferous&gt;0,_xlpm.ReplaceReq&gt;0),
Error!$B$53,
IF(AND(_xlpm.baseRow,$G84="",$H84="",_xlpm.ECA&gt;0,_xlpm.ReplaceReq&gt;0),
Error!$B$39,
IF(AND(_xlpm.baseRow,$D84&lt;&gt;"",$E84&lt;&gt;"",$G84="",$H84="",_xlpm.Coniferous&gt;0,_xlpm.ReplaceReq&gt;0,_xlpm.ECA&gt;0),
Error!$B$50,
IF(AND(_xlpm.baseRow,$D84&lt;&gt;"",$E84&lt;&gt;"",$G84&lt;&gt;"",_xlpm.Street&gt;0,$G84&lt;2),
Error!$B$43,
IF(AND(_xlpm.baseRow,$D84&lt;&gt;"",$E84&lt;&gt;"",_xlpm.Green&gt;0,_xlpm.DecBroad&gt;0,$G84=""),
Error!$B$49,
IF(AND(_xlpm.baseRow,$D84&lt;&gt;"",$E84&lt;&gt;"",$H84&lt;&gt;"",$H84&lt;4,_xlpm.Green&gt;0,_xlpm.DecBroad&gt;0,$G84=""),
Error!$B$51,
IF(AND(_xlpm.baseRow,$D84&lt;&gt;"",$E84&lt;&gt;"",_xlpm.Green&gt;0,_xlpm.Coniferous&gt;0,$H84=""),
Error!$B$50,
IF(AND(_xlpm.baseRow,$D84&lt;&gt;"",$E84&lt;&gt;"",_xlpm.Points&gt;0,_xlpm.DecBroad&gt;0,$G84=""),
Error!$B$49,
IF(AND(_xlpm.baseRow,$D84&lt;&gt;"",$E84&lt;&gt;"",_xlpm.Points&gt;0,_xlpm.Coniferous&gt;0,$H84=""),
Error!$B$50,
IF(AND(_xlpm.baseRow,$D84&lt;&gt;"",$E84&lt;&gt;"",_xlpm.ReplaceReq&gt;0,_xlpm.DecBroad&gt;0,$G84=""),
Error!$B$49,
IF(AND(_xlpm.baseRow,$D84&lt;&gt;"",$E84&lt;&gt;"",_xlpm.ReplaceReq&gt;0,_xlpm.Coniferous&gt;0,$H84=""),
Error!$B$50,
IF(AND(_xlpm.baseRow,$D84&lt;&gt;"",$E84&lt;&gt;"",_xlpm.Street&gt;0,$G84=""),
Error!$B$49,
IF(AND(_xlpm.baseRow,$D84&lt;&gt;"",$E84&lt;&gt;"",$H84&lt;&gt;"",$H84&lt;4,OR(ISNA(MATCH($C84,'Tree List'!$C$3:$C$601,0)),$C84=""),_xlpm.Green&gt;0,COUNTA(_xlpm.FRange)&gt;0),
Error!$B$51,
IF(AND(_xlpm.baseRow,$D84&lt;&gt;"",$E84&lt;&gt;"",$H84&lt;&gt;"",$H84&lt;4,_xlpm.DecBroad&gt;0,_xlpm.Green&gt;0,COUNTA(_xlpm.FRange)&gt;0),
Error!$B$51,
IF(AND(_xlpm.baseRow,$D84&lt;&gt;"",$E84&lt;&gt;"",$G84="",$H84="",OR(_xlpm.ReplaceReq&gt;0,_xlpm.Green&gt;0,_xlpm.Points&gt;0,_xlpm.Street&gt;0)),
Error!$B$38,
IF(AND(_xlpm.baseRow,$D84&lt;&gt;"",$E84&lt;&gt;"",$H84&lt;&gt;"",$H84&lt;4,_xlpm.Street=0,_xlpm.Coniferous&gt;0,COUNTA(_xlpm.FRange)&gt;0),
Error!$B$32,
IF(AND(_xlpm.baseRow,_xlpm.DecBroad&gt;0,$D84&lt;&gt;"",$E84&lt;&gt;"",$G84&lt;&gt;"",$G84&lt;1.5,_xlpm.Street=0,COUNTA(_xlpm.FRange)&gt;0),
Error!$B$42,
IF(AND(_xlpm.baseRow,$I84="",$H84="",_xlpm.ECA&gt;0,_xlpm.ReplaceReq=0),
Error!$B$33,
IF(AND(_xlpm.baseRow,OR($J84="",$J84&lt;=0),_xlpm.ReplaceReq&gt;0),
Error!$B$34,
IF(AND(_xlpm.baseRow,$K84&lt;&gt;"",_xlpm.Points&gt;0,ISNA(MATCH($K84,Tables!$B$242:$B$253,0))),
Error!$B$58,
IF(AND($K84="Small",$L84&lt;&gt;"",ISNA(MATCH($L84,Tables2!$C$35:$C$36,0))),
Error!$B$60,
IF(AND($K84="Small/Medium",$L84&lt;&gt;"",ISNA(MATCH($L84,Tables2!$C$38:$C$39,0))),
Error!$B$60,
IF(AND($K84="Medium/Large",$L84&lt;&gt;"",ISNA(MATCH($L84,Tables2!$C$41:$C$42,0))),
Error!$B$60,
IF(AND($K84="Large",$L84&lt;&gt;"",ISNA(MATCH($L84,Tables2!$C$44:$C$45,0))),
Error!$B$60,
IF(AND(_xlpm.baseRow,$B84&lt;&gt;"", $C84&lt;&gt;"", $D84&lt;&gt;"", $E84&lt;&gt;"", OR($M84="",$K84="",$L84=""),_xlpm.Points&gt;0),
Error!$B$35,
IF(AND(_xlpm.baseRow,$D84&lt;&gt;"",$E84&lt;&gt;"",$N84=""),
Error!$B$36,
""))))))))))))))))))))))))))))))))))))))))))),Error!$B$37))</f>
        <v/>
      </c>
      <c r="P84" s="355" t="str" cm="1">
        <f t="array" aca="1" ref="P84" ca="1">IFERROR(_xlfn.LET(
    _xlpm.txt, $C84,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5" spans="1:16" x14ac:dyDescent="0.3">
      <c r="A85" s="297"/>
      <c r="B85" s="439" t="str">
        <f t="shared" ref="B85" si="78">IF($B83="", "", $B83)</f>
        <v/>
      </c>
      <c r="C85" s="438"/>
      <c r="D85" s="439" t="str">
        <f t="shared" ref="D85" si="79">IF($D83="", "", $D83)</f>
        <v/>
      </c>
      <c r="E85" s="439" t="str">
        <f t="shared" ref="E85" si="80">IF($E83="", "", $E83)</f>
        <v/>
      </c>
      <c r="F85" s="300"/>
      <c r="G85" s="160"/>
      <c r="H85" s="440"/>
      <c r="I85" s="441"/>
      <c r="J85" s="459"/>
      <c r="K85" s="442" t="str">
        <f>IFERROR(
IF(
    AND(
        MOD(ROW()-11,4)=0,
        COUNTIF(INDEX(F:F, 11 + 4*INT((ROW()-11)/4)):INDEX(F:F, 14 + 4*INT((ROW()-11)/4)),"Zoning: Tree Points")&gt;0,
        COUNTIFS('Tree List'!$C$3:$C$601,$C85,'Tree List'!$H$3:$H$601,"sp.")=0
    ),
    VLOOKUP($C85,'Tree List'!$C$3:$F$601,4,FALSE),
    ""
),
"")</f>
        <v/>
      </c>
      <c r="L85" s="443" t="str" cm="1">
        <f t="array" ref="L85">IFERROR(
IF(
    AND(
        COUNTIF(INDEX(F:F, 11 + 4*INT((ROW()-11)/4)):INDEX(F:F, 14 + 4*INT((ROW()-11)/4)),"Zoning: Tree Points")&gt;0,
        COUNTIFS('Tree List'!$C$3:$C$601,$C85,'Tree List'!$H$3:$H$601,"sp.")&gt;0
    ),
    "",
    _xlfn.IFS(
        (COUNTIFS('Tree List'!$C$3:$C$601,$C85,'Tree List'!$D$3:$D$601,"Coniferous")
        + COUNTIFS('Tree List'!$C$3:$C$601,$C85,'Tree List'!$D$3:$D$601,"Deciduous Conifer")) &gt; 0,
            _xlfn.IFS($K85="Small",1.25,$K85="Small/Medium",2.5,$K85="Medium/Large",3.75,$K85="Large",5),
        (COUNTIFS('Tree List'!$C$3:$C$601,$C85,'Tree List'!$D$3:$D$601,"Deciduous")
        + COUNTIFS('Tree List'!$C$3:$C$601,$C85,'Tree List'!$D$3:$D$601,"Broadleaf Evergreen")) &gt; 0,
            _xlfn.IFS($K85="Small",1,$K85="Small/Medium",2,$K85="Medium/Large",3,$K85="Large",4)
    )
),
"")</f>
        <v/>
      </c>
      <c r="M85" s="472" t="str">
        <f t="shared" si="77"/>
        <v/>
      </c>
      <c r="N85" s="434"/>
      <c r="O85" s="340" t="str" cm="1">
        <f t="array" aca="1" ref="O85"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List'!$C$3:$C$601,$C85,'Tree List'!$D$3:$D$601,{"Deciduous","Broadleaf Evergreen"})),
_xlpm.Coniferous,SUM(COUNTIFS('Tree List'!$C$3:$C$601,$C85,'Tree List'!$D$3:$D$601,{"Coniferous","Deciduous Conifer"})),
IFERROR(
IF(AND(_xlpm.baseRow,ISNA(MATCH($C85,'Tree List'!$C$3:$C$601,0)),SUMPRODUCT(--ISNUMBER(SEARCH(Tables2!$C$677:$C$825,$P85)))&gt;0),
Error!$B$64,
IF(AND(_xlpm.baseRow,COUNTIF(_xlpm.FRange,"ECA / Shoreline")&gt;0,$D85&lt;&gt;"",$E85&lt;&gt;"",$N85=""),
Error!$B$55,
IF(AND(_xlpm.baseRow,$D85&lt;&gt;"",$E85&lt;&gt;"",COUNTBLANK($B85:$C85)&gt;0,COUNTBLANK($F85:$F88)&lt;&gt;4),
Error!$B$22,
IF(AND(_xlpm.baseRow,$D85="Right-of-Way", $E85=""),
Error!$B$67,
IF(AND(_xlpm.baseRow,$D85&lt;&gt;"",ISNA(MATCH($D85,Tables2!$B$66:$B$68,0))),
Error!$B$63,
IF(AND(_xlpm.baseRow,$D85="Off Site",$E85&lt;&gt;"",$E85&lt;&gt;"Yes"),
Error!$B$28,
IF(AND(_xlpm.baseRow,OR($D85="On Site",$D85="Right-of-Way"),$E85&lt;&gt;"",ISNA(MATCH($E85,MultiSelect2[TreeMitigation],0))),
Error!$B$28,
IF(AND(_xlpm.baseRow,$D85&lt;&gt;"",$E85&lt;&gt;"",COUNTIF(_xlpm.FRange,"&lt;&gt;")=0),
Error!$B$26,
IF(AND($E85="No",$F85&lt;&gt;"",ISNA(MATCH($F85,Tables2!$B$55:$B$57,0))),
Error!$B$27,
IF(AND($E85="Yes",$F85&lt;&gt;"",ISNA(MATCH($F85,Tables2!$B$48:$B$52,0))),
Error!$B$27,
IF(AND($D85="Off Site",$E85="Yes",$F85&lt;&gt;"",ISNA(MATCH($F85,Tables2!$B$60:$B$62,0))),
Error!$B$27,
IF(AND(_xlpm.baseRow,_xlpm.Street&gt;0,_xlpm.ECA&gt;0),
Error!$B$29,
IF(AND(_xlpm.baseRow,_xlpm.Street&gt;0,_xlpm.Points&gt;0),
Error!$B$30,
IF(AND(_xlpm.baseRow,_xlpm.Street&gt;0,_xlpm.ReplaceReq&gt;0),
Error!$B$31,
IF(AND(_xlpm.baseRow,$D85&lt;&gt;"",$E85&lt;&gt;"",$G85&lt;&gt;"",_xlpm.DecBroad&gt;0,OR(_xlpm.Points&gt;0,_xlpm.Green&gt;0,_xlpm.ReplaceReq&gt;0),_xlpm.Street=0,$G85&lt;1.5),
Error!$B$42,
IF(AND(_xlpm.baseRow,$D85&lt;&gt;"",$E85&lt;&gt;"",$H85&lt;&gt;"",$H85&lt;4,_xlpm.Street&gt;0,_xlpm.Green&gt;0,COUNTA(_xlpm.FRange)&gt;0),
Error!$B$32,
IF(AND(_xlpm.baseRow,$G85="",_xlpm.ECA&gt;0,_xlpm.DecBroad&gt;0,_xlpm.ReplaceReq&gt;0),
Error!$B$52,
IF(AND(_xlpm.baseRow,$E85&lt;&gt;"", $H85="",_xlpm.ECA&gt;0,_xlpm.Coniferous&gt;0,_xlpm.ReplaceReq&gt;0),
Error!$B$53,
IF(AND(_xlpm.baseRow,$G85="",$H85="",_xlpm.ECA&gt;0,_xlpm.ReplaceReq&gt;0),
Error!$B$39,
IF(AND(_xlpm.baseRow,$D85&lt;&gt;"",$E85&lt;&gt;"",$G85="",$H85="",_xlpm.Coniferous&gt;0,_xlpm.ReplaceReq&gt;0,_xlpm.ECA&gt;0),
Error!$B$50,
IF(AND(_xlpm.baseRow,$D85&lt;&gt;"",$E85&lt;&gt;"",$G85&lt;&gt;"",_xlpm.Street&gt;0,$G85&lt;2),
Error!$B$43,
IF(AND(_xlpm.baseRow,$D85&lt;&gt;"",$E85&lt;&gt;"",_xlpm.Green&gt;0,_xlpm.DecBroad&gt;0,$G85=""),
Error!$B$49,
IF(AND(_xlpm.baseRow,$D85&lt;&gt;"",$E85&lt;&gt;"",$H85&lt;&gt;"",$H85&lt;4,_xlpm.Green&gt;0,_xlpm.DecBroad&gt;0,$G85=""),
Error!$B$51,
IF(AND(_xlpm.baseRow,$D85&lt;&gt;"",$E85&lt;&gt;"",_xlpm.Green&gt;0,_xlpm.Coniferous&gt;0,$H85=""),
Error!$B$50,
IF(AND(_xlpm.baseRow,$D85&lt;&gt;"",$E85&lt;&gt;"",_xlpm.Points&gt;0,_xlpm.DecBroad&gt;0,$G85=""),
Error!$B$49,
IF(AND(_xlpm.baseRow,$D85&lt;&gt;"",$E85&lt;&gt;"",_xlpm.Points&gt;0,_xlpm.Coniferous&gt;0,$H85=""),
Error!$B$50,
IF(AND(_xlpm.baseRow,$D85&lt;&gt;"",$E85&lt;&gt;"",_xlpm.ReplaceReq&gt;0,_xlpm.DecBroad&gt;0,$G85=""),
Error!$B$49,
IF(AND(_xlpm.baseRow,$D85&lt;&gt;"",$E85&lt;&gt;"",_xlpm.ReplaceReq&gt;0,_xlpm.Coniferous&gt;0,$H85=""),
Error!$B$50,
IF(AND(_xlpm.baseRow,$D85&lt;&gt;"",$E85&lt;&gt;"",_xlpm.Street&gt;0,$G85=""),
Error!$B$49,
IF(AND(_xlpm.baseRow,$D85&lt;&gt;"",$E85&lt;&gt;"",$H85&lt;&gt;"",$H85&lt;4,OR(ISNA(MATCH($C85,'Tree List'!$C$3:$C$601,0)),$C85=""),_xlpm.Green&gt;0,COUNTA(_xlpm.FRange)&gt;0),
Error!$B$51,
IF(AND(_xlpm.baseRow,$D85&lt;&gt;"",$E85&lt;&gt;"",$H85&lt;&gt;"",$H85&lt;4,_xlpm.DecBroad&gt;0,_xlpm.Green&gt;0,COUNTA(_xlpm.FRange)&gt;0),
Error!$B$51,
IF(AND(_xlpm.baseRow,$D85&lt;&gt;"",$E85&lt;&gt;"",$G85="",$H85="",OR(_xlpm.ReplaceReq&gt;0,_xlpm.Green&gt;0,_xlpm.Points&gt;0,_xlpm.Street&gt;0)),
Error!$B$38,
IF(AND(_xlpm.baseRow,$D85&lt;&gt;"",$E85&lt;&gt;"",$H85&lt;&gt;"",$H85&lt;4,_xlpm.Street=0,_xlpm.Coniferous&gt;0,COUNTA(_xlpm.FRange)&gt;0),
Error!$B$32,
IF(AND(_xlpm.baseRow,_xlpm.DecBroad&gt;0,$D85&lt;&gt;"",$E85&lt;&gt;"",$G85&lt;&gt;"",$G85&lt;1.5,_xlpm.Street=0,COUNTA(_xlpm.FRange)&gt;0),
Error!$B$42,
IF(AND(_xlpm.baseRow,$I85="",$H85="",_xlpm.ECA&gt;0,_xlpm.ReplaceReq=0),
Error!$B$33,
IF(AND(_xlpm.baseRow,OR($J85="",$J85&lt;=0),_xlpm.ReplaceReq&gt;0),
Error!$B$34,
IF(AND(_xlpm.baseRow,$K85&lt;&gt;"",_xlpm.Points&gt;0,ISNA(MATCH($K85,Tables!$B$242:$B$253,0))),
Error!$B$58,
IF(AND($K85="Small",$L85&lt;&gt;"",ISNA(MATCH($L85,Tables2!$C$35:$C$36,0))),
Error!$B$60,
IF(AND($K85="Small/Medium",$L85&lt;&gt;"",ISNA(MATCH($L85,Tables2!$C$38:$C$39,0))),
Error!$B$60,
IF(AND($K85="Medium/Large",$L85&lt;&gt;"",ISNA(MATCH($L85,Tables2!$C$41:$C$42,0))),
Error!$B$60,
IF(AND($K85="Large",$L85&lt;&gt;"",ISNA(MATCH($L85,Tables2!$C$44:$C$45,0))),
Error!$B$60,
IF(AND(_xlpm.baseRow,$B85&lt;&gt;"", $C85&lt;&gt;"", $D85&lt;&gt;"", $E85&lt;&gt;"", OR($M85="",$K85="",$L85=""),_xlpm.Points&gt;0),
Error!$B$35,
IF(AND(_xlpm.baseRow,$D85&lt;&gt;"",$E85&lt;&gt;"",$N85=""),
Error!$B$36,
""))))))))))))))))))))))))))))))))))))))))))),Error!$B$37))</f>
        <v/>
      </c>
      <c r="P85" s="355" t="str" cm="1">
        <f t="array" aca="1" ref="P85" ca="1">IFERROR(_xlfn.LET(
    _xlpm.txt, $C85,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6" spans="1:16" ht="15" thickBot="1" x14ac:dyDescent="0.35">
      <c r="A86" s="298"/>
      <c r="B86" s="439" t="str">
        <f t="shared" ref="B86" si="81">IF($B83="", "", $B83)</f>
        <v/>
      </c>
      <c r="C86" s="310"/>
      <c r="D86" s="154" t="str">
        <f t="shared" ref="D86" si="82">IF($D83="", "", $D83)</f>
        <v/>
      </c>
      <c r="E86" s="154" t="str">
        <f t="shared" ref="E86" si="83">IF($E83="", "", $E83)</f>
        <v/>
      </c>
      <c r="F86" s="302"/>
      <c r="G86" s="161"/>
      <c r="H86" s="183"/>
      <c r="I86" s="180"/>
      <c r="J86" s="460"/>
      <c r="K86" s="176" t="str">
        <f>IFERROR(
IF(
    AND(
        MOD(ROW()-11,4)=0,
        COUNTIF(INDEX(F:F, 11 + 4*INT((ROW()-11)/4)):INDEX(F:F, 14 + 4*INT((ROW()-11)/4)),"Zoning: Tree Points")&gt;0,
        COUNTIFS('Tree List'!$C$3:$C$601,$C86,'Tree List'!$H$3:$H$601,"sp.")=0
    ),
    VLOOKUP($C86,'Tree List'!$C$3:$F$601,4,FALSE),
    ""
),
"")</f>
        <v/>
      </c>
      <c r="L86" s="177" t="str" cm="1">
        <f t="array" ref="L86">IFERROR(
IF(
    AND(
        COUNTIF(INDEX(F:F, 11 + 4*INT((ROW()-11)/4)):INDEX(F:F, 14 + 4*INT((ROW()-11)/4)),"Zoning: Tree Points")&gt;0,
        COUNTIFS('Tree List'!$C$3:$C$601,$C86,'Tree List'!$H$3:$H$601,"sp.")&gt;0
    ),
    "",
    _xlfn.IFS(
        (COUNTIFS('Tree List'!$C$3:$C$601,$C86,'Tree List'!$D$3:$D$601,"Coniferous")
        + COUNTIFS('Tree List'!$C$3:$C$601,$C86,'Tree List'!$D$3:$D$601,"Deciduous Conifer")) &gt; 0,
            _xlfn.IFS($K86="Small",1.25,$K86="Small/Medium",2.5,$K86="Medium/Large",3.75,$K86="Large",5),
        (COUNTIFS('Tree List'!$C$3:$C$601,$C86,'Tree List'!$D$3:$D$601,"Deciduous")
        + COUNTIFS('Tree List'!$C$3:$C$601,$C86,'Tree List'!$D$3:$D$601,"Broadleaf Evergreen")) &gt; 0,
            _xlfn.IFS($K86="Small",1,$K86="Small/Medium",2,$K86="Medium/Large",3,$K86="Large",4)
    )
),
"")</f>
        <v/>
      </c>
      <c r="M86" s="473" t="str">
        <f t="shared" si="77"/>
        <v/>
      </c>
      <c r="N86" s="435"/>
      <c r="O86" s="341" t="str" cm="1">
        <f t="array" aca="1" ref="O86"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List'!$C$3:$C$601,$C86,'Tree List'!$D$3:$D$601,{"Deciduous","Broadleaf Evergreen"})),
_xlpm.Coniferous,SUM(COUNTIFS('Tree List'!$C$3:$C$601,$C86,'Tree List'!$D$3:$D$601,{"Coniferous","Deciduous Conifer"})),
IFERROR(
IF(AND(_xlpm.baseRow,ISNA(MATCH($C86,'Tree List'!$C$3:$C$601,0)),SUMPRODUCT(--ISNUMBER(SEARCH(Tables2!$C$677:$C$825,$P86)))&gt;0),
Error!$B$64,
IF(AND(_xlpm.baseRow,COUNTIF(_xlpm.FRange,"ECA / Shoreline")&gt;0,$D86&lt;&gt;"",$E86&lt;&gt;"",$N86=""),
Error!$B$55,
IF(AND(_xlpm.baseRow,$D86&lt;&gt;"",$E86&lt;&gt;"",COUNTBLANK($B86:$C86)&gt;0,COUNTBLANK($F86:$F89)&lt;&gt;4),
Error!$B$22,
IF(AND(_xlpm.baseRow,$D86="Right-of-Way", $E86=""),
Error!$B$67,
IF(AND(_xlpm.baseRow,$D86&lt;&gt;"",ISNA(MATCH($D86,Tables2!$B$66:$B$68,0))),
Error!$B$63,
IF(AND(_xlpm.baseRow,$D86="Off Site",$E86&lt;&gt;"",$E86&lt;&gt;"Yes"),
Error!$B$28,
IF(AND(_xlpm.baseRow,OR($D86="On Site",$D86="Right-of-Way"),$E86&lt;&gt;"",ISNA(MATCH($E86,MultiSelect2[TreeMitigation],0))),
Error!$B$28,
IF(AND(_xlpm.baseRow,$D86&lt;&gt;"",$E86&lt;&gt;"",COUNTIF(_xlpm.FRange,"&lt;&gt;")=0),
Error!$B$26,
IF(AND($E86="No",$F86&lt;&gt;"",ISNA(MATCH($F86,Tables2!$B$55:$B$57,0))),
Error!$B$27,
IF(AND($E86="Yes",$F86&lt;&gt;"",ISNA(MATCH($F86,Tables2!$B$48:$B$52,0))),
Error!$B$27,
IF(AND($D86="Off Site",$E86="Yes",$F86&lt;&gt;"",ISNA(MATCH($F86,Tables2!$B$60:$B$62,0))),
Error!$B$27,
IF(AND(_xlpm.baseRow,_xlpm.Street&gt;0,_xlpm.ECA&gt;0),
Error!$B$29,
IF(AND(_xlpm.baseRow,_xlpm.Street&gt;0,_xlpm.Points&gt;0),
Error!$B$30,
IF(AND(_xlpm.baseRow,_xlpm.Street&gt;0,_xlpm.ReplaceReq&gt;0),
Error!$B$31,
IF(AND(_xlpm.baseRow,$D86&lt;&gt;"",$E86&lt;&gt;"",$G86&lt;&gt;"",_xlpm.DecBroad&gt;0,OR(_xlpm.Points&gt;0,_xlpm.Green&gt;0,_xlpm.ReplaceReq&gt;0),_xlpm.Street=0,$G86&lt;1.5),
Error!$B$42,
IF(AND(_xlpm.baseRow,$D86&lt;&gt;"",$E86&lt;&gt;"",$H86&lt;&gt;"",$H86&lt;4,_xlpm.Street&gt;0,_xlpm.Green&gt;0,COUNTA(_xlpm.FRange)&gt;0),
Error!$B$32,
IF(AND(_xlpm.baseRow,$G86="",_xlpm.ECA&gt;0,_xlpm.DecBroad&gt;0,_xlpm.ReplaceReq&gt;0),
Error!$B$52,
IF(AND(_xlpm.baseRow,$E86&lt;&gt;"", $H86="",_xlpm.ECA&gt;0,_xlpm.Coniferous&gt;0,_xlpm.ReplaceReq&gt;0),
Error!$B$53,
IF(AND(_xlpm.baseRow,$G86="",$H86="",_xlpm.ECA&gt;0,_xlpm.ReplaceReq&gt;0),
Error!$B$39,
IF(AND(_xlpm.baseRow,$D86&lt;&gt;"",$E86&lt;&gt;"",$G86="",$H86="",_xlpm.Coniferous&gt;0,_xlpm.ReplaceReq&gt;0,_xlpm.ECA&gt;0),
Error!$B$50,
IF(AND(_xlpm.baseRow,$D86&lt;&gt;"",$E86&lt;&gt;"",$G86&lt;&gt;"",_xlpm.Street&gt;0,$G86&lt;2),
Error!$B$43,
IF(AND(_xlpm.baseRow,$D86&lt;&gt;"",$E86&lt;&gt;"",_xlpm.Green&gt;0,_xlpm.DecBroad&gt;0,$G86=""),
Error!$B$49,
IF(AND(_xlpm.baseRow,$D86&lt;&gt;"",$E86&lt;&gt;"",$H86&lt;&gt;"",$H86&lt;4,_xlpm.Green&gt;0,_xlpm.DecBroad&gt;0,$G86=""),
Error!$B$51,
IF(AND(_xlpm.baseRow,$D86&lt;&gt;"",$E86&lt;&gt;"",_xlpm.Green&gt;0,_xlpm.Coniferous&gt;0,$H86=""),
Error!$B$50,
IF(AND(_xlpm.baseRow,$D86&lt;&gt;"",$E86&lt;&gt;"",_xlpm.Points&gt;0,_xlpm.DecBroad&gt;0,$G86=""),
Error!$B$49,
IF(AND(_xlpm.baseRow,$D86&lt;&gt;"",$E86&lt;&gt;"",_xlpm.Points&gt;0,_xlpm.Coniferous&gt;0,$H86=""),
Error!$B$50,
IF(AND(_xlpm.baseRow,$D86&lt;&gt;"",$E86&lt;&gt;"",_xlpm.ReplaceReq&gt;0,_xlpm.DecBroad&gt;0,$G86=""),
Error!$B$49,
IF(AND(_xlpm.baseRow,$D86&lt;&gt;"",$E86&lt;&gt;"",_xlpm.ReplaceReq&gt;0,_xlpm.Coniferous&gt;0,$H86=""),
Error!$B$50,
IF(AND(_xlpm.baseRow,$D86&lt;&gt;"",$E86&lt;&gt;"",_xlpm.Street&gt;0,$G86=""),
Error!$B$49,
IF(AND(_xlpm.baseRow,$D86&lt;&gt;"",$E86&lt;&gt;"",$H86&lt;&gt;"",$H86&lt;4,OR(ISNA(MATCH($C86,'Tree List'!$C$3:$C$601,0)),$C86=""),_xlpm.Green&gt;0,COUNTA(_xlpm.FRange)&gt;0),
Error!$B$51,
IF(AND(_xlpm.baseRow,$D86&lt;&gt;"",$E86&lt;&gt;"",$H86&lt;&gt;"",$H86&lt;4,_xlpm.DecBroad&gt;0,_xlpm.Green&gt;0,COUNTA(_xlpm.FRange)&gt;0),
Error!$B$51,
IF(AND(_xlpm.baseRow,$D86&lt;&gt;"",$E86&lt;&gt;"",$G86="",$H86="",OR(_xlpm.ReplaceReq&gt;0,_xlpm.Green&gt;0,_xlpm.Points&gt;0,_xlpm.Street&gt;0)),
Error!$B$38,
IF(AND(_xlpm.baseRow,$D86&lt;&gt;"",$E86&lt;&gt;"",$H86&lt;&gt;"",$H86&lt;4,_xlpm.Street=0,_xlpm.Coniferous&gt;0,COUNTA(_xlpm.FRange)&gt;0),
Error!$B$32,
IF(AND(_xlpm.baseRow,_xlpm.DecBroad&gt;0,$D86&lt;&gt;"",$E86&lt;&gt;"",$G86&lt;&gt;"",$G86&lt;1.5,_xlpm.Street=0,COUNTA(_xlpm.FRange)&gt;0),
Error!$B$42,
IF(AND(_xlpm.baseRow,$I86="",$H86="",_xlpm.ECA&gt;0,_xlpm.ReplaceReq=0),
Error!$B$33,
IF(AND(_xlpm.baseRow,OR($J86="",$J86&lt;=0),_xlpm.ReplaceReq&gt;0),
Error!$B$34,
IF(AND(_xlpm.baseRow,$K86&lt;&gt;"",_xlpm.Points&gt;0,ISNA(MATCH($K86,Tables!$B$242:$B$253,0))),
Error!$B$58,
IF(AND($K86="Small",$L86&lt;&gt;"",ISNA(MATCH($L86,Tables2!$C$35:$C$36,0))),
Error!$B$60,
IF(AND($K86="Small/Medium",$L86&lt;&gt;"",ISNA(MATCH($L86,Tables2!$C$38:$C$39,0))),
Error!$B$60,
IF(AND($K86="Medium/Large",$L86&lt;&gt;"",ISNA(MATCH($L86,Tables2!$C$41:$C$42,0))),
Error!$B$60,
IF(AND($K86="Large",$L86&lt;&gt;"",ISNA(MATCH($L86,Tables2!$C$44:$C$45,0))),
Error!$B$60,
IF(AND(_xlpm.baseRow,$B86&lt;&gt;"", $C86&lt;&gt;"", $D86&lt;&gt;"", $E86&lt;&gt;"", OR($M86="",$K86="",$L86=""),_xlpm.Points&gt;0),
Error!$B$35,
IF(AND(_xlpm.baseRow,$D86&lt;&gt;"",$E86&lt;&gt;"",$N86=""),
Error!$B$36,
""))))))))))))))))))))))))))))))))))))))))))),Error!$B$37))</f>
        <v/>
      </c>
      <c r="P86" s="355" t="str" cm="1">
        <f t="array" aca="1" ref="P86" ca="1">IFERROR(_xlfn.LET(
    _xlpm.txt, $C86,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7" spans="1:16" ht="15" thickBot="1" x14ac:dyDescent="0.35">
      <c r="A87" s="437">
        <v>20</v>
      </c>
      <c r="B87" s="447"/>
      <c r="C87" s="444"/>
      <c r="D87" s="296"/>
      <c r="E87" s="296"/>
      <c r="F87" s="304"/>
      <c r="G87" s="257"/>
      <c r="H87" s="181"/>
      <c r="I87" s="178"/>
      <c r="J87" s="457"/>
      <c r="K87" s="172" t="str">
        <f>IFERROR(
IF(
    AND(
        MOD(ROW()-11,4)=0,
        COUNTIF(INDEX(F:F, 11 + 4*INT((ROW()-11)/4)):INDEX(F:F, 14 + 4*INT((ROW()-11)/4)),"Zoning: Tree Points")&gt;0,
        COUNTIFS('Tree List'!$C$3:$C$601,$C87,'Tree List'!$H$3:$H$601,"sp.")=0
    ),
    VLOOKUP($C87,'Tree List'!$C$3:$F$601,4,FALSE),
    ""
),
"")</f>
        <v/>
      </c>
      <c r="L87" s="173" t="str" cm="1">
        <f t="array" ref="L87">IFERROR(
IF(
    AND(
        COUNTIF(INDEX(F:F, 11 + 4*INT((ROW()-11)/4)):INDEX(F:F, 14 + 4*INT((ROW()-11)/4)),"Zoning: Tree Points")&gt;0,
        COUNTIFS('Tree List'!$C$3:$C$601,$C87,'Tree List'!$H$3:$H$601,"sp.")&gt;0
    ),
    "",
    _xlfn.IFS(
        (COUNTIFS('Tree List'!$C$3:$C$601,$C87,'Tree List'!$D$3:$D$601,"Coniferous")
        + COUNTIFS('Tree List'!$C$3:$C$601,$C87,'Tree List'!$D$3:$D$601,"Deciduous Conifer")) &gt; 0,
            _xlfn.IFS($K87="Small",1.25,$K87="Small/Medium",2.5,$K87="Medium/Large",3.75,$K87="Large",5),
        (COUNTIFS('Tree List'!$C$3:$C$601,$C87,'Tree List'!$D$3:$D$601,"Deciduous")
        + COUNTIFS('Tree List'!$C$3:$C$601,$C87,'Tree List'!$D$3:$D$601,"Broadleaf Evergreen")) &gt; 0,
            _xlfn.IFS($K87="Small",1,$K87="Small/Medium",2,$K87="Medium/Large",3,$K87="Large",4)
    )
),
"")</f>
        <v/>
      </c>
      <c r="M87" s="470" t="str">
        <f t="shared" ref="M87" si="84">IFERROR($L87*$N87,"")</f>
        <v/>
      </c>
      <c r="N87" s="744"/>
      <c r="O87" s="737" t="str" cm="1">
        <f t="array" aca="1" ref="O87"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List'!$C$3:$C$601,$C87,'Tree List'!$D$3:$D$601,{"Deciduous","Broadleaf Evergreen"})),
_xlpm.Coniferous,SUM(COUNTIFS('Tree List'!$C$3:$C$601,$C87,'Tree List'!$D$3:$D$601,{"Coniferous","Deciduous Conifer"})),
IFERROR(
IF(AND(_xlpm.baseRow,ISNA(MATCH($C87,'Tree List'!$C$3:$C$601,0)),SUMPRODUCT(--ISNUMBER(SEARCH(Tables2!$C$677:$C$825,$P87)))&gt;0),
Error!$B$64,
IF(AND(_xlpm.baseRow,COUNTIF(_xlpm.FRange,"ECA / Shoreline")&gt;0,$D87&lt;&gt;"",$E87&lt;&gt;"",$N87=""),
Error!$B$55,
IF(AND(_xlpm.baseRow,$D87&lt;&gt;"",$E87&lt;&gt;"",COUNTBLANK($B87:$C87)&gt;0,COUNTBLANK($F87:$F90)&lt;&gt;4),
Error!$B$22,
IF(AND(_xlpm.baseRow,$D87="Right-of-Way", $E87=""),
Error!$B$67,
IF(AND(_xlpm.baseRow,$D87&lt;&gt;"",ISNA(MATCH($D87,Tables2!$B$66:$B$68,0))),
Error!$B$63,
IF(AND(_xlpm.baseRow,$D87="Off Site",$E87&lt;&gt;"",$E87&lt;&gt;"Yes"),
Error!$B$28,
IF(AND(_xlpm.baseRow,OR($D87="On Site",$D87="Right-of-Way"),$E87&lt;&gt;"",ISNA(MATCH($E87,MultiSelect2[TreeMitigation],0))),
Error!$B$28,
IF(AND(_xlpm.baseRow,$D87&lt;&gt;"",$E87&lt;&gt;"",COUNTIF(_xlpm.FRange,"&lt;&gt;")=0),
Error!$B$26,
IF(AND($E87="No",$F87&lt;&gt;"",ISNA(MATCH($F87,Tables2!$B$55:$B$57,0))),
Error!$B$27,
IF(AND($E87="Yes",$F87&lt;&gt;"",ISNA(MATCH($F87,Tables2!$B$48:$B$52,0))),
Error!$B$27,
IF(AND($D87="Off Site",$E87="Yes",$F87&lt;&gt;"",ISNA(MATCH($F87,Tables2!$B$60:$B$62,0))),
Error!$B$27,
IF(AND(_xlpm.baseRow,_xlpm.Street&gt;0,_xlpm.ECA&gt;0),
Error!$B$29,
IF(AND(_xlpm.baseRow,_xlpm.Street&gt;0,_xlpm.Points&gt;0),
Error!$B$30,
IF(AND(_xlpm.baseRow,_xlpm.Street&gt;0,_xlpm.ReplaceReq&gt;0),
Error!$B$31,
IF(AND(_xlpm.baseRow,$D87&lt;&gt;"",$E87&lt;&gt;"",$G87&lt;&gt;"",_xlpm.DecBroad&gt;0,OR(_xlpm.Points&gt;0,_xlpm.Green&gt;0,_xlpm.ReplaceReq&gt;0),_xlpm.Street=0,$G87&lt;1.5),
Error!$B$42,
IF(AND(_xlpm.baseRow,$D87&lt;&gt;"",$E87&lt;&gt;"",$H87&lt;&gt;"",$H87&lt;4,_xlpm.Street&gt;0,_xlpm.Green&gt;0,COUNTA(_xlpm.FRange)&gt;0),
Error!$B$32,
IF(AND(_xlpm.baseRow,$G87="",_xlpm.ECA&gt;0,_xlpm.DecBroad&gt;0,_xlpm.ReplaceReq&gt;0),
Error!$B$52,
IF(AND(_xlpm.baseRow,$E87&lt;&gt;"", $H87="",_xlpm.ECA&gt;0,_xlpm.Coniferous&gt;0,_xlpm.ReplaceReq&gt;0),
Error!$B$53,
IF(AND(_xlpm.baseRow,$G87="",$H87="",_xlpm.ECA&gt;0,_xlpm.ReplaceReq&gt;0),
Error!$B$39,
IF(AND(_xlpm.baseRow,$D87&lt;&gt;"",$E87&lt;&gt;"",$G87="",$H87="",_xlpm.Coniferous&gt;0,_xlpm.ReplaceReq&gt;0,_xlpm.ECA&gt;0),
Error!$B$50,
IF(AND(_xlpm.baseRow,$D87&lt;&gt;"",$E87&lt;&gt;"",$G87&lt;&gt;"",_xlpm.Street&gt;0,$G87&lt;2),
Error!$B$43,
IF(AND(_xlpm.baseRow,$D87&lt;&gt;"",$E87&lt;&gt;"",_xlpm.Green&gt;0,_xlpm.DecBroad&gt;0,$G87=""),
Error!$B$49,
IF(AND(_xlpm.baseRow,$D87&lt;&gt;"",$E87&lt;&gt;"",$H87&lt;&gt;"",$H87&lt;4,_xlpm.Green&gt;0,_xlpm.DecBroad&gt;0,$G87=""),
Error!$B$51,
IF(AND(_xlpm.baseRow,$D87&lt;&gt;"",$E87&lt;&gt;"",_xlpm.Green&gt;0,_xlpm.Coniferous&gt;0,$H87=""),
Error!$B$50,
IF(AND(_xlpm.baseRow,$D87&lt;&gt;"",$E87&lt;&gt;"",_xlpm.Points&gt;0,_xlpm.DecBroad&gt;0,$G87=""),
Error!$B$49,
IF(AND(_xlpm.baseRow,$D87&lt;&gt;"",$E87&lt;&gt;"",_xlpm.Points&gt;0,_xlpm.Coniferous&gt;0,$H87=""),
Error!$B$50,
IF(AND(_xlpm.baseRow,$D87&lt;&gt;"",$E87&lt;&gt;"",_xlpm.ReplaceReq&gt;0,_xlpm.DecBroad&gt;0,$G87=""),
Error!$B$49,
IF(AND(_xlpm.baseRow,$D87&lt;&gt;"",$E87&lt;&gt;"",_xlpm.ReplaceReq&gt;0,_xlpm.Coniferous&gt;0,$H87=""),
Error!$B$50,
IF(AND(_xlpm.baseRow,$D87&lt;&gt;"",$E87&lt;&gt;"",_xlpm.Street&gt;0,$G87=""),
Error!$B$49,
IF(AND(_xlpm.baseRow,$D87&lt;&gt;"",$E87&lt;&gt;"",$H87&lt;&gt;"",$H87&lt;4,OR(ISNA(MATCH($C87,'Tree List'!$C$3:$C$601,0)),$C87=""),_xlpm.Green&gt;0,COUNTA(_xlpm.FRange)&gt;0),
Error!$B$51,
IF(AND(_xlpm.baseRow,$D87&lt;&gt;"",$E87&lt;&gt;"",$H87&lt;&gt;"",$H87&lt;4,_xlpm.DecBroad&gt;0,_xlpm.Green&gt;0,COUNTA(_xlpm.FRange)&gt;0),
Error!$B$51,
IF(AND(_xlpm.baseRow,$D87&lt;&gt;"",$E87&lt;&gt;"",$G87="",$H87="",OR(_xlpm.ReplaceReq&gt;0,_xlpm.Green&gt;0,_xlpm.Points&gt;0,_xlpm.Street&gt;0)),
Error!$B$38,
IF(AND(_xlpm.baseRow,$D87&lt;&gt;"",$E87&lt;&gt;"",$H87&lt;&gt;"",$H87&lt;4,_xlpm.Street=0,_xlpm.Coniferous&gt;0,COUNTA(_xlpm.FRange)&gt;0),
Error!$B$32,
IF(AND(_xlpm.baseRow,_xlpm.DecBroad&gt;0,$D87&lt;&gt;"",$E87&lt;&gt;"",$G87&lt;&gt;"",$G87&lt;1.5,_xlpm.Street=0,COUNTA(_xlpm.FRange)&gt;0),
Error!$B$42,
IF(AND(_xlpm.baseRow,$I87="",$H87="",_xlpm.ECA&gt;0,_xlpm.ReplaceReq=0),
Error!$B$33,
IF(AND(_xlpm.baseRow,OR($J87="",$J87&lt;=0),_xlpm.ReplaceReq&gt;0),
Error!$B$34,
IF(AND(_xlpm.baseRow,$K87&lt;&gt;"",_xlpm.Points&gt;0,ISNA(MATCH($K87,Tables!$B$242:$B$253,0))),
Error!$B$58,
IF(AND($K87="Small",$L87&lt;&gt;"",ISNA(MATCH($L87,Tables2!$C$35:$C$36,0))),
Error!$B$60,
IF(AND($K87="Small/Medium",$L87&lt;&gt;"",ISNA(MATCH($L87,Tables2!$C$38:$C$39,0))),
Error!$B$60,
IF(AND($K87="Medium/Large",$L87&lt;&gt;"",ISNA(MATCH($L87,Tables2!$C$41:$C$42,0))),
Error!$B$60,
IF(AND($K87="Large",$L87&lt;&gt;"",ISNA(MATCH($L87,Tables2!$C$44:$C$45,0))),
Error!$B$60,
IF(AND(_xlpm.baseRow,$B87&lt;&gt;"", $C87&lt;&gt;"", $D87&lt;&gt;"", $E87&lt;&gt;"", OR($M87="",$K87="",$L87=""),_xlpm.Points&gt;0),
Error!$B$35,
IF(AND(_xlpm.baseRow,$D87&lt;&gt;"",$E87&lt;&gt;"",$N87=""),
Error!$B$36,
""))))))))))))))))))))))))))))))))))))))))))),Error!$B$37))</f>
        <v/>
      </c>
      <c r="P87" s="355" t="str" cm="1">
        <f t="array" aca="1" ref="P87" ca="1">IFERROR(_xlfn.LET(
    _xlpm.txt, $C87,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8" spans="1:16" x14ac:dyDescent="0.3">
      <c r="A88" s="297"/>
      <c r="B88" s="439" t="str">
        <f t="shared" ref="B88" si="85">IF($B87="", "", $B87)</f>
        <v/>
      </c>
      <c r="C88" s="309"/>
      <c r="D88" s="157" t="str">
        <f t="shared" ref="D88" si="86">IF($D87="", "", $D87)</f>
        <v/>
      </c>
      <c r="E88" s="157" t="str">
        <f t="shared" ref="E88" si="87">IF($E87="", "", $E87)</f>
        <v/>
      </c>
      <c r="F88" s="300"/>
      <c r="G88" s="159"/>
      <c r="H88" s="182"/>
      <c r="I88" s="179"/>
      <c r="J88" s="458"/>
      <c r="K88" s="174" t="str">
        <f>IFERROR(
IF(
    AND(
        MOD(ROW()-11,4)=0,
        COUNTIF(INDEX(F:F, 11 + 4*INT((ROW()-11)/4)):INDEX(F:F, 14 + 4*INT((ROW()-11)/4)),"Zoning: Tree Points")&gt;0,
        COUNTIFS('Tree List'!$C$3:$C$601,$C88,'Tree List'!$H$3:$H$601,"sp.")=0
    ),
    VLOOKUP($C88,'Tree List'!$C$3:$F$601,4,FALSE),
    ""
),
"")</f>
        <v/>
      </c>
      <c r="L88" s="175" t="str" cm="1">
        <f t="array" ref="L88">IFERROR(
IF(
    AND(
        COUNTIF(INDEX(F:F, 11 + 4*INT((ROW()-11)/4)):INDEX(F:F, 14 + 4*INT((ROW()-11)/4)),"Zoning: Tree Points")&gt;0,
        COUNTIFS('Tree List'!$C$3:$C$601,$C88,'Tree List'!$H$3:$H$601,"sp.")&gt;0
    ),
    "",
    _xlfn.IFS(
        (COUNTIFS('Tree List'!$C$3:$C$601,$C88,'Tree List'!$D$3:$D$601,"Coniferous")
        + COUNTIFS('Tree List'!$C$3:$C$601,$C88,'Tree List'!$D$3:$D$601,"Deciduous Conifer")) &gt; 0,
            _xlfn.IFS($K88="Small",1.25,$K88="Small/Medium",2.5,$K88="Medium/Large",3.75,$K88="Large",5),
        (COUNTIFS('Tree List'!$C$3:$C$601,$C88,'Tree List'!$D$3:$D$601,"Deciduous")
        + COUNTIFS('Tree List'!$C$3:$C$601,$C88,'Tree List'!$D$3:$D$601,"Broadleaf Evergreen")) &gt; 0,
            _xlfn.IFS($K88="Small",1,$K88="Small/Medium",2,$K88="Medium/Large",3,$K88="Large",4)
    )
),
"")</f>
        <v/>
      </c>
      <c r="M88" s="471" t="str">
        <f t="shared" ref="M88:M90" si="88">IFERROR($L88*$N88,"")</f>
        <v/>
      </c>
      <c r="N88" s="434"/>
      <c r="O88" s="340" t="str" cm="1">
        <f t="array" aca="1" ref="O88"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List'!$C$3:$C$601,$C88,'Tree List'!$D$3:$D$601,{"Deciduous","Broadleaf Evergreen"})),
_xlpm.Coniferous,SUM(COUNTIFS('Tree List'!$C$3:$C$601,$C88,'Tree List'!$D$3:$D$601,{"Coniferous","Deciduous Conifer"})),
IFERROR(
IF(AND(_xlpm.baseRow,ISNA(MATCH($C88,'Tree List'!$C$3:$C$601,0)),SUMPRODUCT(--ISNUMBER(SEARCH(Tables2!$C$677:$C$825,$P88)))&gt;0),
Error!$B$64,
IF(AND(_xlpm.baseRow,COUNTIF(_xlpm.FRange,"ECA / Shoreline")&gt;0,$D88&lt;&gt;"",$E88&lt;&gt;"",$N88=""),
Error!$B$55,
IF(AND(_xlpm.baseRow,$D88&lt;&gt;"",$E88&lt;&gt;"",COUNTBLANK($B88:$C88)&gt;0,COUNTBLANK($F88:$F91)&lt;&gt;4),
Error!$B$22,
IF(AND(_xlpm.baseRow,$D88="Right-of-Way", $E88=""),
Error!$B$67,
IF(AND(_xlpm.baseRow,$D88&lt;&gt;"",ISNA(MATCH($D88,Tables2!$B$66:$B$68,0))),
Error!$B$63,
IF(AND(_xlpm.baseRow,$D88="Off Site",$E88&lt;&gt;"",$E88&lt;&gt;"Yes"),
Error!$B$28,
IF(AND(_xlpm.baseRow,OR($D88="On Site",$D88="Right-of-Way"),$E88&lt;&gt;"",ISNA(MATCH($E88,MultiSelect2[TreeMitigation],0))),
Error!$B$28,
IF(AND(_xlpm.baseRow,$D88&lt;&gt;"",$E88&lt;&gt;"",COUNTIF(_xlpm.FRange,"&lt;&gt;")=0),
Error!$B$26,
IF(AND($E88="No",$F88&lt;&gt;"",ISNA(MATCH($F88,Tables2!$B$55:$B$57,0))),
Error!$B$27,
IF(AND($E88="Yes",$F88&lt;&gt;"",ISNA(MATCH($F88,Tables2!$B$48:$B$52,0))),
Error!$B$27,
IF(AND($D88="Off Site",$E88="Yes",$F88&lt;&gt;"",ISNA(MATCH($F88,Tables2!$B$60:$B$62,0))),
Error!$B$27,
IF(AND(_xlpm.baseRow,_xlpm.Street&gt;0,_xlpm.ECA&gt;0),
Error!$B$29,
IF(AND(_xlpm.baseRow,_xlpm.Street&gt;0,_xlpm.Points&gt;0),
Error!$B$30,
IF(AND(_xlpm.baseRow,_xlpm.Street&gt;0,_xlpm.ReplaceReq&gt;0),
Error!$B$31,
IF(AND(_xlpm.baseRow,$D88&lt;&gt;"",$E88&lt;&gt;"",$G88&lt;&gt;"",_xlpm.DecBroad&gt;0,OR(_xlpm.Points&gt;0,_xlpm.Green&gt;0,_xlpm.ReplaceReq&gt;0),_xlpm.Street=0,$G88&lt;1.5),
Error!$B$42,
IF(AND(_xlpm.baseRow,$D88&lt;&gt;"",$E88&lt;&gt;"",$H88&lt;&gt;"",$H88&lt;4,_xlpm.Street&gt;0,_xlpm.Green&gt;0,COUNTA(_xlpm.FRange)&gt;0),
Error!$B$32,
IF(AND(_xlpm.baseRow,$G88="",_xlpm.ECA&gt;0,_xlpm.DecBroad&gt;0,_xlpm.ReplaceReq&gt;0),
Error!$B$52,
IF(AND(_xlpm.baseRow,$E88&lt;&gt;"", $H88="",_xlpm.ECA&gt;0,_xlpm.Coniferous&gt;0,_xlpm.ReplaceReq&gt;0),
Error!$B$53,
IF(AND(_xlpm.baseRow,$G88="",$H88="",_xlpm.ECA&gt;0,_xlpm.ReplaceReq&gt;0),
Error!$B$39,
IF(AND(_xlpm.baseRow,$D88&lt;&gt;"",$E88&lt;&gt;"",$G88="",$H88="",_xlpm.Coniferous&gt;0,_xlpm.ReplaceReq&gt;0,_xlpm.ECA&gt;0),
Error!$B$50,
IF(AND(_xlpm.baseRow,$D88&lt;&gt;"",$E88&lt;&gt;"",$G88&lt;&gt;"",_xlpm.Street&gt;0,$G88&lt;2),
Error!$B$43,
IF(AND(_xlpm.baseRow,$D88&lt;&gt;"",$E88&lt;&gt;"",_xlpm.Green&gt;0,_xlpm.DecBroad&gt;0,$G88=""),
Error!$B$49,
IF(AND(_xlpm.baseRow,$D88&lt;&gt;"",$E88&lt;&gt;"",$H88&lt;&gt;"",$H88&lt;4,_xlpm.Green&gt;0,_xlpm.DecBroad&gt;0,$G88=""),
Error!$B$51,
IF(AND(_xlpm.baseRow,$D88&lt;&gt;"",$E88&lt;&gt;"",_xlpm.Green&gt;0,_xlpm.Coniferous&gt;0,$H88=""),
Error!$B$50,
IF(AND(_xlpm.baseRow,$D88&lt;&gt;"",$E88&lt;&gt;"",_xlpm.Points&gt;0,_xlpm.DecBroad&gt;0,$G88=""),
Error!$B$49,
IF(AND(_xlpm.baseRow,$D88&lt;&gt;"",$E88&lt;&gt;"",_xlpm.Points&gt;0,_xlpm.Coniferous&gt;0,$H88=""),
Error!$B$50,
IF(AND(_xlpm.baseRow,$D88&lt;&gt;"",$E88&lt;&gt;"",_xlpm.ReplaceReq&gt;0,_xlpm.DecBroad&gt;0,$G88=""),
Error!$B$49,
IF(AND(_xlpm.baseRow,$D88&lt;&gt;"",$E88&lt;&gt;"",_xlpm.ReplaceReq&gt;0,_xlpm.Coniferous&gt;0,$H88=""),
Error!$B$50,
IF(AND(_xlpm.baseRow,$D88&lt;&gt;"",$E88&lt;&gt;"",_xlpm.Street&gt;0,$G88=""),
Error!$B$49,
IF(AND(_xlpm.baseRow,$D88&lt;&gt;"",$E88&lt;&gt;"",$H88&lt;&gt;"",$H88&lt;4,OR(ISNA(MATCH($C88,'Tree List'!$C$3:$C$601,0)),$C88=""),_xlpm.Green&gt;0,COUNTA(_xlpm.FRange)&gt;0),
Error!$B$51,
IF(AND(_xlpm.baseRow,$D88&lt;&gt;"",$E88&lt;&gt;"",$H88&lt;&gt;"",$H88&lt;4,_xlpm.DecBroad&gt;0,_xlpm.Green&gt;0,COUNTA(_xlpm.FRange)&gt;0),
Error!$B$51,
IF(AND(_xlpm.baseRow,$D88&lt;&gt;"",$E88&lt;&gt;"",$G88="",$H88="",OR(_xlpm.ReplaceReq&gt;0,_xlpm.Green&gt;0,_xlpm.Points&gt;0,_xlpm.Street&gt;0)),
Error!$B$38,
IF(AND(_xlpm.baseRow,$D88&lt;&gt;"",$E88&lt;&gt;"",$H88&lt;&gt;"",$H88&lt;4,_xlpm.Street=0,_xlpm.Coniferous&gt;0,COUNTA(_xlpm.FRange)&gt;0),
Error!$B$32,
IF(AND(_xlpm.baseRow,_xlpm.DecBroad&gt;0,$D88&lt;&gt;"",$E88&lt;&gt;"",$G88&lt;&gt;"",$G88&lt;1.5,_xlpm.Street=0,COUNTA(_xlpm.FRange)&gt;0),
Error!$B$42,
IF(AND(_xlpm.baseRow,$I88="",$H88="",_xlpm.ECA&gt;0,_xlpm.ReplaceReq=0),
Error!$B$33,
IF(AND(_xlpm.baseRow,OR($J88="",$J88&lt;=0),_xlpm.ReplaceReq&gt;0),
Error!$B$34,
IF(AND(_xlpm.baseRow,$K88&lt;&gt;"",_xlpm.Points&gt;0,ISNA(MATCH($K88,Tables!$B$242:$B$253,0))),
Error!$B$58,
IF(AND($K88="Small",$L88&lt;&gt;"",ISNA(MATCH($L88,Tables2!$C$35:$C$36,0))),
Error!$B$60,
IF(AND($K88="Small/Medium",$L88&lt;&gt;"",ISNA(MATCH($L88,Tables2!$C$38:$C$39,0))),
Error!$B$60,
IF(AND($K88="Medium/Large",$L88&lt;&gt;"",ISNA(MATCH($L88,Tables2!$C$41:$C$42,0))),
Error!$B$60,
IF(AND($K88="Large",$L88&lt;&gt;"",ISNA(MATCH($L88,Tables2!$C$44:$C$45,0))),
Error!$B$60,
IF(AND(_xlpm.baseRow,$B88&lt;&gt;"", $C88&lt;&gt;"", $D88&lt;&gt;"", $E88&lt;&gt;"", OR($M88="",$K88="",$L88=""),_xlpm.Points&gt;0),
Error!$B$35,
IF(AND(_xlpm.baseRow,$D88&lt;&gt;"",$E88&lt;&gt;"",$N88=""),
Error!$B$36,
""))))))))))))))))))))))))))))))))))))))))))),Error!$B$37))</f>
        <v/>
      </c>
      <c r="P88" s="355" t="str" cm="1">
        <f t="array" aca="1" ref="P88" ca="1">IFERROR(_xlfn.LET(
    _xlpm.txt, $C88,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89" spans="1:16" x14ac:dyDescent="0.3">
      <c r="A89" s="297"/>
      <c r="B89" s="439" t="str">
        <f t="shared" ref="B89" si="89">IF($B87="", "", $B87)</f>
        <v/>
      </c>
      <c r="C89" s="438"/>
      <c r="D89" s="439" t="str">
        <f t="shared" ref="D89" si="90">IF($D87="", "", $D87)</f>
        <v/>
      </c>
      <c r="E89" s="439" t="str">
        <f t="shared" ref="E89" si="91">IF($E87="", "", $E87)</f>
        <v/>
      </c>
      <c r="F89" s="300"/>
      <c r="G89" s="160"/>
      <c r="H89" s="440"/>
      <c r="I89" s="441"/>
      <c r="J89" s="459"/>
      <c r="K89" s="442" t="str">
        <f>IFERROR(
IF(
    AND(
        MOD(ROW()-11,4)=0,
        COUNTIF(INDEX(F:F, 11 + 4*INT((ROW()-11)/4)):INDEX(F:F, 14 + 4*INT((ROW()-11)/4)),"Zoning: Tree Points")&gt;0,
        COUNTIFS('Tree List'!$C$3:$C$601,$C89,'Tree List'!$H$3:$H$601,"sp.")=0
    ),
    VLOOKUP($C89,'Tree List'!$C$3:$F$601,4,FALSE),
    ""
),
"")</f>
        <v/>
      </c>
      <c r="L89" s="443" t="str" cm="1">
        <f t="array" ref="L89">IFERROR(
IF(
    AND(
        COUNTIF(INDEX(F:F, 11 + 4*INT((ROW()-11)/4)):INDEX(F:F, 14 + 4*INT((ROW()-11)/4)),"Zoning: Tree Points")&gt;0,
        COUNTIFS('Tree List'!$C$3:$C$601,$C89,'Tree List'!$H$3:$H$601,"sp.")&gt;0
    ),
    "",
    _xlfn.IFS(
        (COUNTIFS('Tree List'!$C$3:$C$601,$C89,'Tree List'!$D$3:$D$601,"Coniferous")
        + COUNTIFS('Tree List'!$C$3:$C$601,$C89,'Tree List'!$D$3:$D$601,"Deciduous Conifer")) &gt; 0,
            _xlfn.IFS($K89="Small",1.25,$K89="Small/Medium",2.5,$K89="Medium/Large",3.75,$K89="Large",5),
        (COUNTIFS('Tree List'!$C$3:$C$601,$C89,'Tree List'!$D$3:$D$601,"Deciduous")
        + COUNTIFS('Tree List'!$C$3:$C$601,$C89,'Tree List'!$D$3:$D$601,"Broadleaf Evergreen")) &gt; 0,
            _xlfn.IFS($K89="Small",1,$K89="Small/Medium",2,$K89="Medium/Large",3,$K89="Large",4)
    )
),
"")</f>
        <v/>
      </c>
      <c r="M89" s="472" t="str">
        <f t="shared" si="88"/>
        <v/>
      </c>
      <c r="N89" s="434"/>
      <c r="O89" s="340" t="str" cm="1">
        <f t="array" aca="1" ref="O89"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List'!$C$3:$C$601,$C89,'Tree List'!$D$3:$D$601,{"Deciduous","Broadleaf Evergreen"})),
_xlpm.Coniferous,SUM(COUNTIFS('Tree List'!$C$3:$C$601,$C89,'Tree List'!$D$3:$D$601,{"Coniferous","Deciduous Conifer"})),
IFERROR(
IF(AND(_xlpm.baseRow,ISNA(MATCH($C89,'Tree List'!$C$3:$C$601,0)),SUMPRODUCT(--ISNUMBER(SEARCH(Tables2!$C$677:$C$825,$P89)))&gt;0),
Error!$B$64,
IF(AND(_xlpm.baseRow,COUNTIF(_xlpm.FRange,"ECA / Shoreline")&gt;0,$D89&lt;&gt;"",$E89&lt;&gt;"",$N89=""),
Error!$B$55,
IF(AND(_xlpm.baseRow,$D89&lt;&gt;"",$E89&lt;&gt;"",COUNTBLANK($B89:$C89)&gt;0,COUNTBLANK($F89:$F92)&lt;&gt;4),
Error!$B$22,
IF(AND(_xlpm.baseRow,$D89="Right-of-Way", $E89=""),
Error!$B$67,
IF(AND(_xlpm.baseRow,$D89&lt;&gt;"",ISNA(MATCH($D89,Tables2!$B$66:$B$68,0))),
Error!$B$63,
IF(AND(_xlpm.baseRow,$D89="Off Site",$E89&lt;&gt;"",$E89&lt;&gt;"Yes"),
Error!$B$28,
IF(AND(_xlpm.baseRow,OR($D89="On Site",$D89="Right-of-Way"),$E89&lt;&gt;"",ISNA(MATCH($E89,MultiSelect2[TreeMitigation],0))),
Error!$B$28,
IF(AND(_xlpm.baseRow,$D89&lt;&gt;"",$E89&lt;&gt;"",COUNTIF(_xlpm.FRange,"&lt;&gt;")=0),
Error!$B$26,
IF(AND($E89="No",$F89&lt;&gt;"",ISNA(MATCH($F89,Tables2!$B$55:$B$57,0))),
Error!$B$27,
IF(AND($E89="Yes",$F89&lt;&gt;"",ISNA(MATCH($F89,Tables2!$B$48:$B$52,0))),
Error!$B$27,
IF(AND($D89="Off Site",$E89="Yes",$F89&lt;&gt;"",ISNA(MATCH($F89,Tables2!$B$60:$B$62,0))),
Error!$B$27,
IF(AND(_xlpm.baseRow,_xlpm.Street&gt;0,_xlpm.ECA&gt;0),
Error!$B$29,
IF(AND(_xlpm.baseRow,_xlpm.Street&gt;0,_xlpm.Points&gt;0),
Error!$B$30,
IF(AND(_xlpm.baseRow,_xlpm.Street&gt;0,_xlpm.ReplaceReq&gt;0),
Error!$B$31,
IF(AND(_xlpm.baseRow,$D89&lt;&gt;"",$E89&lt;&gt;"",$G89&lt;&gt;"",_xlpm.DecBroad&gt;0,OR(_xlpm.Points&gt;0,_xlpm.Green&gt;0,_xlpm.ReplaceReq&gt;0),_xlpm.Street=0,$G89&lt;1.5),
Error!$B$42,
IF(AND(_xlpm.baseRow,$D89&lt;&gt;"",$E89&lt;&gt;"",$H89&lt;&gt;"",$H89&lt;4,_xlpm.Street&gt;0,_xlpm.Green&gt;0,COUNTA(_xlpm.FRange)&gt;0),
Error!$B$32,
IF(AND(_xlpm.baseRow,$G89="",_xlpm.ECA&gt;0,_xlpm.DecBroad&gt;0,_xlpm.ReplaceReq&gt;0),
Error!$B$52,
IF(AND(_xlpm.baseRow,$E89&lt;&gt;"", $H89="",_xlpm.ECA&gt;0,_xlpm.Coniferous&gt;0,_xlpm.ReplaceReq&gt;0),
Error!$B$53,
IF(AND(_xlpm.baseRow,$G89="",$H89="",_xlpm.ECA&gt;0,_xlpm.ReplaceReq&gt;0),
Error!$B$39,
IF(AND(_xlpm.baseRow,$D89&lt;&gt;"",$E89&lt;&gt;"",$G89="",$H89="",_xlpm.Coniferous&gt;0,_xlpm.ReplaceReq&gt;0,_xlpm.ECA&gt;0),
Error!$B$50,
IF(AND(_xlpm.baseRow,$D89&lt;&gt;"",$E89&lt;&gt;"",$G89&lt;&gt;"",_xlpm.Street&gt;0,$G89&lt;2),
Error!$B$43,
IF(AND(_xlpm.baseRow,$D89&lt;&gt;"",$E89&lt;&gt;"",_xlpm.Green&gt;0,_xlpm.DecBroad&gt;0,$G89=""),
Error!$B$49,
IF(AND(_xlpm.baseRow,$D89&lt;&gt;"",$E89&lt;&gt;"",$H89&lt;&gt;"",$H89&lt;4,_xlpm.Green&gt;0,_xlpm.DecBroad&gt;0,$G89=""),
Error!$B$51,
IF(AND(_xlpm.baseRow,$D89&lt;&gt;"",$E89&lt;&gt;"",_xlpm.Green&gt;0,_xlpm.Coniferous&gt;0,$H89=""),
Error!$B$50,
IF(AND(_xlpm.baseRow,$D89&lt;&gt;"",$E89&lt;&gt;"",_xlpm.Points&gt;0,_xlpm.DecBroad&gt;0,$G89=""),
Error!$B$49,
IF(AND(_xlpm.baseRow,$D89&lt;&gt;"",$E89&lt;&gt;"",_xlpm.Points&gt;0,_xlpm.Coniferous&gt;0,$H89=""),
Error!$B$50,
IF(AND(_xlpm.baseRow,$D89&lt;&gt;"",$E89&lt;&gt;"",_xlpm.ReplaceReq&gt;0,_xlpm.DecBroad&gt;0,$G89=""),
Error!$B$49,
IF(AND(_xlpm.baseRow,$D89&lt;&gt;"",$E89&lt;&gt;"",_xlpm.ReplaceReq&gt;0,_xlpm.Coniferous&gt;0,$H89=""),
Error!$B$50,
IF(AND(_xlpm.baseRow,$D89&lt;&gt;"",$E89&lt;&gt;"",_xlpm.Street&gt;0,$G89=""),
Error!$B$49,
IF(AND(_xlpm.baseRow,$D89&lt;&gt;"",$E89&lt;&gt;"",$H89&lt;&gt;"",$H89&lt;4,OR(ISNA(MATCH($C89,'Tree List'!$C$3:$C$601,0)),$C89=""),_xlpm.Green&gt;0,COUNTA(_xlpm.FRange)&gt;0),
Error!$B$51,
IF(AND(_xlpm.baseRow,$D89&lt;&gt;"",$E89&lt;&gt;"",$H89&lt;&gt;"",$H89&lt;4,_xlpm.DecBroad&gt;0,_xlpm.Green&gt;0,COUNTA(_xlpm.FRange)&gt;0),
Error!$B$51,
IF(AND(_xlpm.baseRow,$D89&lt;&gt;"",$E89&lt;&gt;"",$G89="",$H89="",OR(_xlpm.ReplaceReq&gt;0,_xlpm.Green&gt;0,_xlpm.Points&gt;0,_xlpm.Street&gt;0)),
Error!$B$38,
IF(AND(_xlpm.baseRow,$D89&lt;&gt;"",$E89&lt;&gt;"",$H89&lt;&gt;"",$H89&lt;4,_xlpm.Street=0,_xlpm.Coniferous&gt;0,COUNTA(_xlpm.FRange)&gt;0),
Error!$B$32,
IF(AND(_xlpm.baseRow,_xlpm.DecBroad&gt;0,$D89&lt;&gt;"",$E89&lt;&gt;"",$G89&lt;&gt;"",$G89&lt;1.5,_xlpm.Street=0,COUNTA(_xlpm.FRange)&gt;0),
Error!$B$42,
IF(AND(_xlpm.baseRow,$I89="",$H89="",_xlpm.ECA&gt;0,_xlpm.ReplaceReq=0),
Error!$B$33,
IF(AND(_xlpm.baseRow,OR($J89="",$J89&lt;=0),_xlpm.ReplaceReq&gt;0),
Error!$B$34,
IF(AND(_xlpm.baseRow,$K89&lt;&gt;"",_xlpm.Points&gt;0,ISNA(MATCH($K89,Tables!$B$242:$B$253,0))),
Error!$B$58,
IF(AND($K89="Small",$L89&lt;&gt;"",ISNA(MATCH($L89,Tables2!$C$35:$C$36,0))),
Error!$B$60,
IF(AND($K89="Small/Medium",$L89&lt;&gt;"",ISNA(MATCH($L89,Tables2!$C$38:$C$39,0))),
Error!$B$60,
IF(AND($K89="Medium/Large",$L89&lt;&gt;"",ISNA(MATCH($L89,Tables2!$C$41:$C$42,0))),
Error!$B$60,
IF(AND($K89="Large",$L89&lt;&gt;"",ISNA(MATCH($L89,Tables2!$C$44:$C$45,0))),
Error!$B$60,
IF(AND(_xlpm.baseRow,$B89&lt;&gt;"", $C89&lt;&gt;"", $D89&lt;&gt;"", $E89&lt;&gt;"", OR($M89="",$K89="",$L89=""),_xlpm.Points&gt;0),
Error!$B$35,
IF(AND(_xlpm.baseRow,$D89&lt;&gt;"",$E89&lt;&gt;"",$N89=""),
Error!$B$36,
""))))))))))))))))))))))))))))))))))))))))))),Error!$B$37))</f>
        <v/>
      </c>
      <c r="P89" s="355" t="str" cm="1">
        <f t="array" aca="1" ref="P89" ca="1">IFERROR(_xlfn.LET(
    _xlpm.txt, $C89,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0" spans="1:16" ht="15" thickBot="1" x14ac:dyDescent="0.35">
      <c r="A90" s="298"/>
      <c r="B90" s="439" t="str">
        <f t="shared" ref="B90" si="92">IF($B87="", "", $B87)</f>
        <v/>
      </c>
      <c r="C90" s="310"/>
      <c r="D90" s="154" t="str">
        <f t="shared" ref="D90" si="93">IF($D87="", "", $D87)</f>
        <v/>
      </c>
      <c r="E90" s="154" t="str">
        <f t="shared" ref="E90" si="94">IF($E87="", "", $E87)</f>
        <v/>
      </c>
      <c r="F90" s="302"/>
      <c r="G90" s="161"/>
      <c r="H90" s="183"/>
      <c r="I90" s="180"/>
      <c r="J90" s="460"/>
      <c r="K90" s="176" t="str">
        <f>IFERROR(
IF(
    AND(
        MOD(ROW()-11,4)=0,
        COUNTIF(INDEX(F:F, 11 + 4*INT((ROW()-11)/4)):INDEX(F:F, 14 + 4*INT((ROW()-11)/4)),"Zoning: Tree Points")&gt;0,
        COUNTIFS('Tree List'!$C$3:$C$601,$C90,'Tree List'!$H$3:$H$601,"sp.")=0
    ),
    VLOOKUP($C90,'Tree List'!$C$3:$F$601,4,FALSE),
    ""
),
"")</f>
        <v/>
      </c>
      <c r="L90" s="177" t="str" cm="1">
        <f t="array" ref="L90">IFERROR(
IF(
    AND(
        COUNTIF(INDEX(F:F, 11 + 4*INT((ROW()-11)/4)):INDEX(F:F, 14 + 4*INT((ROW()-11)/4)),"Zoning: Tree Points")&gt;0,
        COUNTIFS('Tree List'!$C$3:$C$601,$C90,'Tree List'!$H$3:$H$601,"sp.")&gt;0
    ),
    "",
    _xlfn.IFS(
        (COUNTIFS('Tree List'!$C$3:$C$601,$C90,'Tree List'!$D$3:$D$601,"Coniferous")
        + COUNTIFS('Tree List'!$C$3:$C$601,$C90,'Tree List'!$D$3:$D$601,"Deciduous Conifer")) &gt; 0,
            _xlfn.IFS($K90="Small",1.25,$K90="Small/Medium",2.5,$K90="Medium/Large",3.75,$K90="Large",5),
        (COUNTIFS('Tree List'!$C$3:$C$601,$C90,'Tree List'!$D$3:$D$601,"Deciduous")
        + COUNTIFS('Tree List'!$C$3:$C$601,$C90,'Tree List'!$D$3:$D$601,"Broadleaf Evergreen")) &gt; 0,
            _xlfn.IFS($K90="Small",1,$K90="Small/Medium",2,$K90="Medium/Large",3,$K90="Large",4)
    )
),
"")</f>
        <v/>
      </c>
      <c r="M90" s="473" t="str">
        <f t="shared" si="88"/>
        <v/>
      </c>
      <c r="N90" s="435"/>
      <c r="O90" s="341" t="str" cm="1">
        <f t="array" aca="1" ref="O90"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List'!$C$3:$C$601,$C90,'Tree List'!$D$3:$D$601,{"Deciduous","Broadleaf Evergreen"})),
_xlpm.Coniferous,SUM(COUNTIFS('Tree List'!$C$3:$C$601,$C90,'Tree List'!$D$3:$D$601,{"Coniferous","Deciduous Conifer"})),
IFERROR(
IF(AND(_xlpm.baseRow,ISNA(MATCH($C90,'Tree List'!$C$3:$C$601,0)),SUMPRODUCT(--ISNUMBER(SEARCH(Tables2!$C$677:$C$825,$P90)))&gt;0),
Error!$B$64,
IF(AND(_xlpm.baseRow,COUNTIF(_xlpm.FRange,"ECA / Shoreline")&gt;0,$D90&lt;&gt;"",$E90&lt;&gt;"",$N90=""),
Error!$B$55,
IF(AND(_xlpm.baseRow,$D90&lt;&gt;"",$E90&lt;&gt;"",COUNTBLANK($B90:$C90)&gt;0,COUNTBLANK($F90:$F93)&lt;&gt;4),
Error!$B$22,
IF(AND(_xlpm.baseRow,$D90="Right-of-Way", $E90=""),
Error!$B$67,
IF(AND(_xlpm.baseRow,$D90&lt;&gt;"",ISNA(MATCH($D90,Tables2!$B$66:$B$68,0))),
Error!$B$63,
IF(AND(_xlpm.baseRow,$D90="Off Site",$E90&lt;&gt;"",$E90&lt;&gt;"Yes"),
Error!$B$28,
IF(AND(_xlpm.baseRow,OR($D90="On Site",$D90="Right-of-Way"),$E90&lt;&gt;"",ISNA(MATCH($E90,MultiSelect2[TreeMitigation],0))),
Error!$B$28,
IF(AND(_xlpm.baseRow,$D90&lt;&gt;"",$E90&lt;&gt;"",COUNTIF(_xlpm.FRange,"&lt;&gt;")=0),
Error!$B$26,
IF(AND($E90="No",$F90&lt;&gt;"",ISNA(MATCH($F90,Tables2!$B$55:$B$57,0))),
Error!$B$27,
IF(AND($E90="Yes",$F90&lt;&gt;"",ISNA(MATCH($F90,Tables2!$B$48:$B$52,0))),
Error!$B$27,
IF(AND($D90="Off Site",$E90="Yes",$F90&lt;&gt;"",ISNA(MATCH($F90,Tables2!$B$60:$B$62,0))),
Error!$B$27,
IF(AND(_xlpm.baseRow,_xlpm.Street&gt;0,_xlpm.ECA&gt;0),
Error!$B$29,
IF(AND(_xlpm.baseRow,_xlpm.Street&gt;0,_xlpm.Points&gt;0),
Error!$B$30,
IF(AND(_xlpm.baseRow,_xlpm.Street&gt;0,_xlpm.ReplaceReq&gt;0),
Error!$B$31,
IF(AND(_xlpm.baseRow,$D90&lt;&gt;"",$E90&lt;&gt;"",$G90&lt;&gt;"",_xlpm.DecBroad&gt;0,OR(_xlpm.Points&gt;0,_xlpm.Green&gt;0,_xlpm.ReplaceReq&gt;0),_xlpm.Street=0,$G90&lt;1.5),
Error!$B$42,
IF(AND(_xlpm.baseRow,$D90&lt;&gt;"",$E90&lt;&gt;"",$H90&lt;&gt;"",$H90&lt;4,_xlpm.Street&gt;0,_xlpm.Green&gt;0,COUNTA(_xlpm.FRange)&gt;0),
Error!$B$32,
IF(AND(_xlpm.baseRow,$G90="",_xlpm.ECA&gt;0,_xlpm.DecBroad&gt;0,_xlpm.ReplaceReq&gt;0),
Error!$B$52,
IF(AND(_xlpm.baseRow,$E90&lt;&gt;"", $H90="",_xlpm.ECA&gt;0,_xlpm.Coniferous&gt;0,_xlpm.ReplaceReq&gt;0),
Error!$B$53,
IF(AND(_xlpm.baseRow,$G90="",$H90="",_xlpm.ECA&gt;0,_xlpm.ReplaceReq&gt;0),
Error!$B$39,
IF(AND(_xlpm.baseRow,$D90&lt;&gt;"",$E90&lt;&gt;"",$G90="",$H90="",_xlpm.Coniferous&gt;0,_xlpm.ReplaceReq&gt;0,_xlpm.ECA&gt;0),
Error!$B$50,
IF(AND(_xlpm.baseRow,$D90&lt;&gt;"",$E90&lt;&gt;"",$G90&lt;&gt;"",_xlpm.Street&gt;0,$G90&lt;2),
Error!$B$43,
IF(AND(_xlpm.baseRow,$D90&lt;&gt;"",$E90&lt;&gt;"",_xlpm.Green&gt;0,_xlpm.DecBroad&gt;0,$G90=""),
Error!$B$49,
IF(AND(_xlpm.baseRow,$D90&lt;&gt;"",$E90&lt;&gt;"",$H90&lt;&gt;"",$H90&lt;4,_xlpm.Green&gt;0,_xlpm.DecBroad&gt;0,$G90=""),
Error!$B$51,
IF(AND(_xlpm.baseRow,$D90&lt;&gt;"",$E90&lt;&gt;"",_xlpm.Green&gt;0,_xlpm.Coniferous&gt;0,$H90=""),
Error!$B$50,
IF(AND(_xlpm.baseRow,$D90&lt;&gt;"",$E90&lt;&gt;"",_xlpm.Points&gt;0,_xlpm.DecBroad&gt;0,$G90=""),
Error!$B$49,
IF(AND(_xlpm.baseRow,$D90&lt;&gt;"",$E90&lt;&gt;"",_xlpm.Points&gt;0,_xlpm.Coniferous&gt;0,$H90=""),
Error!$B$50,
IF(AND(_xlpm.baseRow,$D90&lt;&gt;"",$E90&lt;&gt;"",_xlpm.ReplaceReq&gt;0,_xlpm.DecBroad&gt;0,$G90=""),
Error!$B$49,
IF(AND(_xlpm.baseRow,$D90&lt;&gt;"",$E90&lt;&gt;"",_xlpm.ReplaceReq&gt;0,_xlpm.Coniferous&gt;0,$H90=""),
Error!$B$50,
IF(AND(_xlpm.baseRow,$D90&lt;&gt;"",$E90&lt;&gt;"",_xlpm.Street&gt;0,$G90=""),
Error!$B$49,
IF(AND(_xlpm.baseRow,$D90&lt;&gt;"",$E90&lt;&gt;"",$H90&lt;&gt;"",$H90&lt;4,OR(ISNA(MATCH($C90,'Tree List'!$C$3:$C$601,0)),$C90=""),_xlpm.Green&gt;0,COUNTA(_xlpm.FRange)&gt;0),
Error!$B$51,
IF(AND(_xlpm.baseRow,$D90&lt;&gt;"",$E90&lt;&gt;"",$H90&lt;&gt;"",$H90&lt;4,_xlpm.DecBroad&gt;0,_xlpm.Green&gt;0,COUNTA(_xlpm.FRange)&gt;0),
Error!$B$51,
IF(AND(_xlpm.baseRow,$D90&lt;&gt;"",$E90&lt;&gt;"",$G90="",$H90="",OR(_xlpm.ReplaceReq&gt;0,_xlpm.Green&gt;0,_xlpm.Points&gt;0,_xlpm.Street&gt;0)),
Error!$B$38,
IF(AND(_xlpm.baseRow,$D90&lt;&gt;"",$E90&lt;&gt;"",$H90&lt;&gt;"",$H90&lt;4,_xlpm.Street=0,_xlpm.Coniferous&gt;0,COUNTA(_xlpm.FRange)&gt;0),
Error!$B$32,
IF(AND(_xlpm.baseRow,_xlpm.DecBroad&gt;0,$D90&lt;&gt;"",$E90&lt;&gt;"",$G90&lt;&gt;"",$G90&lt;1.5,_xlpm.Street=0,COUNTA(_xlpm.FRange)&gt;0),
Error!$B$42,
IF(AND(_xlpm.baseRow,$I90="",$H90="",_xlpm.ECA&gt;0,_xlpm.ReplaceReq=0),
Error!$B$33,
IF(AND(_xlpm.baseRow,OR($J90="",$J90&lt;=0),_xlpm.ReplaceReq&gt;0),
Error!$B$34,
IF(AND(_xlpm.baseRow,$K90&lt;&gt;"",_xlpm.Points&gt;0,ISNA(MATCH($K90,Tables!$B$242:$B$253,0))),
Error!$B$58,
IF(AND($K90="Small",$L90&lt;&gt;"",ISNA(MATCH($L90,Tables2!$C$35:$C$36,0))),
Error!$B$60,
IF(AND($K90="Small/Medium",$L90&lt;&gt;"",ISNA(MATCH($L90,Tables2!$C$38:$C$39,0))),
Error!$B$60,
IF(AND($K90="Medium/Large",$L90&lt;&gt;"",ISNA(MATCH($L90,Tables2!$C$41:$C$42,0))),
Error!$B$60,
IF(AND($K90="Large",$L90&lt;&gt;"",ISNA(MATCH($L90,Tables2!$C$44:$C$45,0))),
Error!$B$60,
IF(AND(_xlpm.baseRow,$B90&lt;&gt;"", $C90&lt;&gt;"", $D90&lt;&gt;"", $E90&lt;&gt;"", OR($M90="",$K90="",$L90=""),_xlpm.Points&gt;0),
Error!$B$35,
IF(AND(_xlpm.baseRow,$D90&lt;&gt;"",$E90&lt;&gt;"",$N90=""),
Error!$B$36,
""))))))))))))))))))))))))))))))))))))))))))),Error!$B$37))</f>
        <v/>
      </c>
      <c r="P90" s="355" t="str" cm="1">
        <f t="array" aca="1" ref="P90" ca="1">IFERROR(_xlfn.LET(
    _xlpm.txt, $C90,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1" spans="1:16" ht="15" thickBot="1" x14ac:dyDescent="0.35">
      <c r="A91" s="437">
        <v>21</v>
      </c>
      <c r="B91" s="447"/>
      <c r="C91" s="444"/>
      <c r="D91" s="296"/>
      <c r="E91" s="296"/>
      <c r="F91" s="304"/>
      <c r="G91" s="257"/>
      <c r="H91" s="181"/>
      <c r="I91" s="178"/>
      <c r="J91" s="457"/>
      <c r="K91" s="172" t="str">
        <f>IFERROR(
IF(
    AND(
        MOD(ROW()-11,4)=0,
        COUNTIF(INDEX(F:F, 11 + 4*INT((ROW()-11)/4)):INDEX(F:F, 14 + 4*INT((ROW()-11)/4)),"Zoning: Tree Points")&gt;0,
        COUNTIFS('Tree List'!$C$3:$C$601,$C91,'Tree List'!$H$3:$H$601,"sp.")=0
    ),
    VLOOKUP($C91,'Tree List'!$C$3:$F$601,4,FALSE),
    ""
),
"")</f>
        <v/>
      </c>
      <c r="L91" s="173" t="str" cm="1">
        <f t="array" ref="L91">IFERROR(
IF(
    AND(
        COUNTIF(INDEX(F:F, 11 + 4*INT((ROW()-11)/4)):INDEX(F:F, 14 + 4*INT((ROW()-11)/4)),"Zoning: Tree Points")&gt;0,
        COUNTIFS('Tree List'!$C$3:$C$601,$C91,'Tree List'!$H$3:$H$601,"sp.")&gt;0
    ),
    "",
    _xlfn.IFS(
        (COUNTIFS('Tree List'!$C$3:$C$601,$C91,'Tree List'!$D$3:$D$601,"Coniferous")
        + COUNTIFS('Tree List'!$C$3:$C$601,$C91,'Tree List'!$D$3:$D$601,"Deciduous Conifer")) &gt; 0,
            _xlfn.IFS($K91="Small",1.25,$K91="Small/Medium",2.5,$K91="Medium/Large",3.75,$K91="Large",5),
        (COUNTIFS('Tree List'!$C$3:$C$601,$C91,'Tree List'!$D$3:$D$601,"Deciduous")
        + COUNTIFS('Tree List'!$C$3:$C$601,$C91,'Tree List'!$D$3:$D$601,"Broadleaf Evergreen")) &gt; 0,
            _xlfn.IFS($K91="Small",1,$K91="Small/Medium",2,$K91="Medium/Large",3,$K91="Large",4)
    )
),
"")</f>
        <v/>
      </c>
      <c r="M91" s="470" t="str">
        <f t="shared" ref="M91" si="95">IFERROR($L91*$N91,"")</f>
        <v/>
      </c>
      <c r="N91" s="744"/>
      <c r="O91" s="737" t="str" cm="1">
        <f t="array" aca="1" ref="O91"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List'!$C$3:$C$601,$C91,'Tree List'!$D$3:$D$601,{"Deciduous","Broadleaf Evergreen"})),
_xlpm.Coniferous,SUM(COUNTIFS('Tree List'!$C$3:$C$601,$C91,'Tree List'!$D$3:$D$601,{"Coniferous","Deciduous Conifer"})),
IFERROR(
IF(AND(_xlpm.baseRow,ISNA(MATCH($C91,'Tree List'!$C$3:$C$601,0)),SUMPRODUCT(--ISNUMBER(SEARCH(Tables2!$C$677:$C$825,$P91)))&gt;0),
Error!$B$64,
IF(AND(_xlpm.baseRow,COUNTIF(_xlpm.FRange,"ECA / Shoreline")&gt;0,$D91&lt;&gt;"",$E91&lt;&gt;"",$N91=""),
Error!$B$55,
IF(AND(_xlpm.baseRow,$D91&lt;&gt;"",$E91&lt;&gt;"",COUNTBLANK($B91:$C91)&gt;0,COUNTBLANK($F91:$F94)&lt;&gt;4),
Error!$B$22,
IF(AND(_xlpm.baseRow,$D91="Right-of-Way", $E91=""),
Error!$B$67,
IF(AND(_xlpm.baseRow,$D91&lt;&gt;"",ISNA(MATCH($D91,Tables2!$B$66:$B$68,0))),
Error!$B$63,
IF(AND(_xlpm.baseRow,$D91="Off Site",$E91&lt;&gt;"",$E91&lt;&gt;"Yes"),
Error!$B$28,
IF(AND(_xlpm.baseRow,OR($D91="On Site",$D91="Right-of-Way"),$E91&lt;&gt;"",ISNA(MATCH($E91,MultiSelect2[TreeMitigation],0))),
Error!$B$28,
IF(AND(_xlpm.baseRow,$D91&lt;&gt;"",$E91&lt;&gt;"",COUNTIF(_xlpm.FRange,"&lt;&gt;")=0),
Error!$B$26,
IF(AND($E91="No",$F91&lt;&gt;"",ISNA(MATCH($F91,Tables2!$B$55:$B$57,0))),
Error!$B$27,
IF(AND($E91="Yes",$F91&lt;&gt;"",ISNA(MATCH($F91,Tables2!$B$48:$B$52,0))),
Error!$B$27,
IF(AND($D91="Off Site",$E91="Yes",$F91&lt;&gt;"",ISNA(MATCH($F91,Tables2!$B$60:$B$62,0))),
Error!$B$27,
IF(AND(_xlpm.baseRow,_xlpm.Street&gt;0,_xlpm.ECA&gt;0),
Error!$B$29,
IF(AND(_xlpm.baseRow,_xlpm.Street&gt;0,_xlpm.Points&gt;0),
Error!$B$30,
IF(AND(_xlpm.baseRow,_xlpm.Street&gt;0,_xlpm.ReplaceReq&gt;0),
Error!$B$31,
IF(AND(_xlpm.baseRow,$D91&lt;&gt;"",$E91&lt;&gt;"",$G91&lt;&gt;"",_xlpm.DecBroad&gt;0,OR(_xlpm.Points&gt;0,_xlpm.Green&gt;0,_xlpm.ReplaceReq&gt;0),_xlpm.Street=0,$G91&lt;1.5),
Error!$B$42,
IF(AND(_xlpm.baseRow,$D91&lt;&gt;"",$E91&lt;&gt;"",$H91&lt;&gt;"",$H91&lt;4,_xlpm.Street&gt;0,_xlpm.Green&gt;0,COUNTA(_xlpm.FRange)&gt;0),
Error!$B$32,
IF(AND(_xlpm.baseRow,$G91="",_xlpm.ECA&gt;0,_xlpm.DecBroad&gt;0,_xlpm.ReplaceReq&gt;0),
Error!$B$52,
IF(AND(_xlpm.baseRow,$E91&lt;&gt;"", $H91="",_xlpm.ECA&gt;0,_xlpm.Coniferous&gt;0,_xlpm.ReplaceReq&gt;0),
Error!$B$53,
IF(AND(_xlpm.baseRow,$G91="",$H91="",_xlpm.ECA&gt;0,_xlpm.ReplaceReq&gt;0),
Error!$B$39,
IF(AND(_xlpm.baseRow,$D91&lt;&gt;"",$E91&lt;&gt;"",$G91="",$H91="",_xlpm.Coniferous&gt;0,_xlpm.ReplaceReq&gt;0,_xlpm.ECA&gt;0),
Error!$B$50,
IF(AND(_xlpm.baseRow,$D91&lt;&gt;"",$E91&lt;&gt;"",$G91&lt;&gt;"",_xlpm.Street&gt;0,$G91&lt;2),
Error!$B$43,
IF(AND(_xlpm.baseRow,$D91&lt;&gt;"",$E91&lt;&gt;"",_xlpm.Green&gt;0,_xlpm.DecBroad&gt;0,$G91=""),
Error!$B$49,
IF(AND(_xlpm.baseRow,$D91&lt;&gt;"",$E91&lt;&gt;"",$H91&lt;&gt;"",$H91&lt;4,_xlpm.Green&gt;0,_xlpm.DecBroad&gt;0,$G91=""),
Error!$B$51,
IF(AND(_xlpm.baseRow,$D91&lt;&gt;"",$E91&lt;&gt;"",_xlpm.Green&gt;0,_xlpm.Coniferous&gt;0,$H91=""),
Error!$B$50,
IF(AND(_xlpm.baseRow,$D91&lt;&gt;"",$E91&lt;&gt;"",_xlpm.Points&gt;0,_xlpm.DecBroad&gt;0,$G91=""),
Error!$B$49,
IF(AND(_xlpm.baseRow,$D91&lt;&gt;"",$E91&lt;&gt;"",_xlpm.Points&gt;0,_xlpm.Coniferous&gt;0,$H91=""),
Error!$B$50,
IF(AND(_xlpm.baseRow,$D91&lt;&gt;"",$E91&lt;&gt;"",_xlpm.ReplaceReq&gt;0,_xlpm.DecBroad&gt;0,$G91=""),
Error!$B$49,
IF(AND(_xlpm.baseRow,$D91&lt;&gt;"",$E91&lt;&gt;"",_xlpm.ReplaceReq&gt;0,_xlpm.Coniferous&gt;0,$H91=""),
Error!$B$50,
IF(AND(_xlpm.baseRow,$D91&lt;&gt;"",$E91&lt;&gt;"",_xlpm.Street&gt;0,$G91=""),
Error!$B$49,
IF(AND(_xlpm.baseRow,$D91&lt;&gt;"",$E91&lt;&gt;"",$H91&lt;&gt;"",$H91&lt;4,OR(ISNA(MATCH($C91,'Tree List'!$C$3:$C$601,0)),$C91=""),_xlpm.Green&gt;0,COUNTA(_xlpm.FRange)&gt;0),
Error!$B$51,
IF(AND(_xlpm.baseRow,$D91&lt;&gt;"",$E91&lt;&gt;"",$H91&lt;&gt;"",$H91&lt;4,_xlpm.DecBroad&gt;0,_xlpm.Green&gt;0,COUNTA(_xlpm.FRange)&gt;0),
Error!$B$51,
IF(AND(_xlpm.baseRow,$D91&lt;&gt;"",$E91&lt;&gt;"",$G91="",$H91="",OR(_xlpm.ReplaceReq&gt;0,_xlpm.Green&gt;0,_xlpm.Points&gt;0,_xlpm.Street&gt;0)),
Error!$B$38,
IF(AND(_xlpm.baseRow,$D91&lt;&gt;"",$E91&lt;&gt;"",$H91&lt;&gt;"",$H91&lt;4,_xlpm.Street=0,_xlpm.Coniferous&gt;0,COUNTA(_xlpm.FRange)&gt;0),
Error!$B$32,
IF(AND(_xlpm.baseRow,_xlpm.DecBroad&gt;0,$D91&lt;&gt;"",$E91&lt;&gt;"",$G91&lt;&gt;"",$G91&lt;1.5,_xlpm.Street=0,COUNTA(_xlpm.FRange)&gt;0),
Error!$B$42,
IF(AND(_xlpm.baseRow,$I91="",$H91="",_xlpm.ECA&gt;0,_xlpm.ReplaceReq=0),
Error!$B$33,
IF(AND(_xlpm.baseRow,OR($J91="",$J91&lt;=0),_xlpm.ReplaceReq&gt;0),
Error!$B$34,
IF(AND(_xlpm.baseRow,$K91&lt;&gt;"",_xlpm.Points&gt;0,ISNA(MATCH($K91,Tables!$B$242:$B$253,0))),
Error!$B$58,
IF(AND($K91="Small",$L91&lt;&gt;"",ISNA(MATCH($L91,Tables2!$C$35:$C$36,0))),
Error!$B$60,
IF(AND($K91="Small/Medium",$L91&lt;&gt;"",ISNA(MATCH($L91,Tables2!$C$38:$C$39,0))),
Error!$B$60,
IF(AND($K91="Medium/Large",$L91&lt;&gt;"",ISNA(MATCH($L91,Tables2!$C$41:$C$42,0))),
Error!$B$60,
IF(AND($K91="Large",$L91&lt;&gt;"",ISNA(MATCH($L91,Tables2!$C$44:$C$45,0))),
Error!$B$60,
IF(AND(_xlpm.baseRow,$B91&lt;&gt;"", $C91&lt;&gt;"", $D91&lt;&gt;"", $E91&lt;&gt;"", OR($M91="",$K91="",$L91=""),_xlpm.Points&gt;0),
Error!$B$35,
IF(AND(_xlpm.baseRow,$D91&lt;&gt;"",$E91&lt;&gt;"",$N91=""),
Error!$B$36,
""))))))))))))))))))))))))))))))))))))))))))),Error!$B$37))</f>
        <v/>
      </c>
      <c r="P91" s="355" t="str" cm="1">
        <f t="array" aca="1" ref="P91" ca="1">IFERROR(_xlfn.LET(
    _xlpm.txt, $C91,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2" spans="1:16" x14ac:dyDescent="0.3">
      <c r="A92" s="297"/>
      <c r="B92" s="439" t="str">
        <f t="shared" ref="B92" si="96">IF($B91="", "", $B91)</f>
        <v/>
      </c>
      <c r="C92" s="309"/>
      <c r="D92" s="157" t="str">
        <f t="shared" ref="D92" si="97">IF($D91="", "", $D91)</f>
        <v/>
      </c>
      <c r="E92" s="157" t="str">
        <f t="shared" ref="E92" si="98">IF($E91="", "", $E91)</f>
        <v/>
      </c>
      <c r="F92" s="300"/>
      <c r="G92" s="159"/>
      <c r="H92" s="182"/>
      <c r="I92" s="179"/>
      <c r="J92" s="458"/>
      <c r="K92" s="174" t="str">
        <f>IFERROR(
IF(
    AND(
        MOD(ROW()-11,4)=0,
        COUNTIF(INDEX(F:F, 11 + 4*INT((ROW()-11)/4)):INDEX(F:F, 14 + 4*INT((ROW()-11)/4)),"Zoning: Tree Points")&gt;0,
        COUNTIFS('Tree List'!$C$3:$C$601,$C92,'Tree List'!$H$3:$H$601,"sp.")=0
    ),
    VLOOKUP($C92,'Tree List'!$C$3:$F$601,4,FALSE),
    ""
),
"")</f>
        <v/>
      </c>
      <c r="L92" s="175" t="str" cm="1">
        <f t="array" ref="L92">IFERROR(
IF(
    AND(
        COUNTIF(INDEX(F:F, 11 + 4*INT((ROW()-11)/4)):INDEX(F:F, 14 + 4*INT((ROW()-11)/4)),"Zoning: Tree Points")&gt;0,
        COUNTIFS('Tree List'!$C$3:$C$601,$C92,'Tree List'!$H$3:$H$601,"sp.")&gt;0
    ),
    "",
    _xlfn.IFS(
        (COUNTIFS('Tree List'!$C$3:$C$601,$C92,'Tree List'!$D$3:$D$601,"Coniferous")
        + COUNTIFS('Tree List'!$C$3:$C$601,$C92,'Tree List'!$D$3:$D$601,"Deciduous Conifer")) &gt; 0,
            _xlfn.IFS($K92="Small",1.25,$K92="Small/Medium",2.5,$K92="Medium/Large",3.75,$K92="Large",5),
        (COUNTIFS('Tree List'!$C$3:$C$601,$C92,'Tree List'!$D$3:$D$601,"Deciduous")
        + COUNTIFS('Tree List'!$C$3:$C$601,$C92,'Tree List'!$D$3:$D$601,"Broadleaf Evergreen")) &gt; 0,
            _xlfn.IFS($K92="Small",1,$K92="Small/Medium",2,$K92="Medium/Large",3,$K92="Large",4)
    )
),
"")</f>
        <v/>
      </c>
      <c r="M92" s="471" t="str">
        <f t="shared" ref="M92:M94" si="99">IFERROR($L92*$N92,"")</f>
        <v/>
      </c>
      <c r="N92" s="434"/>
      <c r="O92" s="340" t="str" cm="1">
        <f t="array" aca="1" ref="O92"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List'!$C$3:$C$601,$C92,'Tree List'!$D$3:$D$601,{"Deciduous","Broadleaf Evergreen"})),
_xlpm.Coniferous,SUM(COUNTIFS('Tree List'!$C$3:$C$601,$C92,'Tree List'!$D$3:$D$601,{"Coniferous","Deciduous Conifer"})),
IFERROR(
IF(AND(_xlpm.baseRow,ISNA(MATCH($C92,'Tree List'!$C$3:$C$601,0)),SUMPRODUCT(--ISNUMBER(SEARCH(Tables2!$C$677:$C$825,$P92)))&gt;0),
Error!$B$64,
IF(AND(_xlpm.baseRow,COUNTIF(_xlpm.FRange,"ECA / Shoreline")&gt;0,$D92&lt;&gt;"",$E92&lt;&gt;"",$N92=""),
Error!$B$55,
IF(AND(_xlpm.baseRow,$D92&lt;&gt;"",$E92&lt;&gt;"",COUNTBLANK($B92:$C92)&gt;0,COUNTBLANK($F92:$F95)&lt;&gt;4),
Error!$B$22,
IF(AND(_xlpm.baseRow,$D92="Right-of-Way", $E92=""),
Error!$B$67,
IF(AND(_xlpm.baseRow,$D92&lt;&gt;"",ISNA(MATCH($D92,Tables2!$B$66:$B$68,0))),
Error!$B$63,
IF(AND(_xlpm.baseRow,$D92="Off Site",$E92&lt;&gt;"",$E92&lt;&gt;"Yes"),
Error!$B$28,
IF(AND(_xlpm.baseRow,OR($D92="On Site",$D92="Right-of-Way"),$E92&lt;&gt;"",ISNA(MATCH($E92,MultiSelect2[TreeMitigation],0))),
Error!$B$28,
IF(AND(_xlpm.baseRow,$D92&lt;&gt;"",$E92&lt;&gt;"",COUNTIF(_xlpm.FRange,"&lt;&gt;")=0),
Error!$B$26,
IF(AND($E92="No",$F92&lt;&gt;"",ISNA(MATCH($F92,Tables2!$B$55:$B$57,0))),
Error!$B$27,
IF(AND($E92="Yes",$F92&lt;&gt;"",ISNA(MATCH($F92,Tables2!$B$48:$B$52,0))),
Error!$B$27,
IF(AND($D92="Off Site",$E92="Yes",$F92&lt;&gt;"",ISNA(MATCH($F92,Tables2!$B$60:$B$62,0))),
Error!$B$27,
IF(AND(_xlpm.baseRow,_xlpm.Street&gt;0,_xlpm.ECA&gt;0),
Error!$B$29,
IF(AND(_xlpm.baseRow,_xlpm.Street&gt;0,_xlpm.Points&gt;0),
Error!$B$30,
IF(AND(_xlpm.baseRow,_xlpm.Street&gt;0,_xlpm.ReplaceReq&gt;0),
Error!$B$31,
IF(AND(_xlpm.baseRow,$D92&lt;&gt;"",$E92&lt;&gt;"",$G92&lt;&gt;"",_xlpm.DecBroad&gt;0,OR(_xlpm.Points&gt;0,_xlpm.Green&gt;0,_xlpm.ReplaceReq&gt;0),_xlpm.Street=0,$G92&lt;1.5),
Error!$B$42,
IF(AND(_xlpm.baseRow,$D92&lt;&gt;"",$E92&lt;&gt;"",$H92&lt;&gt;"",$H92&lt;4,_xlpm.Street&gt;0,_xlpm.Green&gt;0,COUNTA(_xlpm.FRange)&gt;0),
Error!$B$32,
IF(AND(_xlpm.baseRow,$G92="",_xlpm.ECA&gt;0,_xlpm.DecBroad&gt;0,_xlpm.ReplaceReq&gt;0),
Error!$B$52,
IF(AND(_xlpm.baseRow,$E92&lt;&gt;"", $H92="",_xlpm.ECA&gt;0,_xlpm.Coniferous&gt;0,_xlpm.ReplaceReq&gt;0),
Error!$B$53,
IF(AND(_xlpm.baseRow,$G92="",$H92="",_xlpm.ECA&gt;0,_xlpm.ReplaceReq&gt;0),
Error!$B$39,
IF(AND(_xlpm.baseRow,$D92&lt;&gt;"",$E92&lt;&gt;"",$G92="",$H92="",_xlpm.Coniferous&gt;0,_xlpm.ReplaceReq&gt;0,_xlpm.ECA&gt;0),
Error!$B$50,
IF(AND(_xlpm.baseRow,$D92&lt;&gt;"",$E92&lt;&gt;"",$G92&lt;&gt;"",_xlpm.Street&gt;0,$G92&lt;2),
Error!$B$43,
IF(AND(_xlpm.baseRow,$D92&lt;&gt;"",$E92&lt;&gt;"",_xlpm.Green&gt;0,_xlpm.DecBroad&gt;0,$G92=""),
Error!$B$49,
IF(AND(_xlpm.baseRow,$D92&lt;&gt;"",$E92&lt;&gt;"",$H92&lt;&gt;"",$H92&lt;4,_xlpm.Green&gt;0,_xlpm.DecBroad&gt;0,$G92=""),
Error!$B$51,
IF(AND(_xlpm.baseRow,$D92&lt;&gt;"",$E92&lt;&gt;"",_xlpm.Green&gt;0,_xlpm.Coniferous&gt;0,$H92=""),
Error!$B$50,
IF(AND(_xlpm.baseRow,$D92&lt;&gt;"",$E92&lt;&gt;"",_xlpm.Points&gt;0,_xlpm.DecBroad&gt;0,$G92=""),
Error!$B$49,
IF(AND(_xlpm.baseRow,$D92&lt;&gt;"",$E92&lt;&gt;"",_xlpm.Points&gt;0,_xlpm.Coniferous&gt;0,$H92=""),
Error!$B$50,
IF(AND(_xlpm.baseRow,$D92&lt;&gt;"",$E92&lt;&gt;"",_xlpm.ReplaceReq&gt;0,_xlpm.DecBroad&gt;0,$G92=""),
Error!$B$49,
IF(AND(_xlpm.baseRow,$D92&lt;&gt;"",$E92&lt;&gt;"",_xlpm.ReplaceReq&gt;0,_xlpm.Coniferous&gt;0,$H92=""),
Error!$B$50,
IF(AND(_xlpm.baseRow,$D92&lt;&gt;"",$E92&lt;&gt;"",_xlpm.Street&gt;0,$G92=""),
Error!$B$49,
IF(AND(_xlpm.baseRow,$D92&lt;&gt;"",$E92&lt;&gt;"",$H92&lt;&gt;"",$H92&lt;4,OR(ISNA(MATCH($C92,'Tree List'!$C$3:$C$601,0)),$C92=""),_xlpm.Green&gt;0,COUNTA(_xlpm.FRange)&gt;0),
Error!$B$51,
IF(AND(_xlpm.baseRow,$D92&lt;&gt;"",$E92&lt;&gt;"",$H92&lt;&gt;"",$H92&lt;4,_xlpm.DecBroad&gt;0,_xlpm.Green&gt;0,COUNTA(_xlpm.FRange)&gt;0),
Error!$B$51,
IF(AND(_xlpm.baseRow,$D92&lt;&gt;"",$E92&lt;&gt;"",$G92="",$H92="",OR(_xlpm.ReplaceReq&gt;0,_xlpm.Green&gt;0,_xlpm.Points&gt;0,_xlpm.Street&gt;0)),
Error!$B$38,
IF(AND(_xlpm.baseRow,$D92&lt;&gt;"",$E92&lt;&gt;"",$H92&lt;&gt;"",$H92&lt;4,_xlpm.Street=0,_xlpm.Coniferous&gt;0,COUNTA(_xlpm.FRange)&gt;0),
Error!$B$32,
IF(AND(_xlpm.baseRow,_xlpm.DecBroad&gt;0,$D92&lt;&gt;"",$E92&lt;&gt;"",$G92&lt;&gt;"",$G92&lt;1.5,_xlpm.Street=0,COUNTA(_xlpm.FRange)&gt;0),
Error!$B$42,
IF(AND(_xlpm.baseRow,$I92="",$H92="",_xlpm.ECA&gt;0,_xlpm.ReplaceReq=0),
Error!$B$33,
IF(AND(_xlpm.baseRow,OR($J92="",$J92&lt;=0),_xlpm.ReplaceReq&gt;0),
Error!$B$34,
IF(AND(_xlpm.baseRow,$K92&lt;&gt;"",_xlpm.Points&gt;0,ISNA(MATCH($K92,Tables!$B$242:$B$253,0))),
Error!$B$58,
IF(AND($K92="Small",$L92&lt;&gt;"",ISNA(MATCH($L92,Tables2!$C$35:$C$36,0))),
Error!$B$60,
IF(AND($K92="Small/Medium",$L92&lt;&gt;"",ISNA(MATCH($L92,Tables2!$C$38:$C$39,0))),
Error!$B$60,
IF(AND($K92="Medium/Large",$L92&lt;&gt;"",ISNA(MATCH($L92,Tables2!$C$41:$C$42,0))),
Error!$B$60,
IF(AND($K92="Large",$L92&lt;&gt;"",ISNA(MATCH($L92,Tables2!$C$44:$C$45,0))),
Error!$B$60,
IF(AND(_xlpm.baseRow,$B92&lt;&gt;"", $C92&lt;&gt;"", $D92&lt;&gt;"", $E92&lt;&gt;"", OR($M92="",$K92="",$L92=""),_xlpm.Points&gt;0),
Error!$B$35,
IF(AND(_xlpm.baseRow,$D92&lt;&gt;"",$E92&lt;&gt;"",$N92=""),
Error!$B$36,
""))))))))))))))))))))))))))))))))))))))))))),Error!$B$37))</f>
        <v/>
      </c>
      <c r="P92" s="355" t="str" cm="1">
        <f t="array" aca="1" ref="P92" ca="1">IFERROR(_xlfn.LET(
    _xlpm.txt, $C92,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3" spans="1:16" x14ac:dyDescent="0.3">
      <c r="A93" s="297"/>
      <c r="B93" s="439" t="str">
        <f t="shared" ref="B93" si="100">IF($B91="", "", $B91)</f>
        <v/>
      </c>
      <c r="C93" s="438"/>
      <c r="D93" s="439" t="str">
        <f t="shared" ref="D93" si="101">IF($D91="", "", $D91)</f>
        <v/>
      </c>
      <c r="E93" s="439" t="str">
        <f t="shared" ref="E93" si="102">IF($E91="", "", $E91)</f>
        <v/>
      </c>
      <c r="F93" s="300"/>
      <c r="G93" s="160"/>
      <c r="H93" s="440"/>
      <c r="I93" s="441"/>
      <c r="J93" s="459"/>
      <c r="K93" s="442" t="str">
        <f>IFERROR(
IF(
    AND(
        MOD(ROW()-11,4)=0,
        COUNTIF(INDEX(F:F, 11 + 4*INT((ROW()-11)/4)):INDEX(F:F, 14 + 4*INT((ROW()-11)/4)),"Zoning: Tree Points")&gt;0,
        COUNTIFS('Tree List'!$C$3:$C$601,$C93,'Tree List'!$H$3:$H$601,"sp.")=0
    ),
    VLOOKUP($C93,'Tree List'!$C$3:$F$601,4,FALSE),
    ""
),
"")</f>
        <v/>
      </c>
      <c r="L93" s="443" t="str" cm="1">
        <f t="array" ref="L93">IFERROR(
IF(
    AND(
        COUNTIF(INDEX(F:F, 11 + 4*INT((ROW()-11)/4)):INDEX(F:F, 14 + 4*INT((ROW()-11)/4)),"Zoning: Tree Points")&gt;0,
        COUNTIFS('Tree List'!$C$3:$C$601,$C93,'Tree List'!$H$3:$H$601,"sp.")&gt;0
    ),
    "",
    _xlfn.IFS(
        (COUNTIFS('Tree List'!$C$3:$C$601,$C93,'Tree List'!$D$3:$D$601,"Coniferous")
        + COUNTIFS('Tree List'!$C$3:$C$601,$C93,'Tree List'!$D$3:$D$601,"Deciduous Conifer")) &gt; 0,
            _xlfn.IFS($K93="Small",1.25,$K93="Small/Medium",2.5,$K93="Medium/Large",3.75,$K93="Large",5),
        (COUNTIFS('Tree List'!$C$3:$C$601,$C93,'Tree List'!$D$3:$D$601,"Deciduous")
        + COUNTIFS('Tree List'!$C$3:$C$601,$C93,'Tree List'!$D$3:$D$601,"Broadleaf Evergreen")) &gt; 0,
            _xlfn.IFS($K93="Small",1,$K93="Small/Medium",2,$K93="Medium/Large",3,$K93="Large",4)
    )
),
"")</f>
        <v/>
      </c>
      <c r="M93" s="472" t="str">
        <f t="shared" si="99"/>
        <v/>
      </c>
      <c r="N93" s="434"/>
      <c r="O93" s="340" t="str" cm="1">
        <f t="array" aca="1" ref="O93"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List'!$C$3:$C$601,$C93,'Tree List'!$D$3:$D$601,{"Deciduous","Broadleaf Evergreen"})),
_xlpm.Coniferous,SUM(COUNTIFS('Tree List'!$C$3:$C$601,$C93,'Tree List'!$D$3:$D$601,{"Coniferous","Deciduous Conifer"})),
IFERROR(
IF(AND(_xlpm.baseRow,ISNA(MATCH($C93,'Tree List'!$C$3:$C$601,0)),SUMPRODUCT(--ISNUMBER(SEARCH(Tables2!$C$677:$C$825,$P93)))&gt;0),
Error!$B$64,
IF(AND(_xlpm.baseRow,COUNTIF(_xlpm.FRange,"ECA / Shoreline")&gt;0,$D93&lt;&gt;"",$E93&lt;&gt;"",$N93=""),
Error!$B$55,
IF(AND(_xlpm.baseRow,$D93&lt;&gt;"",$E93&lt;&gt;"",COUNTBLANK($B93:$C93)&gt;0,COUNTBLANK($F93:$F96)&lt;&gt;4),
Error!$B$22,
IF(AND(_xlpm.baseRow,$D93="Right-of-Way", $E93=""),
Error!$B$67,
IF(AND(_xlpm.baseRow,$D93&lt;&gt;"",ISNA(MATCH($D93,Tables2!$B$66:$B$68,0))),
Error!$B$63,
IF(AND(_xlpm.baseRow,$D93="Off Site",$E93&lt;&gt;"",$E93&lt;&gt;"Yes"),
Error!$B$28,
IF(AND(_xlpm.baseRow,OR($D93="On Site",$D93="Right-of-Way"),$E93&lt;&gt;"",ISNA(MATCH($E93,MultiSelect2[TreeMitigation],0))),
Error!$B$28,
IF(AND(_xlpm.baseRow,$D93&lt;&gt;"",$E93&lt;&gt;"",COUNTIF(_xlpm.FRange,"&lt;&gt;")=0),
Error!$B$26,
IF(AND($E93="No",$F93&lt;&gt;"",ISNA(MATCH($F93,Tables2!$B$55:$B$57,0))),
Error!$B$27,
IF(AND($E93="Yes",$F93&lt;&gt;"",ISNA(MATCH($F93,Tables2!$B$48:$B$52,0))),
Error!$B$27,
IF(AND($D93="Off Site",$E93="Yes",$F93&lt;&gt;"",ISNA(MATCH($F93,Tables2!$B$60:$B$62,0))),
Error!$B$27,
IF(AND(_xlpm.baseRow,_xlpm.Street&gt;0,_xlpm.ECA&gt;0),
Error!$B$29,
IF(AND(_xlpm.baseRow,_xlpm.Street&gt;0,_xlpm.Points&gt;0),
Error!$B$30,
IF(AND(_xlpm.baseRow,_xlpm.Street&gt;0,_xlpm.ReplaceReq&gt;0),
Error!$B$31,
IF(AND(_xlpm.baseRow,$D93&lt;&gt;"",$E93&lt;&gt;"",$G93&lt;&gt;"",_xlpm.DecBroad&gt;0,OR(_xlpm.Points&gt;0,_xlpm.Green&gt;0,_xlpm.ReplaceReq&gt;0),_xlpm.Street=0,$G93&lt;1.5),
Error!$B$42,
IF(AND(_xlpm.baseRow,$D93&lt;&gt;"",$E93&lt;&gt;"",$H93&lt;&gt;"",$H93&lt;4,_xlpm.Street&gt;0,_xlpm.Green&gt;0,COUNTA(_xlpm.FRange)&gt;0),
Error!$B$32,
IF(AND(_xlpm.baseRow,$G93="",_xlpm.ECA&gt;0,_xlpm.DecBroad&gt;0,_xlpm.ReplaceReq&gt;0),
Error!$B$52,
IF(AND(_xlpm.baseRow,$E93&lt;&gt;"", $H93="",_xlpm.ECA&gt;0,_xlpm.Coniferous&gt;0,_xlpm.ReplaceReq&gt;0),
Error!$B$53,
IF(AND(_xlpm.baseRow,$G93="",$H93="",_xlpm.ECA&gt;0,_xlpm.ReplaceReq&gt;0),
Error!$B$39,
IF(AND(_xlpm.baseRow,$D93&lt;&gt;"",$E93&lt;&gt;"",$G93="",$H93="",_xlpm.Coniferous&gt;0,_xlpm.ReplaceReq&gt;0,_xlpm.ECA&gt;0),
Error!$B$50,
IF(AND(_xlpm.baseRow,$D93&lt;&gt;"",$E93&lt;&gt;"",$G93&lt;&gt;"",_xlpm.Street&gt;0,$G93&lt;2),
Error!$B$43,
IF(AND(_xlpm.baseRow,$D93&lt;&gt;"",$E93&lt;&gt;"",_xlpm.Green&gt;0,_xlpm.DecBroad&gt;0,$G93=""),
Error!$B$49,
IF(AND(_xlpm.baseRow,$D93&lt;&gt;"",$E93&lt;&gt;"",$H93&lt;&gt;"",$H93&lt;4,_xlpm.Green&gt;0,_xlpm.DecBroad&gt;0,$G93=""),
Error!$B$51,
IF(AND(_xlpm.baseRow,$D93&lt;&gt;"",$E93&lt;&gt;"",_xlpm.Green&gt;0,_xlpm.Coniferous&gt;0,$H93=""),
Error!$B$50,
IF(AND(_xlpm.baseRow,$D93&lt;&gt;"",$E93&lt;&gt;"",_xlpm.Points&gt;0,_xlpm.DecBroad&gt;0,$G93=""),
Error!$B$49,
IF(AND(_xlpm.baseRow,$D93&lt;&gt;"",$E93&lt;&gt;"",_xlpm.Points&gt;0,_xlpm.Coniferous&gt;0,$H93=""),
Error!$B$50,
IF(AND(_xlpm.baseRow,$D93&lt;&gt;"",$E93&lt;&gt;"",_xlpm.ReplaceReq&gt;0,_xlpm.DecBroad&gt;0,$G93=""),
Error!$B$49,
IF(AND(_xlpm.baseRow,$D93&lt;&gt;"",$E93&lt;&gt;"",_xlpm.ReplaceReq&gt;0,_xlpm.Coniferous&gt;0,$H93=""),
Error!$B$50,
IF(AND(_xlpm.baseRow,$D93&lt;&gt;"",$E93&lt;&gt;"",_xlpm.Street&gt;0,$G93=""),
Error!$B$49,
IF(AND(_xlpm.baseRow,$D93&lt;&gt;"",$E93&lt;&gt;"",$H93&lt;&gt;"",$H93&lt;4,OR(ISNA(MATCH($C93,'Tree List'!$C$3:$C$601,0)),$C93=""),_xlpm.Green&gt;0,COUNTA(_xlpm.FRange)&gt;0),
Error!$B$51,
IF(AND(_xlpm.baseRow,$D93&lt;&gt;"",$E93&lt;&gt;"",$H93&lt;&gt;"",$H93&lt;4,_xlpm.DecBroad&gt;0,_xlpm.Green&gt;0,COUNTA(_xlpm.FRange)&gt;0),
Error!$B$51,
IF(AND(_xlpm.baseRow,$D93&lt;&gt;"",$E93&lt;&gt;"",$G93="",$H93="",OR(_xlpm.ReplaceReq&gt;0,_xlpm.Green&gt;0,_xlpm.Points&gt;0,_xlpm.Street&gt;0)),
Error!$B$38,
IF(AND(_xlpm.baseRow,$D93&lt;&gt;"",$E93&lt;&gt;"",$H93&lt;&gt;"",$H93&lt;4,_xlpm.Street=0,_xlpm.Coniferous&gt;0,COUNTA(_xlpm.FRange)&gt;0),
Error!$B$32,
IF(AND(_xlpm.baseRow,_xlpm.DecBroad&gt;0,$D93&lt;&gt;"",$E93&lt;&gt;"",$G93&lt;&gt;"",$G93&lt;1.5,_xlpm.Street=0,COUNTA(_xlpm.FRange)&gt;0),
Error!$B$42,
IF(AND(_xlpm.baseRow,$I93="",$H93="",_xlpm.ECA&gt;0,_xlpm.ReplaceReq=0),
Error!$B$33,
IF(AND(_xlpm.baseRow,OR($J93="",$J93&lt;=0),_xlpm.ReplaceReq&gt;0),
Error!$B$34,
IF(AND(_xlpm.baseRow,$K93&lt;&gt;"",_xlpm.Points&gt;0,ISNA(MATCH($K93,Tables!$B$242:$B$253,0))),
Error!$B$58,
IF(AND($K93="Small",$L93&lt;&gt;"",ISNA(MATCH($L93,Tables2!$C$35:$C$36,0))),
Error!$B$60,
IF(AND($K93="Small/Medium",$L93&lt;&gt;"",ISNA(MATCH($L93,Tables2!$C$38:$C$39,0))),
Error!$B$60,
IF(AND($K93="Medium/Large",$L93&lt;&gt;"",ISNA(MATCH($L93,Tables2!$C$41:$C$42,0))),
Error!$B$60,
IF(AND($K93="Large",$L93&lt;&gt;"",ISNA(MATCH($L93,Tables2!$C$44:$C$45,0))),
Error!$B$60,
IF(AND(_xlpm.baseRow,$B93&lt;&gt;"", $C93&lt;&gt;"", $D93&lt;&gt;"", $E93&lt;&gt;"", OR($M93="",$K93="",$L93=""),_xlpm.Points&gt;0),
Error!$B$35,
IF(AND(_xlpm.baseRow,$D93&lt;&gt;"",$E93&lt;&gt;"",$N93=""),
Error!$B$36,
""))))))))))))))))))))))))))))))))))))))))))),Error!$B$37))</f>
        <v/>
      </c>
      <c r="P93" s="355" t="str" cm="1">
        <f t="array" aca="1" ref="P93" ca="1">IFERROR(_xlfn.LET(
    _xlpm.txt, $C93,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4" spans="1:16" ht="15" thickBot="1" x14ac:dyDescent="0.35">
      <c r="A94" s="298"/>
      <c r="B94" s="439" t="str">
        <f t="shared" ref="B94" si="103">IF($B91="", "", $B91)</f>
        <v/>
      </c>
      <c r="C94" s="310"/>
      <c r="D94" s="154" t="str">
        <f t="shared" ref="D94" si="104">IF($D91="", "", $D91)</f>
        <v/>
      </c>
      <c r="E94" s="154" t="str">
        <f t="shared" ref="E94" si="105">IF($E91="", "", $E91)</f>
        <v/>
      </c>
      <c r="F94" s="302"/>
      <c r="G94" s="161"/>
      <c r="H94" s="183"/>
      <c r="I94" s="180"/>
      <c r="J94" s="460"/>
      <c r="K94" s="176" t="str">
        <f>IFERROR(
IF(
    AND(
        MOD(ROW()-11,4)=0,
        COUNTIF(INDEX(F:F, 11 + 4*INT((ROW()-11)/4)):INDEX(F:F, 14 + 4*INT((ROW()-11)/4)),"Zoning: Tree Points")&gt;0,
        COUNTIFS('Tree List'!$C$3:$C$601,$C94,'Tree List'!$H$3:$H$601,"sp.")=0
    ),
    VLOOKUP($C94,'Tree List'!$C$3:$F$601,4,FALSE),
    ""
),
"")</f>
        <v/>
      </c>
      <c r="L94" s="177" t="str" cm="1">
        <f t="array" ref="L94">IFERROR(
IF(
    AND(
        COUNTIF(INDEX(F:F, 11 + 4*INT((ROW()-11)/4)):INDEX(F:F, 14 + 4*INT((ROW()-11)/4)),"Zoning: Tree Points")&gt;0,
        COUNTIFS('Tree List'!$C$3:$C$601,$C94,'Tree List'!$H$3:$H$601,"sp.")&gt;0
    ),
    "",
    _xlfn.IFS(
        (COUNTIFS('Tree List'!$C$3:$C$601,$C94,'Tree List'!$D$3:$D$601,"Coniferous")
        + COUNTIFS('Tree List'!$C$3:$C$601,$C94,'Tree List'!$D$3:$D$601,"Deciduous Conifer")) &gt; 0,
            _xlfn.IFS($K94="Small",1.25,$K94="Small/Medium",2.5,$K94="Medium/Large",3.75,$K94="Large",5),
        (COUNTIFS('Tree List'!$C$3:$C$601,$C94,'Tree List'!$D$3:$D$601,"Deciduous")
        + COUNTIFS('Tree List'!$C$3:$C$601,$C94,'Tree List'!$D$3:$D$601,"Broadleaf Evergreen")) &gt; 0,
            _xlfn.IFS($K94="Small",1,$K94="Small/Medium",2,$K94="Medium/Large",3,$K94="Large",4)
    )
),
"")</f>
        <v/>
      </c>
      <c r="M94" s="473" t="str">
        <f t="shared" si="99"/>
        <v/>
      </c>
      <c r="N94" s="435"/>
      <c r="O94" s="341" t="str" cm="1">
        <f t="array" aca="1" ref="O94"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List'!$C$3:$C$601,$C94,'Tree List'!$D$3:$D$601,{"Deciduous","Broadleaf Evergreen"})),
_xlpm.Coniferous,SUM(COUNTIFS('Tree List'!$C$3:$C$601,$C94,'Tree List'!$D$3:$D$601,{"Coniferous","Deciduous Conifer"})),
IFERROR(
IF(AND(_xlpm.baseRow,ISNA(MATCH($C94,'Tree List'!$C$3:$C$601,0)),SUMPRODUCT(--ISNUMBER(SEARCH(Tables2!$C$677:$C$825,$P94)))&gt;0),
Error!$B$64,
IF(AND(_xlpm.baseRow,COUNTIF(_xlpm.FRange,"ECA / Shoreline")&gt;0,$D94&lt;&gt;"",$E94&lt;&gt;"",$N94=""),
Error!$B$55,
IF(AND(_xlpm.baseRow,$D94&lt;&gt;"",$E94&lt;&gt;"",COUNTBLANK($B94:$C94)&gt;0,COUNTBLANK($F94:$F97)&lt;&gt;4),
Error!$B$22,
IF(AND(_xlpm.baseRow,$D94="Right-of-Way", $E94=""),
Error!$B$67,
IF(AND(_xlpm.baseRow,$D94&lt;&gt;"",ISNA(MATCH($D94,Tables2!$B$66:$B$68,0))),
Error!$B$63,
IF(AND(_xlpm.baseRow,$D94="Off Site",$E94&lt;&gt;"",$E94&lt;&gt;"Yes"),
Error!$B$28,
IF(AND(_xlpm.baseRow,OR($D94="On Site",$D94="Right-of-Way"),$E94&lt;&gt;"",ISNA(MATCH($E94,MultiSelect2[TreeMitigation],0))),
Error!$B$28,
IF(AND(_xlpm.baseRow,$D94&lt;&gt;"",$E94&lt;&gt;"",COUNTIF(_xlpm.FRange,"&lt;&gt;")=0),
Error!$B$26,
IF(AND($E94="No",$F94&lt;&gt;"",ISNA(MATCH($F94,Tables2!$B$55:$B$57,0))),
Error!$B$27,
IF(AND($E94="Yes",$F94&lt;&gt;"",ISNA(MATCH($F94,Tables2!$B$48:$B$52,0))),
Error!$B$27,
IF(AND($D94="Off Site",$E94="Yes",$F94&lt;&gt;"",ISNA(MATCH($F94,Tables2!$B$60:$B$62,0))),
Error!$B$27,
IF(AND(_xlpm.baseRow,_xlpm.Street&gt;0,_xlpm.ECA&gt;0),
Error!$B$29,
IF(AND(_xlpm.baseRow,_xlpm.Street&gt;0,_xlpm.Points&gt;0),
Error!$B$30,
IF(AND(_xlpm.baseRow,_xlpm.Street&gt;0,_xlpm.ReplaceReq&gt;0),
Error!$B$31,
IF(AND(_xlpm.baseRow,$D94&lt;&gt;"",$E94&lt;&gt;"",$G94&lt;&gt;"",_xlpm.DecBroad&gt;0,OR(_xlpm.Points&gt;0,_xlpm.Green&gt;0,_xlpm.ReplaceReq&gt;0),_xlpm.Street=0,$G94&lt;1.5),
Error!$B$42,
IF(AND(_xlpm.baseRow,$D94&lt;&gt;"",$E94&lt;&gt;"",$H94&lt;&gt;"",$H94&lt;4,_xlpm.Street&gt;0,_xlpm.Green&gt;0,COUNTA(_xlpm.FRange)&gt;0),
Error!$B$32,
IF(AND(_xlpm.baseRow,$G94="",_xlpm.ECA&gt;0,_xlpm.DecBroad&gt;0,_xlpm.ReplaceReq&gt;0),
Error!$B$52,
IF(AND(_xlpm.baseRow,$E94&lt;&gt;"", $H94="",_xlpm.ECA&gt;0,_xlpm.Coniferous&gt;0,_xlpm.ReplaceReq&gt;0),
Error!$B$53,
IF(AND(_xlpm.baseRow,$G94="",$H94="",_xlpm.ECA&gt;0,_xlpm.ReplaceReq&gt;0),
Error!$B$39,
IF(AND(_xlpm.baseRow,$D94&lt;&gt;"",$E94&lt;&gt;"",$G94="",$H94="",_xlpm.Coniferous&gt;0,_xlpm.ReplaceReq&gt;0,_xlpm.ECA&gt;0),
Error!$B$50,
IF(AND(_xlpm.baseRow,$D94&lt;&gt;"",$E94&lt;&gt;"",$G94&lt;&gt;"",_xlpm.Street&gt;0,$G94&lt;2),
Error!$B$43,
IF(AND(_xlpm.baseRow,$D94&lt;&gt;"",$E94&lt;&gt;"",_xlpm.Green&gt;0,_xlpm.DecBroad&gt;0,$G94=""),
Error!$B$49,
IF(AND(_xlpm.baseRow,$D94&lt;&gt;"",$E94&lt;&gt;"",$H94&lt;&gt;"",$H94&lt;4,_xlpm.Green&gt;0,_xlpm.DecBroad&gt;0,$G94=""),
Error!$B$51,
IF(AND(_xlpm.baseRow,$D94&lt;&gt;"",$E94&lt;&gt;"",_xlpm.Green&gt;0,_xlpm.Coniferous&gt;0,$H94=""),
Error!$B$50,
IF(AND(_xlpm.baseRow,$D94&lt;&gt;"",$E94&lt;&gt;"",_xlpm.Points&gt;0,_xlpm.DecBroad&gt;0,$G94=""),
Error!$B$49,
IF(AND(_xlpm.baseRow,$D94&lt;&gt;"",$E94&lt;&gt;"",_xlpm.Points&gt;0,_xlpm.Coniferous&gt;0,$H94=""),
Error!$B$50,
IF(AND(_xlpm.baseRow,$D94&lt;&gt;"",$E94&lt;&gt;"",_xlpm.ReplaceReq&gt;0,_xlpm.DecBroad&gt;0,$G94=""),
Error!$B$49,
IF(AND(_xlpm.baseRow,$D94&lt;&gt;"",$E94&lt;&gt;"",_xlpm.ReplaceReq&gt;0,_xlpm.Coniferous&gt;0,$H94=""),
Error!$B$50,
IF(AND(_xlpm.baseRow,$D94&lt;&gt;"",$E94&lt;&gt;"",_xlpm.Street&gt;0,$G94=""),
Error!$B$49,
IF(AND(_xlpm.baseRow,$D94&lt;&gt;"",$E94&lt;&gt;"",$H94&lt;&gt;"",$H94&lt;4,OR(ISNA(MATCH($C94,'Tree List'!$C$3:$C$601,0)),$C94=""),_xlpm.Green&gt;0,COUNTA(_xlpm.FRange)&gt;0),
Error!$B$51,
IF(AND(_xlpm.baseRow,$D94&lt;&gt;"",$E94&lt;&gt;"",$H94&lt;&gt;"",$H94&lt;4,_xlpm.DecBroad&gt;0,_xlpm.Green&gt;0,COUNTA(_xlpm.FRange)&gt;0),
Error!$B$51,
IF(AND(_xlpm.baseRow,$D94&lt;&gt;"",$E94&lt;&gt;"",$G94="",$H94="",OR(_xlpm.ReplaceReq&gt;0,_xlpm.Green&gt;0,_xlpm.Points&gt;0,_xlpm.Street&gt;0)),
Error!$B$38,
IF(AND(_xlpm.baseRow,$D94&lt;&gt;"",$E94&lt;&gt;"",$H94&lt;&gt;"",$H94&lt;4,_xlpm.Street=0,_xlpm.Coniferous&gt;0,COUNTA(_xlpm.FRange)&gt;0),
Error!$B$32,
IF(AND(_xlpm.baseRow,_xlpm.DecBroad&gt;0,$D94&lt;&gt;"",$E94&lt;&gt;"",$G94&lt;&gt;"",$G94&lt;1.5,_xlpm.Street=0,COUNTA(_xlpm.FRange)&gt;0),
Error!$B$42,
IF(AND(_xlpm.baseRow,$I94="",$H94="",_xlpm.ECA&gt;0,_xlpm.ReplaceReq=0),
Error!$B$33,
IF(AND(_xlpm.baseRow,OR($J94="",$J94&lt;=0),_xlpm.ReplaceReq&gt;0),
Error!$B$34,
IF(AND(_xlpm.baseRow,$K94&lt;&gt;"",_xlpm.Points&gt;0,ISNA(MATCH($K94,Tables!$B$242:$B$253,0))),
Error!$B$58,
IF(AND($K94="Small",$L94&lt;&gt;"",ISNA(MATCH($L94,Tables2!$C$35:$C$36,0))),
Error!$B$60,
IF(AND($K94="Small/Medium",$L94&lt;&gt;"",ISNA(MATCH($L94,Tables2!$C$38:$C$39,0))),
Error!$B$60,
IF(AND($K94="Medium/Large",$L94&lt;&gt;"",ISNA(MATCH($L94,Tables2!$C$41:$C$42,0))),
Error!$B$60,
IF(AND($K94="Large",$L94&lt;&gt;"",ISNA(MATCH($L94,Tables2!$C$44:$C$45,0))),
Error!$B$60,
IF(AND(_xlpm.baseRow,$B94&lt;&gt;"", $C94&lt;&gt;"", $D94&lt;&gt;"", $E94&lt;&gt;"", OR($M94="",$K94="",$L94=""),_xlpm.Points&gt;0),
Error!$B$35,
IF(AND(_xlpm.baseRow,$D94&lt;&gt;"",$E94&lt;&gt;"",$N94=""),
Error!$B$36,
""))))))))))))))))))))))))))))))))))))))))))),Error!$B$37))</f>
        <v/>
      </c>
      <c r="P94" s="355" t="str" cm="1">
        <f t="array" aca="1" ref="P94" ca="1">IFERROR(_xlfn.LET(
    _xlpm.txt, $C94,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5" spans="1:16" ht="15" thickBot="1" x14ac:dyDescent="0.35">
      <c r="A95" s="437">
        <v>22</v>
      </c>
      <c r="B95" s="447"/>
      <c r="C95" s="444"/>
      <c r="D95" s="296"/>
      <c r="E95" s="296"/>
      <c r="F95" s="304"/>
      <c r="G95" s="257"/>
      <c r="H95" s="181"/>
      <c r="I95" s="178"/>
      <c r="J95" s="457"/>
      <c r="K95" s="172" t="str">
        <f>IFERROR(
IF(
    AND(
        MOD(ROW()-11,4)=0,
        COUNTIF(INDEX(F:F, 11 + 4*INT((ROW()-11)/4)):INDEX(F:F, 14 + 4*INT((ROW()-11)/4)),"Zoning: Tree Points")&gt;0,
        COUNTIFS('Tree List'!$C$3:$C$601,$C95,'Tree List'!$H$3:$H$601,"sp.")=0
    ),
    VLOOKUP($C95,'Tree List'!$C$3:$F$601,4,FALSE),
    ""
),
"")</f>
        <v/>
      </c>
      <c r="L95" s="173" t="str" cm="1">
        <f t="array" ref="L95">IFERROR(
IF(
    AND(
        COUNTIF(INDEX(F:F, 11 + 4*INT((ROW()-11)/4)):INDEX(F:F, 14 + 4*INT((ROW()-11)/4)),"Zoning: Tree Points")&gt;0,
        COUNTIFS('Tree List'!$C$3:$C$601,$C95,'Tree List'!$H$3:$H$601,"sp.")&gt;0
    ),
    "",
    _xlfn.IFS(
        (COUNTIFS('Tree List'!$C$3:$C$601,$C95,'Tree List'!$D$3:$D$601,"Coniferous")
        + COUNTIFS('Tree List'!$C$3:$C$601,$C95,'Tree List'!$D$3:$D$601,"Deciduous Conifer")) &gt; 0,
            _xlfn.IFS($K95="Small",1.25,$K95="Small/Medium",2.5,$K95="Medium/Large",3.75,$K95="Large",5),
        (COUNTIFS('Tree List'!$C$3:$C$601,$C95,'Tree List'!$D$3:$D$601,"Deciduous")
        + COUNTIFS('Tree List'!$C$3:$C$601,$C95,'Tree List'!$D$3:$D$601,"Broadleaf Evergreen")) &gt; 0,
            _xlfn.IFS($K95="Small",1,$K95="Small/Medium",2,$K95="Medium/Large",3,$K95="Large",4)
    )
),
"")</f>
        <v/>
      </c>
      <c r="M95" s="470" t="str">
        <f t="shared" ref="M95" si="106">IFERROR($L95*$N95,"")</f>
        <v/>
      </c>
      <c r="N95" s="744"/>
      <c r="O95" s="737" t="str" cm="1">
        <f t="array" aca="1" ref="O95"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List'!$C$3:$C$601,$C95,'Tree List'!$D$3:$D$601,{"Deciduous","Broadleaf Evergreen"})),
_xlpm.Coniferous,SUM(COUNTIFS('Tree List'!$C$3:$C$601,$C95,'Tree List'!$D$3:$D$601,{"Coniferous","Deciduous Conifer"})),
IFERROR(
IF(AND(_xlpm.baseRow,ISNA(MATCH($C95,'Tree List'!$C$3:$C$601,0)),SUMPRODUCT(--ISNUMBER(SEARCH(Tables2!$C$677:$C$825,$P95)))&gt;0),
Error!$B$64,
IF(AND(_xlpm.baseRow,COUNTIF(_xlpm.FRange,"ECA / Shoreline")&gt;0,$D95&lt;&gt;"",$E95&lt;&gt;"",$N95=""),
Error!$B$55,
IF(AND(_xlpm.baseRow,$D95&lt;&gt;"",$E95&lt;&gt;"",COUNTBLANK($B95:$C95)&gt;0,COUNTBLANK($F95:$F98)&lt;&gt;4),
Error!$B$22,
IF(AND(_xlpm.baseRow,$D95="Right-of-Way", $E95=""),
Error!$B$67,
IF(AND(_xlpm.baseRow,$D95&lt;&gt;"",ISNA(MATCH($D95,Tables2!$B$66:$B$68,0))),
Error!$B$63,
IF(AND(_xlpm.baseRow,$D95="Off Site",$E95&lt;&gt;"",$E95&lt;&gt;"Yes"),
Error!$B$28,
IF(AND(_xlpm.baseRow,OR($D95="On Site",$D95="Right-of-Way"),$E95&lt;&gt;"",ISNA(MATCH($E95,MultiSelect2[TreeMitigation],0))),
Error!$B$28,
IF(AND(_xlpm.baseRow,$D95&lt;&gt;"",$E95&lt;&gt;"",COUNTIF(_xlpm.FRange,"&lt;&gt;")=0),
Error!$B$26,
IF(AND($E95="No",$F95&lt;&gt;"",ISNA(MATCH($F95,Tables2!$B$55:$B$57,0))),
Error!$B$27,
IF(AND($E95="Yes",$F95&lt;&gt;"",ISNA(MATCH($F95,Tables2!$B$48:$B$52,0))),
Error!$B$27,
IF(AND($D95="Off Site",$E95="Yes",$F95&lt;&gt;"",ISNA(MATCH($F95,Tables2!$B$60:$B$62,0))),
Error!$B$27,
IF(AND(_xlpm.baseRow,_xlpm.Street&gt;0,_xlpm.ECA&gt;0),
Error!$B$29,
IF(AND(_xlpm.baseRow,_xlpm.Street&gt;0,_xlpm.Points&gt;0),
Error!$B$30,
IF(AND(_xlpm.baseRow,_xlpm.Street&gt;0,_xlpm.ReplaceReq&gt;0),
Error!$B$31,
IF(AND(_xlpm.baseRow,$D95&lt;&gt;"",$E95&lt;&gt;"",$G95&lt;&gt;"",_xlpm.DecBroad&gt;0,OR(_xlpm.Points&gt;0,_xlpm.Green&gt;0,_xlpm.ReplaceReq&gt;0),_xlpm.Street=0,$G95&lt;1.5),
Error!$B$42,
IF(AND(_xlpm.baseRow,$D95&lt;&gt;"",$E95&lt;&gt;"",$H95&lt;&gt;"",$H95&lt;4,_xlpm.Street&gt;0,_xlpm.Green&gt;0,COUNTA(_xlpm.FRange)&gt;0),
Error!$B$32,
IF(AND(_xlpm.baseRow,$G95="",_xlpm.ECA&gt;0,_xlpm.DecBroad&gt;0,_xlpm.ReplaceReq&gt;0),
Error!$B$52,
IF(AND(_xlpm.baseRow,$E95&lt;&gt;"", $H95="",_xlpm.ECA&gt;0,_xlpm.Coniferous&gt;0,_xlpm.ReplaceReq&gt;0),
Error!$B$53,
IF(AND(_xlpm.baseRow,$G95="",$H95="",_xlpm.ECA&gt;0,_xlpm.ReplaceReq&gt;0),
Error!$B$39,
IF(AND(_xlpm.baseRow,$D95&lt;&gt;"",$E95&lt;&gt;"",$G95="",$H95="",_xlpm.Coniferous&gt;0,_xlpm.ReplaceReq&gt;0,_xlpm.ECA&gt;0),
Error!$B$50,
IF(AND(_xlpm.baseRow,$D95&lt;&gt;"",$E95&lt;&gt;"",$G95&lt;&gt;"",_xlpm.Street&gt;0,$G95&lt;2),
Error!$B$43,
IF(AND(_xlpm.baseRow,$D95&lt;&gt;"",$E95&lt;&gt;"",_xlpm.Green&gt;0,_xlpm.DecBroad&gt;0,$G95=""),
Error!$B$49,
IF(AND(_xlpm.baseRow,$D95&lt;&gt;"",$E95&lt;&gt;"",$H95&lt;&gt;"",$H95&lt;4,_xlpm.Green&gt;0,_xlpm.DecBroad&gt;0,$G95=""),
Error!$B$51,
IF(AND(_xlpm.baseRow,$D95&lt;&gt;"",$E95&lt;&gt;"",_xlpm.Green&gt;0,_xlpm.Coniferous&gt;0,$H95=""),
Error!$B$50,
IF(AND(_xlpm.baseRow,$D95&lt;&gt;"",$E95&lt;&gt;"",_xlpm.Points&gt;0,_xlpm.DecBroad&gt;0,$G95=""),
Error!$B$49,
IF(AND(_xlpm.baseRow,$D95&lt;&gt;"",$E95&lt;&gt;"",_xlpm.Points&gt;0,_xlpm.Coniferous&gt;0,$H95=""),
Error!$B$50,
IF(AND(_xlpm.baseRow,$D95&lt;&gt;"",$E95&lt;&gt;"",_xlpm.ReplaceReq&gt;0,_xlpm.DecBroad&gt;0,$G95=""),
Error!$B$49,
IF(AND(_xlpm.baseRow,$D95&lt;&gt;"",$E95&lt;&gt;"",_xlpm.ReplaceReq&gt;0,_xlpm.Coniferous&gt;0,$H95=""),
Error!$B$50,
IF(AND(_xlpm.baseRow,$D95&lt;&gt;"",$E95&lt;&gt;"",_xlpm.Street&gt;0,$G95=""),
Error!$B$49,
IF(AND(_xlpm.baseRow,$D95&lt;&gt;"",$E95&lt;&gt;"",$H95&lt;&gt;"",$H95&lt;4,OR(ISNA(MATCH($C95,'Tree List'!$C$3:$C$601,0)),$C95=""),_xlpm.Green&gt;0,COUNTA(_xlpm.FRange)&gt;0),
Error!$B$51,
IF(AND(_xlpm.baseRow,$D95&lt;&gt;"",$E95&lt;&gt;"",$H95&lt;&gt;"",$H95&lt;4,_xlpm.DecBroad&gt;0,_xlpm.Green&gt;0,COUNTA(_xlpm.FRange)&gt;0),
Error!$B$51,
IF(AND(_xlpm.baseRow,$D95&lt;&gt;"",$E95&lt;&gt;"",$G95="",$H95="",OR(_xlpm.ReplaceReq&gt;0,_xlpm.Green&gt;0,_xlpm.Points&gt;0,_xlpm.Street&gt;0)),
Error!$B$38,
IF(AND(_xlpm.baseRow,$D95&lt;&gt;"",$E95&lt;&gt;"",$H95&lt;&gt;"",$H95&lt;4,_xlpm.Street=0,_xlpm.Coniferous&gt;0,COUNTA(_xlpm.FRange)&gt;0),
Error!$B$32,
IF(AND(_xlpm.baseRow,_xlpm.DecBroad&gt;0,$D95&lt;&gt;"",$E95&lt;&gt;"",$G95&lt;&gt;"",$G95&lt;1.5,_xlpm.Street=0,COUNTA(_xlpm.FRange)&gt;0),
Error!$B$42,
IF(AND(_xlpm.baseRow,$I95="",$H95="",_xlpm.ECA&gt;0,_xlpm.ReplaceReq=0),
Error!$B$33,
IF(AND(_xlpm.baseRow,OR($J95="",$J95&lt;=0),_xlpm.ReplaceReq&gt;0),
Error!$B$34,
IF(AND(_xlpm.baseRow,$K95&lt;&gt;"",_xlpm.Points&gt;0,ISNA(MATCH($K95,Tables!$B$242:$B$253,0))),
Error!$B$58,
IF(AND($K95="Small",$L95&lt;&gt;"",ISNA(MATCH($L95,Tables2!$C$35:$C$36,0))),
Error!$B$60,
IF(AND($K95="Small/Medium",$L95&lt;&gt;"",ISNA(MATCH($L95,Tables2!$C$38:$C$39,0))),
Error!$B$60,
IF(AND($K95="Medium/Large",$L95&lt;&gt;"",ISNA(MATCH($L95,Tables2!$C$41:$C$42,0))),
Error!$B$60,
IF(AND($K95="Large",$L95&lt;&gt;"",ISNA(MATCH($L95,Tables2!$C$44:$C$45,0))),
Error!$B$60,
IF(AND(_xlpm.baseRow,$B95&lt;&gt;"", $C95&lt;&gt;"", $D95&lt;&gt;"", $E95&lt;&gt;"", OR($M95="",$K95="",$L95=""),_xlpm.Points&gt;0),
Error!$B$35,
IF(AND(_xlpm.baseRow,$D95&lt;&gt;"",$E95&lt;&gt;"",$N95=""),
Error!$B$36,
""))))))))))))))))))))))))))))))))))))))))))),Error!$B$37))</f>
        <v/>
      </c>
      <c r="P95" s="355" t="str" cm="1">
        <f t="array" aca="1" ref="P95" ca="1">IFERROR(_xlfn.LET(
    _xlpm.txt, $C95,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6" spans="1:16" x14ac:dyDescent="0.3">
      <c r="A96" s="297"/>
      <c r="B96" s="439" t="str">
        <f t="shared" ref="B96" si="107">IF($B95="", "", $B95)</f>
        <v/>
      </c>
      <c r="C96" s="309"/>
      <c r="D96" s="157" t="str">
        <f t="shared" ref="D96" si="108">IF($D95="", "", $D95)</f>
        <v/>
      </c>
      <c r="E96" s="157" t="str">
        <f t="shared" ref="E96" si="109">IF($E95="", "", $E95)</f>
        <v/>
      </c>
      <c r="F96" s="300"/>
      <c r="G96" s="159"/>
      <c r="H96" s="182"/>
      <c r="I96" s="179"/>
      <c r="J96" s="458"/>
      <c r="K96" s="174" t="str">
        <f>IFERROR(
IF(
    AND(
        MOD(ROW()-11,4)=0,
        COUNTIF(INDEX(F:F, 11 + 4*INT((ROW()-11)/4)):INDEX(F:F, 14 + 4*INT((ROW()-11)/4)),"Zoning: Tree Points")&gt;0,
        COUNTIFS('Tree List'!$C$3:$C$601,$C96,'Tree List'!$H$3:$H$601,"sp.")=0
    ),
    VLOOKUP($C96,'Tree List'!$C$3:$F$601,4,FALSE),
    ""
),
"")</f>
        <v/>
      </c>
      <c r="L96" s="175" t="str" cm="1">
        <f t="array" ref="L96">IFERROR(
IF(
    AND(
        COUNTIF(INDEX(F:F, 11 + 4*INT((ROW()-11)/4)):INDEX(F:F, 14 + 4*INT((ROW()-11)/4)),"Zoning: Tree Points")&gt;0,
        COUNTIFS('Tree List'!$C$3:$C$601,$C96,'Tree List'!$H$3:$H$601,"sp.")&gt;0
    ),
    "",
    _xlfn.IFS(
        (COUNTIFS('Tree List'!$C$3:$C$601,$C96,'Tree List'!$D$3:$D$601,"Coniferous")
        + COUNTIFS('Tree List'!$C$3:$C$601,$C96,'Tree List'!$D$3:$D$601,"Deciduous Conifer")) &gt; 0,
            _xlfn.IFS($K96="Small",1.25,$K96="Small/Medium",2.5,$K96="Medium/Large",3.75,$K96="Large",5),
        (COUNTIFS('Tree List'!$C$3:$C$601,$C96,'Tree List'!$D$3:$D$601,"Deciduous")
        + COUNTIFS('Tree List'!$C$3:$C$601,$C96,'Tree List'!$D$3:$D$601,"Broadleaf Evergreen")) &gt; 0,
            _xlfn.IFS($K96="Small",1,$K96="Small/Medium",2,$K96="Medium/Large",3,$K96="Large",4)
    )
),
"")</f>
        <v/>
      </c>
      <c r="M96" s="471" t="str">
        <f t="shared" ref="M96:M98" si="110">IFERROR($L96*$N96,"")</f>
        <v/>
      </c>
      <c r="N96" s="434"/>
      <c r="O96" s="340" t="str" cm="1">
        <f t="array" aca="1" ref="O96"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List'!$C$3:$C$601,$C96,'Tree List'!$D$3:$D$601,{"Deciduous","Broadleaf Evergreen"})),
_xlpm.Coniferous,SUM(COUNTIFS('Tree List'!$C$3:$C$601,$C96,'Tree List'!$D$3:$D$601,{"Coniferous","Deciduous Conifer"})),
IFERROR(
IF(AND(_xlpm.baseRow,ISNA(MATCH($C96,'Tree List'!$C$3:$C$601,0)),SUMPRODUCT(--ISNUMBER(SEARCH(Tables2!$C$677:$C$825,$P96)))&gt;0),
Error!$B$64,
IF(AND(_xlpm.baseRow,COUNTIF(_xlpm.FRange,"ECA / Shoreline")&gt;0,$D96&lt;&gt;"",$E96&lt;&gt;"",$N96=""),
Error!$B$55,
IF(AND(_xlpm.baseRow,$D96&lt;&gt;"",$E96&lt;&gt;"",COUNTBLANK($B96:$C96)&gt;0,COUNTBLANK($F96:$F99)&lt;&gt;4),
Error!$B$22,
IF(AND(_xlpm.baseRow,$D96="Right-of-Way", $E96=""),
Error!$B$67,
IF(AND(_xlpm.baseRow,$D96&lt;&gt;"",ISNA(MATCH($D96,Tables2!$B$66:$B$68,0))),
Error!$B$63,
IF(AND(_xlpm.baseRow,$D96="Off Site",$E96&lt;&gt;"",$E96&lt;&gt;"Yes"),
Error!$B$28,
IF(AND(_xlpm.baseRow,OR($D96="On Site",$D96="Right-of-Way"),$E96&lt;&gt;"",ISNA(MATCH($E96,MultiSelect2[TreeMitigation],0))),
Error!$B$28,
IF(AND(_xlpm.baseRow,$D96&lt;&gt;"",$E96&lt;&gt;"",COUNTIF(_xlpm.FRange,"&lt;&gt;")=0),
Error!$B$26,
IF(AND($E96="No",$F96&lt;&gt;"",ISNA(MATCH($F96,Tables2!$B$55:$B$57,0))),
Error!$B$27,
IF(AND($E96="Yes",$F96&lt;&gt;"",ISNA(MATCH($F96,Tables2!$B$48:$B$52,0))),
Error!$B$27,
IF(AND($D96="Off Site",$E96="Yes",$F96&lt;&gt;"",ISNA(MATCH($F96,Tables2!$B$60:$B$62,0))),
Error!$B$27,
IF(AND(_xlpm.baseRow,_xlpm.Street&gt;0,_xlpm.ECA&gt;0),
Error!$B$29,
IF(AND(_xlpm.baseRow,_xlpm.Street&gt;0,_xlpm.Points&gt;0),
Error!$B$30,
IF(AND(_xlpm.baseRow,_xlpm.Street&gt;0,_xlpm.ReplaceReq&gt;0),
Error!$B$31,
IF(AND(_xlpm.baseRow,$D96&lt;&gt;"",$E96&lt;&gt;"",$G96&lt;&gt;"",_xlpm.DecBroad&gt;0,OR(_xlpm.Points&gt;0,_xlpm.Green&gt;0,_xlpm.ReplaceReq&gt;0),_xlpm.Street=0,$G96&lt;1.5),
Error!$B$42,
IF(AND(_xlpm.baseRow,$D96&lt;&gt;"",$E96&lt;&gt;"",$H96&lt;&gt;"",$H96&lt;4,_xlpm.Street&gt;0,_xlpm.Green&gt;0,COUNTA(_xlpm.FRange)&gt;0),
Error!$B$32,
IF(AND(_xlpm.baseRow,$G96="",_xlpm.ECA&gt;0,_xlpm.DecBroad&gt;0,_xlpm.ReplaceReq&gt;0),
Error!$B$52,
IF(AND(_xlpm.baseRow,$E96&lt;&gt;"", $H96="",_xlpm.ECA&gt;0,_xlpm.Coniferous&gt;0,_xlpm.ReplaceReq&gt;0),
Error!$B$53,
IF(AND(_xlpm.baseRow,$G96="",$H96="",_xlpm.ECA&gt;0,_xlpm.ReplaceReq&gt;0),
Error!$B$39,
IF(AND(_xlpm.baseRow,$D96&lt;&gt;"",$E96&lt;&gt;"",$G96="",$H96="",_xlpm.Coniferous&gt;0,_xlpm.ReplaceReq&gt;0,_xlpm.ECA&gt;0),
Error!$B$50,
IF(AND(_xlpm.baseRow,$D96&lt;&gt;"",$E96&lt;&gt;"",$G96&lt;&gt;"",_xlpm.Street&gt;0,$G96&lt;2),
Error!$B$43,
IF(AND(_xlpm.baseRow,$D96&lt;&gt;"",$E96&lt;&gt;"",_xlpm.Green&gt;0,_xlpm.DecBroad&gt;0,$G96=""),
Error!$B$49,
IF(AND(_xlpm.baseRow,$D96&lt;&gt;"",$E96&lt;&gt;"",$H96&lt;&gt;"",$H96&lt;4,_xlpm.Green&gt;0,_xlpm.DecBroad&gt;0,$G96=""),
Error!$B$51,
IF(AND(_xlpm.baseRow,$D96&lt;&gt;"",$E96&lt;&gt;"",_xlpm.Green&gt;0,_xlpm.Coniferous&gt;0,$H96=""),
Error!$B$50,
IF(AND(_xlpm.baseRow,$D96&lt;&gt;"",$E96&lt;&gt;"",_xlpm.Points&gt;0,_xlpm.DecBroad&gt;0,$G96=""),
Error!$B$49,
IF(AND(_xlpm.baseRow,$D96&lt;&gt;"",$E96&lt;&gt;"",_xlpm.Points&gt;0,_xlpm.Coniferous&gt;0,$H96=""),
Error!$B$50,
IF(AND(_xlpm.baseRow,$D96&lt;&gt;"",$E96&lt;&gt;"",_xlpm.ReplaceReq&gt;0,_xlpm.DecBroad&gt;0,$G96=""),
Error!$B$49,
IF(AND(_xlpm.baseRow,$D96&lt;&gt;"",$E96&lt;&gt;"",_xlpm.ReplaceReq&gt;0,_xlpm.Coniferous&gt;0,$H96=""),
Error!$B$50,
IF(AND(_xlpm.baseRow,$D96&lt;&gt;"",$E96&lt;&gt;"",_xlpm.Street&gt;0,$G96=""),
Error!$B$49,
IF(AND(_xlpm.baseRow,$D96&lt;&gt;"",$E96&lt;&gt;"",$H96&lt;&gt;"",$H96&lt;4,OR(ISNA(MATCH($C96,'Tree List'!$C$3:$C$601,0)),$C96=""),_xlpm.Green&gt;0,COUNTA(_xlpm.FRange)&gt;0),
Error!$B$51,
IF(AND(_xlpm.baseRow,$D96&lt;&gt;"",$E96&lt;&gt;"",$H96&lt;&gt;"",$H96&lt;4,_xlpm.DecBroad&gt;0,_xlpm.Green&gt;0,COUNTA(_xlpm.FRange)&gt;0),
Error!$B$51,
IF(AND(_xlpm.baseRow,$D96&lt;&gt;"",$E96&lt;&gt;"",$G96="",$H96="",OR(_xlpm.ReplaceReq&gt;0,_xlpm.Green&gt;0,_xlpm.Points&gt;0,_xlpm.Street&gt;0)),
Error!$B$38,
IF(AND(_xlpm.baseRow,$D96&lt;&gt;"",$E96&lt;&gt;"",$H96&lt;&gt;"",$H96&lt;4,_xlpm.Street=0,_xlpm.Coniferous&gt;0,COUNTA(_xlpm.FRange)&gt;0),
Error!$B$32,
IF(AND(_xlpm.baseRow,_xlpm.DecBroad&gt;0,$D96&lt;&gt;"",$E96&lt;&gt;"",$G96&lt;&gt;"",$G96&lt;1.5,_xlpm.Street=0,COUNTA(_xlpm.FRange)&gt;0),
Error!$B$42,
IF(AND(_xlpm.baseRow,$I96="",$H96="",_xlpm.ECA&gt;0,_xlpm.ReplaceReq=0),
Error!$B$33,
IF(AND(_xlpm.baseRow,OR($J96="",$J96&lt;=0),_xlpm.ReplaceReq&gt;0),
Error!$B$34,
IF(AND(_xlpm.baseRow,$K96&lt;&gt;"",_xlpm.Points&gt;0,ISNA(MATCH($K96,Tables!$B$242:$B$253,0))),
Error!$B$58,
IF(AND($K96="Small",$L96&lt;&gt;"",ISNA(MATCH($L96,Tables2!$C$35:$C$36,0))),
Error!$B$60,
IF(AND($K96="Small/Medium",$L96&lt;&gt;"",ISNA(MATCH($L96,Tables2!$C$38:$C$39,0))),
Error!$B$60,
IF(AND($K96="Medium/Large",$L96&lt;&gt;"",ISNA(MATCH($L96,Tables2!$C$41:$C$42,0))),
Error!$B$60,
IF(AND($K96="Large",$L96&lt;&gt;"",ISNA(MATCH($L96,Tables2!$C$44:$C$45,0))),
Error!$B$60,
IF(AND(_xlpm.baseRow,$B96&lt;&gt;"", $C96&lt;&gt;"", $D96&lt;&gt;"", $E96&lt;&gt;"", OR($M96="",$K96="",$L96=""),_xlpm.Points&gt;0),
Error!$B$35,
IF(AND(_xlpm.baseRow,$D96&lt;&gt;"",$E96&lt;&gt;"",$N96=""),
Error!$B$36,
""))))))))))))))))))))))))))))))))))))))))))),Error!$B$37))</f>
        <v/>
      </c>
      <c r="P96" s="355" t="str" cm="1">
        <f t="array" aca="1" ref="P96" ca="1">IFERROR(_xlfn.LET(
    _xlpm.txt, $C96,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7" spans="1:16" x14ac:dyDescent="0.3">
      <c r="A97" s="297"/>
      <c r="B97" s="439" t="str">
        <f t="shared" ref="B97" si="111">IF($B95="", "", $B95)</f>
        <v/>
      </c>
      <c r="C97" s="438"/>
      <c r="D97" s="439" t="str">
        <f t="shared" ref="D97" si="112">IF($D95="", "", $D95)</f>
        <v/>
      </c>
      <c r="E97" s="439" t="str">
        <f t="shared" ref="E97" si="113">IF($E95="", "", $E95)</f>
        <v/>
      </c>
      <c r="F97" s="300"/>
      <c r="G97" s="160"/>
      <c r="H97" s="440"/>
      <c r="I97" s="441"/>
      <c r="J97" s="459"/>
      <c r="K97" s="442" t="str">
        <f>IFERROR(
IF(
    AND(
        MOD(ROW()-11,4)=0,
        COUNTIF(INDEX(F:F, 11 + 4*INT((ROW()-11)/4)):INDEX(F:F, 14 + 4*INT((ROW()-11)/4)),"Zoning: Tree Points")&gt;0,
        COUNTIFS('Tree List'!$C$3:$C$601,$C97,'Tree List'!$H$3:$H$601,"sp.")=0
    ),
    VLOOKUP($C97,'Tree List'!$C$3:$F$601,4,FALSE),
    ""
),
"")</f>
        <v/>
      </c>
      <c r="L97" s="443" t="str" cm="1">
        <f t="array" ref="L97">IFERROR(
IF(
    AND(
        COUNTIF(INDEX(F:F, 11 + 4*INT((ROW()-11)/4)):INDEX(F:F, 14 + 4*INT((ROW()-11)/4)),"Zoning: Tree Points")&gt;0,
        COUNTIFS('Tree List'!$C$3:$C$601,$C97,'Tree List'!$H$3:$H$601,"sp.")&gt;0
    ),
    "",
    _xlfn.IFS(
        (COUNTIFS('Tree List'!$C$3:$C$601,$C97,'Tree List'!$D$3:$D$601,"Coniferous")
        + COUNTIFS('Tree List'!$C$3:$C$601,$C97,'Tree List'!$D$3:$D$601,"Deciduous Conifer")) &gt; 0,
            _xlfn.IFS($K97="Small",1.25,$K97="Small/Medium",2.5,$K97="Medium/Large",3.75,$K97="Large",5),
        (COUNTIFS('Tree List'!$C$3:$C$601,$C97,'Tree List'!$D$3:$D$601,"Deciduous")
        + COUNTIFS('Tree List'!$C$3:$C$601,$C97,'Tree List'!$D$3:$D$601,"Broadleaf Evergreen")) &gt; 0,
            _xlfn.IFS($K97="Small",1,$K97="Small/Medium",2,$K97="Medium/Large",3,$K97="Large",4)
    )
),
"")</f>
        <v/>
      </c>
      <c r="M97" s="472" t="str">
        <f t="shared" si="110"/>
        <v/>
      </c>
      <c r="N97" s="434"/>
      <c r="O97" s="340" t="str" cm="1">
        <f t="array" aca="1" ref="O97"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List'!$C$3:$C$601,$C97,'Tree List'!$D$3:$D$601,{"Deciduous","Broadleaf Evergreen"})),
_xlpm.Coniferous,SUM(COUNTIFS('Tree List'!$C$3:$C$601,$C97,'Tree List'!$D$3:$D$601,{"Coniferous","Deciduous Conifer"})),
IFERROR(
IF(AND(_xlpm.baseRow,ISNA(MATCH($C97,'Tree List'!$C$3:$C$601,0)),SUMPRODUCT(--ISNUMBER(SEARCH(Tables2!$C$677:$C$825,$P97)))&gt;0),
Error!$B$64,
IF(AND(_xlpm.baseRow,COUNTIF(_xlpm.FRange,"ECA / Shoreline")&gt;0,$D97&lt;&gt;"",$E97&lt;&gt;"",$N97=""),
Error!$B$55,
IF(AND(_xlpm.baseRow,$D97&lt;&gt;"",$E97&lt;&gt;"",COUNTBLANK($B97:$C97)&gt;0,COUNTBLANK($F97:$F100)&lt;&gt;4),
Error!$B$22,
IF(AND(_xlpm.baseRow,$D97="Right-of-Way", $E97=""),
Error!$B$67,
IF(AND(_xlpm.baseRow,$D97&lt;&gt;"",ISNA(MATCH($D97,Tables2!$B$66:$B$68,0))),
Error!$B$63,
IF(AND(_xlpm.baseRow,$D97="Off Site",$E97&lt;&gt;"",$E97&lt;&gt;"Yes"),
Error!$B$28,
IF(AND(_xlpm.baseRow,OR($D97="On Site",$D97="Right-of-Way"),$E97&lt;&gt;"",ISNA(MATCH($E97,MultiSelect2[TreeMitigation],0))),
Error!$B$28,
IF(AND(_xlpm.baseRow,$D97&lt;&gt;"",$E97&lt;&gt;"",COUNTIF(_xlpm.FRange,"&lt;&gt;")=0),
Error!$B$26,
IF(AND($E97="No",$F97&lt;&gt;"",ISNA(MATCH($F97,Tables2!$B$55:$B$57,0))),
Error!$B$27,
IF(AND($E97="Yes",$F97&lt;&gt;"",ISNA(MATCH($F97,Tables2!$B$48:$B$52,0))),
Error!$B$27,
IF(AND($D97="Off Site",$E97="Yes",$F97&lt;&gt;"",ISNA(MATCH($F97,Tables2!$B$60:$B$62,0))),
Error!$B$27,
IF(AND(_xlpm.baseRow,_xlpm.Street&gt;0,_xlpm.ECA&gt;0),
Error!$B$29,
IF(AND(_xlpm.baseRow,_xlpm.Street&gt;0,_xlpm.Points&gt;0),
Error!$B$30,
IF(AND(_xlpm.baseRow,_xlpm.Street&gt;0,_xlpm.ReplaceReq&gt;0),
Error!$B$31,
IF(AND(_xlpm.baseRow,$D97&lt;&gt;"",$E97&lt;&gt;"",$G97&lt;&gt;"",_xlpm.DecBroad&gt;0,OR(_xlpm.Points&gt;0,_xlpm.Green&gt;0,_xlpm.ReplaceReq&gt;0),_xlpm.Street=0,$G97&lt;1.5),
Error!$B$42,
IF(AND(_xlpm.baseRow,$D97&lt;&gt;"",$E97&lt;&gt;"",$H97&lt;&gt;"",$H97&lt;4,_xlpm.Street&gt;0,_xlpm.Green&gt;0,COUNTA(_xlpm.FRange)&gt;0),
Error!$B$32,
IF(AND(_xlpm.baseRow,$G97="",_xlpm.ECA&gt;0,_xlpm.DecBroad&gt;0,_xlpm.ReplaceReq&gt;0),
Error!$B$52,
IF(AND(_xlpm.baseRow,$E97&lt;&gt;"", $H97="",_xlpm.ECA&gt;0,_xlpm.Coniferous&gt;0,_xlpm.ReplaceReq&gt;0),
Error!$B$53,
IF(AND(_xlpm.baseRow,$G97="",$H97="",_xlpm.ECA&gt;0,_xlpm.ReplaceReq&gt;0),
Error!$B$39,
IF(AND(_xlpm.baseRow,$D97&lt;&gt;"",$E97&lt;&gt;"",$G97="",$H97="",_xlpm.Coniferous&gt;0,_xlpm.ReplaceReq&gt;0,_xlpm.ECA&gt;0),
Error!$B$50,
IF(AND(_xlpm.baseRow,$D97&lt;&gt;"",$E97&lt;&gt;"",$G97&lt;&gt;"",_xlpm.Street&gt;0,$G97&lt;2),
Error!$B$43,
IF(AND(_xlpm.baseRow,$D97&lt;&gt;"",$E97&lt;&gt;"",_xlpm.Green&gt;0,_xlpm.DecBroad&gt;0,$G97=""),
Error!$B$49,
IF(AND(_xlpm.baseRow,$D97&lt;&gt;"",$E97&lt;&gt;"",$H97&lt;&gt;"",$H97&lt;4,_xlpm.Green&gt;0,_xlpm.DecBroad&gt;0,$G97=""),
Error!$B$51,
IF(AND(_xlpm.baseRow,$D97&lt;&gt;"",$E97&lt;&gt;"",_xlpm.Green&gt;0,_xlpm.Coniferous&gt;0,$H97=""),
Error!$B$50,
IF(AND(_xlpm.baseRow,$D97&lt;&gt;"",$E97&lt;&gt;"",_xlpm.Points&gt;0,_xlpm.DecBroad&gt;0,$G97=""),
Error!$B$49,
IF(AND(_xlpm.baseRow,$D97&lt;&gt;"",$E97&lt;&gt;"",_xlpm.Points&gt;0,_xlpm.Coniferous&gt;0,$H97=""),
Error!$B$50,
IF(AND(_xlpm.baseRow,$D97&lt;&gt;"",$E97&lt;&gt;"",_xlpm.ReplaceReq&gt;0,_xlpm.DecBroad&gt;0,$G97=""),
Error!$B$49,
IF(AND(_xlpm.baseRow,$D97&lt;&gt;"",$E97&lt;&gt;"",_xlpm.ReplaceReq&gt;0,_xlpm.Coniferous&gt;0,$H97=""),
Error!$B$50,
IF(AND(_xlpm.baseRow,$D97&lt;&gt;"",$E97&lt;&gt;"",_xlpm.Street&gt;0,$G97=""),
Error!$B$49,
IF(AND(_xlpm.baseRow,$D97&lt;&gt;"",$E97&lt;&gt;"",$H97&lt;&gt;"",$H97&lt;4,OR(ISNA(MATCH($C97,'Tree List'!$C$3:$C$601,0)),$C97=""),_xlpm.Green&gt;0,COUNTA(_xlpm.FRange)&gt;0),
Error!$B$51,
IF(AND(_xlpm.baseRow,$D97&lt;&gt;"",$E97&lt;&gt;"",$H97&lt;&gt;"",$H97&lt;4,_xlpm.DecBroad&gt;0,_xlpm.Green&gt;0,COUNTA(_xlpm.FRange)&gt;0),
Error!$B$51,
IF(AND(_xlpm.baseRow,$D97&lt;&gt;"",$E97&lt;&gt;"",$G97="",$H97="",OR(_xlpm.ReplaceReq&gt;0,_xlpm.Green&gt;0,_xlpm.Points&gt;0,_xlpm.Street&gt;0)),
Error!$B$38,
IF(AND(_xlpm.baseRow,$D97&lt;&gt;"",$E97&lt;&gt;"",$H97&lt;&gt;"",$H97&lt;4,_xlpm.Street=0,_xlpm.Coniferous&gt;0,COUNTA(_xlpm.FRange)&gt;0),
Error!$B$32,
IF(AND(_xlpm.baseRow,_xlpm.DecBroad&gt;0,$D97&lt;&gt;"",$E97&lt;&gt;"",$G97&lt;&gt;"",$G97&lt;1.5,_xlpm.Street=0,COUNTA(_xlpm.FRange)&gt;0),
Error!$B$42,
IF(AND(_xlpm.baseRow,$I97="",$H97="",_xlpm.ECA&gt;0,_xlpm.ReplaceReq=0),
Error!$B$33,
IF(AND(_xlpm.baseRow,OR($J97="",$J97&lt;=0),_xlpm.ReplaceReq&gt;0),
Error!$B$34,
IF(AND(_xlpm.baseRow,$K97&lt;&gt;"",_xlpm.Points&gt;0,ISNA(MATCH($K97,Tables!$B$242:$B$253,0))),
Error!$B$58,
IF(AND($K97="Small",$L97&lt;&gt;"",ISNA(MATCH($L97,Tables2!$C$35:$C$36,0))),
Error!$B$60,
IF(AND($K97="Small/Medium",$L97&lt;&gt;"",ISNA(MATCH($L97,Tables2!$C$38:$C$39,0))),
Error!$B$60,
IF(AND($K97="Medium/Large",$L97&lt;&gt;"",ISNA(MATCH($L97,Tables2!$C$41:$C$42,0))),
Error!$B$60,
IF(AND($K97="Large",$L97&lt;&gt;"",ISNA(MATCH($L97,Tables2!$C$44:$C$45,0))),
Error!$B$60,
IF(AND(_xlpm.baseRow,$B97&lt;&gt;"", $C97&lt;&gt;"", $D97&lt;&gt;"", $E97&lt;&gt;"", OR($M97="",$K97="",$L97=""),_xlpm.Points&gt;0),
Error!$B$35,
IF(AND(_xlpm.baseRow,$D97&lt;&gt;"",$E97&lt;&gt;"",$N97=""),
Error!$B$36,
""))))))))))))))))))))))))))))))))))))))))))),Error!$B$37))</f>
        <v/>
      </c>
      <c r="P97" s="355" t="str" cm="1">
        <f t="array" aca="1" ref="P97" ca="1">IFERROR(_xlfn.LET(
    _xlpm.txt, $C97,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8" spans="1:16" ht="15" thickBot="1" x14ac:dyDescent="0.35">
      <c r="A98" s="298"/>
      <c r="B98" s="439" t="str">
        <f t="shared" ref="B98" si="114">IF($B95="", "", $B95)</f>
        <v/>
      </c>
      <c r="C98" s="310"/>
      <c r="D98" s="154" t="str">
        <f t="shared" ref="D98" si="115">IF($D95="", "", $D95)</f>
        <v/>
      </c>
      <c r="E98" s="154" t="str">
        <f t="shared" ref="E98" si="116">IF($E95="", "", $E95)</f>
        <v/>
      </c>
      <c r="F98" s="302"/>
      <c r="G98" s="161"/>
      <c r="H98" s="183"/>
      <c r="I98" s="180"/>
      <c r="J98" s="460"/>
      <c r="K98" s="176" t="str">
        <f>IFERROR(
IF(
    AND(
        MOD(ROW()-11,4)=0,
        COUNTIF(INDEX(F:F, 11 + 4*INT((ROW()-11)/4)):INDEX(F:F, 14 + 4*INT((ROW()-11)/4)),"Zoning: Tree Points")&gt;0,
        COUNTIFS('Tree List'!$C$3:$C$601,$C98,'Tree List'!$H$3:$H$601,"sp.")=0
    ),
    VLOOKUP($C98,'Tree List'!$C$3:$F$601,4,FALSE),
    ""
),
"")</f>
        <v/>
      </c>
      <c r="L98" s="177" t="str" cm="1">
        <f t="array" ref="L98">IFERROR(
IF(
    AND(
        COUNTIF(INDEX(F:F, 11 + 4*INT((ROW()-11)/4)):INDEX(F:F, 14 + 4*INT((ROW()-11)/4)),"Zoning: Tree Points")&gt;0,
        COUNTIFS('Tree List'!$C$3:$C$601,$C98,'Tree List'!$H$3:$H$601,"sp.")&gt;0
    ),
    "",
    _xlfn.IFS(
        (COUNTIFS('Tree List'!$C$3:$C$601,$C98,'Tree List'!$D$3:$D$601,"Coniferous")
        + COUNTIFS('Tree List'!$C$3:$C$601,$C98,'Tree List'!$D$3:$D$601,"Deciduous Conifer")) &gt; 0,
            _xlfn.IFS($K98="Small",1.25,$K98="Small/Medium",2.5,$K98="Medium/Large",3.75,$K98="Large",5),
        (COUNTIFS('Tree List'!$C$3:$C$601,$C98,'Tree List'!$D$3:$D$601,"Deciduous")
        + COUNTIFS('Tree List'!$C$3:$C$601,$C98,'Tree List'!$D$3:$D$601,"Broadleaf Evergreen")) &gt; 0,
            _xlfn.IFS($K98="Small",1,$K98="Small/Medium",2,$K98="Medium/Large",3,$K98="Large",4)
    )
),
"")</f>
        <v/>
      </c>
      <c r="M98" s="473" t="str">
        <f t="shared" si="110"/>
        <v/>
      </c>
      <c r="N98" s="435"/>
      <c r="O98" s="341" t="str" cm="1">
        <f t="array" aca="1" ref="O98"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List'!$C$3:$C$601,$C98,'Tree List'!$D$3:$D$601,{"Deciduous","Broadleaf Evergreen"})),
_xlpm.Coniferous,SUM(COUNTIFS('Tree List'!$C$3:$C$601,$C98,'Tree List'!$D$3:$D$601,{"Coniferous","Deciduous Conifer"})),
IFERROR(
IF(AND(_xlpm.baseRow,ISNA(MATCH($C98,'Tree List'!$C$3:$C$601,0)),SUMPRODUCT(--ISNUMBER(SEARCH(Tables2!$C$677:$C$825,$P98)))&gt;0),
Error!$B$64,
IF(AND(_xlpm.baseRow,COUNTIF(_xlpm.FRange,"ECA / Shoreline")&gt;0,$D98&lt;&gt;"",$E98&lt;&gt;"",$N98=""),
Error!$B$55,
IF(AND(_xlpm.baseRow,$D98&lt;&gt;"",$E98&lt;&gt;"",COUNTBLANK($B98:$C98)&gt;0,COUNTBLANK($F98:$F101)&lt;&gt;4),
Error!$B$22,
IF(AND(_xlpm.baseRow,$D98="Right-of-Way", $E98=""),
Error!$B$67,
IF(AND(_xlpm.baseRow,$D98&lt;&gt;"",ISNA(MATCH($D98,Tables2!$B$66:$B$68,0))),
Error!$B$63,
IF(AND(_xlpm.baseRow,$D98="Off Site",$E98&lt;&gt;"",$E98&lt;&gt;"Yes"),
Error!$B$28,
IF(AND(_xlpm.baseRow,OR($D98="On Site",$D98="Right-of-Way"),$E98&lt;&gt;"",ISNA(MATCH($E98,MultiSelect2[TreeMitigation],0))),
Error!$B$28,
IF(AND(_xlpm.baseRow,$D98&lt;&gt;"",$E98&lt;&gt;"",COUNTIF(_xlpm.FRange,"&lt;&gt;")=0),
Error!$B$26,
IF(AND($E98="No",$F98&lt;&gt;"",ISNA(MATCH($F98,Tables2!$B$55:$B$57,0))),
Error!$B$27,
IF(AND($E98="Yes",$F98&lt;&gt;"",ISNA(MATCH($F98,Tables2!$B$48:$B$52,0))),
Error!$B$27,
IF(AND($D98="Off Site",$E98="Yes",$F98&lt;&gt;"",ISNA(MATCH($F98,Tables2!$B$60:$B$62,0))),
Error!$B$27,
IF(AND(_xlpm.baseRow,_xlpm.Street&gt;0,_xlpm.ECA&gt;0),
Error!$B$29,
IF(AND(_xlpm.baseRow,_xlpm.Street&gt;0,_xlpm.Points&gt;0),
Error!$B$30,
IF(AND(_xlpm.baseRow,_xlpm.Street&gt;0,_xlpm.ReplaceReq&gt;0),
Error!$B$31,
IF(AND(_xlpm.baseRow,$D98&lt;&gt;"",$E98&lt;&gt;"",$G98&lt;&gt;"",_xlpm.DecBroad&gt;0,OR(_xlpm.Points&gt;0,_xlpm.Green&gt;0,_xlpm.ReplaceReq&gt;0),_xlpm.Street=0,$G98&lt;1.5),
Error!$B$42,
IF(AND(_xlpm.baseRow,$D98&lt;&gt;"",$E98&lt;&gt;"",$H98&lt;&gt;"",$H98&lt;4,_xlpm.Street&gt;0,_xlpm.Green&gt;0,COUNTA(_xlpm.FRange)&gt;0),
Error!$B$32,
IF(AND(_xlpm.baseRow,$G98="",_xlpm.ECA&gt;0,_xlpm.DecBroad&gt;0,_xlpm.ReplaceReq&gt;0),
Error!$B$52,
IF(AND(_xlpm.baseRow,$E98&lt;&gt;"", $H98="",_xlpm.ECA&gt;0,_xlpm.Coniferous&gt;0,_xlpm.ReplaceReq&gt;0),
Error!$B$53,
IF(AND(_xlpm.baseRow,$G98="",$H98="",_xlpm.ECA&gt;0,_xlpm.ReplaceReq&gt;0),
Error!$B$39,
IF(AND(_xlpm.baseRow,$D98&lt;&gt;"",$E98&lt;&gt;"",$G98="",$H98="",_xlpm.Coniferous&gt;0,_xlpm.ReplaceReq&gt;0,_xlpm.ECA&gt;0),
Error!$B$50,
IF(AND(_xlpm.baseRow,$D98&lt;&gt;"",$E98&lt;&gt;"",$G98&lt;&gt;"",_xlpm.Street&gt;0,$G98&lt;2),
Error!$B$43,
IF(AND(_xlpm.baseRow,$D98&lt;&gt;"",$E98&lt;&gt;"",_xlpm.Green&gt;0,_xlpm.DecBroad&gt;0,$G98=""),
Error!$B$49,
IF(AND(_xlpm.baseRow,$D98&lt;&gt;"",$E98&lt;&gt;"",$H98&lt;&gt;"",$H98&lt;4,_xlpm.Green&gt;0,_xlpm.DecBroad&gt;0,$G98=""),
Error!$B$51,
IF(AND(_xlpm.baseRow,$D98&lt;&gt;"",$E98&lt;&gt;"",_xlpm.Green&gt;0,_xlpm.Coniferous&gt;0,$H98=""),
Error!$B$50,
IF(AND(_xlpm.baseRow,$D98&lt;&gt;"",$E98&lt;&gt;"",_xlpm.Points&gt;0,_xlpm.DecBroad&gt;0,$G98=""),
Error!$B$49,
IF(AND(_xlpm.baseRow,$D98&lt;&gt;"",$E98&lt;&gt;"",_xlpm.Points&gt;0,_xlpm.Coniferous&gt;0,$H98=""),
Error!$B$50,
IF(AND(_xlpm.baseRow,$D98&lt;&gt;"",$E98&lt;&gt;"",_xlpm.ReplaceReq&gt;0,_xlpm.DecBroad&gt;0,$G98=""),
Error!$B$49,
IF(AND(_xlpm.baseRow,$D98&lt;&gt;"",$E98&lt;&gt;"",_xlpm.ReplaceReq&gt;0,_xlpm.Coniferous&gt;0,$H98=""),
Error!$B$50,
IF(AND(_xlpm.baseRow,$D98&lt;&gt;"",$E98&lt;&gt;"",_xlpm.Street&gt;0,$G98=""),
Error!$B$49,
IF(AND(_xlpm.baseRow,$D98&lt;&gt;"",$E98&lt;&gt;"",$H98&lt;&gt;"",$H98&lt;4,OR(ISNA(MATCH($C98,'Tree List'!$C$3:$C$601,0)),$C98=""),_xlpm.Green&gt;0,COUNTA(_xlpm.FRange)&gt;0),
Error!$B$51,
IF(AND(_xlpm.baseRow,$D98&lt;&gt;"",$E98&lt;&gt;"",$H98&lt;&gt;"",$H98&lt;4,_xlpm.DecBroad&gt;0,_xlpm.Green&gt;0,COUNTA(_xlpm.FRange)&gt;0),
Error!$B$51,
IF(AND(_xlpm.baseRow,$D98&lt;&gt;"",$E98&lt;&gt;"",$G98="",$H98="",OR(_xlpm.ReplaceReq&gt;0,_xlpm.Green&gt;0,_xlpm.Points&gt;0,_xlpm.Street&gt;0)),
Error!$B$38,
IF(AND(_xlpm.baseRow,$D98&lt;&gt;"",$E98&lt;&gt;"",$H98&lt;&gt;"",$H98&lt;4,_xlpm.Street=0,_xlpm.Coniferous&gt;0,COUNTA(_xlpm.FRange)&gt;0),
Error!$B$32,
IF(AND(_xlpm.baseRow,_xlpm.DecBroad&gt;0,$D98&lt;&gt;"",$E98&lt;&gt;"",$G98&lt;&gt;"",$G98&lt;1.5,_xlpm.Street=0,COUNTA(_xlpm.FRange)&gt;0),
Error!$B$42,
IF(AND(_xlpm.baseRow,$I98="",$H98="",_xlpm.ECA&gt;0,_xlpm.ReplaceReq=0),
Error!$B$33,
IF(AND(_xlpm.baseRow,OR($J98="",$J98&lt;=0),_xlpm.ReplaceReq&gt;0),
Error!$B$34,
IF(AND(_xlpm.baseRow,$K98&lt;&gt;"",_xlpm.Points&gt;0,ISNA(MATCH($K98,Tables!$B$242:$B$253,0))),
Error!$B$58,
IF(AND($K98="Small",$L98&lt;&gt;"",ISNA(MATCH($L98,Tables2!$C$35:$C$36,0))),
Error!$B$60,
IF(AND($K98="Small/Medium",$L98&lt;&gt;"",ISNA(MATCH($L98,Tables2!$C$38:$C$39,0))),
Error!$B$60,
IF(AND($K98="Medium/Large",$L98&lt;&gt;"",ISNA(MATCH($L98,Tables2!$C$41:$C$42,0))),
Error!$B$60,
IF(AND($K98="Large",$L98&lt;&gt;"",ISNA(MATCH($L98,Tables2!$C$44:$C$45,0))),
Error!$B$60,
IF(AND(_xlpm.baseRow,$B98&lt;&gt;"", $C98&lt;&gt;"", $D98&lt;&gt;"", $E98&lt;&gt;"", OR($M98="",$K98="",$L98=""),_xlpm.Points&gt;0),
Error!$B$35,
IF(AND(_xlpm.baseRow,$D98&lt;&gt;"",$E98&lt;&gt;"",$N98=""),
Error!$B$36,
""))))))))))))))))))))))))))))))))))))))))))),Error!$B$37))</f>
        <v/>
      </c>
      <c r="P98" s="355" t="str" cm="1">
        <f t="array" aca="1" ref="P98" ca="1">IFERROR(_xlfn.LET(
    _xlpm.txt, $C98,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99" spans="1:16" ht="15" thickBot="1" x14ac:dyDescent="0.35">
      <c r="A99" s="437">
        <v>23</v>
      </c>
      <c r="B99" s="447"/>
      <c r="C99" s="444"/>
      <c r="D99" s="296"/>
      <c r="E99" s="296"/>
      <c r="F99" s="304"/>
      <c r="G99" s="257"/>
      <c r="H99" s="181"/>
      <c r="I99" s="178"/>
      <c r="J99" s="457"/>
      <c r="K99" s="172" t="str">
        <f>IFERROR(
IF(
    AND(
        MOD(ROW()-11,4)=0,
        COUNTIF(INDEX(F:F, 11 + 4*INT((ROW()-11)/4)):INDEX(F:F, 14 + 4*INT((ROW()-11)/4)),"Zoning: Tree Points")&gt;0,
        COUNTIFS('Tree List'!$C$3:$C$601,$C99,'Tree List'!$H$3:$H$601,"sp.")=0
    ),
    VLOOKUP($C99,'Tree List'!$C$3:$F$601,4,FALSE),
    ""
),
"")</f>
        <v/>
      </c>
      <c r="L99" s="173" t="str" cm="1">
        <f t="array" ref="L99">IFERROR(
IF(
    AND(
        COUNTIF(INDEX(F:F, 11 + 4*INT((ROW()-11)/4)):INDEX(F:F, 14 + 4*INT((ROW()-11)/4)),"Zoning: Tree Points")&gt;0,
        COUNTIFS('Tree List'!$C$3:$C$601,$C99,'Tree List'!$H$3:$H$601,"sp.")&gt;0
    ),
    "",
    _xlfn.IFS(
        (COUNTIFS('Tree List'!$C$3:$C$601,$C99,'Tree List'!$D$3:$D$601,"Coniferous")
        + COUNTIFS('Tree List'!$C$3:$C$601,$C99,'Tree List'!$D$3:$D$601,"Deciduous Conifer")) &gt; 0,
            _xlfn.IFS($K99="Small",1.25,$K99="Small/Medium",2.5,$K99="Medium/Large",3.75,$K99="Large",5),
        (COUNTIFS('Tree List'!$C$3:$C$601,$C99,'Tree List'!$D$3:$D$601,"Deciduous")
        + COUNTIFS('Tree List'!$C$3:$C$601,$C99,'Tree List'!$D$3:$D$601,"Broadleaf Evergreen")) &gt; 0,
            _xlfn.IFS($K99="Small",1,$K99="Small/Medium",2,$K99="Medium/Large",3,$K99="Large",4)
    )
),
"")</f>
        <v/>
      </c>
      <c r="M99" s="470" t="str">
        <f t="shared" ref="M99" si="117">IFERROR($L99*$N99,"")</f>
        <v/>
      </c>
      <c r="N99" s="744"/>
      <c r="O99" s="737" t="str" cm="1">
        <f t="array" aca="1" ref="O99"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List'!$C$3:$C$601,$C99,'Tree List'!$D$3:$D$601,{"Deciduous","Broadleaf Evergreen"})),
_xlpm.Coniferous,SUM(COUNTIFS('Tree List'!$C$3:$C$601,$C99,'Tree List'!$D$3:$D$601,{"Coniferous","Deciduous Conifer"})),
IFERROR(
IF(AND(_xlpm.baseRow,ISNA(MATCH($C99,'Tree List'!$C$3:$C$601,0)),SUMPRODUCT(--ISNUMBER(SEARCH(Tables2!$C$677:$C$825,$P99)))&gt;0),
Error!$B$64,
IF(AND(_xlpm.baseRow,COUNTIF(_xlpm.FRange,"ECA / Shoreline")&gt;0,$D99&lt;&gt;"",$E99&lt;&gt;"",$N99=""),
Error!$B$55,
IF(AND(_xlpm.baseRow,$D99&lt;&gt;"",$E99&lt;&gt;"",COUNTBLANK($B99:$C99)&gt;0,COUNTBLANK($F99:$F102)&lt;&gt;4),
Error!$B$22,
IF(AND(_xlpm.baseRow,$D99="Right-of-Way", $E99=""),
Error!$B$67,
IF(AND(_xlpm.baseRow,$D99&lt;&gt;"",ISNA(MATCH($D99,Tables2!$B$66:$B$68,0))),
Error!$B$63,
IF(AND(_xlpm.baseRow,$D99="Off Site",$E99&lt;&gt;"",$E99&lt;&gt;"Yes"),
Error!$B$28,
IF(AND(_xlpm.baseRow,OR($D99="On Site",$D99="Right-of-Way"),$E99&lt;&gt;"",ISNA(MATCH($E99,MultiSelect2[TreeMitigation],0))),
Error!$B$28,
IF(AND(_xlpm.baseRow,$D99&lt;&gt;"",$E99&lt;&gt;"",COUNTIF(_xlpm.FRange,"&lt;&gt;")=0),
Error!$B$26,
IF(AND($E99="No",$F99&lt;&gt;"",ISNA(MATCH($F99,Tables2!$B$55:$B$57,0))),
Error!$B$27,
IF(AND($E99="Yes",$F99&lt;&gt;"",ISNA(MATCH($F99,Tables2!$B$48:$B$52,0))),
Error!$B$27,
IF(AND($D99="Off Site",$E99="Yes",$F99&lt;&gt;"",ISNA(MATCH($F99,Tables2!$B$60:$B$62,0))),
Error!$B$27,
IF(AND(_xlpm.baseRow,_xlpm.Street&gt;0,_xlpm.ECA&gt;0),
Error!$B$29,
IF(AND(_xlpm.baseRow,_xlpm.Street&gt;0,_xlpm.Points&gt;0),
Error!$B$30,
IF(AND(_xlpm.baseRow,_xlpm.Street&gt;0,_xlpm.ReplaceReq&gt;0),
Error!$B$31,
IF(AND(_xlpm.baseRow,$D99&lt;&gt;"",$E99&lt;&gt;"",$G99&lt;&gt;"",_xlpm.DecBroad&gt;0,OR(_xlpm.Points&gt;0,_xlpm.Green&gt;0,_xlpm.ReplaceReq&gt;0),_xlpm.Street=0,$G99&lt;1.5),
Error!$B$42,
IF(AND(_xlpm.baseRow,$D99&lt;&gt;"",$E99&lt;&gt;"",$H99&lt;&gt;"",$H99&lt;4,_xlpm.Street&gt;0,_xlpm.Green&gt;0,COUNTA(_xlpm.FRange)&gt;0),
Error!$B$32,
IF(AND(_xlpm.baseRow,$G99="",_xlpm.ECA&gt;0,_xlpm.DecBroad&gt;0,_xlpm.ReplaceReq&gt;0),
Error!$B$52,
IF(AND(_xlpm.baseRow,$E99&lt;&gt;"", $H99="",_xlpm.ECA&gt;0,_xlpm.Coniferous&gt;0,_xlpm.ReplaceReq&gt;0),
Error!$B$53,
IF(AND(_xlpm.baseRow,$G99="",$H99="",_xlpm.ECA&gt;0,_xlpm.ReplaceReq&gt;0),
Error!$B$39,
IF(AND(_xlpm.baseRow,$D99&lt;&gt;"",$E99&lt;&gt;"",$G99="",$H99="",_xlpm.Coniferous&gt;0,_xlpm.ReplaceReq&gt;0,_xlpm.ECA&gt;0),
Error!$B$50,
IF(AND(_xlpm.baseRow,$D99&lt;&gt;"",$E99&lt;&gt;"",$G99&lt;&gt;"",_xlpm.Street&gt;0,$G99&lt;2),
Error!$B$43,
IF(AND(_xlpm.baseRow,$D99&lt;&gt;"",$E99&lt;&gt;"",_xlpm.Green&gt;0,_xlpm.DecBroad&gt;0,$G99=""),
Error!$B$49,
IF(AND(_xlpm.baseRow,$D99&lt;&gt;"",$E99&lt;&gt;"",$H99&lt;&gt;"",$H99&lt;4,_xlpm.Green&gt;0,_xlpm.DecBroad&gt;0,$G99=""),
Error!$B$51,
IF(AND(_xlpm.baseRow,$D99&lt;&gt;"",$E99&lt;&gt;"",_xlpm.Green&gt;0,_xlpm.Coniferous&gt;0,$H99=""),
Error!$B$50,
IF(AND(_xlpm.baseRow,$D99&lt;&gt;"",$E99&lt;&gt;"",_xlpm.Points&gt;0,_xlpm.DecBroad&gt;0,$G99=""),
Error!$B$49,
IF(AND(_xlpm.baseRow,$D99&lt;&gt;"",$E99&lt;&gt;"",_xlpm.Points&gt;0,_xlpm.Coniferous&gt;0,$H99=""),
Error!$B$50,
IF(AND(_xlpm.baseRow,$D99&lt;&gt;"",$E99&lt;&gt;"",_xlpm.ReplaceReq&gt;0,_xlpm.DecBroad&gt;0,$G99=""),
Error!$B$49,
IF(AND(_xlpm.baseRow,$D99&lt;&gt;"",$E99&lt;&gt;"",_xlpm.ReplaceReq&gt;0,_xlpm.Coniferous&gt;0,$H99=""),
Error!$B$50,
IF(AND(_xlpm.baseRow,$D99&lt;&gt;"",$E99&lt;&gt;"",_xlpm.Street&gt;0,$G99=""),
Error!$B$49,
IF(AND(_xlpm.baseRow,$D99&lt;&gt;"",$E99&lt;&gt;"",$H99&lt;&gt;"",$H99&lt;4,OR(ISNA(MATCH($C99,'Tree List'!$C$3:$C$601,0)),$C99=""),_xlpm.Green&gt;0,COUNTA(_xlpm.FRange)&gt;0),
Error!$B$51,
IF(AND(_xlpm.baseRow,$D99&lt;&gt;"",$E99&lt;&gt;"",$H99&lt;&gt;"",$H99&lt;4,_xlpm.DecBroad&gt;0,_xlpm.Green&gt;0,COUNTA(_xlpm.FRange)&gt;0),
Error!$B$51,
IF(AND(_xlpm.baseRow,$D99&lt;&gt;"",$E99&lt;&gt;"",$G99="",$H99="",OR(_xlpm.ReplaceReq&gt;0,_xlpm.Green&gt;0,_xlpm.Points&gt;0,_xlpm.Street&gt;0)),
Error!$B$38,
IF(AND(_xlpm.baseRow,$D99&lt;&gt;"",$E99&lt;&gt;"",$H99&lt;&gt;"",$H99&lt;4,_xlpm.Street=0,_xlpm.Coniferous&gt;0,COUNTA(_xlpm.FRange)&gt;0),
Error!$B$32,
IF(AND(_xlpm.baseRow,_xlpm.DecBroad&gt;0,$D99&lt;&gt;"",$E99&lt;&gt;"",$G99&lt;&gt;"",$G99&lt;1.5,_xlpm.Street=0,COUNTA(_xlpm.FRange)&gt;0),
Error!$B$42,
IF(AND(_xlpm.baseRow,$I99="",$H99="",_xlpm.ECA&gt;0,_xlpm.ReplaceReq=0),
Error!$B$33,
IF(AND(_xlpm.baseRow,OR($J99="",$J99&lt;=0),_xlpm.ReplaceReq&gt;0),
Error!$B$34,
IF(AND(_xlpm.baseRow,$K99&lt;&gt;"",_xlpm.Points&gt;0,ISNA(MATCH($K99,Tables!$B$242:$B$253,0))),
Error!$B$58,
IF(AND($K99="Small",$L99&lt;&gt;"",ISNA(MATCH($L99,Tables2!$C$35:$C$36,0))),
Error!$B$60,
IF(AND($K99="Small/Medium",$L99&lt;&gt;"",ISNA(MATCH($L99,Tables2!$C$38:$C$39,0))),
Error!$B$60,
IF(AND($K99="Medium/Large",$L99&lt;&gt;"",ISNA(MATCH($L99,Tables2!$C$41:$C$42,0))),
Error!$B$60,
IF(AND($K99="Large",$L99&lt;&gt;"",ISNA(MATCH($L99,Tables2!$C$44:$C$45,0))),
Error!$B$60,
IF(AND(_xlpm.baseRow,$B99&lt;&gt;"", $C99&lt;&gt;"", $D99&lt;&gt;"", $E99&lt;&gt;"", OR($M99="",$K99="",$L99=""),_xlpm.Points&gt;0),
Error!$B$35,
IF(AND(_xlpm.baseRow,$D99&lt;&gt;"",$E99&lt;&gt;"",$N99=""),
Error!$B$36,
""))))))))))))))))))))))))))))))))))))))))))),Error!$B$37))</f>
        <v/>
      </c>
      <c r="P99" s="355" t="str" cm="1">
        <f t="array" aca="1" ref="P99" ca="1">IFERROR(_xlfn.LET(
    _xlpm.txt, $C99,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0" spans="1:16" x14ac:dyDescent="0.3">
      <c r="A100" s="297"/>
      <c r="B100" s="439" t="str">
        <f t="shared" ref="B100" si="118">IF($B99="", "", $B99)</f>
        <v/>
      </c>
      <c r="C100" s="309"/>
      <c r="D100" s="157" t="str">
        <f t="shared" ref="D100" si="119">IF($D99="", "", $D99)</f>
        <v/>
      </c>
      <c r="E100" s="157" t="str">
        <f t="shared" ref="E100" si="120">IF($E99="", "", $E99)</f>
        <v/>
      </c>
      <c r="F100" s="300"/>
      <c r="G100" s="159"/>
      <c r="H100" s="182"/>
      <c r="I100" s="179"/>
      <c r="J100" s="458"/>
      <c r="K100" s="174" t="str">
        <f>IFERROR(
IF(
    AND(
        MOD(ROW()-11,4)=0,
        COUNTIF(INDEX(F:F, 11 + 4*INT((ROW()-11)/4)):INDEX(F:F, 14 + 4*INT((ROW()-11)/4)),"Zoning: Tree Points")&gt;0,
        COUNTIFS('Tree List'!$C$3:$C$601,$C100,'Tree List'!$H$3:$H$601,"sp.")=0
    ),
    VLOOKUP($C100,'Tree List'!$C$3:$F$601,4,FALSE),
    ""
),
"")</f>
        <v/>
      </c>
      <c r="L100" s="175" t="str" cm="1">
        <f t="array" ref="L100">IFERROR(
IF(
    AND(
        COUNTIF(INDEX(F:F, 11 + 4*INT((ROW()-11)/4)):INDEX(F:F, 14 + 4*INT((ROW()-11)/4)),"Zoning: Tree Points")&gt;0,
        COUNTIFS('Tree List'!$C$3:$C$601,$C100,'Tree List'!$H$3:$H$601,"sp.")&gt;0
    ),
    "",
    _xlfn.IFS(
        (COUNTIFS('Tree List'!$C$3:$C$601,$C100,'Tree List'!$D$3:$D$601,"Coniferous")
        + COUNTIFS('Tree List'!$C$3:$C$601,$C100,'Tree List'!$D$3:$D$601,"Deciduous Conifer")) &gt; 0,
            _xlfn.IFS($K100="Small",1.25,$K100="Small/Medium",2.5,$K100="Medium/Large",3.75,$K100="Large",5),
        (COUNTIFS('Tree List'!$C$3:$C$601,$C100,'Tree List'!$D$3:$D$601,"Deciduous")
        + COUNTIFS('Tree List'!$C$3:$C$601,$C100,'Tree List'!$D$3:$D$601,"Broadleaf Evergreen")) &gt; 0,
            _xlfn.IFS($K100="Small",1,$K100="Small/Medium",2,$K100="Medium/Large",3,$K100="Large",4)
    )
),
"")</f>
        <v/>
      </c>
      <c r="M100" s="471" t="str">
        <f t="shared" ref="M100:M102" si="121">IFERROR($L100*$N100,"")</f>
        <v/>
      </c>
      <c r="N100" s="434"/>
      <c r="O100" s="340" t="str" cm="1">
        <f t="array" aca="1" ref="O100"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List'!$C$3:$C$601,$C100,'Tree List'!$D$3:$D$601,{"Deciduous","Broadleaf Evergreen"})),
_xlpm.Coniferous,SUM(COUNTIFS('Tree List'!$C$3:$C$601,$C100,'Tree List'!$D$3:$D$601,{"Coniferous","Deciduous Conifer"})),
IFERROR(
IF(AND(_xlpm.baseRow,ISNA(MATCH($C100,'Tree List'!$C$3:$C$601,0)),SUMPRODUCT(--ISNUMBER(SEARCH(Tables2!$C$677:$C$825,$P100)))&gt;0),
Error!$B$64,
IF(AND(_xlpm.baseRow,COUNTIF(_xlpm.FRange,"ECA / Shoreline")&gt;0,$D100&lt;&gt;"",$E100&lt;&gt;"",$N100=""),
Error!$B$55,
IF(AND(_xlpm.baseRow,$D100&lt;&gt;"",$E100&lt;&gt;"",COUNTBLANK($B100:$C100)&gt;0,COUNTBLANK($F100:$F103)&lt;&gt;4),
Error!$B$22,
IF(AND(_xlpm.baseRow,$D100="Right-of-Way", $E100=""),
Error!$B$67,
IF(AND(_xlpm.baseRow,$D100&lt;&gt;"",ISNA(MATCH($D100,Tables2!$B$66:$B$68,0))),
Error!$B$63,
IF(AND(_xlpm.baseRow,$D100="Off Site",$E100&lt;&gt;"",$E100&lt;&gt;"Yes"),
Error!$B$28,
IF(AND(_xlpm.baseRow,OR($D100="On Site",$D100="Right-of-Way"),$E100&lt;&gt;"",ISNA(MATCH($E100,MultiSelect2[TreeMitigation],0))),
Error!$B$28,
IF(AND(_xlpm.baseRow,$D100&lt;&gt;"",$E100&lt;&gt;"",COUNTIF(_xlpm.FRange,"&lt;&gt;")=0),
Error!$B$26,
IF(AND($E100="No",$F100&lt;&gt;"",ISNA(MATCH($F100,Tables2!$B$55:$B$57,0))),
Error!$B$27,
IF(AND($E100="Yes",$F100&lt;&gt;"",ISNA(MATCH($F100,Tables2!$B$48:$B$52,0))),
Error!$B$27,
IF(AND($D100="Off Site",$E100="Yes",$F100&lt;&gt;"",ISNA(MATCH($F100,Tables2!$B$60:$B$62,0))),
Error!$B$27,
IF(AND(_xlpm.baseRow,_xlpm.Street&gt;0,_xlpm.ECA&gt;0),
Error!$B$29,
IF(AND(_xlpm.baseRow,_xlpm.Street&gt;0,_xlpm.Points&gt;0),
Error!$B$30,
IF(AND(_xlpm.baseRow,_xlpm.Street&gt;0,_xlpm.ReplaceReq&gt;0),
Error!$B$31,
IF(AND(_xlpm.baseRow,$D100&lt;&gt;"",$E100&lt;&gt;"",$G100&lt;&gt;"",_xlpm.DecBroad&gt;0,OR(_xlpm.Points&gt;0,_xlpm.Green&gt;0,_xlpm.ReplaceReq&gt;0),_xlpm.Street=0,$G100&lt;1.5),
Error!$B$42,
IF(AND(_xlpm.baseRow,$D100&lt;&gt;"",$E100&lt;&gt;"",$H100&lt;&gt;"",$H100&lt;4,_xlpm.Street&gt;0,_xlpm.Green&gt;0,COUNTA(_xlpm.FRange)&gt;0),
Error!$B$32,
IF(AND(_xlpm.baseRow,$G100="",_xlpm.ECA&gt;0,_xlpm.DecBroad&gt;0,_xlpm.ReplaceReq&gt;0),
Error!$B$52,
IF(AND(_xlpm.baseRow,$E100&lt;&gt;"", $H100="",_xlpm.ECA&gt;0,_xlpm.Coniferous&gt;0,_xlpm.ReplaceReq&gt;0),
Error!$B$53,
IF(AND(_xlpm.baseRow,$G100="",$H100="",_xlpm.ECA&gt;0,_xlpm.ReplaceReq&gt;0),
Error!$B$39,
IF(AND(_xlpm.baseRow,$D100&lt;&gt;"",$E100&lt;&gt;"",$G100="",$H100="",_xlpm.Coniferous&gt;0,_xlpm.ReplaceReq&gt;0,_xlpm.ECA&gt;0),
Error!$B$50,
IF(AND(_xlpm.baseRow,$D100&lt;&gt;"",$E100&lt;&gt;"",$G100&lt;&gt;"",_xlpm.Street&gt;0,$G100&lt;2),
Error!$B$43,
IF(AND(_xlpm.baseRow,$D100&lt;&gt;"",$E100&lt;&gt;"",_xlpm.Green&gt;0,_xlpm.DecBroad&gt;0,$G100=""),
Error!$B$49,
IF(AND(_xlpm.baseRow,$D100&lt;&gt;"",$E100&lt;&gt;"",$H100&lt;&gt;"",$H100&lt;4,_xlpm.Green&gt;0,_xlpm.DecBroad&gt;0,$G100=""),
Error!$B$51,
IF(AND(_xlpm.baseRow,$D100&lt;&gt;"",$E100&lt;&gt;"",_xlpm.Green&gt;0,_xlpm.Coniferous&gt;0,$H100=""),
Error!$B$50,
IF(AND(_xlpm.baseRow,$D100&lt;&gt;"",$E100&lt;&gt;"",_xlpm.Points&gt;0,_xlpm.DecBroad&gt;0,$G100=""),
Error!$B$49,
IF(AND(_xlpm.baseRow,$D100&lt;&gt;"",$E100&lt;&gt;"",_xlpm.Points&gt;0,_xlpm.Coniferous&gt;0,$H100=""),
Error!$B$50,
IF(AND(_xlpm.baseRow,$D100&lt;&gt;"",$E100&lt;&gt;"",_xlpm.ReplaceReq&gt;0,_xlpm.DecBroad&gt;0,$G100=""),
Error!$B$49,
IF(AND(_xlpm.baseRow,$D100&lt;&gt;"",$E100&lt;&gt;"",_xlpm.ReplaceReq&gt;0,_xlpm.Coniferous&gt;0,$H100=""),
Error!$B$50,
IF(AND(_xlpm.baseRow,$D100&lt;&gt;"",$E100&lt;&gt;"",_xlpm.Street&gt;0,$G100=""),
Error!$B$49,
IF(AND(_xlpm.baseRow,$D100&lt;&gt;"",$E100&lt;&gt;"",$H100&lt;&gt;"",$H100&lt;4,OR(ISNA(MATCH($C100,'Tree List'!$C$3:$C$601,0)),$C100=""),_xlpm.Green&gt;0,COUNTA(_xlpm.FRange)&gt;0),
Error!$B$51,
IF(AND(_xlpm.baseRow,$D100&lt;&gt;"",$E100&lt;&gt;"",$H100&lt;&gt;"",$H100&lt;4,_xlpm.DecBroad&gt;0,_xlpm.Green&gt;0,COUNTA(_xlpm.FRange)&gt;0),
Error!$B$51,
IF(AND(_xlpm.baseRow,$D100&lt;&gt;"",$E100&lt;&gt;"",$G100="",$H100="",OR(_xlpm.ReplaceReq&gt;0,_xlpm.Green&gt;0,_xlpm.Points&gt;0,_xlpm.Street&gt;0)),
Error!$B$38,
IF(AND(_xlpm.baseRow,$D100&lt;&gt;"",$E100&lt;&gt;"",$H100&lt;&gt;"",$H100&lt;4,_xlpm.Street=0,_xlpm.Coniferous&gt;0,COUNTA(_xlpm.FRange)&gt;0),
Error!$B$32,
IF(AND(_xlpm.baseRow,_xlpm.DecBroad&gt;0,$D100&lt;&gt;"",$E100&lt;&gt;"",$G100&lt;&gt;"",$G100&lt;1.5,_xlpm.Street=0,COUNTA(_xlpm.FRange)&gt;0),
Error!$B$42,
IF(AND(_xlpm.baseRow,$I100="",$H100="",_xlpm.ECA&gt;0,_xlpm.ReplaceReq=0),
Error!$B$33,
IF(AND(_xlpm.baseRow,OR($J100="",$J100&lt;=0),_xlpm.ReplaceReq&gt;0),
Error!$B$34,
IF(AND(_xlpm.baseRow,$K100&lt;&gt;"",_xlpm.Points&gt;0,ISNA(MATCH($K100,Tables!$B$242:$B$253,0))),
Error!$B$58,
IF(AND($K100="Small",$L100&lt;&gt;"",ISNA(MATCH($L100,Tables2!$C$35:$C$36,0))),
Error!$B$60,
IF(AND($K100="Small/Medium",$L100&lt;&gt;"",ISNA(MATCH($L100,Tables2!$C$38:$C$39,0))),
Error!$B$60,
IF(AND($K100="Medium/Large",$L100&lt;&gt;"",ISNA(MATCH($L100,Tables2!$C$41:$C$42,0))),
Error!$B$60,
IF(AND($K100="Large",$L100&lt;&gt;"",ISNA(MATCH($L100,Tables2!$C$44:$C$45,0))),
Error!$B$60,
IF(AND(_xlpm.baseRow,$B100&lt;&gt;"", $C100&lt;&gt;"", $D100&lt;&gt;"", $E100&lt;&gt;"", OR($M100="",$K100="",$L100=""),_xlpm.Points&gt;0),
Error!$B$35,
IF(AND(_xlpm.baseRow,$D100&lt;&gt;"",$E100&lt;&gt;"",$N100=""),
Error!$B$36,
""))))))))))))))))))))))))))))))))))))))))))),Error!$B$37))</f>
        <v/>
      </c>
      <c r="P100" s="355" t="str" cm="1">
        <f t="array" aca="1" ref="P100" ca="1">IFERROR(_xlfn.LET(
    _xlpm.txt, $C100,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1" spans="1:16" x14ac:dyDescent="0.3">
      <c r="A101" s="297"/>
      <c r="B101" s="439" t="str">
        <f t="shared" ref="B101" si="122">IF($B99="", "", $B99)</f>
        <v/>
      </c>
      <c r="C101" s="438"/>
      <c r="D101" s="439" t="str">
        <f t="shared" ref="D101" si="123">IF($D99="", "", $D99)</f>
        <v/>
      </c>
      <c r="E101" s="439" t="str">
        <f t="shared" ref="E101" si="124">IF($E99="", "", $E99)</f>
        <v/>
      </c>
      <c r="F101" s="300"/>
      <c r="G101" s="160"/>
      <c r="H101" s="440"/>
      <c r="I101" s="441"/>
      <c r="J101" s="459"/>
      <c r="K101" s="442" t="str">
        <f>IFERROR(
IF(
    AND(
        MOD(ROW()-11,4)=0,
        COUNTIF(INDEX(F:F, 11 + 4*INT((ROW()-11)/4)):INDEX(F:F, 14 + 4*INT((ROW()-11)/4)),"Zoning: Tree Points")&gt;0,
        COUNTIFS('Tree List'!$C$3:$C$601,$C101,'Tree List'!$H$3:$H$601,"sp.")=0
    ),
    VLOOKUP($C101,'Tree List'!$C$3:$F$601,4,FALSE),
    ""
),
"")</f>
        <v/>
      </c>
      <c r="L101" s="443" t="str" cm="1">
        <f t="array" ref="L101">IFERROR(
IF(
    AND(
        COUNTIF(INDEX(F:F, 11 + 4*INT((ROW()-11)/4)):INDEX(F:F, 14 + 4*INT((ROW()-11)/4)),"Zoning: Tree Points")&gt;0,
        COUNTIFS('Tree List'!$C$3:$C$601,$C101,'Tree List'!$H$3:$H$601,"sp.")&gt;0
    ),
    "",
    _xlfn.IFS(
        (COUNTIFS('Tree List'!$C$3:$C$601,$C101,'Tree List'!$D$3:$D$601,"Coniferous")
        + COUNTIFS('Tree List'!$C$3:$C$601,$C101,'Tree List'!$D$3:$D$601,"Deciduous Conifer")) &gt; 0,
            _xlfn.IFS($K101="Small",1.25,$K101="Small/Medium",2.5,$K101="Medium/Large",3.75,$K101="Large",5),
        (COUNTIFS('Tree List'!$C$3:$C$601,$C101,'Tree List'!$D$3:$D$601,"Deciduous")
        + COUNTIFS('Tree List'!$C$3:$C$601,$C101,'Tree List'!$D$3:$D$601,"Broadleaf Evergreen")) &gt; 0,
            _xlfn.IFS($K101="Small",1,$K101="Small/Medium",2,$K101="Medium/Large",3,$K101="Large",4)
    )
),
"")</f>
        <v/>
      </c>
      <c r="M101" s="472" t="str">
        <f t="shared" si="121"/>
        <v/>
      </c>
      <c r="N101" s="434"/>
      <c r="O101" s="340" t="str" cm="1">
        <f t="array" aca="1" ref="O101"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List'!$C$3:$C$601,$C101,'Tree List'!$D$3:$D$601,{"Deciduous","Broadleaf Evergreen"})),
_xlpm.Coniferous,SUM(COUNTIFS('Tree List'!$C$3:$C$601,$C101,'Tree List'!$D$3:$D$601,{"Coniferous","Deciduous Conifer"})),
IFERROR(
IF(AND(_xlpm.baseRow,ISNA(MATCH($C101,'Tree List'!$C$3:$C$601,0)),SUMPRODUCT(--ISNUMBER(SEARCH(Tables2!$C$677:$C$825,$P101)))&gt;0),
Error!$B$64,
IF(AND(_xlpm.baseRow,COUNTIF(_xlpm.FRange,"ECA / Shoreline")&gt;0,$D101&lt;&gt;"",$E101&lt;&gt;"",$N101=""),
Error!$B$55,
IF(AND(_xlpm.baseRow,$D101&lt;&gt;"",$E101&lt;&gt;"",COUNTBLANK($B101:$C101)&gt;0,COUNTBLANK($F101:$F104)&lt;&gt;4),
Error!$B$22,
IF(AND(_xlpm.baseRow,$D101="Right-of-Way", $E101=""),
Error!$B$67,
IF(AND(_xlpm.baseRow,$D101&lt;&gt;"",ISNA(MATCH($D101,Tables2!$B$66:$B$68,0))),
Error!$B$63,
IF(AND(_xlpm.baseRow,$D101="Off Site",$E101&lt;&gt;"",$E101&lt;&gt;"Yes"),
Error!$B$28,
IF(AND(_xlpm.baseRow,OR($D101="On Site",$D101="Right-of-Way"),$E101&lt;&gt;"",ISNA(MATCH($E101,MultiSelect2[TreeMitigation],0))),
Error!$B$28,
IF(AND(_xlpm.baseRow,$D101&lt;&gt;"",$E101&lt;&gt;"",COUNTIF(_xlpm.FRange,"&lt;&gt;")=0),
Error!$B$26,
IF(AND($E101="No",$F101&lt;&gt;"",ISNA(MATCH($F101,Tables2!$B$55:$B$57,0))),
Error!$B$27,
IF(AND($E101="Yes",$F101&lt;&gt;"",ISNA(MATCH($F101,Tables2!$B$48:$B$52,0))),
Error!$B$27,
IF(AND($D101="Off Site",$E101="Yes",$F101&lt;&gt;"",ISNA(MATCH($F101,Tables2!$B$60:$B$62,0))),
Error!$B$27,
IF(AND(_xlpm.baseRow,_xlpm.Street&gt;0,_xlpm.ECA&gt;0),
Error!$B$29,
IF(AND(_xlpm.baseRow,_xlpm.Street&gt;0,_xlpm.Points&gt;0),
Error!$B$30,
IF(AND(_xlpm.baseRow,_xlpm.Street&gt;0,_xlpm.ReplaceReq&gt;0),
Error!$B$31,
IF(AND(_xlpm.baseRow,$D101&lt;&gt;"",$E101&lt;&gt;"",$G101&lt;&gt;"",_xlpm.DecBroad&gt;0,OR(_xlpm.Points&gt;0,_xlpm.Green&gt;0,_xlpm.ReplaceReq&gt;0),_xlpm.Street=0,$G101&lt;1.5),
Error!$B$42,
IF(AND(_xlpm.baseRow,$D101&lt;&gt;"",$E101&lt;&gt;"",$H101&lt;&gt;"",$H101&lt;4,_xlpm.Street&gt;0,_xlpm.Green&gt;0,COUNTA(_xlpm.FRange)&gt;0),
Error!$B$32,
IF(AND(_xlpm.baseRow,$G101="",_xlpm.ECA&gt;0,_xlpm.DecBroad&gt;0,_xlpm.ReplaceReq&gt;0),
Error!$B$52,
IF(AND(_xlpm.baseRow,$E101&lt;&gt;"", $H101="",_xlpm.ECA&gt;0,_xlpm.Coniferous&gt;0,_xlpm.ReplaceReq&gt;0),
Error!$B$53,
IF(AND(_xlpm.baseRow,$G101="",$H101="",_xlpm.ECA&gt;0,_xlpm.ReplaceReq&gt;0),
Error!$B$39,
IF(AND(_xlpm.baseRow,$D101&lt;&gt;"",$E101&lt;&gt;"",$G101="",$H101="",_xlpm.Coniferous&gt;0,_xlpm.ReplaceReq&gt;0,_xlpm.ECA&gt;0),
Error!$B$50,
IF(AND(_xlpm.baseRow,$D101&lt;&gt;"",$E101&lt;&gt;"",$G101&lt;&gt;"",_xlpm.Street&gt;0,$G101&lt;2),
Error!$B$43,
IF(AND(_xlpm.baseRow,$D101&lt;&gt;"",$E101&lt;&gt;"",_xlpm.Green&gt;0,_xlpm.DecBroad&gt;0,$G101=""),
Error!$B$49,
IF(AND(_xlpm.baseRow,$D101&lt;&gt;"",$E101&lt;&gt;"",$H101&lt;&gt;"",$H101&lt;4,_xlpm.Green&gt;0,_xlpm.DecBroad&gt;0,$G101=""),
Error!$B$51,
IF(AND(_xlpm.baseRow,$D101&lt;&gt;"",$E101&lt;&gt;"",_xlpm.Green&gt;0,_xlpm.Coniferous&gt;0,$H101=""),
Error!$B$50,
IF(AND(_xlpm.baseRow,$D101&lt;&gt;"",$E101&lt;&gt;"",_xlpm.Points&gt;0,_xlpm.DecBroad&gt;0,$G101=""),
Error!$B$49,
IF(AND(_xlpm.baseRow,$D101&lt;&gt;"",$E101&lt;&gt;"",_xlpm.Points&gt;0,_xlpm.Coniferous&gt;0,$H101=""),
Error!$B$50,
IF(AND(_xlpm.baseRow,$D101&lt;&gt;"",$E101&lt;&gt;"",_xlpm.ReplaceReq&gt;0,_xlpm.DecBroad&gt;0,$G101=""),
Error!$B$49,
IF(AND(_xlpm.baseRow,$D101&lt;&gt;"",$E101&lt;&gt;"",_xlpm.ReplaceReq&gt;0,_xlpm.Coniferous&gt;0,$H101=""),
Error!$B$50,
IF(AND(_xlpm.baseRow,$D101&lt;&gt;"",$E101&lt;&gt;"",_xlpm.Street&gt;0,$G101=""),
Error!$B$49,
IF(AND(_xlpm.baseRow,$D101&lt;&gt;"",$E101&lt;&gt;"",$H101&lt;&gt;"",$H101&lt;4,OR(ISNA(MATCH($C101,'Tree List'!$C$3:$C$601,0)),$C101=""),_xlpm.Green&gt;0,COUNTA(_xlpm.FRange)&gt;0),
Error!$B$51,
IF(AND(_xlpm.baseRow,$D101&lt;&gt;"",$E101&lt;&gt;"",$H101&lt;&gt;"",$H101&lt;4,_xlpm.DecBroad&gt;0,_xlpm.Green&gt;0,COUNTA(_xlpm.FRange)&gt;0),
Error!$B$51,
IF(AND(_xlpm.baseRow,$D101&lt;&gt;"",$E101&lt;&gt;"",$G101="",$H101="",OR(_xlpm.ReplaceReq&gt;0,_xlpm.Green&gt;0,_xlpm.Points&gt;0,_xlpm.Street&gt;0)),
Error!$B$38,
IF(AND(_xlpm.baseRow,$D101&lt;&gt;"",$E101&lt;&gt;"",$H101&lt;&gt;"",$H101&lt;4,_xlpm.Street=0,_xlpm.Coniferous&gt;0,COUNTA(_xlpm.FRange)&gt;0),
Error!$B$32,
IF(AND(_xlpm.baseRow,_xlpm.DecBroad&gt;0,$D101&lt;&gt;"",$E101&lt;&gt;"",$G101&lt;&gt;"",$G101&lt;1.5,_xlpm.Street=0,COUNTA(_xlpm.FRange)&gt;0),
Error!$B$42,
IF(AND(_xlpm.baseRow,$I101="",$H101="",_xlpm.ECA&gt;0,_xlpm.ReplaceReq=0),
Error!$B$33,
IF(AND(_xlpm.baseRow,OR($J101="",$J101&lt;=0),_xlpm.ReplaceReq&gt;0),
Error!$B$34,
IF(AND(_xlpm.baseRow,$K101&lt;&gt;"",_xlpm.Points&gt;0,ISNA(MATCH($K101,Tables!$B$242:$B$253,0))),
Error!$B$58,
IF(AND($K101="Small",$L101&lt;&gt;"",ISNA(MATCH($L101,Tables2!$C$35:$C$36,0))),
Error!$B$60,
IF(AND($K101="Small/Medium",$L101&lt;&gt;"",ISNA(MATCH($L101,Tables2!$C$38:$C$39,0))),
Error!$B$60,
IF(AND($K101="Medium/Large",$L101&lt;&gt;"",ISNA(MATCH($L101,Tables2!$C$41:$C$42,0))),
Error!$B$60,
IF(AND($K101="Large",$L101&lt;&gt;"",ISNA(MATCH($L101,Tables2!$C$44:$C$45,0))),
Error!$B$60,
IF(AND(_xlpm.baseRow,$B101&lt;&gt;"", $C101&lt;&gt;"", $D101&lt;&gt;"", $E101&lt;&gt;"", OR($M101="",$K101="",$L101=""),_xlpm.Points&gt;0),
Error!$B$35,
IF(AND(_xlpm.baseRow,$D101&lt;&gt;"",$E101&lt;&gt;"",$N101=""),
Error!$B$36,
""))))))))))))))))))))))))))))))))))))))))))),Error!$B$37))</f>
        <v/>
      </c>
      <c r="P101" s="355" t="str" cm="1">
        <f t="array" aca="1" ref="P101" ca="1">IFERROR(_xlfn.LET(
    _xlpm.txt, $C101,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2" spans="1:16" ht="15" thickBot="1" x14ac:dyDescent="0.35">
      <c r="A102" s="298"/>
      <c r="B102" s="439" t="str">
        <f t="shared" ref="B102" si="125">IF($B99="", "", $B99)</f>
        <v/>
      </c>
      <c r="C102" s="310"/>
      <c r="D102" s="154" t="str">
        <f t="shared" ref="D102" si="126">IF($D99="", "", $D99)</f>
        <v/>
      </c>
      <c r="E102" s="154" t="str">
        <f t="shared" ref="E102" si="127">IF($E99="", "", $E99)</f>
        <v/>
      </c>
      <c r="F102" s="302"/>
      <c r="G102" s="161"/>
      <c r="H102" s="183"/>
      <c r="I102" s="180"/>
      <c r="J102" s="460"/>
      <c r="K102" s="176" t="str">
        <f>IFERROR(
IF(
    AND(
        MOD(ROW()-11,4)=0,
        COUNTIF(INDEX(F:F, 11 + 4*INT((ROW()-11)/4)):INDEX(F:F, 14 + 4*INT((ROW()-11)/4)),"Zoning: Tree Points")&gt;0,
        COUNTIFS('Tree List'!$C$3:$C$601,$C102,'Tree List'!$H$3:$H$601,"sp.")=0
    ),
    VLOOKUP($C102,'Tree List'!$C$3:$F$601,4,FALSE),
    ""
),
"")</f>
        <v/>
      </c>
      <c r="L102" s="177" t="str" cm="1">
        <f t="array" ref="L102">IFERROR(
IF(
    AND(
        COUNTIF(INDEX(F:F, 11 + 4*INT((ROW()-11)/4)):INDEX(F:F, 14 + 4*INT((ROW()-11)/4)),"Zoning: Tree Points")&gt;0,
        COUNTIFS('Tree List'!$C$3:$C$601,$C102,'Tree List'!$H$3:$H$601,"sp.")&gt;0
    ),
    "",
    _xlfn.IFS(
        (COUNTIFS('Tree List'!$C$3:$C$601,$C102,'Tree List'!$D$3:$D$601,"Coniferous")
        + COUNTIFS('Tree List'!$C$3:$C$601,$C102,'Tree List'!$D$3:$D$601,"Deciduous Conifer")) &gt; 0,
            _xlfn.IFS($K102="Small",1.25,$K102="Small/Medium",2.5,$K102="Medium/Large",3.75,$K102="Large",5),
        (COUNTIFS('Tree List'!$C$3:$C$601,$C102,'Tree List'!$D$3:$D$601,"Deciduous")
        + COUNTIFS('Tree List'!$C$3:$C$601,$C102,'Tree List'!$D$3:$D$601,"Broadleaf Evergreen")) &gt; 0,
            _xlfn.IFS($K102="Small",1,$K102="Small/Medium",2,$K102="Medium/Large",3,$K102="Large",4)
    )
),
"")</f>
        <v/>
      </c>
      <c r="M102" s="473" t="str">
        <f t="shared" si="121"/>
        <v/>
      </c>
      <c r="N102" s="435"/>
      <c r="O102" s="341" t="str" cm="1">
        <f t="array" aca="1" ref="O102"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List'!$C$3:$C$601,$C102,'Tree List'!$D$3:$D$601,{"Deciduous","Broadleaf Evergreen"})),
_xlpm.Coniferous,SUM(COUNTIFS('Tree List'!$C$3:$C$601,$C102,'Tree List'!$D$3:$D$601,{"Coniferous","Deciduous Conifer"})),
IFERROR(
IF(AND(_xlpm.baseRow,ISNA(MATCH($C102,'Tree List'!$C$3:$C$601,0)),SUMPRODUCT(--ISNUMBER(SEARCH(Tables2!$C$677:$C$825,$P102)))&gt;0),
Error!$B$64,
IF(AND(_xlpm.baseRow,COUNTIF(_xlpm.FRange,"ECA / Shoreline")&gt;0,$D102&lt;&gt;"",$E102&lt;&gt;"",$N102=""),
Error!$B$55,
IF(AND(_xlpm.baseRow,$D102&lt;&gt;"",$E102&lt;&gt;"",COUNTBLANK($B102:$C102)&gt;0,COUNTBLANK($F102:$F105)&lt;&gt;4),
Error!$B$22,
IF(AND(_xlpm.baseRow,$D102="Right-of-Way", $E102=""),
Error!$B$67,
IF(AND(_xlpm.baseRow,$D102&lt;&gt;"",ISNA(MATCH($D102,Tables2!$B$66:$B$68,0))),
Error!$B$63,
IF(AND(_xlpm.baseRow,$D102="Off Site",$E102&lt;&gt;"",$E102&lt;&gt;"Yes"),
Error!$B$28,
IF(AND(_xlpm.baseRow,OR($D102="On Site",$D102="Right-of-Way"),$E102&lt;&gt;"",ISNA(MATCH($E102,MultiSelect2[TreeMitigation],0))),
Error!$B$28,
IF(AND(_xlpm.baseRow,$D102&lt;&gt;"",$E102&lt;&gt;"",COUNTIF(_xlpm.FRange,"&lt;&gt;")=0),
Error!$B$26,
IF(AND($E102="No",$F102&lt;&gt;"",ISNA(MATCH($F102,Tables2!$B$55:$B$57,0))),
Error!$B$27,
IF(AND($E102="Yes",$F102&lt;&gt;"",ISNA(MATCH($F102,Tables2!$B$48:$B$52,0))),
Error!$B$27,
IF(AND($D102="Off Site",$E102="Yes",$F102&lt;&gt;"",ISNA(MATCH($F102,Tables2!$B$60:$B$62,0))),
Error!$B$27,
IF(AND(_xlpm.baseRow,_xlpm.Street&gt;0,_xlpm.ECA&gt;0),
Error!$B$29,
IF(AND(_xlpm.baseRow,_xlpm.Street&gt;0,_xlpm.Points&gt;0),
Error!$B$30,
IF(AND(_xlpm.baseRow,_xlpm.Street&gt;0,_xlpm.ReplaceReq&gt;0),
Error!$B$31,
IF(AND(_xlpm.baseRow,$D102&lt;&gt;"",$E102&lt;&gt;"",$G102&lt;&gt;"",_xlpm.DecBroad&gt;0,OR(_xlpm.Points&gt;0,_xlpm.Green&gt;0,_xlpm.ReplaceReq&gt;0),_xlpm.Street=0,$G102&lt;1.5),
Error!$B$42,
IF(AND(_xlpm.baseRow,$D102&lt;&gt;"",$E102&lt;&gt;"",$H102&lt;&gt;"",$H102&lt;4,_xlpm.Street&gt;0,_xlpm.Green&gt;0,COUNTA(_xlpm.FRange)&gt;0),
Error!$B$32,
IF(AND(_xlpm.baseRow,$G102="",_xlpm.ECA&gt;0,_xlpm.DecBroad&gt;0,_xlpm.ReplaceReq&gt;0),
Error!$B$52,
IF(AND(_xlpm.baseRow,$E102&lt;&gt;"", $H102="",_xlpm.ECA&gt;0,_xlpm.Coniferous&gt;0,_xlpm.ReplaceReq&gt;0),
Error!$B$53,
IF(AND(_xlpm.baseRow,$G102="",$H102="",_xlpm.ECA&gt;0,_xlpm.ReplaceReq&gt;0),
Error!$B$39,
IF(AND(_xlpm.baseRow,$D102&lt;&gt;"",$E102&lt;&gt;"",$G102="",$H102="",_xlpm.Coniferous&gt;0,_xlpm.ReplaceReq&gt;0,_xlpm.ECA&gt;0),
Error!$B$50,
IF(AND(_xlpm.baseRow,$D102&lt;&gt;"",$E102&lt;&gt;"",$G102&lt;&gt;"",_xlpm.Street&gt;0,$G102&lt;2),
Error!$B$43,
IF(AND(_xlpm.baseRow,$D102&lt;&gt;"",$E102&lt;&gt;"",_xlpm.Green&gt;0,_xlpm.DecBroad&gt;0,$G102=""),
Error!$B$49,
IF(AND(_xlpm.baseRow,$D102&lt;&gt;"",$E102&lt;&gt;"",$H102&lt;&gt;"",$H102&lt;4,_xlpm.Green&gt;0,_xlpm.DecBroad&gt;0,$G102=""),
Error!$B$51,
IF(AND(_xlpm.baseRow,$D102&lt;&gt;"",$E102&lt;&gt;"",_xlpm.Green&gt;0,_xlpm.Coniferous&gt;0,$H102=""),
Error!$B$50,
IF(AND(_xlpm.baseRow,$D102&lt;&gt;"",$E102&lt;&gt;"",_xlpm.Points&gt;0,_xlpm.DecBroad&gt;0,$G102=""),
Error!$B$49,
IF(AND(_xlpm.baseRow,$D102&lt;&gt;"",$E102&lt;&gt;"",_xlpm.Points&gt;0,_xlpm.Coniferous&gt;0,$H102=""),
Error!$B$50,
IF(AND(_xlpm.baseRow,$D102&lt;&gt;"",$E102&lt;&gt;"",_xlpm.ReplaceReq&gt;0,_xlpm.DecBroad&gt;0,$G102=""),
Error!$B$49,
IF(AND(_xlpm.baseRow,$D102&lt;&gt;"",$E102&lt;&gt;"",_xlpm.ReplaceReq&gt;0,_xlpm.Coniferous&gt;0,$H102=""),
Error!$B$50,
IF(AND(_xlpm.baseRow,$D102&lt;&gt;"",$E102&lt;&gt;"",_xlpm.Street&gt;0,$G102=""),
Error!$B$49,
IF(AND(_xlpm.baseRow,$D102&lt;&gt;"",$E102&lt;&gt;"",$H102&lt;&gt;"",$H102&lt;4,OR(ISNA(MATCH($C102,'Tree List'!$C$3:$C$601,0)),$C102=""),_xlpm.Green&gt;0,COUNTA(_xlpm.FRange)&gt;0),
Error!$B$51,
IF(AND(_xlpm.baseRow,$D102&lt;&gt;"",$E102&lt;&gt;"",$H102&lt;&gt;"",$H102&lt;4,_xlpm.DecBroad&gt;0,_xlpm.Green&gt;0,COUNTA(_xlpm.FRange)&gt;0),
Error!$B$51,
IF(AND(_xlpm.baseRow,$D102&lt;&gt;"",$E102&lt;&gt;"",$G102="",$H102="",OR(_xlpm.ReplaceReq&gt;0,_xlpm.Green&gt;0,_xlpm.Points&gt;0,_xlpm.Street&gt;0)),
Error!$B$38,
IF(AND(_xlpm.baseRow,$D102&lt;&gt;"",$E102&lt;&gt;"",$H102&lt;&gt;"",$H102&lt;4,_xlpm.Street=0,_xlpm.Coniferous&gt;0,COUNTA(_xlpm.FRange)&gt;0),
Error!$B$32,
IF(AND(_xlpm.baseRow,_xlpm.DecBroad&gt;0,$D102&lt;&gt;"",$E102&lt;&gt;"",$G102&lt;&gt;"",$G102&lt;1.5,_xlpm.Street=0,COUNTA(_xlpm.FRange)&gt;0),
Error!$B$42,
IF(AND(_xlpm.baseRow,$I102="",$H102="",_xlpm.ECA&gt;0,_xlpm.ReplaceReq=0),
Error!$B$33,
IF(AND(_xlpm.baseRow,OR($J102="",$J102&lt;=0),_xlpm.ReplaceReq&gt;0),
Error!$B$34,
IF(AND(_xlpm.baseRow,$K102&lt;&gt;"",_xlpm.Points&gt;0,ISNA(MATCH($K102,Tables!$B$242:$B$253,0))),
Error!$B$58,
IF(AND($K102="Small",$L102&lt;&gt;"",ISNA(MATCH($L102,Tables2!$C$35:$C$36,0))),
Error!$B$60,
IF(AND($K102="Small/Medium",$L102&lt;&gt;"",ISNA(MATCH($L102,Tables2!$C$38:$C$39,0))),
Error!$B$60,
IF(AND($K102="Medium/Large",$L102&lt;&gt;"",ISNA(MATCH($L102,Tables2!$C$41:$C$42,0))),
Error!$B$60,
IF(AND($K102="Large",$L102&lt;&gt;"",ISNA(MATCH($L102,Tables2!$C$44:$C$45,0))),
Error!$B$60,
IF(AND(_xlpm.baseRow,$B102&lt;&gt;"", $C102&lt;&gt;"", $D102&lt;&gt;"", $E102&lt;&gt;"", OR($M102="",$K102="",$L102=""),_xlpm.Points&gt;0),
Error!$B$35,
IF(AND(_xlpm.baseRow,$D102&lt;&gt;"",$E102&lt;&gt;"",$N102=""),
Error!$B$36,
""))))))))))))))))))))))))))))))))))))))))))),Error!$B$37))</f>
        <v/>
      </c>
      <c r="P102" s="355" t="str" cm="1">
        <f t="array" aca="1" ref="P102" ca="1">IFERROR(_xlfn.LET(
    _xlpm.txt, $C102,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3" spans="1:16" ht="15" thickBot="1" x14ac:dyDescent="0.35">
      <c r="A103" s="437">
        <v>24</v>
      </c>
      <c r="B103" s="447"/>
      <c r="C103" s="444"/>
      <c r="D103" s="296"/>
      <c r="E103" s="296"/>
      <c r="F103" s="304"/>
      <c r="G103" s="257"/>
      <c r="H103" s="181"/>
      <c r="I103" s="178"/>
      <c r="J103" s="457"/>
      <c r="K103" s="172" t="str">
        <f>IFERROR(
IF(
    AND(
        MOD(ROW()-11,4)=0,
        COUNTIF(INDEX(F:F, 11 + 4*INT((ROW()-11)/4)):INDEX(F:F, 14 + 4*INT((ROW()-11)/4)),"Zoning: Tree Points")&gt;0,
        COUNTIFS('Tree List'!$C$3:$C$601,$C103,'Tree List'!$H$3:$H$601,"sp.")=0
    ),
    VLOOKUP($C103,'Tree List'!$C$3:$F$601,4,FALSE),
    ""
),
"")</f>
        <v/>
      </c>
      <c r="L103" s="173" t="str" cm="1">
        <f t="array" ref="L103">IFERROR(
IF(
    AND(
        COUNTIF(INDEX(F:F, 11 + 4*INT((ROW()-11)/4)):INDEX(F:F, 14 + 4*INT((ROW()-11)/4)),"Zoning: Tree Points")&gt;0,
        COUNTIFS('Tree List'!$C$3:$C$601,$C103,'Tree List'!$H$3:$H$601,"sp.")&gt;0
    ),
    "",
    _xlfn.IFS(
        (COUNTIFS('Tree List'!$C$3:$C$601,$C103,'Tree List'!$D$3:$D$601,"Coniferous")
        + COUNTIFS('Tree List'!$C$3:$C$601,$C103,'Tree List'!$D$3:$D$601,"Deciduous Conifer")) &gt; 0,
            _xlfn.IFS($K103="Small",1.25,$K103="Small/Medium",2.5,$K103="Medium/Large",3.75,$K103="Large",5),
        (COUNTIFS('Tree List'!$C$3:$C$601,$C103,'Tree List'!$D$3:$D$601,"Deciduous")
        + COUNTIFS('Tree List'!$C$3:$C$601,$C103,'Tree List'!$D$3:$D$601,"Broadleaf Evergreen")) &gt; 0,
            _xlfn.IFS($K103="Small",1,$K103="Small/Medium",2,$K103="Medium/Large",3,$K103="Large",4)
    )
),
"")</f>
        <v/>
      </c>
      <c r="M103" s="470" t="str">
        <f t="shared" ref="M103" si="128">IFERROR($L103*$N103,"")</f>
        <v/>
      </c>
      <c r="N103" s="744"/>
      <c r="O103" s="737" t="str" cm="1">
        <f t="array" aca="1" ref="O103"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List'!$C$3:$C$601,$C103,'Tree List'!$D$3:$D$601,{"Deciduous","Broadleaf Evergreen"})),
_xlpm.Coniferous,SUM(COUNTIFS('Tree List'!$C$3:$C$601,$C103,'Tree List'!$D$3:$D$601,{"Coniferous","Deciduous Conifer"})),
IFERROR(
IF(AND(_xlpm.baseRow,ISNA(MATCH($C103,'Tree List'!$C$3:$C$601,0)),SUMPRODUCT(--ISNUMBER(SEARCH(Tables2!$C$677:$C$825,$P103)))&gt;0),
Error!$B$64,
IF(AND(_xlpm.baseRow,COUNTIF(_xlpm.FRange,"ECA / Shoreline")&gt;0,$D103&lt;&gt;"",$E103&lt;&gt;"",$N103=""),
Error!$B$55,
IF(AND(_xlpm.baseRow,$D103&lt;&gt;"",$E103&lt;&gt;"",COUNTBLANK($B103:$C103)&gt;0,COUNTBLANK($F103:$F106)&lt;&gt;4),
Error!$B$22,
IF(AND(_xlpm.baseRow,$D103="Right-of-Way", $E103=""),
Error!$B$67,
IF(AND(_xlpm.baseRow,$D103&lt;&gt;"",ISNA(MATCH($D103,Tables2!$B$66:$B$68,0))),
Error!$B$63,
IF(AND(_xlpm.baseRow,$D103="Off Site",$E103&lt;&gt;"",$E103&lt;&gt;"Yes"),
Error!$B$28,
IF(AND(_xlpm.baseRow,OR($D103="On Site",$D103="Right-of-Way"),$E103&lt;&gt;"",ISNA(MATCH($E103,MultiSelect2[TreeMitigation],0))),
Error!$B$28,
IF(AND(_xlpm.baseRow,$D103&lt;&gt;"",$E103&lt;&gt;"",COUNTIF(_xlpm.FRange,"&lt;&gt;")=0),
Error!$B$26,
IF(AND($E103="No",$F103&lt;&gt;"",ISNA(MATCH($F103,Tables2!$B$55:$B$57,0))),
Error!$B$27,
IF(AND($E103="Yes",$F103&lt;&gt;"",ISNA(MATCH($F103,Tables2!$B$48:$B$52,0))),
Error!$B$27,
IF(AND($D103="Off Site",$E103="Yes",$F103&lt;&gt;"",ISNA(MATCH($F103,Tables2!$B$60:$B$62,0))),
Error!$B$27,
IF(AND(_xlpm.baseRow,_xlpm.Street&gt;0,_xlpm.ECA&gt;0),
Error!$B$29,
IF(AND(_xlpm.baseRow,_xlpm.Street&gt;0,_xlpm.Points&gt;0),
Error!$B$30,
IF(AND(_xlpm.baseRow,_xlpm.Street&gt;0,_xlpm.ReplaceReq&gt;0),
Error!$B$31,
IF(AND(_xlpm.baseRow,$D103&lt;&gt;"",$E103&lt;&gt;"",$G103&lt;&gt;"",_xlpm.DecBroad&gt;0,OR(_xlpm.Points&gt;0,_xlpm.Green&gt;0,_xlpm.ReplaceReq&gt;0),_xlpm.Street=0,$G103&lt;1.5),
Error!$B$42,
IF(AND(_xlpm.baseRow,$D103&lt;&gt;"",$E103&lt;&gt;"",$H103&lt;&gt;"",$H103&lt;4,_xlpm.Street&gt;0,_xlpm.Green&gt;0,COUNTA(_xlpm.FRange)&gt;0),
Error!$B$32,
IF(AND(_xlpm.baseRow,$G103="",_xlpm.ECA&gt;0,_xlpm.DecBroad&gt;0,_xlpm.ReplaceReq&gt;0),
Error!$B$52,
IF(AND(_xlpm.baseRow,$E103&lt;&gt;"", $H103="",_xlpm.ECA&gt;0,_xlpm.Coniferous&gt;0,_xlpm.ReplaceReq&gt;0),
Error!$B$53,
IF(AND(_xlpm.baseRow,$G103="",$H103="",_xlpm.ECA&gt;0,_xlpm.ReplaceReq&gt;0),
Error!$B$39,
IF(AND(_xlpm.baseRow,$D103&lt;&gt;"",$E103&lt;&gt;"",$G103="",$H103="",_xlpm.Coniferous&gt;0,_xlpm.ReplaceReq&gt;0,_xlpm.ECA&gt;0),
Error!$B$50,
IF(AND(_xlpm.baseRow,$D103&lt;&gt;"",$E103&lt;&gt;"",$G103&lt;&gt;"",_xlpm.Street&gt;0,$G103&lt;2),
Error!$B$43,
IF(AND(_xlpm.baseRow,$D103&lt;&gt;"",$E103&lt;&gt;"",_xlpm.Green&gt;0,_xlpm.DecBroad&gt;0,$G103=""),
Error!$B$49,
IF(AND(_xlpm.baseRow,$D103&lt;&gt;"",$E103&lt;&gt;"",$H103&lt;&gt;"",$H103&lt;4,_xlpm.Green&gt;0,_xlpm.DecBroad&gt;0,$G103=""),
Error!$B$51,
IF(AND(_xlpm.baseRow,$D103&lt;&gt;"",$E103&lt;&gt;"",_xlpm.Green&gt;0,_xlpm.Coniferous&gt;0,$H103=""),
Error!$B$50,
IF(AND(_xlpm.baseRow,$D103&lt;&gt;"",$E103&lt;&gt;"",_xlpm.Points&gt;0,_xlpm.DecBroad&gt;0,$G103=""),
Error!$B$49,
IF(AND(_xlpm.baseRow,$D103&lt;&gt;"",$E103&lt;&gt;"",_xlpm.Points&gt;0,_xlpm.Coniferous&gt;0,$H103=""),
Error!$B$50,
IF(AND(_xlpm.baseRow,$D103&lt;&gt;"",$E103&lt;&gt;"",_xlpm.ReplaceReq&gt;0,_xlpm.DecBroad&gt;0,$G103=""),
Error!$B$49,
IF(AND(_xlpm.baseRow,$D103&lt;&gt;"",$E103&lt;&gt;"",_xlpm.ReplaceReq&gt;0,_xlpm.Coniferous&gt;0,$H103=""),
Error!$B$50,
IF(AND(_xlpm.baseRow,$D103&lt;&gt;"",$E103&lt;&gt;"",_xlpm.Street&gt;0,$G103=""),
Error!$B$49,
IF(AND(_xlpm.baseRow,$D103&lt;&gt;"",$E103&lt;&gt;"",$H103&lt;&gt;"",$H103&lt;4,OR(ISNA(MATCH($C103,'Tree List'!$C$3:$C$601,0)),$C103=""),_xlpm.Green&gt;0,COUNTA(_xlpm.FRange)&gt;0),
Error!$B$51,
IF(AND(_xlpm.baseRow,$D103&lt;&gt;"",$E103&lt;&gt;"",$H103&lt;&gt;"",$H103&lt;4,_xlpm.DecBroad&gt;0,_xlpm.Green&gt;0,COUNTA(_xlpm.FRange)&gt;0),
Error!$B$51,
IF(AND(_xlpm.baseRow,$D103&lt;&gt;"",$E103&lt;&gt;"",$G103="",$H103="",OR(_xlpm.ReplaceReq&gt;0,_xlpm.Green&gt;0,_xlpm.Points&gt;0,_xlpm.Street&gt;0)),
Error!$B$38,
IF(AND(_xlpm.baseRow,$D103&lt;&gt;"",$E103&lt;&gt;"",$H103&lt;&gt;"",$H103&lt;4,_xlpm.Street=0,_xlpm.Coniferous&gt;0,COUNTA(_xlpm.FRange)&gt;0),
Error!$B$32,
IF(AND(_xlpm.baseRow,_xlpm.DecBroad&gt;0,$D103&lt;&gt;"",$E103&lt;&gt;"",$G103&lt;&gt;"",$G103&lt;1.5,_xlpm.Street=0,COUNTA(_xlpm.FRange)&gt;0),
Error!$B$42,
IF(AND(_xlpm.baseRow,$I103="",$H103="",_xlpm.ECA&gt;0,_xlpm.ReplaceReq=0),
Error!$B$33,
IF(AND(_xlpm.baseRow,OR($J103="",$J103&lt;=0),_xlpm.ReplaceReq&gt;0),
Error!$B$34,
IF(AND(_xlpm.baseRow,$K103&lt;&gt;"",_xlpm.Points&gt;0,ISNA(MATCH($K103,Tables!$B$242:$B$253,0))),
Error!$B$58,
IF(AND($K103="Small",$L103&lt;&gt;"",ISNA(MATCH($L103,Tables2!$C$35:$C$36,0))),
Error!$B$60,
IF(AND($K103="Small/Medium",$L103&lt;&gt;"",ISNA(MATCH($L103,Tables2!$C$38:$C$39,0))),
Error!$B$60,
IF(AND($K103="Medium/Large",$L103&lt;&gt;"",ISNA(MATCH($L103,Tables2!$C$41:$C$42,0))),
Error!$B$60,
IF(AND($K103="Large",$L103&lt;&gt;"",ISNA(MATCH($L103,Tables2!$C$44:$C$45,0))),
Error!$B$60,
IF(AND(_xlpm.baseRow,$B103&lt;&gt;"", $C103&lt;&gt;"", $D103&lt;&gt;"", $E103&lt;&gt;"", OR($M103="",$K103="",$L103=""),_xlpm.Points&gt;0),
Error!$B$35,
IF(AND(_xlpm.baseRow,$D103&lt;&gt;"",$E103&lt;&gt;"",$N103=""),
Error!$B$36,
""))))))))))))))))))))))))))))))))))))))))))),Error!$B$37))</f>
        <v/>
      </c>
      <c r="P103" s="355" t="str" cm="1">
        <f t="array" aca="1" ref="P103" ca="1">IFERROR(_xlfn.LET(
    _xlpm.txt, $C103,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4" spans="1:16" x14ac:dyDescent="0.3">
      <c r="A104" s="297"/>
      <c r="B104" s="439" t="str">
        <f t="shared" ref="B104" si="129">IF($B103="", "", $B103)</f>
        <v/>
      </c>
      <c r="C104" s="309"/>
      <c r="D104" s="157" t="str">
        <f t="shared" ref="D104" si="130">IF($D103="", "", $D103)</f>
        <v/>
      </c>
      <c r="E104" s="157" t="str">
        <f t="shared" ref="E104" si="131">IF($E103="", "", $E103)</f>
        <v/>
      </c>
      <c r="F104" s="300"/>
      <c r="G104" s="159"/>
      <c r="H104" s="182"/>
      <c r="I104" s="179"/>
      <c r="J104" s="458"/>
      <c r="K104" s="174" t="str">
        <f>IFERROR(
IF(
    AND(
        MOD(ROW()-11,4)=0,
        COUNTIF(INDEX(F:F, 11 + 4*INT((ROW()-11)/4)):INDEX(F:F, 14 + 4*INT((ROW()-11)/4)),"Zoning: Tree Points")&gt;0,
        COUNTIFS('Tree List'!$C$3:$C$601,$C104,'Tree List'!$H$3:$H$601,"sp.")=0
    ),
    VLOOKUP($C104,'Tree List'!$C$3:$F$601,4,FALSE),
    ""
),
"")</f>
        <v/>
      </c>
      <c r="L104" s="175" t="str" cm="1">
        <f t="array" ref="L104">IFERROR(
IF(
    AND(
        COUNTIF(INDEX(F:F, 11 + 4*INT((ROW()-11)/4)):INDEX(F:F, 14 + 4*INT((ROW()-11)/4)),"Zoning: Tree Points")&gt;0,
        COUNTIFS('Tree List'!$C$3:$C$601,$C104,'Tree List'!$H$3:$H$601,"sp.")&gt;0
    ),
    "",
    _xlfn.IFS(
        (COUNTIFS('Tree List'!$C$3:$C$601,$C104,'Tree List'!$D$3:$D$601,"Coniferous")
        + COUNTIFS('Tree List'!$C$3:$C$601,$C104,'Tree List'!$D$3:$D$601,"Deciduous Conifer")) &gt; 0,
            _xlfn.IFS($K104="Small",1.25,$K104="Small/Medium",2.5,$K104="Medium/Large",3.75,$K104="Large",5),
        (COUNTIFS('Tree List'!$C$3:$C$601,$C104,'Tree List'!$D$3:$D$601,"Deciduous")
        + COUNTIFS('Tree List'!$C$3:$C$601,$C104,'Tree List'!$D$3:$D$601,"Broadleaf Evergreen")) &gt; 0,
            _xlfn.IFS($K104="Small",1,$K104="Small/Medium",2,$K104="Medium/Large",3,$K104="Large",4)
    )
),
"")</f>
        <v/>
      </c>
      <c r="M104" s="471" t="str">
        <f t="shared" ref="M104:M106" si="132">IFERROR($L104*$N104,"")</f>
        <v/>
      </c>
      <c r="N104" s="434"/>
      <c r="O104" s="340" t="str" cm="1">
        <f t="array" aca="1" ref="O104"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List'!$C$3:$C$601,$C104,'Tree List'!$D$3:$D$601,{"Deciduous","Broadleaf Evergreen"})),
_xlpm.Coniferous,SUM(COUNTIFS('Tree List'!$C$3:$C$601,$C104,'Tree List'!$D$3:$D$601,{"Coniferous","Deciduous Conifer"})),
IFERROR(
IF(AND(_xlpm.baseRow,ISNA(MATCH($C104,'Tree List'!$C$3:$C$601,0)),SUMPRODUCT(--ISNUMBER(SEARCH(Tables2!$C$677:$C$825,$P104)))&gt;0),
Error!$B$64,
IF(AND(_xlpm.baseRow,COUNTIF(_xlpm.FRange,"ECA / Shoreline")&gt;0,$D104&lt;&gt;"",$E104&lt;&gt;"",$N104=""),
Error!$B$55,
IF(AND(_xlpm.baseRow,$D104&lt;&gt;"",$E104&lt;&gt;"",COUNTBLANK($B104:$C104)&gt;0,COUNTBLANK($F104:$F107)&lt;&gt;4),
Error!$B$22,
IF(AND(_xlpm.baseRow,$D104="Right-of-Way", $E104=""),
Error!$B$67,
IF(AND(_xlpm.baseRow,$D104&lt;&gt;"",ISNA(MATCH($D104,Tables2!$B$66:$B$68,0))),
Error!$B$63,
IF(AND(_xlpm.baseRow,$D104="Off Site",$E104&lt;&gt;"",$E104&lt;&gt;"Yes"),
Error!$B$28,
IF(AND(_xlpm.baseRow,OR($D104="On Site",$D104="Right-of-Way"),$E104&lt;&gt;"",ISNA(MATCH($E104,MultiSelect2[TreeMitigation],0))),
Error!$B$28,
IF(AND(_xlpm.baseRow,$D104&lt;&gt;"",$E104&lt;&gt;"",COUNTIF(_xlpm.FRange,"&lt;&gt;")=0),
Error!$B$26,
IF(AND($E104="No",$F104&lt;&gt;"",ISNA(MATCH($F104,Tables2!$B$55:$B$57,0))),
Error!$B$27,
IF(AND($E104="Yes",$F104&lt;&gt;"",ISNA(MATCH($F104,Tables2!$B$48:$B$52,0))),
Error!$B$27,
IF(AND($D104="Off Site",$E104="Yes",$F104&lt;&gt;"",ISNA(MATCH($F104,Tables2!$B$60:$B$62,0))),
Error!$B$27,
IF(AND(_xlpm.baseRow,_xlpm.Street&gt;0,_xlpm.ECA&gt;0),
Error!$B$29,
IF(AND(_xlpm.baseRow,_xlpm.Street&gt;0,_xlpm.Points&gt;0),
Error!$B$30,
IF(AND(_xlpm.baseRow,_xlpm.Street&gt;0,_xlpm.ReplaceReq&gt;0),
Error!$B$31,
IF(AND(_xlpm.baseRow,$D104&lt;&gt;"",$E104&lt;&gt;"",$G104&lt;&gt;"",_xlpm.DecBroad&gt;0,OR(_xlpm.Points&gt;0,_xlpm.Green&gt;0,_xlpm.ReplaceReq&gt;0),_xlpm.Street=0,$G104&lt;1.5),
Error!$B$42,
IF(AND(_xlpm.baseRow,$D104&lt;&gt;"",$E104&lt;&gt;"",$H104&lt;&gt;"",$H104&lt;4,_xlpm.Street&gt;0,_xlpm.Green&gt;0,COUNTA(_xlpm.FRange)&gt;0),
Error!$B$32,
IF(AND(_xlpm.baseRow,$G104="",_xlpm.ECA&gt;0,_xlpm.DecBroad&gt;0,_xlpm.ReplaceReq&gt;0),
Error!$B$52,
IF(AND(_xlpm.baseRow,$E104&lt;&gt;"", $H104="",_xlpm.ECA&gt;0,_xlpm.Coniferous&gt;0,_xlpm.ReplaceReq&gt;0),
Error!$B$53,
IF(AND(_xlpm.baseRow,$G104="",$H104="",_xlpm.ECA&gt;0,_xlpm.ReplaceReq&gt;0),
Error!$B$39,
IF(AND(_xlpm.baseRow,$D104&lt;&gt;"",$E104&lt;&gt;"",$G104="",$H104="",_xlpm.Coniferous&gt;0,_xlpm.ReplaceReq&gt;0,_xlpm.ECA&gt;0),
Error!$B$50,
IF(AND(_xlpm.baseRow,$D104&lt;&gt;"",$E104&lt;&gt;"",$G104&lt;&gt;"",_xlpm.Street&gt;0,$G104&lt;2),
Error!$B$43,
IF(AND(_xlpm.baseRow,$D104&lt;&gt;"",$E104&lt;&gt;"",_xlpm.Green&gt;0,_xlpm.DecBroad&gt;0,$G104=""),
Error!$B$49,
IF(AND(_xlpm.baseRow,$D104&lt;&gt;"",$E104&lt;&gt;"",$H104&lt;&gt;"",$H104&lt;4,_xlpm.Green&gt;0,_xlpm.DecBroad&gt;0,$G104=""),
Error!$B$51,
IF(AND(_xlpm.baseRow,$D104&lt;&gt;"",$E104&lt;&gt;"",_xlpm.Green&gt;0,_xlpm.Coniferous&gt;0,$H104=""),
Error!$B$50,
IF(AND(_xlpm.baseRow,$D104&lt;&gt;"",$E104&lt;&gt;"",_xlpm.Points&gt;0,_xlpm.DecBroad&gt;0,$G104=""),
Error!$B$49,
IF(AND(_xlpm.baseRow,$D104&lt;&gt;"",$E104&lt;&gt;"",_xlpm.Points&gt;0,_xlpm.Coniferous&gt;0,$H104=""),
Error!$B$50,
IF(AND(_xlpm.baseRow,$D104&lt;&gt;"",$E104&lt;&gt;"",_xlpm.ReplaceReq&gt;0,_xlpm.DecBroad&gt;0,$G104=""),
Error!$B$49,
IF(AND(_xlpm.baseRow,$D104&lt;&gt;"",$E104&lt;&gt;"",_xlpm.ReplaceReq&gt;0,_xlpm.Coniferous&gt;0,$H104=""),
Error!$B$50,
IF(AND(_xlpm.baseRow,$D104&lt;&gt;"",$E104&lt;&gt;"",_xlpm.Street&gt;0,$G104=""),
Error!$B$49,
IF(AND(_xlpm.baseRow,$D104&lt;&gt;"",$E104&lt;&gt;"",$H104&lt;&gt;"",$H104&lt;4,OR(ISNA(MATCH($C104,'Tree List'!$C$3:$C$601,0)),$C104=""),_xlpm.Green&gt;0,COUNTA(_xlpm.FRange)&gt;0),
Error!$B$51,
IF(AND(_xlpm.baseRow,$D104&lt;&gt;"",$E104&lt;&gt;"",$H104&lt;&gt;"",$H104&lt;4,_xlpm.DecBroad&gt;0,_xlpm.Green&gt;0,COUNTA(_xlpm.FRange)&gt;0),
Error!$B$51,
IF(AND(_xlpm.baseRow,$D104&lt;&gt;"",$E104&lt;&gt;"",$G104="",$H104="",OR(_xlpm.ReplaceReq&gt;0,_xlpm.Green&gt;0,_xlpm.Points&gt;0,_xlpm.Street&gt;0)),
Error!$B$38,
IF(AND(_xlpm.baseRow,$D104&lt;&gt;"",$E104&lt;&gt;"",$H104&lt;&gt;"",$H104&lt;4,_xlpm.Street=0,_xlpm.Coniferous&gt;0,COUNTA(_xlpm.FRange)&gt;0),
Error!$B$32,
IF(AND(_xlpm.baseRow,_xlpm.DecBroad&gt;0,$D104&lt;&gt;"",$E104&lt;&gt;"",$G104&lt;&gt;"",$G104&lt;1.5,_xlpm.Street=0,COUNTA(_xlpm.FRange)&gt;0),
Error!$B$42,
IF(AND(_xlpm.baseRow,$I104="",$H104="",_xlpm.ECA&gt;0,_xlpm.ReplaceReq=0),
Error!$B$33,
IF(AND(_xlpm.baseRow,OR($J104="",$J104&lt;=0),_xlpm.ReplaceReq&gt;0),
Error!$B$34,
IF(AND(_xlpm.baseRow,$K104&lt;&gt;"",_xlpm.Points&gt;0,ISNA(MATCH($K104,Tables!$B$242:$B$253,0))),
Error!$B$58,
IF(AND($K104="Small",$L104&lt;&gt;"",ISNA(MATCH($L104,Tables2!$C$35:$C$36,0))),
Error!$B$60,
IF(AND($K104="Small/Medium",$L104&lt;&gt;"",ISNA(MATCH($L104,Tables2!$C$38:$C$39,0))),
Error!$B$60,
IF(AND($K104="Medium/Large",$L104&lt;&gt;"",ISNA(MATCH($L104,Tables2!$C$41:$C$42,0))),
Error!$B$60,
IF(AND($K104="Large",$L104&lt;&gt;"",ISNA(MATCH($L104,Tables2!$C$44:$C$45,0))),
Error!$B$60,
IF(AND(_xlpm.baseRow,$B104&lt;&gt;"", $C104&lt;&gt;"", $D104&lt;&gt;"", $E104&lt;&gt;"", OR($M104="",$K104="",$L104=""),_xlpm.Points&gt;0),
Error!$B$35,
IF(AND(_xlpm.baseRow,$D104&lt;&gt;"",$E104&lt;&gt;"",$N104=""),
Error!$B$36,
""))))))))))))))))))))))))))))))))))))))))))),Error!$B$37))</f>
        <v/>
      </c>
      <c r="P104" s="355" t="str" cm="1">
        <f t="array" aca="1" ref="P104" ca="1">IFERROR(_xlfn.LET(
    _xlpm.txt, $C104,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5" spans="1:16" x14ac:dyDescent="0.3">
      <c r="A105" s="297"/>
      <c r="B105" s="439" t="str">
        <f t="shared" ref="B105" si="133">IF($B103="", "", $B103)</f>
        <v/>
      </c>
      <c r="C105" s="438"/>
      <c r="D105" s="439" t="str">
        <f t="shared" ref="D105" si="134">IF($D103="", "", $D103)</f>
        <v/>
      </c>
      <c r="E105" s="439" t="str">
        <f t="shared" ref="E105" si="135">IF($E103="", "", $E103)</f>
        <v/>
      </c>
      <c r="F105" s="300"/>
      <c r="G105" s="160"/>
      <c r="H105" s="440"/>
      <c r="I105" s="441"/>
      <c r="J105" s="459"/>
      <c r="K105" s="442" t="str">
        <f>IFERROR(
IF(
    AND(
        MOD(ROW()-11,4)=0,
        COUNTIF(INDEX(F:F, 11 + 4*INT((ROW()-11)/4)):INDEX(F:F, 14 + 4*INT((ROW()-11)/4)),"Zoning: Tree Points")&gt;0,
        COUNTIFS('Tree List'!$C$3:$C$601,$C105,'Tree List'!$H$3:$H$601,"sp.")=0
    ),
    VLOOKUP($C105,'Tree List'!$C$3:$F$601,4,FALSE),
    ""
),
"")</f>
        <v/>
      </c>
      <c r="L105" s="443" t="str" cm="1">
        <f t="array" ref="L105">IFERROR(
IF(
    AND(
        COUNTIF(INDEX(F:F, 11 + 4*INT((ROW()-11)/4)):INDEX(F:F, 14 + 4*INT((ROW()-11)/4)),"Zoning: Tree Points")&gt;0,
        COUNTIFS('Tree List'!$C$3:$C$601,$C105,'Tree List'!$H$3:$H$601,"sp.")&gt;0
    ),
    "",
    _xlfn.IFS(
        (COUNTIFS('Tree List'!$C$3:$C$601,$C105,'Tree List'!$D$3:$D$601,"Coniferous")
        + COUNTIFS('Tree List'!$C$3:$C$601,$C105,'Tree List'!$D$3:$D$601,"Deciduous Conifer")) &gt; 0,
            _xlfn.IFS($K105="Small",1.25,$K105="Small/Medium",2.5,$K105="Medium/Large",3.75,$K105="Large",5),
        (COUNTIFS('Tree List'!$C$3:$C$601,$C105,'Tree List'!$D$3:$D$601,"Deciduous")
        + COUNTIFS('Tree List'!$C$3:$C$601,$C105,'Tree List'!$D$3:$D$601,"Broadleaf Evergreen")) &gt; 0,
            _xlfn.IFS($K105="Small",1,$K105="Small/Medium",2,$K105="Medium/Large",3,$K105="Large",4)
    )
),
"")</f>
        <v/>
      </c>
      <c r="M105" s="472" t="str">
        <f t="shared" si="132"/>
        <v/>
      </c>
      <c r="N105" s="434"/>
      <c r="O105" s="340" t="str" cm="1">
        <f t="array" aca="1" ref="O105"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List'!$C$3:$C$601,$C105,'Tree List'!$D$3:$D$601,{"Deciduous","Broadleaf Evergreen"})),
_xlpm.Coniferous,SUM(COUNTIFS('Tree List'!$C$3:$C$601,$C105,'Tree List'!$D$3:$D$601,{"Coniferous","Deciduous Conifer"})),
IFERROR(
IF(AND(_xlpm.baseRow,ISNA(MATCH($C105,'Tree List'!$C$3:$C$601,0)),SUMPRODUCT(--ISNUMBER(SEARCH(Tables2!$C$677:$C$825,$P105)))&gt;0),
Error!$B$64,
IF(AND(_xlpm.baseRow,COUNTIF(_xlpm.FRange,"ECA / Shoreline")&gt;0,$D105&lt;&gt;"",$E105&lt;&gt;"",$N105=""),
Error!$B$55,
IF(AND(_xlpm.baseRow,$D105&lt;&gt;"",$E105&lt;&gt;"",COUNTBLANK($B105:$C105)&gt;0,COUNTBLANK($F105:$F108)&lt;&gt;4),
Error!$B$22,
IF(AND(_xlpm.baseRow,$D105="Right-of-Way", $E105=""),
Error!$B$67,
IF(AND(_xlpm.baseRow,$D105&lt;&gt;"",ISNA(MATCH($D105,Tables2!$B$66:$B$68,0))),
Error!$B$63,
IF(AND(_xlpm.baseRow,$D105="Off Site",$E105&lt;&gt;"",$E105&lt;&gt;"Yes"),
Error!$B$28,
IF(AND(_xlpm.baseRow,OR($D105="On Site",$D105="Right-of-Way"),$E105&lt;&gt;"",ISNA(MATCH($E105,MultiSelect2[TreeMitigation],0))),
Error!$B$28,
IF(AND(_xlpm.baseRow,$D105&lt;&gt;"",$E105&lt;&gt;"",COUNTIF(_xlpm.FRange,"&lt;&gt;")=0),
Error!$B$26,
IF(AND($E105="No",$F105&lt;&gt;"",ISNA(MATCH($F105,Tables2!$B$55:$B$57,0))),
Error!$B$27,
IF(AND($E105="Yes",$F105&lt;&gt;"",ISNA(MATCH($F105,Tables2!$B$48:$B$52,0))),
Error!$B$27,
IF(AND($D105="Off Site",$E105="Yes",$F105&lt;&gt;"",ISNA(MATCH($F105,Tables2!$B$60:$B$62,0))),
Error!$B$27,
IF(AND(_xlpm.baseRow,_xlpm.Street&gt;0,_xlpm.ECA&gt;0),
Error!$B$29,
IF(AND(_xlpm.baseRow,_xlpm.Street&gt;0,_xlpm.Points&gt;0),
Error!$B$30,
IF(AND(_xlpm.baseRow,_xlpm.Street&gt;0,_xlpm.ReplaceReq&gt;0),
Error!$B$31,
IF(AND(_xlpm.baseRow,$D105&lt;&gt;"",$E105&lt;&gt;"",$G105&lt;&gt;"",_xlpm.DecBroad&gt;0,OR(_xlpm.Points&gt;0,_xlpm.Green&gt;0,_xlpm.ReplaceReq&gt;0),_xlpm.Street=0,$G105&lt;1.5),
Error!$B$42,
IF(AND(_xlpm.baseRow,$D105&lt;&gt;"",$E105&lt;&gt;"",$H105&lt;&gt;"",$H105&lt;4,_xlpm.Street&gt;0,_xlpm.Green&gt;0,COUNTA(_xlpm.FRange)&gt;0),
Error!$B$32,
IF(AND(_xlpm.baseRow,$G105="",_xlpm.ECA&gt;0,_xlpm.DecBroad&gt;0,_xlpm.ReplaceReq&gt;0),
Error!$B$52,
IF(AND(_xlpm.baseRow,$E105&lt;&gt;"", $H105="",_xlpm.ECA&gt;0,_xlpm.Coniferous&gt;0,_xlpm.ReplaceReq&gt;0),
Error!$B$53,
IF(AND(_xlpm.baseRow,$G105="",$H105="",_xlpm.ECA&gt;0,_xlpm.ReplaceReq&gt;0),
Error!$B$39,
IF(AND(_xlpm.baseRow,$D105&lt;&gt;"",$E105&lt;&gt;"",$G105="",$H105="",_xlpm.Coniferous&gt;0,_xlpm.ReplaceReq&gt;0,_xlpm.ECA&gt;0),
Error!$B$50,
IF(AND(_xlpm.baseRow,$D105&lt;&gt;"",$E105&lt;&gt;"",$G105&lt;&gt;"",_xlpm.Street&gt;0,$G105&lt;2),
Error!$B$43,
IF(AND(_xlpm.baseRow,$D105&lt;&gt;"",$E105&lt;&gt;"",_xlpm.Green&gt;0,_xlpm.DecBroad&gt;0,$G105=""),
Error!$B$49,
IF(AND(_xlpm.baseRow,$D105&lt;&gt;"",$E105&lt;&gt;"",$H105&lt;&gt;"",$H105&lt;4,_xlpm.Green&gt;0,_xlpm.DecBroad&gt;0,$G105=""),
Error!$B$51,
IF(AND(_xlpm.baseRow,$D105&lt;&gt;"",$E105&lt;&gt;"",_xlpm.Green&gt;0,_xlpm.Coniferous&gt;0,$H105=""),
Error!$B$50,
IF(AND(_xlpm.baseRow,$D105&lt;&gt;"",$E105&lt;&gt;"",_xlpm.Points&gt;0,_xlpm.DecBroad&gt;0,$G105=""),
Error!$B$49,
IF(AND(_xlpm.baseRow,$D105&lt;&gt;"",$E105&lt;&gt;"",_xlpm.Points&gt;0,_xlpm.Coniferous&gt;0,$H105=""),
Error!$B$50,
IF(AND(_xlpm.baseRow,$D105&lt;&gt;"",$E105&lt;&gt;"",_xlpm.ReplaceReq&gt;0,_xlpm.DecBroad&gt;0,$G105=""),
Error!$B$49,
IF(AND(_xlpm.baseRow,$D105&lt;&gt;"",$E105&lt;&gt;"",_xlpm.ReplaceReq&gt;0,_xlpm.Coniferous&gt;0,$H105=""),
Error!$B$50,
IF(AND(_xlpm.baseRow,$D105&lt;&gt;"",$E105&lt;&gt;"",_xlpm.Street&gt;0,$G105=""),
Error!$B$49,
IF(AND(_xlpm.baseRow,$D105&lt;&gt;"",$E105&lt;&gt;"",$H105&lt;&gt;"",$H105&lt;4,OR(ISNA(MATCH($C105,'Tree List'!$C$3:$C$601,0)),$C105=""),_xlpm.Green&gt;0,COUNTA(_xlpm.FRange)&gt;0),
Error!$B$51,
IF(AND(_xlpm.baseRow,$D105&lt;&gt;"",$E105&lt;&gt;"",$H105&lt;&gt;"",$H105&lt;4,_xlpm.DecBroad&gt;0,_xlpm.Green&gt;0,COUNTA(_xlpm.FRange)&gt;0),
Error!$B$51,
IF(AND(_xlpm.baseRow,$D105&lt;&gt;"",$E105&lt;&gt;"",$G105="",$H105="",OR(_xlpm.ReplaceReq&gt;0,_xlpm.Green&gt;0,_xlpm.Points&gt;0,_xlpm.Street&gt;0)),
Error!$B$38,
IF(AND(_xlpm.baseRow,$D105&lt;&gt;"",$E105&lt;&gt;"",$H105&lt;&gt;"",$H105&lt;4,_xlpm.Street=0,_xlpm.Coniferous&gt;0,COUNTA(_xlpm.FRange)&gt;0),
Error!$B$32,
IF(AND(_xlpm.baseRow,_xlpm.DecBroad&gt;0,$D105&lt;&gt;"",$E105&lt;&gt;"",$G105&lt;&gt;"",$G105&lt;1.5,_xlpm.Street=0,COUNTA(_xlpm.FRange)&gt;0),
Error!$B$42,
IF(AND(_xlpm.baseRow,$I105="",$H105="",_xlpm.ECA&gt;0,_xlpm.ReplaceReq=0),
Error!$B$33,
IF(AND(_xlpm.baseRow,OR($J105="",$J105&lt;=0),_xlpm.ReplaceReq&gt;0),
Error!$B$34,
IF(AND(_xlpm.baseRow,$K105&lt;&gt;"",_xlpm.Points&gt;0,ISNA(MATCH($K105,Tables!$B$242:$B$253,0))),
Error!$B$58,
IF(AND($K105="Small",$L105&lt;&gt;"",ISNA(MATCH($L105,Tables2!$C$35:$C$36,0))),
Error!$B$60,
IF(AND($K105="Small/Medium",$L105&lt;&gt;"",ISNA(MATCH($L105,Tables2!$C$38:$C$39,0))),
Error!$B$60,
IF(AND($K105="Medium/Large",$L105&lt;&gt;"",ISNA(MATCH($L105,Tables2!$C$41:$C$42,0))),
Error!$B$60,
IF(AND($K105="Large",$L105&lt;&gt;"",ISNA(MATCH($L105,Tables2!$C$44:$C$45,0))),
Error!$B$60,
IF(AND(_xlpm.baseRow,$B105&lt;&gt;"", $C105&lt;&gt;"", $D105&lt;&gt;"", $E105&lt;&gt;"", OR($M105="",$K105="",$L105=""),_xlpm.Points&gt;0),
Error!$B$35,
IF(AND(_xlpm.baseRow,$D105&lt;&gt;"",$E105&lt;&gt;"",$N105=""),
Error!$B$36,
""))))))))))))))))))))))))))))))))))))))))))),Error!$B$37))</f>
        <v/>
      </c>
      <c r="P105" s="355" t="str" cm="1">
        <f t="array" aca="1" ref="P105" ca="1">IFERROR(_xlfn.LET(
    _xlpm.txt, $C105,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6" spans="1:16" ht="15" thickBot="1" x14ac:dyDescent="0.35">
      <c r="A106" s="298"/>
      <c r="B106" s="439" t="str">
        <f t="shared" ref="B106" si="136">IF($B103="", "", $B103)</f>
        <v/>
      </c>
      <c r="C106" s="310"/>
      <c r="D106" s="154" t="str">
        <f t="shared" ref="D106" si="137">IF($D103="", "", $D103)</f>
        <v/>
      </c>
      <c r="E106" s="154" t="str">
        <f t="shared" ref="E106" si="138">IF($E103="", "", $E103)</f>
        <v/>
      </c>
      <c r="F106" s="302"/>
      <c r="G106" s="161"/>
      <c r="H106" s="183"/>
      <c r="I106" s="180"/>
      <c r="J106" s="460"/>
      <c r="K106" s="176" t="str">
        <f>IFERROR(
IF(
    AND(
        MOD(ROW()-11,4)=0,
        COUNTIF(INDEX(F:F, 11 + 4*INT((ROW()-11)/4)):INDEX(F:F, 14 + 4*INT((ROW()-11)/4)),"Zoning: Tree Points")&gt;0,
        COUNTIFS('Tree List'!$C$3:$C$601,$C106,'Tree List'!$H$3:$H$601,"sp.")=0
    ),
    VLOOKUP($C106,'Tree List'!$C$3:$F$601,4,FALSE),
    ""
),
"")</f>
        <v/>
      </c>
      <c r="L106" s="177" t="str" cm="1">
        <f t="array" ref="L106">IFERROR(
IF(
    AND(
        COUNTIF(INDEX(F:F, 11 + 4*INT((ROW()-11)/4)):INDEX(F:F, 14 + 4*INT((ROW()-11)/4)),"Zoning: Tree Points")&gt;0,
        COUNTIFS('Tree List'!$C$3:$C$601,$C106,'Tree List'!$H$3:$H$601,"sp.")&gt;0
    ),
    "",
    _xlfn.IFS(
        (COUNTIFS('Tree List'!$C$3:$C$601,$C106,'Tree List'!$D$3:$D$601,"Coniferous")
        + COUNTIFS('Tree List'!$C$3:$C$601,$C106,'Tree List'!$D$3:$D$601,"Deciduous Conifer")) &gt; 0,
            _xlfn.IFS($K106="Small",1.25,$K106="Small/Medium",2.5,$K106="Medium/Large",3.75,$K106="Large",5),
        (COUNTIFS('Tree List'!$C$3:$C$601,$C106,'Tree List'!$D$3:$D$601,"Deciduous")
        + COUNTIFS('Tree List'!$C$3:$C$601,$C106,'Tree List'!$D$3:$D$601,"Broadleaf Evergreen")) &gt; 0,
            _xlfn.IFS($K106="Small",1,$K106="Small/Medium",2,$K106="Medium/Large",3,$K106="Large",4)
    )
),
"")</f>
        <v/>
      </c>
      <c r="M106" s="473" t="str">
        <f t="shared" si="132"/>
        <v/>
      </c>
      <c r="N106" s="435"/>
      <c r="O106" s="341" t="str" cm="1">
        <f t="array" aca="1" ref="O106"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List'!$C$3:$C$601,$C106,'Tree List'!$D$3:$D$601,{"Deciduous","Broadleaf Evergreen"})),
_xlpm.Coniferous,SUM(COUNTIFS('Tree List'!$C$3:$C$601,$C106,'Tree List'!$D$3:$D$601,{"Coniferous","Deciduous Conifer"})),
IFERROR(
IF(AND(_xlpm.baseRow,ISNA(MATCH($C106,'Tree List'!$C$3:$C$601,0)),SUMPRODUCT(--ISNUMBER(SEARCH(Tables2!$C$677:$C$825,$P106)))&gt;0),
Error!$B$64,
IF(AND(_xlpm.baseRow,COUNTIF(_xlpm.FRange,"ECA / Shoreline")&gt;0,$D106&lt;&gt;"",$E106&lt;&gt;"",$N106=""),
Error!$B$55,
IF(AND(_xlpm.baseRow,$D106&lt;&gt;"",$E106&lt;&gt;"",COUNTBLANK($B106:$C106)&gt;0,COUNTBLANK($F106:$F109)&lt;&gt;4),
Error!$B$22,
IF(AND(_xlpm.baseRow,$D106="Right-of-Way", $E106=""),
Error!$B$67,
IF(AND(_xlpm.baseRow,$D106&lt;&gt;"",ISNA(MATCH($D106,Tables2!$B$66:$B$68,0))),
Error!$B$63,
IF(AND(_xlpm.baseRow,$D106="Off Site",$E106&lt;&gt;"",$E106&lt;&gt;"Yes"),
Error!$B$28,
IF(AND(_xlpm.baseRow,OR($D106="On Site",$D106="Right-of-Way"),$E106&lt;&gt;"",ISNA(MATCH($E106,MultiSelect2[TreeMitigation],0))),
Error!$B$28,
IF(AND(_xlpm.baseRow,$D106&lt;&gt;"",$E106&lt;&gt;"",COUNTIF(_xlpm.FRange,"&lt;&gt;")=0),
Error!$B$26,
IF(AND($E106="No",$F106&lt;&gt;"",ISNA(MATCH($F106,Tables2!$B$55:$B$57,0))),
Error!$B$27,
IF(AND($E106="Yes",$F106&lt;&gt;"",ISNA(MATCH($F106,Tables2!$B$48:$B$52,0))),
Error!$B$27,
IF(AND($D106="Off Site",$E106="Yes",$F106&lt;&gt;"",ISNA(MATCH($F106,Tables2!$B$60:$B$62,0))),
Error!$B$27,
IF(AND(_xlpm.baseRow,_xlpm.Street&gt;0,_xlpm.ECA&gt;0),
Error!$B$29,
IF(AND(_xlpm.baseRow,_xlpm.Street&gt;0,_xlpm.Points&gt;0),
Error!$B$30,
IF(AND(_xlpm.baseRow,_xlpm.Street&gt;0,_xlpm.ReplaceReq&gt;0),
Error!$B$31,
IF(AND(_xlpm.baseRow,$D106&lt;&gt;"",$E106&lt;&gt;"",$G106&lt;&gt;"",_xlpm.DecBroad&gt;0,OR(_xlpm.Points&gt;0,_xlpm.Green&gt;0,_xlpm.ReplaceReq&gt;0),_xlpm.Street=0,$G106&lt;1.5),
Error!$B$42,
IF(AND(_xlpm.baseRow,$D106&lt;&gt;"",$E106&lt;&gt;"",$H106&lt;&gt;"",$H106&lt;4,_xlpm.Street&gt;0,_xlpm.Green&gt;0,COUNTA(_xlpm.FRange)&gt;0),
Error!$B$32,
IF(AND(_xlpm.baseRow,$G106="",_xlpm.ECA&gt;0,_xlpm.DecBroad&gt;0,_xlpm.ReplaceReq&gt;0),
Error!$B$52,
IF(AND(_xlpm.baseRow,$E106&lt;&gt;"", $H106="",_xlpm.ECA&gt;0,_xlpm.Coniferous&gt;0,_xlpm.ReplaceReq&gt;0),
Error!$B$53,
IF(AND(_xlpm.baseRow,$G106="",$H106="",_xlpm.ECA&gt;0,_xlpm.ReplaceReq&gt;0),
Error!$B$39,
IF(AND(_xlpm.baseRow,$D106&lt;&gt;"",$E106&lt;&gt;"",$G106="",$H106="",_xlpm.Coniferous&gt;0,_xlpm.ReplaceReq&gt;0,_xlpm.ECA&gt;0),
Error!$B$50,
IF(AND(_xlpm.baseRow,$D106&lt;&gt;"",$E106&lt;&gt;"",$G106&lt;&gt;"",_xlpm.Street&gt;0,$G106&lt;2),
Error!$B$43,
IF(AND(_xlpm.baseRow,$D106&lt;&gt;"",$E106&lt;&gt;"",_xlpm.Green&gt;0,_xlpm.DecBroad&gt;0,$G106=""),
Error!$B$49,
IF(AND(_xlpm.baseRow,$D106&lt;&gt;"",$E106&lt;&gt;"",$H106&lt;&gt;"",$H106&lt;4,_xlpm.Green&gt;0,_xlpm.DecBroad&gt;0,$G106=""),
Error!$B$51,
IF(AND(_xlpm.baseRow,$D106&lt;&gt;"",$E106&lt;&gt;"",_xlpm.Green&gt;0,_xlpm.Coniferous&gt;0,$H106=""),
Error!$B$50,
IF(AND(_xlpm.baseRow,$D106&lt;&gt;"",$E106&lt;&gt;"",_xlpm.Points&gt;0,_xlpm.DecBroad&gt;0,$G106=""),
Error!$B$49,
IF(AND(_xlpm.baseRow,$D106&lt;&gt;"",$E106&lt;&gt;"",_xlpm.Points&gt;0,_xlpm.Coniferous&gt;0,$H106=""),
Error!$B$50,
IF(AND(_xlpm.baseRow,$D106&lt;&gt;"",$E106&lt;&gt;"",_xlpm.ReplaceReq&gt;0,_xlpm.DecBroad&gt;0,$G106=""),
Error!$B$49,
IF(AND(_xlpm.baseRow,$D106&lt;&gt;"",$E106&lt;&gt;"",_xlpm.ReplaceReq&gt;0,_xlpm.Coniferous&gt;0,$H106=""),
Error!$B$50,
IF(AND(_xlpm.baseRow,$D106&lt;&gt;"",$E106&lt;&gt;"",_xlpm.Street&gt;0,$G106=""),
Error!$B$49,
IF(AND(_xlpm.baseRow,$D106&lt;&gt;"",$E106&lt;&gt;"",$H106&lt;&gt;"",$H106&lt;4,OR(ISNA(MATCH($C106,'Tree List'!$C$3:$C$601,0)),$C106=""),_xlpm.Green&gt;0,COUNTA(_xlpm.FRange)&gt;0),
Error!$B$51,
IF(AND(_xlpm.baseRow,$D106&lt;&gt;"",$E106&lt;&gt;"",$H106&lt;&gt;"",$H106&lt;4,_xlpm.DecBroad&gt;0,_xlpm.Green&gt;0,COUNTA(_xlpm.FRange)&gt;0),
Error!$B$51,
IF(AND(_xlpm.baseRow,$D106&lt;&gt;"",$E106&lt;&gt;"",$G106="",$H106="",OR(_xlpm.ReplaceReq&gt;0,_xlpm.Green&gt;0,_xlpm.Points&gt;0,_xlpm.Street&gt;0)),
Error!$B$38,
IF(AND(_xlpm.baseRow,$D106&lt;&gt;"",$E106&lt;&gt;"",$H106&lt;&gt;"",$H106&lt;4,_xlpm.Street=0,_xlpm.Coniferous&gt;0,COUNTA(_xlpm.FRange)&gt;0),
Error!$B$32,
IF(AND(_xlpm.baseRow,_xlpm.DecBroad&gt;0,$D106&lt;&gt;"",$E106&lt;&gt;"",$G106&lt;&gt;"",$G106&lt;1.5,_xlpm.Street=0,COUNTA(_xlpm.FRange)&gt;0),
Error!$B$42,
IF(AND(_xlpm.baseRow,$I106="",$H106="",_xlpm.ECA&gt;0,_xlpm.ReplaceReq=0),
Error!$B$33,
IF(AND(_xlpm.baseRow,OR($J106="",$J106&lt;=0),_xlpm.ReplaceReq&gt;0),
Error!$B$34,
IF(AND(_xlpm.baseRow,$K106&lt;&gt;"",_xlpm.Points&gt;0,ISNA(MATCH($K106,Tables!$B$242:$B$253,0))),
Error!$B$58,
IF(AND($K106="Small",$L106&lt;&gt;"",ISNA(MATCH($L106,Tables2!$C$35:$C$36,0))),
Error!$B$60,
IF(AND($K106="Small/Medium",$L106&lt;&gt;"",ISNA(MATCH($L106,Tables2!$C$38:$C$39,0))),
Error!$B$60,
IF(AND($K106="Medium/Large",$L106&lt;&gt;"",ISNA(MATCH($L106,Tables2!$C$41:$C$42,0))),
Error!$B$60,
IF(AND($K106="Large",$L106&lt;&gt;"",ISNA(MATCH($L106,Tables2!$C$44:$C$45,0))),
Error!$B$60,
IF(AND(_xlpm.baseRow,$B106&lt;&gt;"", $C106&lt;&gt;"", $D106&lt;&gt;"", $E106&lt;&gt;"", OR($M106="",$K106="",$L106=""),_xlpm.Points&gt;0),
Error!$B$35,
IF(AND(_xlpm.baseRow,$D106&lt;&gt;"",$E106&lt;&gt;"",$N106=""),
Error!$B$36,
""))))))))))))))))))))))))))))))))))))))))))),Error!$B$37))</f>
        <v/>
      </c>
      <c r="P106" s="355" t="str" cm="1">
        <f t="array" aca="1" ref="P106" ca="1">IFERROR(_xlfn.LET(
    _xlpm.txt, $C106,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7" spans="1:16" ht="15" thickBot="1" x14ac:dyDescent="0.35">
      <c r="A107" s="437">
        <v>25</v>
      </c>
      <c r="B107" s="447"/>
      <c r="C107" s="444"/>
      <c r="D107" s="296"/>
      <c r="E107" s="296"/>
      <c r="F107" s="304"/>
      <c r="G107" s="257"/>
      <c r="H107" s="181"/>
      <c r="I107" s="178"/>
      <c r="J107" s="457"/>
      <c r="K107" s="172" t="str">
        <f>IFERROR(
IF(
    AND(
        MOD(ROW()-11,4)=0,
        COUNTIF(INDEX(F:F, 11 + 4*INT((ROW()-11)/4)):INDEX(F:F, 14 + 4*INT((ROW()-11)/4)),"Zoning: Tree Points")&gt;0,
        COUNTIFS('Tree List'!$C$3:$C$601,$C107,'Tree List'!$H$3:$H$601,"sp.")=0
    ),
    VLOOKUP($C107,'Tree List'!$C$3:$F$601,4,FALSE),
    ""
),
"")</f>
        <v/>
      </c>
      <c r="L107" s="173" t="str" cm="1">
        <f t="array" ref="L107">IFERROR(
IF(
    AND(
        COUNTIF(INDEX(F:F, 11 + 4*INT((ROW()-11)/4)):INDEX(F:F, 14 + 4*INT((ROW()-11)/4)),"Zoning: Tree Points")&gt;0,
        COUNTIFS('Tree List'!$C$3:$C$601,$C107,'Tree List'!$H$3:$H$601,"sp.")&gt;0
    ),
    "",
    _xlfn.IFS(
        (COUNTIFS('Tree List'!$C$3:$C$601,$C107,'Tree List'!$D$3:$D$601,"Coniferous")
        + COUNTIFS('Tree List'!$C$3:$C$601,$C107,'Tree List'!$D$3:$D$601,"Deciduous Conifer")) &gt; 0,
            _xlfn.IFS($K107="Small",1.25,$K107="Small/Medium",2.5,$K107="Medium/Large",3.75,$K107="Large",5),
        (COUNTIFS('Tree List'!$C$3:$C$601,$C107,'Tree List'!$D$3:$D$601,"Deciduous")
        + COUNTIFS('Tree List'!$C$3:$C$601,$C107,'Tree List'!$D$3:$D$601,"Broadleaf Evergreen")) &gt; 0,
            _xlfn.IFS($K107="Small",1,$K107="Small/Medium",2,$K107="Medium/Large",3,$K107="Large",4)
    )
),
"")</f>
        <v/>
      </c>
      <c r="M107" s="470" t="str">
        <f t="shared" ref="M107" si="139">IFERROR($L107*$N107,"")</f>
        <v/>
      </c>
      <c r="N107" s="744"/>
      <c r="O107" s="737" t="str" cm="1">
        <f t="array" aca="1" ref="O107"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List'!$C$3:$C$601,$C107,'Tree List'!$D$3:$D$601,{"Deciduous","Broadleaf Evergreen"})),
_xlpm.Coniferous,SUM(COUNTIFS('Tree List'!$C$3:$C$601,$C107,'Tree List'!$D$3:$D$601,{"Coniferous","Deciduous Conifer"})),
IFERROR(
IF(AND(_xlpm.baseRow,ISNA(MATCH($C107,'Tree List'!$C$3:$C$601,0)),SUMPRODUCT(--ISNUMBER(SEARCH(Tables2!$C$677:$C$825,$P107)))&gt;0),
Error!$B$64,
IF(AND(_xlpm.baseRow,COUNTIF(_xlpm.FRange,"ECA / Shoreline")&gt;0,$D107&lt;&gt;"",$E107&lt;&gt;"",$N107=""),
Error!$B$55,
IF(AND(_xlpm.baseRow,$D107&lt;&gt;"",$E107&lt;&gt;"",COUNTBLANK($B107:$C107)&gt;0,COUNTBLANK($F107:$F110)&lt;&gt;4),
Error!$B$22,
IF(AND(_xlpm.baseRow,$D107="Right-of-Way", $E107=""),
Error!$B$67,
IF(AND(_xlpm.baseRow,$D107&lt;&gt;"",ISNA(MATCH($D107,Tables2!$B$66:$B$68,0))),
Error!$B$63,
IF(AND(_xlpm.baseRow,$D107="Off Site",$E107&lt;&gt;"",$E107&lt;&gt;"Yes"),
Error!$B$28,
IF(AND(_xlpm.baseRow,OR($D107="On Site",$D107="Right-of-Way"),$E107&lt;&gt;"",ISNA(MATCH($E107,MultiSelect2[TreeMitigation],0))),
Error!$B$28,
IF(AND(_xlpm.baseRow,$D107&lt;&gt;"",$E107&lt;&gt;"",COUNTIF(_xlpm.FRange,"&lt;&gt;")=0),
Error!$B$26,
IF(AND($E107="No",$F107&lt;&gt;"",ISNA(MATCH($F107,Tables2!$B$55:$B$57,0))),
Error!$B$27,
IF(AND($E107="Yes",$F107&lt;&gt;"",ISNA(MATCH($F107,Tables2!$B$48:$B$52,0))),
Error!$B$27,
IF(AND($D107="Off Site",$E107="Yes",$F107&lt;&gt;"",ISNA(MATCH($F107,Tables2!$B$60:$B$62,0))),
Error!$B$27,
IF(AND(_xlpm.baseRow,_xlpm.Street&gt;0,_xlpm.ECA&gt;0),
Error!$B$29,
IF(AND(_xlpm.baseRow,_xlpm.Street&gt;0,_xlpm.Points&gt;0),
Error!$B$30,
IF(AND(_xlpm.baseRow,_xlpm.Street&gt;0,_xlpm.ReplaceReq&gt;0),
Error!$B$31,
IF(AND(_xlpm.baseRow,$D107&lt;&gt;"",$E107&lt;&gt;"",$G107&lt;&gt;"",_xlpm.DecBroad&gt;0,OR(_xlpm.Points&gt;0,_xlpm.Green&gt;0,_xlpm.ReplaceReq&gt;0),_xlpm.Street=0,$G107&lt;1.5),
Error!$B$42,
IF(AND(_xlpm.baseRow,$D107&lt;&gt;"",$E107&lt;&gt;"",$H107&lt;&gt;"",$H107&lt;4,_xlpm.Street&gt;0,_xlpm.Green&gt;0,COUNTA(_xlpm.FRange)&gt;0),
Error!$B$32,
IF(AND(_xlpm.baseRow,$G107="",_xlpm.ECA&gt;0,_xlpm.DecBroad&gt;0,_xlpm.ReplaceReq&gt;0),
Error!$B$52,
IF(AND(_xlpm.baseRow,$E107&lt;&gt;"", $H107="",_xlpm.ECA&gt;0,_xlpm.Coniferous&gt;0,_xlpm.ReplaceReq&gt;0),
Error!$B$53,
IF(AND(_xlpm.baseRow,$G107="",$H107="",_xlpm.ECA&gt;0,_xlpm.ReplaceReq&gt;0),
Error!$B$39,
IF(AND(_xlpm.baseRow,$D107&lt;&gt;"",$E107&lt;&gt;"",$G107="",$H107="",_xlpm.Coniferous&gt;0,_xlpm.ReplaceReq&gt;0,_xlpm.ECA&gt;0),
Error!$B$50,
IF(AND(_xlpm.baseRow,$D107&lt;&gt;"",$E107&lt;&gt;"",$G107&lt;&gt;"",_xlpm.Street&gt;0,$G107&lt;2),
Error!$B$43,
IF(AND(_xlpm.baseRow,$D107&lt;&gt;"",$E107&lt;&gt;"",_xlpm.Green&gt;0,_xlpm.DecBroad&gt;0,$G107=""),
Error!$B$49,
IF(AND(_xlpm.baseRow,$D107&lt;&gt;"",$E107&lt;&gt;"",$H107&lt;&gt;"",$H107&lt;4,_xlpm.Green&gt;0,_xlpm.DecBroad&gt;0,$G107=""),
Error!$B$51,
IF(AND(_xlpm.baseRow,$D107&lt;&gt;"",$E107&lt;&gt;"",_xlpm.Green&gt;0,_xlpm.Coniferous&gt;0,$H107=""),
Error!$B$50,
IF(AND(_xlpm.baseRow,$D107&lt;&gt;"",$E107&lt;&gt;"",_xlpm.Points&gt;0,_xlpm.DecBroad&gt;0,$G107=""),
Error!$B$49,
IF(AND(_xlpm.baseRow,$D107&lt;&gt;"",$E107&lt;&gt;"",_xlpm.Points&gt;0,_xlpm.Coniferous&gt;0,$H107=""),
Error!$B$50,
IF(AND(_xlpm.baseRow,$D107&lt;&gt;"",$E107&lt;&gt;"",_xlpm.ReplaceReq&gt;0,_xlpm.DecBroad&gt;0,$G107=""),
Error!$B$49,
IF(AND(_xlpm.baseRow,$D107&lt;&gt;"",$E107&lt;&gt;"",_xlpm.ReplaceReq&gt;0,_xlpm.Coniferous&gt;0,$H107=""),
Error!$B$50,
IF(AND(_xlpm.baseRow,$D107&lt;&gt;"",$E107&lt;&gt;"",_xlpm.Street&gt;0,$G107=""),
Error!$B$49,
IF(AND(_xlpm.baseRow,$D107&lt;&gt;"",$E107&lt;&gt;"",$H107&lt;&gt;"",$H107&lt;4,OR(ISNA(MATCH($C107,'Tree List'!$C$3:$C$601,0)),$C107=""),_xlpm.Green&gt;0,COUNTA(_xlpm.FRange)&gt;0),
Error!$B$51,
IF(AND(_xlpm.baseRow,$D107&lt;&gt;"",$E107&lt;&gt;"",$H107&lt;&gt;"",$H107&lt;4,_xlpm.DecBroad&gt;0,_xlpm.Green&gt;0,COUNTA(_xlpm.FRange)&gt;0),
Error!$B$51,
IF(AND(_xlpm.baseRow,$D107&lt;&gt;"",$E107&lt;&gt;"",$G107="",$H107="",OR(_xlpm.ReplaceReq&gt;0,_xlpm.Green&gt;0,_xlpm.Points&gt;0,_xlpm.Street&gt;0)),
Error!$B$38,
IF(AND(_xlpm.baseRow,$D107&lt;&gt;"",$E107&lt;&gt;"",$H107&lt;&gt;"",$H107&lt;4,_xlpm.Street=0,_xlpm.Coniferous&gt;0,COUNTA(_xlpm.FRange)&gt;0),
Error!$B$32,
IF(AND(_xlpm.baseRow,_xlpm.DecBroad&gt;0,$D107&lt;&gt;"",$E107&lt;&gt;"",$G107&lt;&gt;"",$G107&lt;1.5,_xlpm.Street=0,COUNTA(_xlpm.FRange)&gt;0),
Error!$B$42,
IF(AND(_xlpm.baseRow,$I107="",$H107="",_xlpm.ECA&gt;0,_xlpm.ReplaceReq=0),
Error!$B$33,
IF(AND(_xlpm.baseRow,OR($J107="",$J107&lt;=0),_xlpm.ReplaceReq&gt;0),
Error!$B$34,
IF(AND(_xlpm.baseRow,$K107&lt;&gt;"",_xlpm.Points&gt;0,ISNA(MATCH($K107,Tables!$B$242:$B$253,0))),
Error!$B$58,
IF(AND($K107="Small",$L107&lt;&gt;"",ISNA(MATCH($L107,Tables2!$C$35:$C$36,0))),
Error!$B$60,
IF(AND($K107="Small/Medium",$L107&lt;&gt;"",ISNA(MATCH($L107,Tables2!$C$38:$C$39,0))),
Error!$B$60,
IF(AND($K107="Medium/Large",$L107&lt;&gt;"",ISNA(MATCH($L107,Tables2!$C$41:$C$42,0))),
Error!$B$60,
IF(AND($K107="Large",$L107&lt;&gt;"",ISNA(MATCH($L107,Tables2!$C$44:$C$45,0))),
Error!$B$60,
IF(AND(_xlpm.baseRow,$B107&lt;&gt;"", $C107&lt;&gt;"", $D107&lt;&gt;"", $E107&lt;&gt;"", OR($M107="",$K107="",$L107=""),_xlpm.Points&gt;0),
Error!$B$35,
IF(AND(_xlpm.baseRow,$D107&lt;&gt;"",$E107&lt;&gt;"",$N107=""),
Error!$B$36,
""))))))))))))))))))))))))))))))))))))))))))),Error!$B$37))</f>
        <v/>
      </c>
      <c r="P107" s="355" t="str" cm="1">
        <f t="array" aca="1" ref="P107" ca="1">IFERROR(_xlfn.LET(
    _xlpm.txt, $C107,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8" spans="1:16" x14ac:dyDescent="0.3">
      <c r="A108" s="297"/>
      <c r="B108" s="439" t="str">
        <f t="shared" ref="B108" si="140">IF($B107="", "", $B107)</f>
        <v/>
      </c>
      <c r="C108" s="309"/>
      <c r="D108" s="157" t="str">
        <f t="shared" ref="D108" si="141">IF($D107="", "", $D107)</f>
        <v/>
      </c>
      <c r="E108" s="157" t="str">
        <f t="shared" ref="E108" si="142">IF($E107="", "", $E107)</f>
        <v/>
      </c>
      <c r="F108" s="300"/>
      <c r="G108" s="159"/>
      <c r="H108" s="182"/>
      <c r="I108" s="179"/>
      <c r="J108" s="458"/>
      <c r="K108" s="174" t="str">
        <f>IFERROR(
IF(
    AND(
        MOD(ROW()-11,4)=0,
        COUNTIF(INDEX(F:F, 11 + 4*INT((ROW()-11)/4)):INDEX(F:F, 14 + 4*INT((ROW()-11)/4)),"Zoning: Tree Points")&gt;0,
        COUNTIFS('Tree List'!$C$3:$C$601,$C108,'Tree List'!$H$3:$H$601,"sp.")=0
    ),
    VLOOKUP($C108,'Tree List'!$C$3:$F$601,4,FALSE),
    ""
),
"")</f>
        <v/>
      </c>
      <c r="L108" s="175" t="str" cm="1">
        <f t="array" ref="L108">IFERROR(
IF(
    AND(
        COUNTIF(INDEX(F:F, 11 + 4*INT((ROW()-11)/4)):INDEX(F:F, 14 + 4*INT((ROW()-11)/4)),"Zoning: Tree Points")&gt;0,
        COUNTIFS('Tree List'!$C$3:$C$601,$C108,'Tree List'!$H$3:$H$601,"sp.")&gt;0
    ),
    "",
    _xlfn.IFS(
        (COUNTIFS('Tree List'!$C$3:$C$601,$C108,'Tree List'!$D$3:$D$601,"Coniferous")
        + COUNTIFS('Tree List'!$C$3:$C$601,$C108,'Tree List'!$D$3:$D$601,"Deciduous Conifer")) &gt; 0,
            _xlfn.IFS($K108="Small",1.25,$K108="Small/Medium",2.5,$K108="Medium/Large",3.75,$K108="Large",5),
        (COUNTIFS('Tree List'!$C$3:$C$601,$C108,'Tree List'!$D$3:$D$601,"Deciduous")
        + COUNTIFS('Tree List'!$C$3:$C$601,$C108,'Tree List'!$D$3:$D$601,"Broadleaf Evergreen")) &gt; 0,
            _xlfn.IFS($K108="Small",1,$K108="Small/Medium",2,$K108="Medium/Large",3,$K108="Large",4)
    )
),
"")</f>
        <v/>
      </c>
      <c r="M108" s="471" t="str">
        <f t="shared" ref="M108:M110" si="143">IFERROR($L108*$N108,"")</f>
        <v/>
      </c>
      <c r="N108" s="434"/>
      <c r="O108" s="340" t="str" cm="1">
        <f t="array" aca="1" ref="O108"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List'!$C$3:$C$601,$C108,'Tree List'!$D$3:$D$601,{"Deciduous","Broadleaf Evergreen"})),
_xlpm.Coniferous,SUM(COUNTIFS('Tree List'!$C$3:$C$601,$C108,'Tree List'!$D$3:$D$601,{"Coniferous","Deciduous Conifer"})),
IFERROR(
IF(AND(_xlpm.baseRow,ISNA(MATCH($C108,'Tree List'!$C$3:$C$601,0)),SUMPRODUCT(--ISNUMBER(SEARCH(Tables2!$C$677:$C$825,$P108)))&gt;0),
Error!$B$64,
IF(AND(_xlpm.baseRow,COUNTIF(_xlpm.FRange,"ECA / Shoreline")&gt;0,$D108&lt;&gt;"",$E108&lt;&gt;"",$N108=""),
Error!$B$55,
IF(AND(_xlpm.baseRow,$D108&lt;&gt;"",$E108&lt;&gt;"",COUNTBLANK($B108:$C108)&gt;0,COUNTBLANK($F108:$F111)&lt;&gt;4),
Error!$B$22,
IF(AND(_xlpm.baseRow,$D108="Right-of-Way", $E108=""),
Error!$B$67,
IF(AND(_xlpm.baseRow,$D108&lt;&gt;"",ISNA(MATCH($D108,Tables2!$B$66:$B$68,0))),
Error!$B$63,
IF(AND(_xlpm.baseRow,$D108="Off Site",$E108&lt;&gt;"",$E108&lt;&gt;"Yes"),
Error!$B$28,
IF(AND(_xlpm.baseRow,OR($D108="On Site",$D108="Right-of-Way"),$E108&lt;&gt;"",ISNA(MATCH($E108,MultiSelect2[TreeMitigation],0))),
Error!$B$28,
IF(AND(_xlpm.baseRow,$D108&lt;&gt;"",$E108&lt;&gt;"",COUNTIF(_xlpm.FRange,"&lt;&gt;")=0),
Error!$B$26,
IF(AND($E108="No",$F108&lt;&gt;"",ISNA(MATCH($F108,Tables2!$B$55:$B$57,0))),
Error!$B$27,
IF(AND($E108="Yes",$F108&lt;&gt;"",ISNA(MATCH($F108,Tables2!$B$48:$B$52,0))),
Error!$B$27,
IF(AND($D108="Off Site",$E108="Yes",$F108&lt;&gt;"",ISNA(MATCH($F108,Tables2!$B$60:$B$62,0))),
Error!$B$27,
IF(AND(_xlpm.baseRow,_xlpm.Street&gt;0,_xlpm.ECA&gt;0),
Error!$B$29,
IF(AND(_xlpm.baseRow,_xlpm.Street&gt;0,_xlpm.Points&gt;0),
Error!$B$30,
IF(AND(_xlpm.baseRow,_xlpm.Street&gt;0,_xlpm.ReplaceReq&gt;0),
Error!$B$31,
IF(AND(_xlpm.baseRow,$D108&lt;&gt;"",$E108&lt;&gt;"",$G108&lt;&gt;"",_xlpm.DecBroad&gt;0,OR(_xlpm.Points&gt;0,_xlpm.Green&gt;0,_xlpm.ReplaceReq&gt;0),_xlpm.Street=0,$G108&lt;1.5),
Error!$B$42,
IF(AND(_xlpm.baseRow,$D108&lt;&gt;"",$E108&lt;&gt;"",$H108&lt;&gt;"",$H108&lt;4,_xlpm.Street&gt;0,_xlpm.Green&gt;0,COUNTA(_xlpm.FRange)&gt;0),
Error!$B$32,
IF(AND(_xlpm.baseRow,$G108="",_xlpm.ECA&gt;0,_xlpm.DecBroad&gt;0,_xlpm.ReplaceReq&gt;0),
Error!$B$52,
IF(AND(_xlpm.baseRow,$E108&lt;&gt;"", $H108="",_xlpm.ECA&gt;0,_xlpm.Coniferous&gt;0,_xlpm.ReplaceReq&gt;0),
Error!$B$53,
IF(AND(_xlpm.baseRow,$G108="",$H108="",_xlpm.ECA&gt;0,_xlpm.ReplaceReq&gt;0),
Error!$B$39,
IF(AND(_xlpm.baseRow,$D108&lt;&gt;"",$E108&lt;&gt;"",$G108="",$H108="",_xlpm.Coniferous&gt;0,_xlpm.ReplaceReq&gt;0,_xlpm.ECA&gt;0),
Error!$B$50,
IF(AND(_xlpm.baseRow,$D108&lt;&gt;"",$E108&lt;&gt;"",$G108&lt;&gt;"",_xlpm.Street&gt;0,$G108&lt;2),
Error!$B$43,
IF(AND(_xlpm.baseRow,$D108&lt;&gt;"",$E108&lt;&gt;"",_xlpm.Green&gt;0,_xlpm.DecBroad&gt;0,$G108=""),
Error!$B$49,
IF(AND(_xlpm.baseRow,$D108&lt;&gt;"",$E108&lt;&gt;"",$H108&lt;&gt;"",$H108&lt;4,_xlpm.Green&gt;0,_xlpm.DecBroad&gt;0,$G108=""),
Error!$B$51,
IF(AND(_xlpm.baseRow,$D108&lt;&gt;"",$E108&lt;&gt;"",_xlpm.Green&gt;0,_xlpm.Coniferous&gt;0,$H108=""),
Error!$B$50,
IF(AND(_xlpm.baseRow,$D108&lt;&gt;"",$E108&lt;&gt;"",_xlpm.Points&gt;0,_xlpm.DecBroad&gt;0,$G108=""),
Error!$B$49,
IF(AND(_xlpm.baseRow,$D108&lt;&gt;"",$E108&lt;&gt;"",_xlpm.Points&gt;0,_xlpm.Coniferous&gt;0,$H108=""),
Error!$B$50,
IF(AND(_xlpm.baseRow,$D108&lt;&gt;"",$E108&lt;&gt;"",_xlpm.ReplaceReq&gt;0,_xlpm.DecBroad&gt;0,$G108=""),
Error!$B$49,
IF(AND(_xlpm.baseRow,$D108&lt;&gt;"",$E108&lt;&gt;"",_xlpm.ReplaceReq&gt;0,_xlpm.Coniferous&gt;0,$H108=""),
Error!$B$50,
IF(AND(_xlpm.baseRow,$D108&lt;&gt;"",$E108&lt;&gt;"",_xlpm.Street&gt;0,$G108=""),
Error!$B$49,
IF(AND(_xlpm.baseRow,$D108&lt;&gt;"",$E108&lt;&gt;"",$H108&lt;&gt;"",$H108&lt;4,OR(ISNA(MATCH($C108,'Tree List'!$C$3:$C$601,0)),$C108=""),_xlpm.Green&gt;0,COUNTA(_xlpm.FRange)&gt;0),
Error!$B$51,
IF(AND(_xlpm.baseRow,$D108&lt;&gt;"",$E108&lt;&gt;"",$H108&lt;&gt;"",$H108&lt;4,_xlpm.DecBroad&gt;0,_xlpm.Green&gt;0,COUNTA(_xlpm.FRange)&gt;0),
Error!$B$51,
IF(AND(_xlpm.baseRow,$D108&lt;&gt;"",$E108&lt;&gt;"",$G108="",$H108="",OR(_xlpm.ReplaceReq&gt;0,_xlpm.Green&gt;0,_xlpm.Points&gt;0,_xlpm.Street&gt;0)),
Error!$B$38,
IF(AND(_xlpm.baseRow,$D108&lt;&gt;"",$E108&lt;&gt;"",$H108&lt;&gt;"",$H108&lt;4,_xlpm.Street=0,_xlpm.Coniferous&gt;0,COUNTA(_xlpm.FRange)&gt;0),
Error!$B$32,
IF(AND(_xlpm.baseRow,_xlpm.DecBroad&gt;0,$D108&lt;&gt;"",$E108&lt;&gt;"",$G108&lt;&gt;"",$G108&lt;1.5,_xlpm.Street=0,COUNTA(_xlpm.FRange)&gt;0),
Error!$B$42,
IF(AND(_xlpm.baseRow,$I108="",$H108="",_xlpm.ECA&gt;0,_xlpm.ReplaceReq=0),
Error!$B$33,
IF(AND(_xlpm.baseRow,OR($J108="",$J108&lt;=0),_xlpm.ReplaceReq&gt;0),
Error!$B$34,
IF(AND(_xlpm.baseRow,$K108&lt;&gt;"",_xlpm.Points&gt;0,ISNA(MATCH($K108,Tables!$B$242:$B$253,0))),
Error!$B$58,
IF(AND($K108="Small",$L108&lt;&gt;"",ISNA(MATCH($L108,Tables2!$C$35:$C$36,0))),
Error!$B$60,
IF(AND($K108="Small/Medium",$L108&lt;&gt;"",ISNA(MATCH($L108,Tables2!$C$38:$C$39,0))),
Error!$B$60,
IF(AND($K108="Medium/Large",$L108&lt;&gt;"",ISNA(MATCH($L108,Tables2!$C$41:$C$42,0))),
Error!$B$60,
IF(AND($K108="Large",$L108&lt;&gt;"",ISNA(MATCH($L108,Tables2!$C$44:$C$45,0))),
Error!$B$60,
IF(AND(_xlpm.baseRow,$B108&lt;&gt;"", $C108&lt;&gt;"", $D108&lt;&gt;"", $E108&lt;&gt;"", OR($M108="",$K108="",$L108=""),_xlpm.Points&gt;0),
Error!$B$35,
IF(AND(_xlpm.baseRow,$D108&lt;&gt;"",$E108&lt;&gt;"",$N108=""),
Error!$B$36,
""))))))))))))))))))))))))))))))))))))))))))),Error!$B$37))</f>
        <v/>
      </c>
      <c r="P108" s="355" t="str" cm="1">
        <f t="array" aca="1" ref="P108" ca="1">IFERROR(_xlfn.LET(
    _xlpm.txt, $C108,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09" spans="1:16" x14ac:dyDescent="0.3">
      <c r="A109" s="297"/>
      <c r="B109" s="439" t="str">
        <f t="shared" ref="B109" si="144">IF($B107="", "", $B107)</f>
        <v/>
      </c>
      <c r="C109" s="438"/>
      <c r="D109" s="439" t="str">
        <f t="shared" ref="D109" si="145">IF($D107="", "", $D107)</f>
        <v/>
      </c>
      <c r="E109" s="439" t="str">
        <f t="shared" ref="E109" si="146">IF($E107="", "", $E107)</f>
        <v/>
      </c>
      <c r="F109" s="300"/>
      <c r="G109" s="160"/>
      <c r="H109" s="440"/>
      <c r="I109" s="441"/>
      <c r="J109" s="459"/>
      <c r="K109" s="442" t="str">
        <f>IFERROR(
IF(
    AND(
        MOD(ROW()-11,4)=0,
        COUNTIF(INDEX(F:F, 11 + 4*INT((ROW()-11)/4)):INDEX(F:F, 14 + 4*INT((ROW()-11)/4)),"Zoning: Tree Points")&gt;0,
        COUNTIFS('Tree List'!$C$3:$C$601,$C109,'Tree List'!$H$3:$H$601,"sp.")=0
    ),
    VLOOKUP($C109,'Tree List'!$C$3:$F$601,4,FALSE),
    ""
),
"")</f>
        <v/>
      </c>
      <c r="L109" s="443" t="str" cm="1">
        <f t="array" ref="L109">IFERROR(
IF(
    AND(
        COUNTIF(INDEX(F:F, 11 + 4*INT((ROW()-11)/4)):INDEX(F:F, 14 + 4*INT((ROW()-11)/4)),"Zoning: Tree Points")&gt;0,
        COUNTIFS('Tree List'!$C$3:$C$601,$C109,'Tree List'!$H$3:$H$601,"sp.")&gt;0
    ),
    "",
    _xlfn.IFS(
        (COUNTIFS('Tree List'!$C$3:$C$601,$C109,'Tree List'!$D$3:$D$601,"Coniferous")
        + COUNTIFS('Tree List'!$C$3:$C$601,$C109,'Tree List'!$D$3:$D$601,"Deciduous Conifer")) &gt; 0,
            _xlfn.IFS($K109="Small",1.25,$K109="Small/Medium",2.5,$K109="Medium/Large",3.75,$K109="Large",5),
        (COUNTIFS('Tree List'!$C$3:$C$601,$C109,'Tree List'!$D$3:$D$601,"Deciduous")
        + COUNTIFS('Tree List'!$C$3:$C$601,$C109,'Tree List'!$D$3:$D$601,"Broadleaf Evergreen")) &gt; 0,
            _xlfn.IFS($K109="Small",1,$K109="Small/Medium",2,$K109="Medium/Large",3,$K109="Large",4)
    )
),
"")</f>
        <v/>
      </c>
      <c r="M109" s="472" t="str">
        <f t="shared" si="143"/>
        <v/>
      </c>
      <c r="N109" s="434"/>
      <c r="O109" s="340" t="str" cm="1">
        <f t="array" aca="1" ref="O109"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List'!$C$3:$C$601,$C109,'Tree List'!$D$3:$D$601,{"Deciduous","Broadleaf Evergreen"})),
_xlpm.Coniferous,SUM(COUNTIFS('Tree List'!$C$3:$C$601,$C109,'Tree List'!$D$3:$D$601,{"Coniferous","Deciduous Conifer"})),
IFERROR(
IF(AND(_xlpm.baseRow,ISNA(MATCH($C109,'Tree List'!$C$3:$C$601,0)),SUMPRODUCT(--ISNUMBER(SEARCH(Tables2!$C$677:$C$825,$P109)))&gt;0),
Error!$B$64,
IF(AND(_xlpm.baseRow,COUNTIF(_xlpm.FRange,"ECA / Shoreline")&gt;0,$D109&lt;&gt;"",$E109&lt;&gt;"",$N109=""),
Error!$B$55,
IF(AND(_xlpm.baseRow,$D109&lt;&gt;"",$E109&lt;&gt;"",COUNTBLANK($B109:$C109)&gt;0,COUNTBLANK($F109:$F112)&lt;&gt;4),
Error!$B$22,
IF(AND(_xlpm.baseRow,$D109="Right-of-Way", $E109=""),
Error!$B$67,
IF(AND(_xlpm.baseRow,$D109&lt;&gt;"",ISNA(MATCH($D109,Tables2!$B$66:$B$68,0))),
Error!$B$63,
IF(AND(_xlpm.baseRow,$D109="Off Site",$E109&lt;&gt;"",$E109&lt;&gt;"Yes"),
Error!$B$28,
IF(AND(_xlpm.baseRow,OR($D109="On Site",$D109="Right-of-Way"),$E109&lt;&gt;"",ISNA(MATCH($E109,MultiSelect2[TreeMitigation],0))),
Error!$B$28,
IF(AND(_xlpm.baseRow,$D109&lt;&gt;"",$E109&lt;&gt;"",COUNTIF(_xlpm.FRange,"&lt;&gt;")=0),
Error!$B$26,
IF(AND($E109="No",$F109&lt;&gt;"",ISNA(MATCH($F109,Tables2!$B$55:$B$57,0))),
Error!$B$27,
IF(AND($E109="Yes",$F109&lt;&gt;"",ISNA(MATCH($F109,Tables2!$B$48:$B$52,0))),
Error!$B$27,
IF(AND($D109="Off Site",$E109="Yes",$F109&lt;&gt;"",ISNA(MATCH($F109,Tables2!$B$60:$B$62,0))),
Error!$B$27,
IF(AND(_xlpm.baseRow,_xlpm.Street&gt;0,_xlpm.ECA&gt;0),
Error!$B$29,
IF(AND(_xlpm.baseRow,_xlpm.Street&gt;0,_xlpm.Points&gt;0),
Error!$B$30,
IF(AND(_xlpm.baseRow,_xlpm.Street&gt;0,_xlpm.ReplaceReq&gt;0),
Error!$B$31,
IF(AND(_xlpm.baseRow,$D109&lt;&gt;"",$E109&lt;&gt;"",$G109&lt;&gt;"",_xlpm.DecBroad&gt;0,OR(_xlpm.Points&gt;0,_xlpm.Green&gt;0,_xlpm.ReplaceReq&gt;0),_xlpm.Street=0,$G109&lt;1.5),
Error!$B$42,
IF(AND(_xlpm.baseRow,$D109&lt;&gt;"",$E109&lt;&gt;"",$H109&lt;&gt;"",$H109&lt;4,_xlpm.Street&gt;0,_xlpm.Green&gt;0,COUNTA(_xlpm.FRange)&gt;0),
Error!$B$32,
IF(AND(_xlpm.baseRow,$G109="",_xlpm.ECA&gt;0,_xlpm.DecBroad&gt;0,_xlpm.ReplaceReq&gt;0),
Error!$B$52,
IF(AND(_xlpm.baseRow,$E109&lt;&gt;"", $H109="",_xlpm.ECA&gt;0,_xlpm.Coniferous&gt;0,_xlpm.ReplaceReq&gt;0),
Error!$B$53,
IF(AND(_xlpm.baseRow,$G109="",$H109="",_xlpm.ECA&gt;0,_xlpm.ReplaceReq&gt;0),
Error!$B$39,
IF(AND(_xlpm.baseRow,$D109&lt;&gt;"",$E109&lt;&gt;"",$G109="",$H109="",_xlpm.Coniferous&gt;0,_xlpm.ReplaceReq&gt;0,_xlpm.ECA&gt;0),
Error!$B$50,
IF(AND(_xlpm.baseRow,$D109&lt;&gt;"",$E109&lt;&gt;"",$G109&lt;&gt;"",_xlpm.Street&gt;0,$G109&lt;2),
Error!$B$43,
IF(AND(_xlpm.baseRow,$D109&lt;&gt;"",$E109&lt;&gt;"",_xlpm.Green&gt;0,_xlpm.DecBroad&gt;0,$G109=""),
Error!$B$49,
IF(AND(_xlpm.baseRow,$D109&lt;&gt;"",$E109&lt;&gt;"",$H109&lt;&gt;"",$H109&lt;4,_xlpm.Green&gt;0,_xlpm.DecBroad&gt;0,$G109=""),
Error!$B$51,
IF(AND(_xlpm.baseRow,$D109&lt;&gt;"",$E109&lt;&gt;"",_xlpm.Green&gt;0,_xlpm.Coniferous&gt;0,$H109=""),
Error!$B$50,
IF(AND(_xlpm.baseRow,$D109&lt;&gt;"",$E109&lt;&gt;"",_xlpm.Points&gt;0,_xlpm.DecBroad&gt;0,$G109=""),
Error!$B$49,
IF(AND(_xlpm.baseRow,$D109&lt;&gt;"",$E109&lt;&gt;"",_xlpm.Points&gt;0,_xlpm.Coniferous&gt;0,$H109=""),
Error!$B$50,
IF(AND(_xlpm.baseRow,$D109&lt;&gt;"",$E109&lt;&gt;"",_xlpm.ReplaceReq&gt;0,_xlpm.DecBroad&gt;0,$G109=""),
Error!$B$49,
IF(AND(_xlpm.baseRow,$D109&lt;&gt;"",$E109&lt;&gt;"",_xlpm.ReplaceReq&gt;0,_xlpm.Coniferous&gt;0,$H109=""),
Error!$B$50,
IF(AND(_xlpm.baseRow,$D109&lt;&gt;"",$E109&lt;&gt;"",_xlpm.Street&gt;0,$G109=""),
Error!$B$49,
IF(AND(_xlpm.baseRow,$D109&lt;&gt;"",$E109&lt;&gt;"",$H109&lt;&gt;"",$H109&lt;4,OR(ISNA(MATCH($C109,'Tree List'!$C$3:$C$601,0)),$C109=""),_xlpm.Green&gt;0,COUNTA(_xlpm.FRange)&gt;0),
Error!$B$51,
IF(AND(_xlpm.baseRow,$D109&lt;&gt;"",$E109&lt;&gt;"",$H109&lt;&gt;"",$H109&lt;4,_xlpm.DecBroad&gt;0,_xlpm.Green&gt;0,COUNTA(_xlpm.FRange)&gt;0),
Error!$B$51,
IF(AND(_xlpm.baseRow,$D109&lt;&gt;"",$E109&lt;&gt;"",$G109="",$H109="",OR(_xlpm.ReplaceReq&gt;0,_xlpm.Green&gt;0,_xlpm.Points&gt;0,_xlpm.Street&gt;0)),
Error!$B$38,
IF(AND(_xlpm.baseRow,$D109&lt;&gt;"",$E109&lt;&gt;"",$H109&lt;&gt;"",$H109&lt;4,_xlpm.Street=0,_xlpm.Coniferous&gt;0,COUNTA(_xlpm.FRange)&gt;0),
Error!$B$32,
IF(AND(_xlpm.baseRow,_xlpm.DecBroad&gt;0,$D109&lt;&gt;"",$E109&lt;&gt;"",$G109&lt;&gt;"",$G109&lt;1.5,_xlpm.Street=0,COUNTA(_xlpm.FRange)&gt;0),
Error!$B$42,
IF(AND(_xlpm.baseRow,$I109="",$H109="",_xlpm.ECA&gt;0,_xlpm.ReplaceReq=0),
Error!$B$33,
IF(AND(_xlpm.baseRow,OR($J109="",$J109&lt;=0),_xlpm.ReplaceReq&gt;0),
Error!$B$34,
IF(AND(_xlpm.baseRow,$K109&lt;&gt;"",_xlpm.Points&gt;0,ISNA(MATCH($K109,Tables!$B$242:$B$253,0))),
Error!$B$58,
IF(AND($K109="Small",$L109&lt;&gt;"",ISNA(MATCH($L109,Tables2!$C$35:$C$36,0))),
Error!$B$60,
IF(AND($K109="Small/Medium",$L109&lt;&gt;"",ISNA(MATCH($L109,Tables2!$C$38:$C$39,0))),
Error!$B$60,
IF(AND($K109="Medium/Large",$L109&lt;&gt;"",ISNA(MATCH($L109,Tables2!$C$41:$C$42,0))),
Error!$B$60,
IF(AND($K109="Large",$L109&lt;&gt;"",ISNA(MATCH($L109,Tables2!$C$44:$C$45,0))),
Error!$B$60,
IF(AND(_xlpm.baseRow,$B109&lt;&gt;"", $C109&lt;&gt;"", $D109&lt;&gt;"", $E109&lt;&gt;"", OR($M109="",$K109="",$L109=""),_xlpm.Points&gt;0),
Error!$B$35,
IF(AND(_xlpm.baseRow,$D109&lt;&gt;"",$E109&lt;&gt;"",$N109=""),
Error!$B$36,
""))))))))))))))))))))))))))))))))))))))))))),Error!$B$37))</f>
        <v/>
      </c>
      <c r="P109" s="355" t="str" cm="1">
        <f t="array" aca="1" ref="P109" ca="1">IFERROR(_xlfn.LET(
    _xlpm.txt, $C109,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0" spans="1:16" ht="15" thickBot="1" x14ac:dyDescent="0.35">
      <c r="A110" s="298"/>
      <c r="B110" s="439" t="str">
        <f t="shared" ref="B110" si="147">IF($B107="", "", $B107)</f>
        <v/>
      </c>
      <c r="C110" s="310"/>
      <c r="D110" s="154" t="str">
        <f t="shared" ref="D110" si="148">IF($D107="", "", $D107)</f>
        <v/>
      </c>
      <c r="E110" s="154" t="str">
        <f t="shared" ref="E110" si="149">IF($E107="", "", $E107)</f>
        <v/>
      </c>
      <c r="F110" s="302"/>
      <c r="G110" s="161"/>
      <c r="H110" s="183"/>
      <c r="I110" s="180"/>
      <c r="J110" s="460"/>
      <c r="K110" s="176" t="str">
        <f>IFERROR(
IF(
    AND(
        MOD(ROW()-11,4)=0,
        COUNTIF(INDEX(F:F, 11 + 4*INT((ROW()-11)/4)):INDEX(F:F, 14 + 4*INT((ROW()-11)/4)),"Zoning: Tree Points")&gt;0,
        COUNTIFS('Tree List'!$C$3:$C$601,$C110,'Tree List'!$H$3:$H$601,"sp.")=0
    ),
    VLOOKUP($C110,'Tree List'!$C$3:$F$601,4,FALSE),
    ""
),
"")</f>
        <v/>
      </c>
      <c r="L110" s="177" t="str" cm="1">
        <f t="array" ref="L110">IFERROR(
IF(
    AND(
        COUNTIF(INDEX(F:F, 11 + 4*INT((ROW()-11)/4)):INDEX(F:F, 14 + 4*INT((ROW()-11)/4)),"Zoning: Tree Points")&gt;0,
        COUNTIFS('Tree List'!$C$3:$C$601,$C110,'Tree List'!$H$3:$H$601,"sp.")&gt;0
    ),
    "",
    _xlfn.IFS(
        (COUNTIFS('Tree List'!$C$3:$C$601,$C110,'Tree List'!$D$3:$D$601,"Coniferous")
        + COUNTIFS('Tree List'!$C$3:$C$601,$C110,'Tree List'!$D$3:$D$601,"Deciduous Conifer")) &gt; 0,
            _xlfn.IFS($K110="Small",1.25,$K110="Small/Medium",2.5,$K110="Medium/Large",3.75,$K110="Large",5),
        (COUNTIFS('Tree List'!$C$3:$C$601,$C110,'Tree List'!$D$3:$D$601,"Deciduous")
        + COUNTIFS('Tree List'!$C$3:$C$601,$C110,'Tree List'!$D$3:$D$601,"Broadleaf Evergreen")) &gt; 0,
            _xlfn.IFS($K110="Small",1,$K110="Small/Medium",2,$K110="Medium/Large",3,$K110="Large",4)
    )
),
"")</f>
        <v/>
      </c>
      <c r="M110" s="473" t="str">
        <f t="shared" si="143"/>
        <v/>
      </c>
      <c r="N110" s="435"/>
      <c r="O110" s="341" t="str" cm="1">
        <f t="array" aca="1" ref="O110"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List'!$C$3:$C$601,$C110,'Tree List'!$D$3:$D$601,{"Deciduous","Broadleaf Evergreen"})),
_xlpm.Coniferous,SUM(COUNTIFS('Tree List'!$C$3:$C$601,$C110,'Tree List'!$D$3:$D$601,{"Coniferous","Deciduous Conifer"})),
IFERROR(
IF(AND(_xlpm.baseRow,ISNA(MATCH($C110,'Tree List'!$C$3:$C$601,0)),SUMPRODUCT(--ISNUMBER(SEARCH(Tables2!$C$677:$C$825,$P110)))&gt;0),
Error!$B$64,
IF(AND(_xlpm.baseRow,COUNTIF(_xlpm.FRange,"ECA / Shoreline")&gt;0,$D110&lt;&gt;"",$E110&lt;&gt;"",$N110=""),
Error!$B$55,
IF(AND(_xlpm.baseRow,$D110&lt;&gt;"",$E110&lt;&gt;"",COUNTBLANK($B110:$C110)&gt;0,COUNTBLANK($F110:$F113)&lt;&gt;4),
Error!$B$22,
IF(AND(_xlpm.baseRow,$D110="Right-of-Way", $E110=""),
Error!$B$67,
IF(AND(_xlpm.baseRow,$D110&lt;&gt;"",ISNA(MATCH($D110,Tables2!$B$66:$B$68,0))),
Error!$B$63,
IF(AND(_xlpm.baseRow,$D110="Off Site",$E110&lt;&gt;"",$E110&lt;&gt;"Yes"),
Error!$B$28,
IF(AND(_xlpm.baseRow,OR($D110="On Site",$D110="Right-of-Way"),$E110&lt;&gt;"",ISNA(MATCH($E110,MultiSelect2[TreeMitigation],0))),
Error!$B$28,
IF(AND(_xlpm.baseRow,$D110&lt;&gt;"",$E110&lt;&gt;"",COUNTIF(_xlpm.FRange,"&lt;&gt;")=0),
Error!$B$26,
IF(AND($E110="No",$F110&lt;&gt;"",ISNA(MATCH($F110,Tables2!$B$55:$B$57,0))),
Error!$B$27,
IF(AND($E110="Yes",$F110&lt;&gt;"",ISNA(MATCH($F110,Tables2!$B$48:$B$52,0))),
Error!$B$27,
IF(AND($D110="Off Site",$E110="Yes",$F110&lt;&gt;"",ISNA(MATCH($F110,Tables2!$B$60:$B$62,0))),
Error!$B$27,
IF(AND(_xlpm.baseRow,_xlpm.Street&gt;0,_xlpm.ECA&gt;0),
Error!$B$29,
IF(AND(_xlpm.baseRow,_xlpm.Street&gt;0,_xlpm.Points&gt;0),
Error!$B$30,
IF(AND(_xlpm.baseRow,_xlpm.Street&gt;0,_xlpm.ReplaceReq&gt;0),
Error!$B$31,
IF(AND(_xlpm.baseRow,$D110&lt;&gt;"",$E110&lt;&gt;"",$G110&lt;&gt;"",_xlpm.DecBroad&gt;0,OR(_xlpm.Points&gt;0,_xlpm.Green&gt;0,_xlpm.ReplaceReq&gt;0),_xlpm.Street=0,$G110&lt;1.5),
Error!$B$42,
IF(AND(_xlpm.baseRow,$D110&lt;&gt;"",$E110&lt;&gt;"",$H110&lt;&gt;"",$H110&lt;4,_xlpm.Street&gt;0,_xlpm.Green&gt;0,COUNTA(_xlpm.FRange)&gt;0),
Error!$B$32,
IF(AND(_xlpm.baseRow,$G110="",_xlpm.ECA&gt;0,_xlpm.DecBroad&gt;0,_xlpm.ReplaceReq&gt;0),
Error!$B$52,
IF(AND(_xlpm.baseRow,$E110&lt;&gt;"", $H110="",_xlpm.ECA&gt;0,_xlpm.Coniferous&gt;0,_xlpm.ReplaceReq&gt;0),
Error!$B$53,
IF(AND(_xlpm.baseRow,$G110="",$H110="",_xlpm.ECA&gt;0,_xlpm.ReplaceReq&gt;0),
Error!$B$39,
IF(AND(_xlpm.baseRow,$D110&lt;&gt;"",$E110&lt;&gt;"",$G110="",$H110="",_xlpm.Coniferous&gt;0,_xlpm.ReplaceReq&gt;0,_xlpm.ECA&gt;0),
Error!$B$50,
IF(AND(_xlpm.baseRow,$D110&lt;&gt;"",$E110&lt;&gt;"",$G110&lt;&gt;"",_xlpm.Street&gt;0,$G110&lt;2),
Error!$B$43,
IF(AND(_xlpm.baseRow,$D110&lt;&gt;"",$E110&lt;&gt;"",_xlpm.Green&gt;0,_xlpm.DecBroad&gt;0,$G110=""),
Error!$B$49,
IF(AND(_xlpm.baseRow,$D110&lt;&gt;"",$E110&lt;&gt;"",$H110&lt;&gt;"",$H110&lt;4,_xlpm.Green&gt;0,_xlpm.DecBroad&gt;0,$G110=""),
Error!$B$51,
IF(AND(_xlpm.baseRow,$D110&lt;&gt;"",$E110&lt;&gt;"",_xlpm.Green&gt;0,_xlpm.Coniferous&gt;0,$H110=""),
Error!$B$50,
IF(AND(_xlpm.baseRow,$D110&lt;&gt;"",$E110&lt;&gt;"",_xlpm.Points&gt;0,_xlpm.DecBroad&gt;0,$G110=""),
Error!$B$49,
IF(AND(_xlpm.baseRow,$D110&lt;&gt;"",$E110&lt;&gt;"",_xlpm.Points&gt;0,_xlpm.Coniferous&gt;0,$H110=""),
Error!$B$50,
IF(AND(_xlpm.baseRow,$D110&lt;&gt;"",$E110&lt;&gt;"",_xlpm.ReplaceReq&gt;0,_xlpm.DecBroad&gt;0,$G110=""),
Error!$B$49,
IF(AND(_xlpm.baseRow,$D110&lt;&gt;"",$E110&lt;&gt;"",_xlpm.ReplaceReq&gt;0,_xlpm.Coniferous&gt;0,$H110=""),
Error!$B$50,
IF(AND(_xlpm.baseRow,$D110&lt;&gt;"",$E110&lt;&gt;"",_xlpm.Street&gt;0,$G110=""),
Error!$B$49,
IF(AND(_xlpm.baseRow,$D110&lt;&gt;"",$E110&lt;&gt;"",$H110&lt;&gt;"",$H110&lt;4,OR(ISNA(MATCH($C110,'Tree List'!$C$3:$C$601,0)),$C110=""),_xlpm.Green&gt;0,COUNTA(_xlpm.FRange)&gt;0),
Error!$B$51,
IF(AND(_xlpm.baseRow,$D110&lt;&gt;"",$E110&lt;&gt;"",$H110&lt;&gt;"",$H110&lt;4,_xlpm.DecBroad&gt;0,_xlpm.Green&gt;0,COUNTA(_xlpm.FRange)&gt;0),
Error!$B$51,
IF(AND(_xlpm.baseRow,$D110&lt;&gt;"",$E110&lt;&gt;"",$G110="",$H110="",OR(_xlpm.ReplaceReq&gt;0,_xlpm.Green&gt;0,_xlpm.Points&gt;0,_xlpm.Street&gt;0)),
Error!$B$38,
IF(AND(_xlpm.baseRow,$D110&lt;&gt;"",$E110&lt;&gt;"",$H110&lt;&gt;"",$H110&lt;4,_xlpm.Street=0,_xlpm.Coniferous&gt;0,COUNTA(_xlpm.FRange)&gt;0),
Error!$B$32,
IF(AND(_xlpm.baseRow,_xlpm.DecBroad&gt;0,$D110&lt;&gt;"",$E110&lt;&gt;"",$G110&lt;&gt;"",$G110&lt;1.5,_xlpm.Street=0,COUNTA(_xlpm.FRange)&gt;0),
Error!$B$42,
IF(AND(_xlpm.baseRow,$I110="",$H110="",_xlpm.ECA&gt;0,_xlpm.ReplaceReq=0),
Error!$B$33,
IF(AND(_xlpm.baseRow,OR($J110="",$J110&lt;=0),_xlpm.ReplaceReq&gt;0),
Error!$B$34,
IF(AND(_xlpm.baseRow,$K110&lt;&gt;"",_xlpm.Points&gt;0,ISNA(MATCH($K110,Tables!$B$242:$B$253,0))),
Error!$B$58,
IF(AND($K110="Small",$L110&lt;&gt;"",ISNA(MATCH($L110,Tables2!$C$35:$C$36,0))),
Error!$B$60,
IF(AND($K110="Small/Medium",$L110&lt;&gt;"",ISNA(MATCH($L110,Tables2!$C$38:$C$39,0))),
Error!$B$60,
IF(AND($K110="Medium/Large",$L110&lt;&gt;"",ISNA(MATCH($L110,Tables2!$C$41:$C$42,0))),
Error!$B$60,
IF(AND($K110="Large",$L110&lt;&gt;"",ISNA(MATCH($L110,Tables2!$C$44:$C$45,0))),
Error!$B$60,
IF(AND(_xlpm.baseRow,$B110&lt;&gt;"", $C110&lt;&gt;"", $D110&lt;&gt;"", $E110&lt;&gt;"", OR($M110="",$K110="",$L110=""),_xlpm.Points&gt;0),
Error!$B$35,
IF(AND(_xlpm.baseRow,$D110&lt;&gt;"",$E110&lt;&gt;"",$N110=""),
Error!$B$36,
""))))))))))))))))))))))))))))))))))))))))))),Error!$B$37))</f>
        <v/>
      </c>
      <c r="P110" s="355" t="str" cm="1">
        <f t="array" aca="1" ref="P110" ca="1">IFERROR(_xlfn.LET(
    _xlpm.txt, $C110,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1" spans="1:16" ht="15" thickBot="1" x14ac:dyDescent="0.35">
      <c r="A111" s="437">
        <v>26</v>
      </c>
      <c r="B111" s="447"/>
      <c r="C111" s="444"/>
      <c r="D111" s="296"/>
      <c r="E111" s="296"/>
      <c r="F111" s="304"/>
      <c r="G111" s="257"/>
      <c r="H111" s="181"/>
      <c r="I111" s="178"/>
      <c r="J111" s="457"/>
      <c r="K111" s="172" t="str">
        <f>IFERROR(
IF(
    AND(
        MOD(ROW()-11,4)=0,
        COUNTIF(INDEX(F:F, 11 + 4*INT((ROW()-11)/4)):INDEX(F:F, 14 + 4*INT((ROW()-11)/4)),"Zoning: Tree Points")&gt;0,
        COUNTIFS('Tree List'!$C$3:$C$601,$C111,'Tree List'!$H$3:$H$601,"sp.")=0
    ),
    VLOOKUP($C111,'Tree List'!$C$3:$F$601,4,FALSE),
    ""
),
"")</f>
        <v/>
      </c>
      <c r="L111" s="173" t="str" cm="1">
        <f t="array" ref="L111">IFERROR(
IF(
    AND(
        COUNTIF(INDEX(F:F, 11 + 4*INT((ROW()-11)/4)):INDEX(F:F, 14 + 4*INT((ROW()-11)/4)),"Zoning: Tree Points")&gt;0,
        COUNTIFS('Tree List'!$C$3:$C$601,$C111,'Tree List'!$H$3:$H$601,"sp.")&gt;0
    ),
    "",
    _xlfn.IFS(
        (COUNTIFS('Tree List'!$C$3:$C$601,$C111,'Tree List'!$D$3:$D$601,"Coniferous")
        + COUNTIFS('Tree List'!$C$3:$C$601,$C111,'Tree List'!$D$3:$D$601,"Deciduous Conifer")) &gt; 0,
            _xlfn.IFS($K111="Small",1.25,$K111="Small/Medium",2.5,$K111="Medium/Large",3.75,$K111="Large",5),
        (COUNTIFS('Tree List'!$C$3:$C$601,$C111,'Tree List'!$D$3:$D$601,"Deciduous")
        + COUNTIFS('Tree List'!$C$3:$C$601,$C111,'Tree List'!$D$3:$D$601,"Broadleaf Evergreen")) &gt; 0,
            _xlfn.IFS($K111="Small",1,$K111="Small/Medium",2,$K111="Medium/Large",3,$K111="Large",4)
    )
),
"")</f>
        <v/>
      </c>
      <c r="M111" s="470" t="str">
        <f t="shared" ref="M111" si="150">IFERROR($L111*$N111,"")</f>
        <v/>
      </c>
      <c r="N111" s="744"/>
      <c r="O111" s="737" t="str" cm="1">
        <f t="array" aca="1" ref="O111"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List'!$C$3:$C$601,$C111,'Tree List'!$D$3:$D$601,{"Deciduous","Broadleaf Evergreen"})),
_xlpm.Coniferous,SUM(COUNTIFS('Tree List'!$C$3:$C$601,$C111,'Tree List'!$D$3:$D$601,{"Coniferous","Deciduous Conifer"})),
IFERROR(
IF(AND(_xlpm.baseRow,ISNA(MATCH($C111,'Tree List'!$C$3:$C$601,0)),SUMPRODUCT(--ISNUMBER(SEARCH(Tables2!$C$677:$C$825,$P111)))&gt;0),
Error!$B$64,
IF(AND(_xlpm.baseRow,COUNTIF(_xlpm.FRange,"ECA / Shoreline")&gt;0,$D111&lt;&gt;"",$E111&lt;&gt;"",$N111=""),
Error!$B$55,
IF(AND(_xlpm.baseRow,$D111&lt;&gt;"",$E111&lt;&gt;"",COUNTBLANK($B111:$C111)&gt;0,COUNTBLANK($F111:$F114)&lt;&gt;4),
Error!$B$22,
IF(AND(_xlpm.baseRow,$D111="Right-of-Way", $E111=""),
Error!$B$67,
IF(AND(_xlpm.baseRow,$D111&lt;&gt;"",ISNA(MATCH($D111,Tables2!$B$66:$B$68,0))),
Error!$B$63,
IF(AND(_xlpm.baseRow,$D111="Off Site",$E111&lt;&gt;"",$E111&lt;&gt;"Yes"),
Error!$B$28,
IF(AND(_xlpm.baseRow,OR($D111="On Site",$D111="Right-of-Way"),$E111&lt;&gt;"",ISNA(MATCH($E111,MultiSelect2[TreeMitigation],0))),
Error!$B$28,
IF(AND(_xlpm.baseRow,$D111&lt;&gt;"",$E111&lt;&gt;"",COUNTIF(_xlpm.FRange,"&lt;&gt;")=0),
Error!$B$26,
IF(AND($E111="No",$F111&lt;&gt;"",ISNA(MATCH($F111,Tables2!$B$55:$B$57,0))),
Error!$B$27,
IF(AND($E111="Yes",$F111&lt;&gt;"",ISNA(MATCH($F111,Tables2!$B$48:$B$52,0))),
Error!$B$27,
IF(AND($D111="Off Site",$E111="Yes",$F111&lt;&gt;"",ISNA(MATCH($F111,Tables2!$B$60:$B$62,0))),
Error!$B$27,
IF(AND(_xlpm.baseRow,_xlpm.Street&gt;0,_xlpm.ECA&gt;0),
Error!$B$29,
IF(AND(_xlpm.baseRow,_xlpm.Street&gt;0,_xlpm.Points&gt;0),
Error!$B$30,
IF(AND(_xlpm.baseRow,_xlpm.Street&gt;0,_xlpm.ReplaceReq&gt;0),
Error!$B$31,
IF(AND(_xlpm.baseRow,$D111&lt;&gt;"",$E111&lt;&gt;"",$G111&lt;&gt;"",_xlpm.DecBroad&gt;0,OR(_xlpm.Points&gt;0,_xlpm.Green&gt;0,_xlpm.ReplaceReq&gt;0),_xlpm.Street=0,$G111&lt;1.5),
Error!$B$42,
IF(AND(_xlpm.baseRow,$D111&lt;&gt;"",$E111&lt;&gt;"",$H111&lt;&gt;"",$H111&lt;4,_xlpm.Street&gt;0,_xlpm.Green&gt;0,COUNTA(_xlpm.FRange)&gt;0),
Error!$B$32,
IF(AND(_xlpm.baseRow,$G111="",_xlpm.ECA&gt;0,_xlpm.DecBroad&gt;0,_xlpm.ReplaceReq&gt;0),
Error!$B$52,
IF(AND(_xlpm.baseRow,$E111&lt;&gt;"", $H111="",_xlpm.ECA&gt;0,_xlpm.Coniferous&gt;0,_xlpm.ReplaceReq&gt;0),
Error!$B$53,
IF(AND(_xlpm.baseRow,$G111="",$H111="",_xlpm.ECA&gt;0,_xlpm.ReplaceReq&gt;0),
Error!$B$39,
IF(AND(_xlpm.baseRow,$D111&lt;&gt;"",$E111&lt;&gt;"",$G111="",$H111="",_xlpm.Coniferous&gt;0,_xlpm.ReplaceReq&gt;0,_xlpm.ECA&gt;0),
Error!$B$50,
IF(AND(_xlpm.baseRow,$D111&lt;&gt;"",$E111&lt;&gt;"",$G111&lt;&gt;"",_xlpm.Street&gt;0,$G111&lt;2),
Error!$B$43,
IF(AND(_xlpm.baseRow,$D111&lt;&gt;"",$E111&lt;&gt;"",_xlpm.Green&gt;0,_xlpm.DecBroad&gt;0,$G111=""),
Error!$B$49,
IF(AND(_xlpm.baseRow,$D111&lt;&gt;"",$E111&lt;&gt;"",$H111&lt;&gt;"",$H111&lt;4,_xlpm.Green&gt;0,_xlpm.DecBroad&gt;0,$G111=""),
Error!$B$51,
IF(AND(_xlpm.baseRow,$D111&lt;&gt;"",$E111&lt;&gt;"",_xlpm.Green&gt;0,_xlpm.Coniferous&gt;0,$H111=""),
Error!$B$50,
IF(AND(_xlpm.baseRow,$D111&lt;&gt;"",$E111&lt;&gt;"",_xlpm.Points&gt;0,_xlpm.DecBroad&gt;0,$G111=""),
Error!$B$49,
IF(AND(_xlpm.baseRow,$D111&lt;&gt;"",$E111&lt;&gt;"",_xlpm.Points&gt;0,_xlpm.Coniferous&gt;0,$H111=""),
Error!$B$50,
IF(AND(_xlpm.baseRow,$D111&lt;&gt;"",$E111&lt;&gt;"",_xlpm.ReplaceReq&gt;0,_xlpm.DecBroad&gt;0,$G111=""),
Error!$B$49,
IF(AND(_xlpm.baseRow,$D111&lt;&gt;"",$E111&lt;&gt;"",_xlpm.ReplaceReq&gt;0,_xlpm.Coniferous&gt;0,$H111=""),
Error!$B$50,
IF(AND(_xlpm.baseRow,$D111&lt;&gt;"",$E111&lt;&gt;"",_xlpm.Street&gt;0,$G111=""),
Error!$B$49,
IF(AND(_xlpm.baseRow,$D111&lt;&gt;"",$E111&lt;&gt;"",$H111&lt;&gt;"",$H111&lt;4,OR(ISNA(MATCH($C111,'Tree List'!$C$3:$C$601,0)),$C111=""),_xlpm.Green&gt;0,COUNTA(_xlpm.FRange)&gt;0),
Error!$B$51,
IF(AND(_xlpm.baseRow,$D111&lt;&gt;"",$E111&lt;&gt;"",$H111&lt;&gt;"",$H111&lt;4,_xlpm.DecBroad&gt;0,_xlpm.Green&gt;0,COUNTA(_xlpm.FRange)&gt;0),
Error!$B$51,
IF(AND(_xlpm.baseRow,$D111&lt;&gt;"",$E111&lt;&gt;"",$G111="",$H111="",OR(_xlpm.ReplaceReq&gt;0,_xlpm.Green&gt;0,_xlpm.Points&gt;0,_xlpm.Street&gt;0)),
Error!$B$38,
IF(AND(_xlpm.baseRow,$D111&lt;&gt;"",$E111&lt;&gt;"",$H111&lt;&gt;"",$H111&lt;4,_xlpm.Street=0,_xlpm.Coniferous&gt;0,COUNTA(_xlpm.FRange)&gt;0),
Error!$B$32,
IF(AND(_xlpm.baseRow,_xlpm.DecBroad&gt;0,$D111&lt;&gt;"",$E111&lt;&gt;"",$G111&lt;&gt;"",$G111&lt;1.5,_xlpm.Street=0,COUNTA(_xlpm.FRange)&gt;0),
Error!$B$42,
IF(AND(_xlpm.baseRow,$I111="",$H111="",_xlpm.ECA&gt;0,_xlpm.ReplaceReq=0),
Error!$B$33,
IF(AND(_xlpm.baseRow,OR($J111="",$J111&lt;=0),_xlpm.ReplaceReq&gt;0),
Error!$B$34,
IF(AND(_xlpm.baseRow,$K111&lt;&gt;"",_xlpm.Points&gt;0,ISNA(MATCH($K111,Tables!$B$242:$B$253,0))),
Error!$B$58,
IF(AND($K111="Small",$L111&lt;&gt;"",ISNA(MATCH($L111,Tables2!$C$35:$C$36,0))),
Error!$B$60,
IF(AND($K111="Small/Medium",$L111&lt;&gt;"",ISNA(MATCH($L111,Tables2!$C$38:$C$39,0))),
Error!$B$60,
IF(AND($K111="Medium/Large",$L111&lt;&gt;"",ISNA(MATCH($L111,Tables2!$C$41:$C$42,0))),
Error!$B$60,
IF(AND($K111="Large",$L111&lt;&gt;"",ISNA(MATCH($L111,Tables2!$C$44:$C$45,0))),
Error!$B$60,
IF(AND(_xlpm.baseRow,$B111&lt;&gt;"", $C111&lt;&gt;"", $D111&lt;&gt;"", $E111&lt;&gt;"", OR($M111="",$K111="",$L111=""),_xlpm.Points&gt;0),
Error!$B$35,
IF(AND(_xlpm.baseRow,$D111&lt;&gt;"",$E111&lt;&gt;"",$N111=""),
Error!$B$36,
""))))))))))))))))))))))))))))))))))))))))))),Error!$B$37))</f>
        <v/>
      </c>
      <c r="P111" s="355" t="str" cm="1">
        <f t="array" aca="1" ref="P111" ca="1">IFERROR(_xlfn.LET(
    _xlpm.txt, $C111,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2" spans="1:16" x14ac:dyDescent="0.3">
      <c r="A112" s="297"/>
      <c r="B112" s="439" t="str">
        <f t="shared" ref="B112" si="151">IF($B111="", "", $B111)</f>
        <v/>
      </c>
      <c r="C112" s="309"/>
      <c r="D112" s="157" t="str">
        <f t="shared" ref="D112" si="152">IF($D111="", "", $D111)</f>
        <v/>
      </c>
      <c r="E112" s="157" t="str">
        <f t="shared" ref="E112" si="153">IF($E111="", "", $E111)</f>
        <v/>
      </c>
      <c r="F112" s="300"/>
      <c r="G112" s="159"/>
      <c r="H112" s="182"/>
      <c r="I112" s="179"/>
      <c r="J112" s="458"/>
      <c r="K112" s="174" t="str">
        <f>IFERROR(
IF(
    AND(
        MOD(ROW()-11,4)=0,
        COUNTIF(INDEX(F:F, 11 + 4*INT((ROW()-11)/4)):INDEX(F:F, 14 + 4*INT((ROW()-11)/4)),"Zoning: Tree Points")&gt;0,
        COUNTIFS('Tree List'!$C$3:$C$601,$C112,'Tree List'!$H$3:$H$601,"sp.")=0
    ),
    VLOOKUP($C112,'Tree List'!$C$3:$F$601,4,FALSE),
    ""
),
"")</f>
        <v/>
      </c>
      <c r="L112" s="175" t="str" cm="1">
        <f t="array" ref="L112">IFERROR(
IF(
    AND(
        COUNTIF(INDEX(F:F, 11 + 4*INT((ROW()-11)/4)):INDEX(F:F, 14 + 4*INT((ROW()-11)/4)),"Zoning: Tree Points")&gt;0,
        COUNTIFS('Tree List'!$C$3:$C$601,$C112,'Tree List'!$H$3:$H$601,"sp.")&gt;0
    ),
    "",
    _xlfn.IFS(
        (COUNTIFS('Tree List'!$C$3:$C$601,$C112,'Tree List'!$D$3:$D$601,"Coniferous")
        + COUNTIFS('Tree List'!$C$3:$C$601,$C112,'Tree List'!$D$3:$D$601,"Deciduous Conifer")) &gt; 0,
            _xlfn.IFS($K112="Small",1.25,$K112="Small/Medium",2.5,$K112="Medium/Large",3.75,$K112="Large",5),
        (COUNTIFS('Tree List'!$C$3:$C$601,$C112,'Tree List'!$D$3:$D$601,"Deciduous")
        + COUNTIFS('Tree List'!$C$3:$C$601,$C112,'Tree List'!$D$3:$D$601,"Broadleaf Evergreen")) &gt; 0,
            _xlfn.IFS($K112="Small",1,$K112="Small/Medium",2,$K112="Medium/Large",3,$K112="Large",4)
    )
),
"")</f>
        <v/>
      </c>
      <c r="M112" s="471" t="str">
        <f t="shared" ref="M112:M114" si="154">IFERROR($L112*$N112,"")</f>
        <v/>
      </c>
      <c r="N112" s="434"/>
      <c r="O112" s="340" t="str" cm="1">
        <f t="array" aca="1" ref="O112"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List'!$C$3:$C$601,$C112,'Tree List'!$D$3:$D$601,{"Deciduous","Broadleaf Evergreen"})),
_xlpm.Coniferous,SUM(COUNTIFS('Tree List'!$C$3:$C$601,$C112,'Tree List'!$D$3:$D$601,{"Coniferous","Deciduous Conifer"})),
IFERROR(
IF(AND(_xlpm.baseRow,ISNA(MATCH($C112,'Tree List'!$C$3:$C$601,0)),SUMPRODUCT(--ISNUMBER(SEARCH(Tables2!$C$677:$C$825,$P112)))&gt;0),
Error!$B$64,
IF(AND(_xlpm.baseRow,COUNTIF(_xlpm.FRange,"ECA / Shoreline")&gt;0,$D112&lt;&gt;"",$E112&lt;&gt;"",$N112=""),
Error!$B$55,
IF(AND(_xlpm.baseRow,$D112&lt;&gt;"",$E112&lt;&gt;"",COUNTBLANK($B112:$C112)&gt;0,COUNTBLANK($F112:$F115)&lt;&gt;4),
Error!$B$22,
IF(AND(_xlpm.baseRow,$D112="Right-of-Way", $E112=""),
Error!$B$67,
IF(AND(_xlpm.baseRow,$D112&lt;&gt;"",ISNA(MATCH($D112,Tables2!$B$66:$B$68,0))),
Error!$B$63,
IF(AND(_xlpm.baseRow,$D112="Off Site",$E112&lt;&gt;"",$E112&lt;&gt;"Yes"),
Error!$B$28,
IF(AND(_xlpm.baseRow,OR($D112="On Site",$D112="Right-of-Way"),$E112&lt;&gt;"",ISNA(MATCH($E112,MultiSelect2[TreeMitigation],0))),
Error!$B$28,
IF(AND(_xlpm.baseRow,$D112&lt;&gt;"",$E112&lt;&gt;"",COUNTIF(_xlpm.FRange,"&lt;&gt;")=0),
Error!$B$26,
IF(AND($E112="No",$F112&lt;&gt;"",ISNA(MATCH($F112,Tables2!$B$55:$B$57,0))),
Error!$B$27,
IF(AND($E112="Yes",$F112&lt;&gt;"",ISNA(MATCH($F112,Tables2!$B$48:$B$52,0))),
Error!$B$27,
IF(AND($D112="Off Site",$E112="Yes",$F112&lt;&gt;"",ISNA(MATCH($F112,Tables2!$B$60:$B$62,0))),
Error!$B$27,
IF(AND(_xlpm.baseRow,_xlpm.Street&gt;0,_xlpm.ECA&gt;0),
Error!$B$29,
IF(AND(_xlpm.baseRow,_xlpm.Street&gt;0,_xlpm.Points&gt;0),
Error!$B$30,
IF(AND(_xlpm.baseRow,_xlpm.Street&gt;0,_xlpm.ReplaceReq&gt;0),
Error!$B$31,
IF(AND(_xlpm.baseRow,$D112&lt;&gt;"",$E112&lt;&gt;"",$G112&lt;&gt;"",_xlpm.DecBroad&gt;0,OR(_xlpm.Points&gt;0,_xlpm.Green&gt;0,_xlpm.ReplaceReq&gt;0),_xlpm.Street=0,$G112&lt;1.5),
Error!$B$42,
IF(AND(_xlpm.baseRow,$D112&lt;&gt;"",$E112&lt;&gt;"",$H112&lt;&gt;"",$H112&lt;4,_xlpm.Street&gt;0,_xlpm.Green&gt;0,COUNTA(_xlpm.FRange)&gt;0),
Error!$B$32,
IF(AND(_xlpm.baseRow,$G112="",_xlpm.ECA&gt;0,_xlpm.DecBroad&gt;0,_xlpm.ReplaceReq&gt;0),
Error!$B$52,
IF(AND(_xlpm.baseRow,$E112&lt;&gt;"", $H112="",_xlpm.ECA&gt;0,_xlpm.Coniferous&gt;0,_xlpm.ReplaceReq&gt;0),
Error!$B$53,
IF(AND(_xlpm.baseRow,$G112="",$H112="",_xlpm.ECA&gt;0,_xlpm.ReplaceReq&gt;0),
Error!$B$39,
IF(AND(_xlpm.baseRow,$D112&lt;&gt;"",$E112&lt;&gt;"",$G112="",$H112="",_xlpm.Coniferous&gt;0,_xlpm.ReplaceReq&gt;0,_xlpm.ECA&gt;0),
Error!$B$50,
IF(AND(_xlpm.baseRow,$D112&lt;&gt;"",$E112&lt;&gt;"",$G112&lt;&gt;"",_xlpm.Street&gt;0,$G112&lt;2),
Error!$B$43,
IF(AND(_xlpm.baseRow,$D112&lt;&gt;"",$E112&lt;&gt;"",_xlpm.Green&gt;0,_xlpm.DecBroad&gt;0,$G112=""),
Error!$B$49,
IF(AND(_xlpm.baseRow,$D112&lt;&gt;"",$E112&lt;&gt;"",$H112&lt;&gt;"",$H112&lt;4,_xlpm.Green&gt;0,_xlpm.DecBroad&gt;0,$G112=""),
Error!$B$51,
IF(AND(_xlpm.baseRow,$D112&lt;&gt;"",$E112&lt;&gt;"",_xlpm.Green&gt;0,_xlpm.Coniferous&gt;0,$H112=""),
Error!$B$50,
IF(AND(_xlpm.baseRow,$D112&lt;&gt;"",$E112&lt;&gt;"",_xlpm.Points&gt;0,_xlpm.DecBroad&gt;0,$G112=""),
Error!$B$49,
IF(AND(_xlpm.baseRow,$D112&lt;&gt;"",$E112&lt;&gt;"",_xlpm.Points&gt;0,_xlpm.Coniferous&gt;0,$H112=""),
Error!$B$50,
IF(AND(_xlpm.baseRow,$D112&lt;&gt;"",$E112&lt;&gt;"",_xlpm.ReplaceReq&gt;0,_xlpm.DecBroad&gt;0,$G112=""),
Error!$B$49,
IF(AND(_xlpm.baseRow,$D112&lt;&gt;"",$E112&lt;&gt;"",_xlpm.ReplaceReq&gt;0,_xlpm.Coniferous&gt;0,$H112=""),
Error!$B$50,
IF(AND(_xlpm.baseRow,$D112&lt;&gt;"",$E112&lt;&gt;"",_xlpm.Street&gt;0,$G112=""),
Error!$B$49,
IF(AND(_xlpm.baseRow,$D112&lt;&gt;"",$E112&lt;&gt;"",$H112&lt;&gt;"",$H112&lt;4,OR(ISNA(MATCH($C112,'Tree List'!$C$3:$C$601,0)),$C112=""),_xlpm.Green&gt;0,COUNTA(_xlpm.FRange)&gt;0),
Error!$B$51,
IF(AND(_xlpm.baseRow,$D112&lt;&gt;"",$E112&lt;&gt;"",$H112&lt;&gt;"",$H112&lt;4,_xlpm.DecBroad&gt;0,_xlpm.Green&gt;0,COUNTA(_xlpm.FRange)&gt;0),
Error!$B$51,
IF(AND(_xlpm.baseRow,$D112&lt;&gt;"",$E112&lt;&gt;"",$G112="",$H112="",OR(_xlpm.ReplaceReq&gt;0,_xlpm.Green&gt;0,_xlpm.Points&gt;0,_xlpm.Street&gt;0)),
Error!$B$38,
IF(AND(_xlpm.baseRow,$D112&lt;&gt;"",$E112&lt;&gt;"",$H112&lt;&gt;"",$H112&lt;4,_xlpm.Street=0,_xlpm.Coniferous&gt;0,COUNTA(_xlpm.FRange)&gt;0),
Error!$B$32,
IF(AND(_xlpm.baseRow,_xlpm.DecBroad&gt;0,$D112&lt;&gt;"",$E112&lt;&gt;"",$G112&lt;&gt;"",$G112&lt;1.5,_xlpm.Street=0,COUNTA(_xlpm.FRange)&gt;0),
Error!$B$42,
IF(AND(_xlpm.baseRow,$I112="",$H112="",_xlpm.ECA&gt;0,_xlpm.ReplaceReq=0),
Error!$B$33,
IF(AND(_xlpm.baseRow,OR($J112="",$J112&lt;=0),_xlpm.ReplaceReq&gt;0),
Error!$B$34,
IF(AND(_xlpm.baseRow,$K112&lt;&gt;"",_xlpm.Points&gt;0,ISNA(MATCH($K112,Tables!$B$242:$B$253,0))),
Error!$B$58,
IF(AND($K112="Small",$L112&lt;&gt;"",ISNA(MATCH($L112,Tables2!$C$35:$C$36,0))),
Error!$B$60,
IF(AND($K112="Small/Medium",$L112&lt;&gt;"",ISNA(MATCH($L112,Tables2!$C$38:$C$39,0))),
Error!$B$60,
IF(AND($K112="Medium/Large",$L112&lt;&gt;"",ISNA(MATCH($L112,Tables2!$C$41:$C$42,0))),
Error!$B$60,
IF(AND($K112="Large",$L112&lt;&gt;"",ISNA(MATCH($L112,Tables2!$C$44:$C$45,0))),
Error!$B$60,
IF(AND(_xlpm.baseRow,$B112&lt;&gt;"", $C112&lt;&gt;"", $D112&lt;&gt;"", $E112&lt;&gt;"", OR($M112="",$K112="",$L112=""),_xlpm.Points&gt;0),
Error!$B$35,
IF(AND(_xlpm.baseRow,$D112&lt;&gt;"",$E112&lt;&gt;"",$N112=""),
Error!$B$36,
""))))))))))))))))))))))))))))))))))))))))))),Error!$B$37))</f>
        <v/>
      </c>
      <c r="P112" s="355" t="str" cm="1">
        <f t="array" aca="1" ref="P112" ca="1">IFERROR(_xlfn.LET(
    _xlpm.txt, $C112,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3" spans="1:16" x14ac:dyDescent="0.3">
      <c r="A113" s="297"/>
      <c r="B113" s="439" t="str">
        <f t="shared" ref="B113" si="155">IF($B111="", "", $B111)</f>
        <v/>
      </c>
      <c r="C113" s="438"/>
      <c r="D113" s="439" t="str">
        <f t="shared" ref="D113" si="156">IF($D111="", "", $D111)</f>
        <v/>
      </c>
      <c r="E113" s="439" t="str">
        <f t="shared" ref="E113" si="157">IF($E111="", "", $E111)</f>
        <v/>
      </c>
      <c r="F113" s="300"/>
      <c r="G113" s="160"/>
      <c r="H113" s="440"/>
      <c r="I113" s="441"/>
      <c r="J113" s="459"/>
      <c r="K113" s="442" t="str">
        <f>IFERROR(
IF(
    AND(
        MOD(ROW()-11,4)=0,
        COUNTIF(INDEX(F:F, 11 + 4*INT((ROW()-11)/4)):INDEX(F:F, 14 + 4*INT((ROW()-11)/4)),"Zoning: Tree Points")&gt;0,
        COUNTIFS('Tree List'!$C$3:$C$601,$C113,'Tree List'!$H$3:$H$601,"sp.")=0
    ),
    VLOOKUP($C113,'Tree List'!$C$3:$F$601,4,FALSE),
    ""
),
"")</f>
        <v/>
      </c>
      <c r="L113" s="443" t="str" cm="1">
        <f t="array" ref="L113">IFERROR(
IF(
    AND(
        COUNTIF(INDEX(F:F, 11 + 4*INT((ROW()-11)/4)):INDEX(F:F, 14 + 4*INT((ROW()-11)/4)),"Zoning: Tree Points")&gt;0,
        COUNTIFS('Tree List'!$C$3:$C$601,$C113,'Tree List'!$H$3:$H$601,"sp.")&gt;0
    ),
    "",
    _xlfn.IFS(
        (COUNTIFS('Tree List'!$C$3:$C$601,$C113,'Tree List'!$D$3:$D$601,"Coniferous")
        + COUNTIFS('Tree List'!$C$3:$C$601,$C113,'Tree List'!$D$3:$D$601,"Deciduous Conifer")) &gt; 0,
            _xlfn.IFS($K113="Small",1.25,$K113="Small/Medium",2.5,$K113="Medium/Large",3.75,$K113="Large",5),
        (COUNTIFS('Tree List'!$C$3:$C$601,$C113,'Tree List'!$D$3:$D$601,"Deciduous")
        + COUNTIFS('Tree List'!$C$3:$C$601,$C113,'Tree List'!$D$3:$D$601,"Broadleaf Evergreen")) &gt; 0,
            _xlfn.IFS($K113="Small",1,$K113="Small/Medium",2,$K113="Medium/Large",3,$K113="Large",4)
    )
),
"")</f>
        <v/>
      </c>
      <c r="M113" s="472" t="str">
        <f t="shared" si="154"/>
        <v/>
      </c>
      <c r="N113" s="434"/>
      <c r="O113" s="340" t="str" cm="1">
        <f t="array" aca="1" ref="O113"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List'!$C$3:$C$601,$C113,'Tree List'!$D$3:$D$601,{"Deciduous","Broadleaf Evergreen"})),
_xlpm.Coniferous,SUM(COUNTIFS('Tree List'!$C$3:$C$601,$C113,'Tree List'!$D$3:$D$601,{"Coniferous","Deciduous Conifer"})),
IFERROR(
IF(AND(_xlpm.baseRow,ISNA(MATCH($C113,'Tree List'!$C$3:$C$601,0)),SUMPRODUCT(--ISNUMBER(SEARCH(Tables2!$C$677:$C$825,$P113)))&gt;0),
Error!$B$64,
IF(AND(_xlpm.baseRow,COUNTIF(_xlpm.FRange,"ECA / Shoreline")&gt;0,$D113&lt;&gt;"",$E113&lt;&gt;"",$N113=""),
Error!$B$55,
IF(AND(_xlpm.baseRow,$D113&lt;&gt;"",$E113&lt;&gt;"",COUNTBLANK($B113:$C113)&gt;0,COUNTBLANK($F113:$F116)&lt;&gt;4),
Error!$B$22,
IF(AND(_xlpm.baseRow,$D113="Right-of-Way", $E113=""),
Error!$B$67,
IF(AND(_xlpm.baseRow,$D113&lt;&gt;"",ISNA(MATCH($D113,Tables2!$B$66:$B$68,0))),
Error!$B$63,
IF(AND(_xlpm.baseRow,$D113="Off Site",$E113&lt;&gt;"",$E113&lt;&gt;"Yes"),
Error!$B$28,
IF(AND(_xlpm.baseRow,OR($D113="On Site",$D113="Right-of-Way"),$E113&lt;&gt;"",ISNA(MATCH($E113,MultiSelect2[TreeMitigation],0))),
Error!$B$28,
IF(AND(_xlpm.baseRow,$D113&lt;&gt;"",$E113&lt;&gt;"",COUNTIF(_xlpm.FRange,"&lt;&gt;")=0),
Error!$B$26,
IF(AND($E113="No",$F113&lt;&gt;"",ISNA(MATCH($F113,Tables2!$B$55:$B$57,0))),
Error!$B$27,
IF(AND($E113="Yes",$F113&lt;&gt;"",ISNA(MATCH($F113,Tables2!$B$48:$B$52,0))),
Error!$B$27,
IF(AND($D113="Off Site",$E113="Yes",$F113&lt;&gt;"",ISNA(MATCH($F113,Tables2!$B$60:$B$62,0))),
Error!$B$27,
IF(AND(_xlpm.baseRow,_xlpm.Street&gt;0,_xlpm.ECA&gt;0),
Error!$B$29,
IF(AND(_xlpm.baseRow,_xlpm.Street&gt;0,_xlpm.Points&gt;0),
Error!$B$30,
IF(AND(_xlpm.baseRow,_xlpm.Street&gt;0,_xlpm.ReplaceReq&gt;0),
Error!$B$31,
IF(AND(_xlpm.baseRow,$D113&lt;&gt;"",$E113&lt;&gt;"",$G113&lt;&gt;"",_xlpm.DecBroad&gt;0,OR(_xlpm.Points&gt;0,_xlpm.Green&gt;0,_xlpm.ReplaceReq&gt;0),_xlpm.Street=0,$G113&lt;1.5),
Error!$B$42,
IF(AND(_xlpm.baseRow,$D113&lt;&gt;"",$E113&lt;&gt;"",$H113&lt;&gt;"",$H113&lt;4,_xlpm.Street&gt;0,_xlpm.Green&gt;0,COUNTA(_xlpm.FRange)&gt;0),
Error!$B$32,
IF(AND(_xlpm.baseRow,$G113="",_xlpm.ECA&gt;0,_xlpm.DecBroad&gt;0,_xlpm.ReplaceReq&gt;0),
Error!$B$52,
IF(AND(_xlpm.baseRow,$E113&lt;&gt;"", $H113="",_xlpm.ECA&gt;0,_xlpm.Coniferous&gt;0,_xlpm.ReplaceReq&gt;0),
Error!$B$53,
IF(AND(_xlpm.baseRow,$G113="",$H113="",_xlpm.ECA&gt;0,_xlpm.ReplaceReq&gt;0),
Error!$B$39,
IF(AND(_xlpm.baseRow,$D113&lt;&gt;"",$E113&lt;&gt;"",$G113="",$H113="",_xlpm.Coniferous&gt;0,_xlpm.ReplaceReq&gt;0,_xlpm.ECA&gt;0),
Error!$B$50,
IF(AND(_xlpm.baseRow,$D113&lt;&gt;"",$E113&lt;&gt;"",$G113&lt;&gt;"",_xlpm.Street&gt;0,$G113&lt;2),
Error!$B$43,
IF(AND(_xlpm.baseRow,$D113&lt;&gt;"",$E113&lt;&gt;"",_xlpm.Green&gt;0,_xlpm.DecBroad&gt;0,$G113=""),
Error!$B$49,
IF(AND(_xlpm.baseRow,$D113&lt;&gt;"",$E113&lt;&gt;"",$H113&lt;&gt;"",$H113&lt;4,_xlpm.Green&gt;0,_xlpm.DecBroad&gt;0,$G113=""),
Error!$B$51,
IF(AND(_xlpm.baseRow,$D113&lt;&gt;"",$E113&lt;&gt;"",_xlpm.Green&gt;0,_xlpm.Coniferous&gt;0,$H113=""),
Error!$B$50,
IF(AND(_xlpm.baseRow,$D113&lt;&gt;"",$E113&lt;&gt;"",_xlpm.Points&gt;0,_xlpm.DecBroad&gt;0,$G113=""),
Error!$B$49,
IF(AND(_xlpm.baseRow,$D113&lt;&gt;"",$E113&lt;&gt;"",_xlpm.Points&gt;0,_xlpm.Coniferous&gt;0,$H113=""),
Error!$B$50,
IF(AND(_xlpm.baseRow,$D113&lt;&gt;"",$E113&lt;&gt;"",_xlpm.ReplaceReq&gt;0,_xlpm.DecBroad&gt;0,$G113=""),
Error!$B$49,
IF(AND(_xlpm.baseRow,$D113&lt;&gt;"",$E113&lt;&gt;"",_xlpm.ReplaceReq&gt;0,_xlpm.Coniferous&gt;0,$H113=""),
Error!$B$50,
IF(AND(_xlpm.baseRow,$D113&lt;&gt;"",$E113&lt;&gt;"",_xlpm.Street&gt;0,$G113=""),
Error!$B$49,
IF(AND(_xlpm.baseRow,$D113&lt;&gt;"",$E113&lt;&gt;"",$H113&lt;&gt;"",$H113&lt;4,OR(ISNA(MATCH($C113,'Tree List'!$C$3:$C$601,0)),$C113=""),_xlpm.Green&gt;0,COUNTA(_xlpm.FRange)&gt;0),
Error!$B$51,
IF(AND(_xlpm.baseRow,$D113&lt;&gt;"",$E113&lt;&gt;"",$H113&lt;&gt;"",$H113&lt;4,_xlpm.DecBroad&gt;0,_xlpm.Green&gt;0,COUNTA(_xlpm.FRange)&gt;0),
Error!$B$51,
IF(AND(_xlpm.baseRow,$D113&lt;&gt;"",$E113&lt;&gt;"",$G113="",$H113="",OR(_xlpm.ReplaceReq&gt;0,_xlpm.Green&gt;0,_xlpm.Points&gt;0,_xlpm.Street&gt;0)),
Error!$B$38,
IF(AND(_xlpm.baseRow,$D113&lt;&gt;"",$E113&lt;&gt;"",$H113&lt;&gt;"",$H113&lt;4,_xlpm.Street=0,_xlpm.Coniferous&gt;0,COUNTA(_xlpm.FRange)&gt;0),
Error!$B$32,
IF(AND(_xlpm.baseRow,_xlpm.DecBroad&gt;0,$D113&lt;&gt;"",$E113&lt;&gt;"",$G113&lt;&gt;"",$G113&lt;1.5,_xlpm.Street=0,COUNTA(_xlpm.FRange)&gt;0),
Error!$B$42,
IF(AND(_xlpm.baseRow,$I113="",$H113="",_xlpm.ECA&gt;0,_xlpm.ReplaceReq=0),
Error!$B$33,
IF(AND(_xlpm.baseRow,OR($J113="",$J113&lt;=0),_xlpm.ReplaceReq&gt;0),
Error!$B$34,
IF(AND(_xlpm.baseRow,$K113&lt;&gt;"",_xlpm.Points&gt;0,ISNA(MATCH($K113,Tables!$B$242:$B$253,0))),
Error!$B$58,
IF(AND($K113="Small",$L113&lt;&gt;"",ISNA(MATCH($L113,Tables2!$C$35:$C$36,0))),
Error!$B$60,
IF(AND($K113="Small/Medium",$L113&lt;&gt;"",ISNA(MATCH($L113,Tables2!$C$38:$C$39,0))),
Error!$B$60,
IF(AND($K113="Medium/Large",$L113&lt;&gt;"",ISNA(MATCH($L113,Tables2!$C$41:$C$42,0))),
Error!$B$60,
IF(AND($K113="Large",$L113&lt;&gt;"",ISNA(MATCH($L113,Tables2!$C$44:$C$45,0))),
Error!$B$60,
IF(AND(_xlpm.baseRow,$B113&lt;&gt;"", $C113&lt;&gt;"", $D113&lt;&gt;"", $E113&lt;&gt;"", OR($M113="",$K113="",$L113=""),_xlpm.Points&gt;0),
Error!$B$35,
IF(AND(_xlpm.baseRow,$D113&lt;&gt;"",$E113&lt;&gt;"",$N113=""),
Error!$B$36,
""))))))))))))))))))))))))))))))))))))))))))),Error!$B$37))</f>
        <v/>
      </c>
      <c r="P113" s="355" t="str" cm="1">
        <f t="array" aca="1" ref="P113" ca="1">IFERROR(_xlfn.LET(
    _xlpm.txt, $C113,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4" spans="1:16" ht="15" thickBot="1" x14ac:dyDescent="0.35">
      <c r="A114" s="298"/>
      <c r="B114" s="439" t="str">
        <f t="shared" ref="B114" si="158">IF($B111="", "", $B111)</f>
        <v/>
      </c>
      <c r="C114" s="310"/>
      <c r="D114" s="154" t="str">
        <f t="shared" ref="D114" si="159">IF($D111="", "", $D111)</f>
        <v/>
      </c>
      <c r="E114" s="154" t="str">
        <f t="shared" ref="E114" si="160">IF($E111="", "", $E111)</f>
        <v/>
      </c>
      <c r="F114" s="302"/>
      <c r="G114" s="161"/>
      <c r="H114" s="183"/>
      <c r="I114" s="180"/>
      <c r="J114" s="460"/>
      <c r="K114" s="176" t="str">
        <f>IFERROR(
IF(
    AND(
        MOD(ROW()-11,4)=0,
        COUNTIF(INDEX(F:F, 11 + 4*INT((ROW()-11)/4)):INDEX(F:F, 14 + 4*INT((ROW()-11)/4)),"Zoning: Tree Points")&gt;0,
        COUNTIFS('Tree List'!$C$3:$C$601,$C114,'Tree List'!$H$3:$H$601,"sp.")=0
    ),
    VLOOKUP($C114,'Tree List'!$C$3:$F$601,4,FALSE),
    ""
),
"")</f>
        <v/>
      </c>
      <c r="L114" s="177" t="str" cm="1">
        <f t="array" ref="L114">IFERROR(
IF(
    AND(
        COUNTIF(INDEX(F:F, 11 + 4*INT((ROW()-11)/4)):INDEX(F:F, 14 + 4*INT((ROW()-11)/4)),"Zoning: Tree Points")&gt;0,
        COUNTIFS('Tree List'!$C$3:$C$601,$C114,'Tree List'!$H$3:$H$601,"sp.")&gt;0
    ),
    "",
    _xlfn.IFS(
        (COUNTIFS('Tree List'!$C$3:$C$601,$C114,'Tree List'!$D$3:$D$601,"Coniferous")
        + COUNTIFS('Tree List'!$C$3:$C$601,$C114,'Tree List'!$D$3:$D$601,"Deciduous Conifer")) &gt; 0,
            _xlfn.IFS($K114="Small",1.25,$K114="Small/Medium",2.5,$K114="Medium/Large",3.75,$K114="Large",5),
        (COUNTIFS('Tree List'!$C$3:$C$601,$C114,'Tree List'!$D$3:$D$601,"Deciduous")
        + COUNTIFS('Tree List'!$C$3:$C$601,$C114,'Tree List'!$D$3:$D$601,"Broadleaf Evergreen")) &gt; 0,
            _xlfn.IFS($K114="Small",1,$K114="Small/Medium",2,$K114="Medium/Large",3,$K114="Large",4)
    )
),
"")</f>
        <v/>
      </c>
      <c r="M114" s="473" t="str">
        <f t="shared" si="154"/>
        <v/>
      </c>
      <c r="N114" s="435"/>
      <c r="O114" s="341" t="str" cm="1">
        <f t="array" aca="1" ref="O114"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List'!$C$3:$C$601,$C114,'Tree List'!$D$3:$D$601,{"Deciduous","Broadleaf Evergreen"})),
_xlpm.Coniferous,SUM(COUNTIFS('Tree List'!$C$3:$C$601,$C114,'Tree List'!$D$3:$D$601,{"Coniferous","Deciduous Conifer"})),
IFERROR(
IF(AND(_xlpm.baseRow,ISNA(MATCH($C114,'Tree List'!$C$3:$C$601,0)),SUMPRODUCT(--ISNUMBER(SEARCH(Tables2!$C$677:$C$825,$P114)))&gt;0),
Error!$B$64,
IF(AND(_xlpm.baseRow,COUNTIF(_xlpm.FRange,"ECA / Shoreline")&gt;0,$D114&lt;&gt;"",$E114&lt;&gt;"",$N114=""),
Error!$B$55,
IF(AND(_xlpm.baseRow,$D114&lt;&gt;"",$E114&lt;&gt;"",COUNTBLANK($B114:$C114)&gt;0,COUNTBLANK($F114:$F117)&lt;&gt;4),
Error!$B$22,
IF(AND(_xlpm.baseRow,$D114="Right-of-Way", $E114=""),
Error!$B$67,
IF(AND(_xlpm.baseRow,$D114&lt;&gt;"",ISNA(MATCH($D114,Tables2!$B$66:$B$68,0))),
Error!$B$63,
IF(AND(_xlpm.baseRow,$D114="Off Site",$E114&lt;&gt;"",$E114&lt;&gt;"Yes"),
Error!$B$28,
IF(AND(_xlpm.baseRow,OR($D114="On Site",$D114="Right-of-Way"),$E114&lt;&gt;"",ISNA(MATCH($E114,MultiSelect2[TreeMitigation],0))),
Error!$B$28,
IF(AND(_xlpm.baseRow,$D114&lt;&gt;"",$E114&lt;&gt;"",COUNTIF(_xlpm.FRange,"&lt;&gt;")=0),
Error!$B$26,
IF(AND($E114="No",$F114&lt;&gt;"",ISNA(MATCH($F114,Tables2!$B$55:$B$57,0))),
Error!$B$27,
IF(AND($E114="Yes",$F114&lt;&gt;"",ISNA(MATCH($F114,Tables2!$B$48:$B$52,0))),
Error!$B$27,
IF(AND($D114="Off Site",$E114="Yes",$F114&lt;&gt;"",ISNA(MATCH($F114,Tables2!$B$60:$B$62,0))),
Error!$B$27,
IF(AND(_xlpm.baseRow,_xlpm.Street&gt;0,_xlpm.ECA&gt;0),
Error!$B$29,
IF(AND(_xlpm.baseRow,_xlpm.Street&gt;0,_xlpm.Points&gt;0),
Error!$B$30,
IF(AND(_xlpm.baseRow,_xlpm.Street&gt;0,_xlpm.ReplaceReq&gt;0),
Error!$B$31,
IF(AND(_xlpm.baseRow,$D114&lt;&gt;"",$E114&lt;&gt;"",$G114&lt;&gt;"",_xlpm.DecBroad&gt;0,OR(_xlpm.Points&gt;0,_xlpm.Green&gt;0,_xlpm.ReplaceReq&gt;0),_xlpm.Street=0,$G114&lt;1.5),
Error!$B$42,
IF(AND(_xlpm.baseRow,$D114&lt;&gt;"",$E114&lt;&gt;"",$H114&lt;&gt;"",$H114&lt;4,_xlpm.Street&gt;0,_xlpm.Green&gt;0,COUNTA(_xlpm.FRange)&gt;0),
Error!$B$32,
IF(AND(_xlpm.baseRow,$G114="",_xlpm.ECA&gt;0,_xlpm.DecBroad&gt;0,_xlpm.ReplaceReq&gt;0),
Error!$B$52,
IF(AND(_xlpm.baseRow,$E114&lt;&gt;"", $H114="",_xlpm.ECA&gt;0,_xlpm.Coniferous&gt;0,_xlpm.ReplaceReq&gt;0),
Error!$B$53,
IF(AND(_xlpm.baseRow,$G114="",$H114="",_xlpm.ECA&gt;0,_xlpm.ReplaceReq&gt;0),
Error!$B$39,
IF(AND(_xlpm.baseRow,$D114&lt;&gt;"",$E114&lt;&gt;"",$G114="",$H114="",_xlpm.Coniferous&gt;0,_xlpm.ReplaceReq&gt;0,_xlpm.ECA&gt;0),
Error!$B$50,
IF(AND(_xlpm.baseRow,$D114&lt;&gt;"",$E114&lt;&gt;"",$G114&lt;&gt;"",_xlpm.Street&gt;0,$G114&lt;2),
Error!$B$43,
IF(AND(_xlpm.baseRow,$D114&lt;&gt;"",$E114&lt;&gt;"",_xlpm.Green&gt;0,_xlpm.DecBroad&gt;0,$G114=""),
Error!$B$49,
IF(AND(_xlpm.baseRow,$D114&lt;&gt;"",$E114&lt;&gt;"",$H114&lt;&gt;"",$H114&lt;4,_xlpm.Green&gt;0,_xlpm.DecBroad&gt;0,$G114=""),
Error!$B$51,
IF(AND(_xlpm.baseRow,$D114&lt;&gt;"",$E114&lt;&gt;"",_xlpm.Green&gt;0,_xlpm.Coniferous&gt;0,$H114=""),
Error!$B$50,
IF(AND(_xlpm.baseRow,$D114&lt;&gt;"",$E114&lt;&gt;"",_xlpm.Points&gt;0,_xlpm.DecBroad&gt;0,$G114=""),
Error!$B$49,
IF(AND(_xlpm.baseRow,$D114&lt;&gt;"",$E114&lt;&gt;"",_xlpm.Points&gt;0,_xlpm.Coniferous&gt;0,$H114=""),
Error!$B$50,
IF(AND(_xlpm.baseRow,$D114&lt;&gt;"",$E114&lt;&gt;"",_xlpm.ReplaceReq&gt;0,_xlpm.DecBroad&gt;0,$G114=""),
Error!$B$49,
IF(AND(_xlpm.baseRow,$D114&lt;&gt;"",$E114&lt;&gt;"",_xlpm.ReplaceReq&gt;0,_xlpm.Coniferous&gt;0,$H114=""),
Error!$B$50,
IF(AND(_xlpm.baseRow,$D114&lt;&gt;"",$E114&lt;&gt;"",_xlpm.Street&gt;0,$G114=""),
Error!$B$49,
IF(AND(_xlpm.baseRow,$D114&lt;&gt;"",$E114&lt;&gt;"",$H114&lt;&gt;"",$H114&lt;4,OR(ISNA(MATCH($C114,'Tree List'!$C$3:$C$601,0)),$C114=""),_xlpm.Green&gt;0,COUNTA(_xlpm.FRange)&gt;0),
Error!$B$51,
IF(AND(_xlpm.baseRow,$D114&lt;&gt;"",$E114&lt;&gt;"",$H114&lt;&gt;"",$H114&lt;4,_xlpm.DecBroad&gt;0,_xlpm.Green&gt;0,COUNTA(_xlpm.FRange)&gt;0),
Error!$B$51,
IF(AND(_xlpm.baseRow,$D114&lt;&gt;"",$E114&lt;&gt;"",$G114="",$H114="",OR(_xlpm.ReplaceReq&gt;0,_xlpm.Green&gt;0,_xlpm.Points&gt;0,_xlpm.Street&gt;0)),
Error!$B$38,
IF(AND(_xlpm.baseRow,$D114&lt;&gt;"",$E114&lt;&gt;"",$H114&lt;&gt;"",$H114&lt;4,_xlpm.Street=0,_xlpm.Coniferous&gt;0,COUNTA(_xlpm.FRange)&gt;0),
Error!$B$32,
IF(AND(_xlpm.baseRow,_xlpm.DecBroad&gt;0,$D114&lt;&gt;"",$E114&lt;&gt;"",$G114&lt;&gt;"",$G114&lt;1.5,_xlpm.Street=0,COUNTA(_xlpm.FRange)&gt;0),
Error!$B$42,
IF(AND(_xlpm.baseRow,$I114="",$H114="",_xlpm.ECA&gt;0,_xlpm.ReplaceReq=0),
Error!$B$33,
IF(AND(_xlpm.baseRow,OR($J114="",$J114&lt;=0),_xlpm.ReplaceReq&gt;0),
Error!$B$34,
IF(AND(_xlpm.baseRow,$K114&lt;&gt;"",_xlpm.Points&gt;0,ISNA(MATCH($K114,Tables!$B$242:$B$253,0))),
Error!$B$58,
IF(AND($K114="Small",$L114&lt;&gt;"",ISNA(MATCH($L114,Tables2!$C$35:$C$36,0))),
Error!$B$60,
IF(AND($K114="Small/Medium",$L114&lt;&gt;"",ISNA(MATCH($L114,Tables2!$C$38:$C$39,0))),
Error!$B$60,
IF(AND($K114="Medium/Large",$L114&lt;&gt;"",ISNA(MATCH($L114,Tables2!$C$41:$C$42,0))),
Error!$B$60,
IF(AND($K114="Large",$L114&lt;&gt;"",ISNA(MATCH($L114,Tables2!$C$44:$C$45,0))),
Error!$B$60,
IF(AND(_xlpm.baseRow,$B114&lt;&gt;"", $C114&lt;&gt;"", $D114&lt;&gt;"", $E114&lt;&gt;"", OR($M114="",$K114="",$L114=""),_xlpm.Points&gt;0),
Error!$B$35,
IF(AND(_xlpm.baseRow,$D114&lt;&gt;"",$E114&lt;&gt;"",$N114=""),
Error!$B$36,
""))))))))))))))))))))))))))))))))))))))))))),Error!$B$37))</f>
        <v/>
      </c>
      <c r="P114" s="355" t="str" cm="1">
        <f t="array" aca="1" ref="P114" ca="1">IFERROR(_xlfn.LET(
    _xlpm.txt, $C114,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5" spans="1:16" ht="15" thickBot="1" x14ac:dyDescent="0.35">
      <c r="A115" s="437">
        <v>27</v>
      </c>
      <c r="B115" s="447"/>
      <c r="C115" s="444"/>
      <c r="D115" s="296"/>
      <c r="E115" s="296"/>
      <c r="F115" s="304"/>
      <c r="G115" s="257"/>
      <c r="H115" s="181"/>
      <c r="I115" s="178"/>
      <c r="J115" s="457"/>
      <c r="K115" s="172" t="str">
        <f>IFERROR(
IF(
    AND(
        MOD(ROW()-11,4)=0,
        COUNTIF(INDEX(F:F, 11 + 4*INT((ROW()-11)/4)):INDEX(F:F, 14 + 4*INT((ROW()-11)/4)),"Zoning: Tree Points")&gt;0,
        COUNTIFS('Tree List'!$C$3:$C$601,$C115,'Tree List'!$H$3:$H$601,"sp.")=0
    ),
    VLOOKUP($C115,'Tree List'!$C$3:$F$601,4,FALSE),
    ""
),
"")</f>
        <v/>
      </c>
      <c r="L115" s="173" t="str" cm="1">
        <f t="array" ref="L115">IFERROR(
IF(
    AND(
        COUNTIF(INDEX(F:F, 11 + 4*INT((ROW()-11)/4)):INDEX(F:F, 14 + 4*INT((ROW()-11)/4)),"Zoning: Tree Points")&gt;0,
        COUNTIFS('Tree List'!$C$3:$C$601,$C115,'Tree List'!$H$3:$H$601,"sp.")&gt;0
    ),
    "",
    _xlfn.IFS(
        (COUNTIFS('Tree List'!$C$3:$C$601,$C115,'Tree List'!$D$3:$D$601,"Coniferous")
        + COUNTIFS('Tree List'!$C$3:$C$601,$C115,'Tree List'!$D$3:$D$601,"Deciduous Conifer")) &gt; 0,
            _xlfn.IFS($K115="Small",1.25,$K115="Small/Medium",2.5,$K115="Medium/Large",3.75,$K115="Large",5),
        (COUNTIFS('Tree List'!$C$3:$C$601,$C115,'Tree List'!$D$3:$D$601,"Deciduous")
        + COUNTIFS('Tree List'!$C$3:$C$601,$C115,'Tree List'!$D$3:$D$601,"Broadleaf Evergreen")) &gt; 0,
            _xlfn.IFS($K115="Small",1,$K115="Small/Medium",2,$K115="Medium/Large",3,$K115="Large",4)
    )
),
"")</f>
        <v/>
      </c>
      <c r="M115" s="470" t="str">
        <f t="shared" ref="M115" si="161">IFERROR($L115*$N115,"")</f>
        <v/>
      </c>
      <c r="N115" s="744"/>
      <c r="O115" s="737" t="str" cm="1">
        <f t="array" aca="1" ref="O115"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List'!$C$3:$C$601,$C115,'Tree List'!$D$3:$D$601,{"Deciduous","Broadleaf Evergreen"})),
_xlpm.Coniferous,SUM(COUNTIFS('Tree List'!$C$3:$C$601,$C115,'Tree List'!$D$3:$D$601,{"Coniferous","Deciduous Conifer"})),
IFERROR(
IF(AND(_xlpm.baseRow,ISNA(MATCH($C115,'Tree List'!$C$3:$C$601,0)),SUMPRODUCT(--ISNUMBER(SEARCH(Tables2!$C$677:$C$825,$P115)))&gt;0),
Error!$B$64,
IF(AND(_xlpm.baseRow,COUNTIF(_xlpm.FRange,"ECA / Shoreline")&gt;0,$D115&lt;&gt;"",$E115&lt;&gt;"",$N115=""),
Error!$B$55,
IF(AND(_xlpm.baseRow,$D115&lt;&gt;"",$E115&lt;&gt;"",COUNTBLANK($B115:$C115)&gt;0,COUNTBLANK($F115:$F118)&lt;&gt;4),
Error!$B$22,
IF(AND(_xlpm.baseRow,$D115="Right-of-Way", $E115=""),
Error!$B$67,
IF(AND(_xlpm.baseRow,$D115&lt;&gt;"",ISNA(MATCH($D115,Tables2!$B$66:$B$68,0))),
Error!$B$63,
IF(AND(_xlpm.baseRow,$D115="Off Site",$E115&lt;&gt;"",$E115&lt;&gt;"Yes"),
Error!$B$28,
IF(AND(_xlpm.baseRow,OR($D115="On Site",$D115="Right-of-Way"),$E115&lt;&gt;"",ISNA(MATCH($E115,MultiSelect2[TreeMitigation],0))),
Error!$B$28,
IF(AND(_xlpm.baseRow,$D115&lt;&gt;"",$E115&lt;&gt;"",COUNTIF(_xlpm.FRange,"&lt;&gt;")=0),
Error!$B$26,
IF(AND($E115="No",$F115&lt;&gt;"",ISNA(MATCH($F115,Tables2!$B$55:$B$57,0))),
Error!$B$27,
IF(AND($E115="Yes",$F115&lt;&gt;"",ISNA(MATCH($F115,Tables2!$B$48:$B$52,0))),
Error!$B$27,
IF(AND($D115="Off Site",$E115="Yes",$F115&lt;&gt;"",ISNA(MATCH($F115,Tables2!$B$60:$B$62,0))),
Error!$B$27,
IF(AND(_xlpm.baseRow,_xlpm.Street&gt;0,_xlpm.ECA&gt;0),
Error!$B$29,
IF(AND(_xlpm.baseRow,_xlpm.Street&gt;0,_xlpm.Points&gt;0),
Error!$B$30,
IF(AND(_xlpm.baseRow,_xlpm.Street&gt;0,_xlpm.ReplaceReq&gt;0),
Error!$B$31,
IF(AND(_xlpm.baseRow,$D115&lt;&gt;"",$E115&lt;&gt;"",$G115&lt;&gt;"",_xlpm.DecBroad&gt;0,OR(_xlpm.Points&gt;0,_xlpm.Green&gt;0,_xlpm.ReplaceReq&gt;0),_xlpm.Street=0,$G115&lt;1.5),
Error!$B$42,
IF(AND(_xlpm.baseRow,$D115&lt;&gt;"",$E115&lt;&gt;"",$H115&lt;&gt;"",$H115&lt;4,_xlpm.Street&gt;0,_xlpm.Green&gt;0,COUNTA(_xlpm.FRange)&gt;0),
Error!$B$32,
IF(AND(_xlpm.baseRow,$G115="",_xlpm.ECA&gt;0,_xlpm.DecBroad&gt;0,_xlpm.ReplaceReq&gt;0),
Error!$B$52,
IF(AND(_xlpm.baseRow,$E115&lt;&gt;"", $H115="",_xlpm.ECA&gt;0,_xlpm.Coniferous&gt;0,_xlpm.ReplaceReq&gt;0),
Error!$B$53,
IF(AND(_xlpm.baseRow,$G115="",$H115="",_xlpm.ECA&gt;0,_xlpm.ReplaceReq&gt;0),
Error!$B$39,
IF(AND(_xlpm.baseRow,$D115&lt;&gt;"",$E115&lt;&gt;"",$G115="",$H115="",_xlpm.Coniferous&gt;0,_xlpm.ReplaceReq&gt;0,_xlpm.ECA&gt;0),
Error!$B$50,
IF(AND(_xlpm.baseRow,$D115&lt;&gt;"",$E115&lt;&gt;"",$G115&lt;&gt;"",_xlpm.Street&gt;0,$G115&lt;2),
Error!$B$43,
IF(AND(_xlpm.baseRow,$D115&lt;&gt;"",$E115&lt;&gt;"",_xlpm.Green&gt;0,_xlpm.DecBroad&gt;0,$G115=""),
Error!$B$49,
IF(AND(_xlpm.baseRow,$D115&lt;&gt;"",$E115&lt;&gt;"",$H115&lt;&gt;"",$H115&lt;4,_xlpm.Green&gt;0,_xlpm.DecBroad&gt;0,$G115=""),
Error!$B$51,
IF(AND(_xlpm.baseRow,$D115&lt;&gt;"",$E115&lt;&gt;"",_xlpm.Green&gt;0,_xlpm.Coniferous&gt;0,$H115=""),
Error!$B$50,
IF(AND(_xlpm.baseRow,$D115&lt;&gt;"",$E115&lt;&gt;"",_xlpm.Points&gt;0,_xlpm.DecBroad&gt;0,$G115=""),
Error!$B$49,
IF(AND(_xlpm.baseRow,$D115&lt;&gt;"",$E115&lt;&gt;"",_xlpm.Points&gt;0,_xlpm.Coniferous&gt;0,$H115=""),
Error!$B$50,
IF(AND(_xlpm.baseRow,$D115&lt;&gt;"",$E115&lt;&gt;"",_xlpm.ReplaceReq&gt;0,_xlpm.DecBroad&gt;0,$G115=""),
Error!$B$49,
IF(AND(_xlpm.baseRow,$D115&lt;&gt;"",$E115&lt;&gt;"",_xlpm.ReplaceReq&gt;0,_xlpm.Coniferous&gt;0,$H115=""),
Error!$B$50,
IF(AND(_xlpm.baseRow,$D115&lt;&gt;"",$E115&lt;&gt;"",_xlpm.Street&gt;0,$G115=""),
Error!$B$49,
IF(AND(_xlpm.baseRow,$D115&lt;&gt;"",$E115&lt;&gt;"",$H115&lt;&gt;"",$H115&lt;4,OR(ISNA(MATCH($C115,'Tree List'!$C$3:$C$601,0)),$C115=""),_xlpm.Green&gt;0,COUNTA(_xlpm.FRange)&gt;0),
Error!$B$51,
IF(AND(_xlpm.baseRow,$D115&lt;&gt;"",$E115&lt;&gt;"",$H115&lt;&gt;"",$H115&lt;4,_xlpm.DecBroad&gt;0,_xlpm.Green&gt;0,COUNTA(_xlpm.FRange)&gt;0),
Error!$B$51,
IF(AND(_xlpm.baseRow,$D115&lt;&gt;"",$E115&lt;&gt;"",$G115="",$H115="",OR(_xlpm.ReplaceReq&gt;0,_xlpm.Green&gt;0,_xlpm.Points&gt;0,_xlpm.Street&gt;0)),
Error!$B$38,
IF(AND(_xlpm.baseRow,$D115&lt;&gt;"",$E115&lt;&gt;"",$H115&lt;&gt;"",$H115&lt;4,_xlpm.Street=0,_xlpm.Coniferous&gt;0,COUNTA(_xlpm.FRange)&gt;0),
Error!$B$32,
IF(AND(_xlpm.baseRow,_xlpm.DecBroad&gt;0,$D115&lt;&gt;"",$E115&lt;&gt;"",$G115&lt;&gt;"",$G115&lt;1.5,_xlpm.Street=0,COUNTA(_xlpm.FRange)&gt;0),
Error!$B$42,
IF(AND(_xlpm.baseRow,$I115="",$H115="",_xlpm.ECA&gt;0,_xlpm.ReplaceReq=0),
Error!$B$33,
IF(AND(_xlpm.baseRow,OR($J115="",$J115&lt;=0),_xlpm.ReplaceReq&gt;0),
Error!$B$34,
IF(AND(_xlpm.baseRow,$K115&lt;&gt;"",_xlpm.Points&gt;0,ISNA(MATCH($K115,Tables!$B$242:$B$253,0))),
Error!$B$58,
IF(AND($K115="Small",$L115&lt;&gt;"",ISNA(MATCH($L115,Tables2!$C$35:$C$36,0))),
Error!$B$60,
IF(AND($K115="Small/Medium",$L115&lt;&gt;"",ISNA(MATCH($L115,Tables2!$C$38:$C$39,0))),
Error!$B$60,
IF(AND($K115="Medium/Large",$L115&lt;&gt;"",ISNA(MATCH($L115,Tables2!$C$41:$C$42,0))),
Error!$B$60,
IF(AND($K115="Large",$L115&lt;&gt;"",ISNA(MATCH($L115,Tables2!$C$44:$C$45,0))),
Error!$B$60,
IF(AND(_xlpm.baseRow,$B115&lt;&gt;"", $C115&lt;&gt;"", $D115&lt;&gt;"", $E115&lt;&gt;"", OR($M115="",$K115="",$L115=""),_xlpm.Points&gt;0),
Error!$B$35,
IF(AND(_xlpm.baseRow,$D115&lt;&gt;"",$E115&lt;&gt;"",$N115=""),
Error!$B$36,
""))))))))))))))))))))))))))))))))))))))))))),Error!$B$37))</f>
        <v/>
      </c>
      <c r="P115" s="355" t="str" cm="1">
        <f t="array" aca="1" ref="P115" ca="1">IFERROR(_xlfn.LET(
    _xlpm.txt, $C115,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6" spans="1:16" x14ac:dyDescent="0.3">
      <c r="A116" s="297"/>
      <c r="B116" s="439" t="str">
        <f t="shared" ref="B116" si="162">IF($B115="", "", $B115)</f>
        <v/>
      </c>
      <c r="C116" s="309"/>
      <c r="D116" s="157" t="str">
        <f t="shared" ref="D116" si="163">IF($D115="", "", $D115)</f>
        <v/>
      </c>
      <c r="E116" s="157" t="str">
        <f t="shared" ref="E116" si="164">IF($E115="", "", $E115)</f>
        <v/>
      </c>
      <c r="F116" s="300"/>
      <c r="G116" s="159"/>
      <c r="H116" s="182"/>
      <c r="I116" s="179"/>
      <c r="J116" s="458"/>
      <c r="K116" s="174" t="str">
        <f>IFERROR(
IF(
    AND(
        MOD(ROW()-11,4)=0,
        COUNTIF(INDEX(F:F, 11 + 4*INT((ROW()-11)/4)):INDEX(F:F, 14 + 4*INT((ROW()-11)/4)),"Zoning: Tree Points")&gt;0,
        COUNTIFS('Tree List'!$C$3:$C$601,$C116,'Tree List'!$H$3:$H$601,"sp.")=0
    ),
    VLOOKUP($C116,'Tree List'!$C$3:$F$601,4,FALSE),
    ""
),
"")</f>
        <v/>
      </c>
      <c r="L116" s="175" t="str" cm="1">
        <f t="array" ref="L116">IFERROR(
IF(
    AND(
        COUNTIF(INDEX(F:F, 11 + 4*INT((ROW()-11)/4)):INDEX(F:F, 14 + 4*INT((ROW()-11)/4)),"Zoning: Tree Points")&gt;0,
        COUNTIFS('Tree List'!$C$3:$C$601,$C116,'Tree List'!$H$3:$H$601,"sp.")&gt;0
    ),
    "",
    _xlfn.IFS(
        (COUNTIFS('Tree List'!$C$3:$C$601,$C116,'Tree List'!$D$3:$D$601,"Coniferous")
        + COUNTIFS('Tree List'!$C$3:$C$601,$C116,'Tree List'!$D$3:$D$601,"Deciduous Conifer")) &gt; 0,
            _xlfn.IFS($K116="Small",1.25,$K116="Small/Medium",2.5,$K116="Medium/Large",3.75,$K116="Large",5),
        (COUNTIFS('Tree List'!$C$3:$C$601,$C116,'Tree List'!$D$3:$D$601,"Deciduous")
        + COUNTIFS('Tree List'!$C$3:$C$601,$C116,'Tree List'!$D$3:$D$601,"Broadleaf Evergreen")) &gt; 0,
            _xlfn.IFS($K116="Small",1,$K116="Small/Medium",2,$K116="Medium/Large",3,$K116="Large",4)
    )
),
"")</f>
        <v/>
      </c>
      <c r="M116" s="471" t="str">
        <f t="shared" ref="M116:M118" si="165">IFERROR($L116*$N116,"")</f>
        <v/>
      </c>
      <c r="N116" s="434"/>
      <c r="O116" s="340" t="str" cm="1">
        <f t="array" aca="1" ref="O116"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List'!$C$3:$C$601,$C116,'Tree List'!$D$3:$D$601,{"Deciduous","Broadleaf Evergreen"})),
_xlpm.Coniferous,SUM(COUNTIFS('Tree List'!$C$3:$C$601,$C116,'Tree List'!$D$3:$D$601,{"Coniferous","Deciduous Conifer"})),
IFERROR(
IF(AND(_xlpm.baseRow,ISNA(MATCH($C116,'Tree List'!$C$3:$C$601,0)),SUMPRODUCT(--ISNUMBER(SEARCH(Tables2!$C$677:$C$825,$P116)))&gt;0),
Error!$B$64,
IF(AND(_xlpm.baseRow,COUNTIF(_xlpm.FRange,"ECA / Shoreline")&gt;0,$D116&lt;&gt;"",$E116&lt;&gt;"",$N116=""),
Error!$B$55,
IF(AND(_xlpm.baseRow,$D116&lt;&gt;"",$E116&lt;&gt;"",COUNTBLANK($B116:$C116)&gt;0,COUNTBLANK($F116:$F119)&lt;&gt;4),
Error!$B$22,
IF(AND(_xlpm.baseRow,$D116="Right-of-Way", $E116=""),
Error!$B$67,
IF(AND(_xlpm.baseRow,$D116&lt;&gt;"",ISNA(MATCH($D116,Tables2!$B$66:$B$68,0))),
Error!$B$63,
IF(AND(_xlpm.baseRow,$D116="Off Site",$E116&lt;&gt;"",$E116&lt;&gt;"Yes"),
Error!$B$28,
IF(AND(_xlpm.baseRow,OR($D116="On Site",$D116="Right-of-Way"),$E116&lt;&gt;"",ISNA(MATCH($E116,MultiSelect2[TreeMitigation],0))),
Error!$B$28,
IF(AND(_xlpm.baseRow,$D116&lt;&gt;"",$E116&lt;&gt;"",COUNTIF(_xlpm.FRange,"&lt;&gt;")=0),
Error!$B$26,
IF(AND($E116="No",$F116&lt;&gt;"",ISNA(MATCH($F116,Tables2!$B$55:$B$57,0))),
Error!$B$27,
IF(AND($E116="Yes",$F116&lt;&gt;"",ISNA(MATCH($F116,Tables2!$B$48:$B$52,0))),
Error!$B$27,
IF(AND($D116="Off Site",$E116="Yes",$F116&lt;&gt;"",ISNA(MATCH($F116,Tables2!$B$60:$B$62,0))),
Error!$B$27,
IF(AND(_xlpm.baseRow,_xlpm.Street&gt;0,_xlpm.ECA&gt;0),
Error!$B$29,
IF(AND(_xlpm.baseRow,_xlpm.Street&gt;0,_xlpm.Points&gt;0),
Error!$B$30,
IF(AND(_xlpm.baseRow,_xlpm.Street&gt;0,_xlpm.ReplaceReq&gt;0),
Error!$B$31,
IF(AND(_xlpm.baseRow,$D116&lt;&gt;"",$E116&lt;&gt;"",$G116&lt;&gt;"",_xlpm.DecBroad&gt;0,OR(_xlpm.Points&gt;0,_xlpm.Green&gt;0,_xlpm.ReplaceReq&gt;0),_xlpm.Street=0,$G116&lt;1.5),
Error!$B$42,
IF(AND(_xlpm.baseRow,$D116&lt;&gt;"",$E116&lt;&gt;"",$H116&lt;&gt;"",$H116&lt;4,_xlpm.Street&gt;0,_xlpm.Green&gt;0,COUNTA(_xlpm.FRange)&gt;0),
Error!$B$32,
IF(AND(_xlpm.baseRow,$G116="",_xlpm.ECA&gt;0,_xlpm.DecBroad&gt;0,_xlpm.ReplaceReq&gt;0),
Error!$B$52,
IF(AND(_xlpm.baseRow,$E116&lt;&gt;"", $H116="",_xlpm.ECA&gt;0,_xlpm.Coniferous&gt;0,_xlpm.ReplaceReq&gt;0),
Error!$B$53,
IF(AND(_xlpm.baseRow,$G116="",$H116="",_xlpm.ECA&gt;0,_xlpm.ReplaceReq&gt;0),
Error!$B$39,
IF(AND(_xlpm.baseRow,$D116&lt;&gt;"",$E116&lt;&gt;"",$G116="",$H116="",_xlpm.Coniferous&gt;0,_xlpm.ReplaceReq&gt;0,_xlpm.ECA&gt;0),
Error!$B$50,
IF(AND(_xlpm.baseRow,$D116&lt;&gt;"",$E116&lt;&gt;"",$G116&lt;&gt;"",_xlpm.Street&gt;0,$G116&lt;2),
Error!$B$43,
IF(AND(_xlpm.baseRow,$D116&lt;&gt;"",$E116&lt;&gt;"",_xlpm.Green&gt;0,_xlpm.DecBroad&gt;0,$G116=""),
Error!$B$49,
IF(AND(_xlpm.baseRow,$D116&lt;&gt;"",$E116&lt;&gt;"",$H116&lt;&gt;"",$H116&lt;4,_xlpm.Green&gt;0,_xlpm.DecBroad&gt;0,$G116=""),
Error!$B$51,
IF(AND(_xlpm.baseRow,$D116&lt;&gt;"",$E116&lt;&gt;"",_xlpm.Green&gt;0,_xlpm.Coniferous&gt;0,$H116=""),
Error!$B$50,
IF(AND(_xlpm.baseRow,$D116&lt;&gt;"",$E116&lt;&gt;"",_xlpm.Points&gt;0,_xlpm.DecBroad&gt;0,$G116=""),
Error!$B$49,
IF(AND(_xlpm.baseRow,$D116&lt;&gt;"",$E116&lt;&gt;"",_xlpm.Points&gt;0,_xlpm.Coniferous&gt;0,$H116=""),
Error!$B$50,
IF(AND(_xlpm.baseRow,$D116&lt;&gt;"",$E116&lt;&gt;"",_xlpm.ReplaceReq&gt;0,_xlpm.DecBroad&gt;0,$G116=""),
Error!$B$49,
IF(AND(_xlpm.baseRow,$D116&lt;&gt;"",$E116&lt;&gt;"",_xlpm.ReplaceReq&gt;0,_xlpm.Coniferous&gt;0,$H116=""),
Error!$B$50,
IF(AND(_xlpm.baseRow,$D116&lt;&gt;"",$E116&lt;&gt;"",_xlpm.Street&gt;0,$G116=""),
Error!$B$49,
IF(AND(_xlpm.baseRow,$D116&lt;&gt;"",$E116&lt;&gt;"",$H116&lt;&gt;"",$H116&lt;4,OR(ISNA(MATCH($C116,'Tree List'!$C$3:$C$601,0)),$C116=""),_xlpm.Green&gt;0,COUNTA(_xlpm.FRange)&gt;0),
Error!$B$51,
IF(AND(_xlpm.baseRow,$D116&lt;&gt;"",$E116&lt;&gt;"",$H116&lt;&gt;"",$H116&lt;4,_xlpm.DecBroad&gt;0,_xlpm.Green&gt;0,COUNTA(_xlpm.FRange)&gt;0),
Error!$B$51,
IF(AND(_xlpm.baseRow,$D116&lt;&gt;"",$E116&lt;&gt;"",$G116="",$H116="",OR(_xlpm.ReplaceReq&gt;0,_xlpm.Green&gt;0,_xlpm.Points&gt;0,_xlpm.Street&gt;0)),
Error!$B$38,
IF(AND(_xlpm.baseRow,$D116&lt;&gt;"",$E116&lt;&gt;"",$H116&lt;&gt;"",$H116&lt;4,_xlpm.Street=0,_xlpm.Coniferous&gt;0,COUNTA(_xlpm.FRange)&gt;0),
Error!$B$32,
IF(AND(_xlpm.baseRow,_xlpm.DecBroad&gt;0,$D116&lt;&gt;"",$E116&lt;&gt;"",$G116&lt;&gt;"",$G116&lt;1.5,_xlpm.Street=0,COUNTA(_xlpm.FRange)&gt;0),
Error!$B$42,
IF(AND(_xlpm.baseRow,$I116="",$H116="",_xlpm.ECA&gt;0,_xlpm.ReplaceReq=0),
Error!$B$33,
IF(AND(_xlpm.baseRow,OR($J116="",$J116&lt;=0),_xlpm.ReplaceReq&gt;0),
Error!$B$34,
IF(AND(_xlpm.baseRow,$K116&lt;&gt;"",_xlpm.Points&gt;0,ISNA(MATCH($K116,Tables!$B$242:$B$253,0))),
Error!$B$58,
IF(AND($K116="Small",$L116&lt;&gt;"",ISNA(MATCH($L116,Tables2!$C$35:$C$36,0))),
Error!$B$60,
IF(AND($K116="Small/Medium",$L116&lt;&gt;"",ISNA(MATCH($L116,Tables2!$C$38:$C$39,0))),
Error!$B$60,
IF(AND($K116="Medium/Large",$L116&lt;&gt;"",ISNA(MATCH($L116,Tables2!$C$41:$C$42,0))),
Error!$B$60,
IF(AND($K116="Large",$L116&lt;&gt;"",ISNA(MATCH($L116,Tables2!$C$44:$C$45,0))),
Error!$B$60,
IF(AND(_xlpm.baseRow,$B116&lt;&gt;"", $C116&lt;&gt;"", $D116&lt;&gt;"", $E116&lt;&gt;"", OR($M116="",$K116="",$L116=""),_xlpm.Points&gt;0),
Error!$B$35,
IF(AND(_xlpm.baseRow,$D116&lt;&gt;"",$E116&lt;&gt;"",$N116=""),
Error!$B$36,
""))))))))))))))))))))))))))))))))))))))))))),Error!$B$37))</f>
        <v/>
      </c>
      <c r="P116" s="355" t="str" cm="1">
        <f t="array" aca="1" ref="P116" ca="1">IFERROR(_xlfn.LET(
    _xlpm.txt, $C116,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7" spans="1:16" x14ac:dyDescent="0.3">
      <c r="A117" s="297"/>
      <c r="B117" s="439" t="str">
        <f t="shared" ref="B117" si="166">IF($B115="", "", $B115)</f>
        <v/>
      </c>
      <c r="C117" s="438"/>
      <c r="D117" s="439" t="str">
        <f t="shared" ref="D117" si="167">IF($D115="", "", $D115)</f>
        <v/>
      </c>
      <c r="E117" s="439" t="str">
        <f t="shared" ref="E117" si="168">IF($E115="", "", $E115)</f>
        <v/>
      </c>
      <c r="F117" s="300"/>
      <c r="G117" s="160"/>
      <c r="H117" s="440"/>
      <c r="I117" s="441"/>
      <c r="J117" s="459"/>
      <c r="K117" s="442" t="str">
        <f>IFERROR(
IF(
    AND(
        MOD(ROW()-11,4)=0,
        COUNTIF(INDEX(F:F, 11 + 4*INT((ROW()-11)/4)):INDEX(F:F, 14 + 4*INT((ROW()-11)/4)),"Zoning: Tree Points")&gt;0,
        COUNTIFS('Tree List'!$C$3:$C$601,$C117,'Tree List'!$H$3:$H$601,"sp.")=0
    ),
    VLOOKUP($C117,'Tree List'!$C$3:$F$601,4,FALSE),
    ""
),
"")</f>
        <v/>
      </c>
      <c r="L117" s="443" t="str" cm="1">
        <f t="array" ref="L117">IFERROR(
IF(
    AND(
        COUNTIF(INDEX(F:F, 11 + 4*INT((ROW()-11)/4)):INDEX(F:F, 14 + 4*INT((ROW()-11)/4)),"Zoning: Tree Points")&gt;0,
        COUNTIFS('Tree List'!$C$3:$C$601,$C117,'Tree List'!$H$3:$H$601,"sp.")&gt;0
    ),
    "",
    _xlfn.IFS(
        (COUNTIFS('Tree List'!$C$3:$C$601,$C117,'Tree List'!$D$3:$D$601,"Coniferous")
        + COUNTIFS('Tree List'!$C$3:$C$601,$C117,'Tree List'!$D$3:$D$601,"Deciduous Conifer")) &gt; 0,
            _xlfn.IFS($K117="Small",1.25,$K117="Small/Medium",2.5,$K117="Medium/Large",3.75,$K117="Large",5),
        (COUNTIFS('Tree List'!$C$3:$C$601,$C117,'Tree List'!$D$3:$D$601,"Deciduous")
        + COUNTIFS('Tree List'!$C$3:$C$601,$C117,'Tree List'!$D$3:$D$601,"Broadleaf Evergreen")) &gt; 0,
            _xlfn.IFS($K117="Small",1,$K117="Small/Medium",2,$K117="Medium/Large",3,$K117="Large",4)
    )
),
"")</f>
        <v/>
      </c>
      <c r="M117" s="472" t="str">
        <f t="shared" si="165"/>
        <v/>
      </c>
      <c r="N117" s="434"/>
      <c r="O117" s="340" t="str" cm="1">
        <f t="array" aca="1" ref="O117"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List'!$C$3:$C$601,$C117,'Tree List'!$D$3:$D$601,{"Deciduous","Broadleaf Evergreen"})),
_xlpm.Coniferous,SUM(COUNTIFS('Tree List'!$C$3:$C$601,$C117,'Tree List'!$D$3:$D$601,{"Coniferous","Deciduous Conifer"})),
IFERROR(
IF(AND(_xlpm.baseRow,ISNA(MATCH($C117,'Tree List'!$C$3:$C$601,0)),SUMPRODUCT(--ISNUMBER(SEARCH(Tables2!$C$677:$C$825,$P117)))&gt;0),
Error!$B$64,
IF(AND(_xlpm.baseRow,COUNTIF(_xlpm.FRange,"ECA / Shoreline")&gt;0,$D117&lt;&gt;"",$E117&lt;&gt;"",$N117=""),
Error!$B$55,
IF(AND(_xlpm.baseRow,$D117&lt;&gt;"",$E117&lt;&gt;"",COUNTBLANK($B117:$C117)&gt;0,COUNTBLANK($F117:$F120)&lt;&gt;4),
Error!$B$22,
IF(AND(_xlpm.baseRow,$D117="Right-of-Way", $E117=""),
Error!$B$67,
IF(AND(_xlpm.baseRow,$D117&lt;&gt;"",ISNA(MATCH($D117,Tables2!$B$66:$B$68,0))),
Error!$B$63,
IF(AND(_xlpm.baseRow,$D117="Off Site",$E117&lt;&gt;"",$E117&lt;&gt;"Yes"),
Error!$B$28,
IF(AND(_xlpm.baseRow,OR($D117="On Site",$D117="Right-of-Way"),$E117&lt;&gt;"",ISNA(MATCH($E117,MultiSelect2[TreeMitigation],0))),
Error!$B$28,
IF(AND(_xlpm.baseRow,$D117&lt;&gt;"",$E117&lt;&gt;"",COUNTIF(_xlpm.FRange,"&lt;&gt;")=0),
Error!$B$26,
IF(AND($E117="No",$F117&lt;&gt;"",ISNA(MATCH($F117,Tables2!$B$55:$B$57,0))),
Error!$B$27,
IF(AND($E117="Yes",$F117&lt;&gt;"",ISNA(MATCH($F117,Tables2!$B$48:$B$52,0))),
Error!$B$27,
IF(AND($D117="Off Site",$E117="Yes",$F117&lt;&gt;"",ISNA(MATCH($F117,Tables2!$B$60:$B$62,0))),
Error!$B$27,
IF(AND(_xlpm.baseRow,_xlpm.Street&gt;0,_xlpm.ECA&gt;0),
Error!$B$29,
IF(AND(_xlpm.baseRow,_xlpm.Street&gt;0,_xlpm.Points&gt;0),
Error!$B$30,
IF(AND(_xlpm.baseRow,_xlpm.Street&gt;0,_xlpm.ReplaceReq&gt;0),
Error!$B$31,
IF(AND(_xlpm.baseRow,$D117&lt;&gt;"",$E117&lt;&gt;"",$G117&lt;&gt;"",_xlpm.DecBroad&gt;0,OR(_xlpm.Points&gt;0,_xlpm.Green&gt;0,_xlpm.ReplaceReq&gt;0),_xlpm.Street=0,$G117&lt;1.5),
Error!$B$42,
IF(AND(_xlpm.baseRow,$D117&lt;&gt;"",$E117&lt;&gt;"",$H117&lt;&gt;"",$H117&lt;4,_xlpm.Street&gt;0,_xlpm.Green&gt;0,COUNTA(_xlpm.FRange)&gt;0),
Error!$B$32,
IF(AND(_xlpm.baseRow,$G117="",_xlpm.ECA&gt;0,_xlpm.DecBroad&gt;0,_xlpm.ReplaceReq&gt;0),
Error!$B$52,
IF(AND(_xlpm.baseRow,$E117&lt;&gt;"", $H117="",_xlpm.ECA&gt;0,_xlpm.Coniferous&gt;0,_xlpm.ReplaceReq&gt;0),
Error!$B$53,
IF(AND(_xlpm.baseRow,$G117="",$H117="",_xlpm.ECA&gt;0,_xlpm.ReplaceReq&gt;0),
Error!$B$39,
IF(AND(_xlpm.baseRow,$D117&lt;&gt;"",$E117&lt;&gt;"",$G117="",$H117="",_xlpm.Coniferous&gt;0,_xlpm.ReplaceReq&gt;0,_xlpm.ECA&gt;0),
Error!$B$50,
IF(AND(_xlpm.baseRow,$D117&lt;&gt;"",$E117&lt;&gt;"",$G117&lt;&gt;"",_xlpm.Street&gt;0,$G117&lt;2),
Error!$B$43,
IF(AND(_xlpm.baseRow,$D117&lt;&gt;"",$E117&lt;&gt;"",_xlpm.Green&gt;0,_xlpm.DecBroad&gt;0,$G117=""),
Error!$B$49,
IF(AND(_xlpm.baseRow,$D117&lt;&gt;"",$E117&lt;&gt;"",$H117&lt;&gt;"",$H117&lt;4,_xlpm.Green&gt;0,_xlpm.DecBroad&gt;0,$G117=""),
Error!$B$51,
IF(AND(_xlpm.baseRow,$D117&lt;&gt;"",$E117&lt;&gt;"",_xlpm.Green&gt;0,_xlpm.Coniferous&gt;0,$H117=""),
Error!$B$50,
IF(AND(_xlpm.baseRow,$D117&lt;&gt;"",$E117&lt;&gt;"",_xlpm.Points&gt;0,_xlpm.DecBroad&gt;0,$G117=""),
Error!$B$49,
IF(AND(_xlpm.baseRow,$D117&lt;&gt;"",$E117&lt;&gt;"",_xlpm.Points&gt;0,_xlpm.Coniferous&gt;0,$H117=""),
Error!$B$50,
IF(AND(_xlpm.baseRow,$D117&lt;&gt;"",$E117&lt;&gt;"",_xlpm.ReplaceReq&gt;0,_xlpm.DecBroad&gt;0,$G117=""),
Error!$B$49,
IF(AND(_xlpm.baseRow,$D117&lt;&gt;"",$E117&lt;&gt;"",_xlpm.ReplaceReq&gt;0,_xlpm.Coniferous&gt;0,$H117=""),
Error!$B$50,
IF(AND(_xlpm.baseRow,$D117&lt;&gt;"",$E117&lt;&gt;"",_xlpm.Street&gt;0,$G117=""),
Error!$B$49,
IF(AND(_xlpm.baseRow,$D117&lt;&gt;"",$E117&lt;&gt;"",$H117&lt;&gt;"",$H117&lt;4,OR(ISNA(MATCH($C117,'Tree List'!$C$3:$C$601,0)),$C117=""),_xlpm.Green&gt;0,COUNTA(_xlpm.FRange)&gt;0),
Error!$B$51,
IF(AND(_xlpm.baseRow,$D117&lt;&gt;"",$E117&lt;&gt;"",$H117&lt;&gt;"",$H117&lt;4,_xlpm.DecBroad&gt;0,_xlpm.Green&gt;0,COUNTA(_xlpm.FRange)&gt;0),
Error!$B$51,
IF(AND(_xlpm.baseRow,$D117&lt;&gt;"",$E117&lt;&gt;"",$G117="",$H117="",OR(_xlpm.ReplaceReq&gt;0,_xlpm.Green&gt;0,_xlpm.Points&gt;0,_xlpm.Street&gt;0)),
Error!$B$38,
IF(AND(_xlpm.baseRow,$D117&lt;&gt;"",$E117&lt;&gt;"",$H117&lt;&gt;"",$H117&lt;4,_xlpm.Street=0,_xlpm.Coniferous&gt;0,COUNTA(_xlpm.FRange)&gt;0),
Error!$B$32,
IF(AND(_xlpm.baseRow,_xlpm.DecBroad&gt;0,$D117&lt;&gt;"",$E117&lt;&gt;"",$G117&lt;&gt;"",$G117&lt;1.5,_xlpm.Street=0,COUNTA(_xlpm.FRange)&gt;0),
Error!$B$42,
IF(AND(_xlpm.baseRow,$I117="",$H117="",_xlpm.ECA&gt;0,_xlpm.ReplaceReq=0),
Error!$B$33,
IF(AND(_xlpm.baseRow,OR($J117="",$J117&lt;=0),_xlpm.ReplaceReq&gt;0),
Error!$B$34,
IF(AND(_xlpm.baseRow,$K117&lt;&gt;"",_xlpm.Points&gt;0,ISNA(MATCH($K117,Tables!$B$242:$B$253,0))),
Error!$B$58,
IF(AND($K117="Small",$L117&lt;&gt;"",ISNA(MATCH($L117,Tables2!$C$35:$C$36,0))),
Error!$B$60,
IF(AND($K117="Small/Medium",$L117&lt;&gt;"",ISNA(MATCH($L117,Tables2!$C$38:$C$39,0))),
Error!$B$60,
IF(AND($K117="Medium/Large",$L117&lt;&gt;"",ISNA(MATCH($L117,Tables2!$C$41:$C$42,0))),
Error!$B$60,
IF(AND($K117="Large",$L117&lt;&gt;"",ISNA(MATCH($L117,Tables2!$C$44:$C$45,0))),
Error!$B$60,
IF(AND(_xlpm.baseRow,$B117&lt;&gt;"", $C117&lt;&gt;"", $D117&lt;&gt;"", $E117&lt;&gt;"", OR($M117="",$K117="",$L117=""),_xlpm.Points&gt;0),
Error!$B$35,
IF(AND(_xlpm.baseRow,$D117&lt;&gt;"",$E117&lt;&gt;"",$N117=""),
Error!$B$36,
""))))))))))))))))))))))))))))))))))))))))))),Error!$B$37))</f>
        <v/>
      </c>
      <c r="P117" s="355" t="str" cm="1">
        <f t="array" aca="1" ref="P117" ca="1">IFERROR(_xlfn.LET(
    _xlpm.txt, $C117,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8" spans="1:16" ht="15" thickBot="1" x14ac:dyDescent="0.35">
      <c r="A118" s="298"/>
      <c r="B118" s="439" t="str">
        <f t="shared" ref="B118" si="169">IF($B115="", "", $B115)</f>
        <v/>
      </c>
      <c r="C118" s="310"/>
      <c r="D118" s="154" t="str">
        <f t="shared" ref="D118" si="170">IF($D115="", "", $D115)</f>
        <v/>
      </c>
      <c r="E118" s="154" t="str">
        <f t="shared" ref="E118" si="171">IF($E115="", "", $E115)</f>
        <v/>
      </c>
      <c r="F118" s="302"/>
      <c r="G118" s="161"/>
      <c r="H118" s="183"/>
      <c r="I118" s="180"/>
      <c r="J118" s="460"/>
      <c r="K118" s="176" t="str">
        <f>IFERROR(
IF(
    AND(
        MOD(ROW()-11,4)=0,
        COUNTIF(INDEX(F:F, 11 + 4*INT((ROW()-11)/4)):INDEX(F:F, 14 + 4*INT((ROW()-11)/4)),"Zoning: Tree Points")&gt;0,
        COUNTIFS('Tree List'!$C$3:$C$601,$C118,'Tree List'!$H$3:$H$601,"sp.")=0
    ),
    VLOOKUP($C118,'Tree List'!$C$3:$F$601,4,FALSE),
    ""
),
"")</f>
        <v/>
      </c>
      <c r="L118" s="177" t="str" cm="1">
        <f t="array" ref="L118">IFERROR(
IF(
    AND(
        COUNTIF(INDEX(F:F, 11 + 4*INT((ROW()-11)/4)):INDEX(F:F, 14 + 4*INT((ROW()-11)/4)),"Zoning: Tree Points")&gt;0,
        COUNTIFS('Tree List'!$C$3:$C$601,$C118,'Tree List'!$H$3:$H$601,"sp.")&gt;0
    ),
    "",
    _xlfn.IFS(
        (COUNTIFS('Tree List'!$C$3:$C$601,$C118,'Tree List'!$D$3:$D$601,"Coniferous")
        + COUNTIFS('Tree List'!$C$3:$C$601,$C118,'Tree List'!$D$3:$D$601,"Deciduous Conifer")) &gt; 0,
            _xlfn.IFS($K118="Small",1.25,$K118="Small/Medium",2.5,$K118="Medium/Large",3.75,$K118="Large",5),
        (COUNTIFS('Tree List'!$C$3:$C$601,$C118,'Tree List'!$D$3:$D$601,"Deciduous")
        + COUNTIFS('Tree List'!$C$3:$C$601,$C118,'Tree List'!$D$3:$D$601,"Broadleaf Evergreen")) &gt; 0,
            _xlfn.IFS($K118="Small",1,$K118="Small/Medium",2,$K118="Medium/Large",3,$K118="Large",4)
    )
),
"")</f>
        <v/>
      </c>
      <c r="M118" s="473" t="str">
        <f t="shared" si="165"/>
        <v/>
      </c>
      <c r="N118" s="435"/>
      <c r="O118" s="341" t="str" cm="1">
        <f t="array" aca="1" ref="O118"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List'!$C$3:$C$601,$C118,'Tree List'!$D$3:$D$601,{"Deciduous","Broadleaf Evergreen"})),
_xlpm.Coniferous,SUM(COUNTIFS('Tree List'!$C$3:$C$601,$C118,'Tree List'!$D$3:$D$601,{"Coniferous","Deciduous Conifer"})),
IFERROR(
IF(AND(_xlpm.baseRow,ISNA(MATCH($C118,'Tree List'!$C$3:$C$601,0)),SUMPRODUCT(--ISNUMBER(SEARCH(Tables2!$C$677:$C$825,$P118)))&gt;0),
Error!$B$64,
IF(AND(_xlpm.baseRow,COUNTIF(_xlpm.FRange,"ECA / Shoreline")&gt;0,$D118&lt;&gt;"",$E118&lt;&gt;"",$N118=""),
Error!$B$55,
IF(AND(_xlpm.baseRow,$D118&lt;&gt;"",$E118&lt;&gt;"",COUNTBLANK($B118:$C118)&gt;0,COUNTBLANK($F118:$F121)&lt;&gt;4),
Error!$B$22,
IF(AND(_xlpm.baseRow,$D118="Right-of-Way", $E118=""),
Error!$B$67,
IF(AND(_xlpm.baseRow,$D118&lt;&gt;"",ISNA(MATCH($D118,Tables2!$B$66:$B$68,0))),
Error!$B$63,
IF(AND(_xlpm.baseRow,$D118="Off Site",$E118&lt;&gt;"",$E118&lt;&gt;"Yes"),
Error!$B$28,
IF(AND(_xlpm.baseRow,OR($D118="On Site",$D118="Right-of-Way"),$E118&lt;&gt;"",ISNA(MATCH($E118,MultiSelect2[TreeMitigation],0))),
Error!$B$28,
IF(AND(_xlpm.baseRow,$D118&lt;&gt;"",$E118&lt;&gt;"",COUNTIF(_xlpm.FRange,"&lt;&gt;")=0),
Error!$B$26,
IF(AND($E118="No",$F118&lt;&gt;"",ISNA(MATCH($F118,Tables2!$B$55:$B$57,0))),
Error!$B$27,
IF(AND($E118="Yes",$F118&lt;&gt;"",ISNA(MATCH($F118,Tables2!$B$48:$B$52,0))),
Error!$B$27,
IF(AND($D118="Off Site",$E118="Yes",$F118&lt;&gt;"",ISNA(MATCH($F118,Tables2!$B$60:$B$62,0))),
Error!$B$27,
IF(AND(_xlpm.baseRow,_xlpm.Street&gt;0,_xlpm.ECA&gt;0),
Error!$B$29,
IF(AND(_xlpm.baseRow,_xlpm.Street&gt;0,_xlpm.Points&gt;0),
Error!$B$30,
IF(AND(_xlpm.baseRow,_xlpm.Street&gt;0,_xlpm.ReplaceReq&gt;0),
Error!$B$31,
IF(AND(_xlpm.baseRow,$D118&lt;&gt;"",$E118&lt;&gt;"",$G118&lt;&gt;"",_xlpm.DecBroad&gt;0,OR(_xlpm.Points&gt;0,_xlpm.Green&gt;0,_xlpm.ReplaceReq&gt;0),_xlpm.Street=0,$G118&lt;1.5),
Error!$B$42,
IF(AND(_xlpm.baseRow,$D118&lt;&gt;"",$E118&lt;&gt;"",$H118&lt;&gt;"",$H118&lt;4,_xlpm.Street&gt;0,_xlpm.Green&gt;0,COUNTA(_xlpm.FRange)&gt;0),
Error!$B$32,
IF(AND(_xlpm.baseRow,$G118="",_xlpm.ECA&gt;0,_xlpm.DecBroad&gt;0,_xlpm.ReplaceReq&gt;0),
Error!$B$52,
IF(AND(_xlpm.baseRow,$E118&lt;&gt;"", $H118="",_xlpm.ECA&gt;0,_xlpm.Coniferous&gt;0,_xlpm.ReplaceReq&gt;0),
Error!$B$53,
IF(AND(_xlpm.baseRow,$G118="",$H118="",_xlpm.ECA&gt;0,_xlpm.ReplaceReq&gt;0),
Error!$B$39,
IF(AND(_xlpm.baseRow,$D118&lt;&gt;"",$E118&lt;&gt;"",$G118="",$H118="",_xlpm.Coniferous&gt;0,_xlpm.ReplaceReq&gt;0,_xlpm.ECA&gt;0),
Error!$B$50,
IF(AND(_xlpm.baseRow,$D118&lt;&gt;"",$E118&lt;&gt;"",$G118&lt;&gt;"",_xlpm.Street&gt;0,$G118&lt;2),
Error!$B$43,
IF(AND(_xlpm.baseRow,$D118&lt;&gt;"",$E118&lt;&gt;"",_xlpm.Green&gt;0,_xlpm.DecBroad&gt;0,$G118=""),
Error!$B$49,
IF(AND(_xlpm.baseRow,$D118&lt;&gt;"",$E118&lt;&gt;"",$H118&lt;&gt;"",$H118&lt;4,_xlpm.Green&gt;0,_xlpm.DecBroad&gt;0,$G118=""),
Error!$B$51,
IF(AND(_xlpm.baseRow,$D118&lt;&gt;"",$E118&lt;&gt;"",_xlpm.Green&gt;0,_xlpm.Coniferous&gt;0,$H118=""),
Error!$B$50,
IF(AND(_xlpm.baseRow,$D118&lt;&gt;"",$E118&lt;&gt;"",_xlpm.Points&gt;0,_xlpm.DecBroad&gt;0,$G118=""),
Error!$B$49,
IF(AND(_xlpm.baseRow,$D118&lt;&gt;"",$E118&lt;&gt;"",_xlpm.Points&gt;0,_xlpm.Coniferous&gt;0,$H118=""),
Error!$B$50,
IF(AND(_xlpm.baseRow,$D118&lt;&gt;"",$E118&lt;&gt;"",_xlpm.ReplaceReq&gt;0,_xlpm.DecBroad&gt;0,$G118=""),
Error!$B$49,
IF(AND(_xlpm.baseRow,$D118&lt;&gt;"",$E118&lt;&gt;"",_xlpm.ReplaceReq&gt;0,_xlpm.Coniferous&gt;0,$H118=""),
Error!$B$50,
IF(AND(_xlpm.baseRow,$D118&lt;&gt;"",$E118&lt;&gt;"",_xlpm.Street&gt;0,$G118=""),
Error!$B$49,
IF(AND(_xlpm.baseRow,$D118&lt;&gt;"",$E118&lt;&gt;"",$H118&lt;&gt;"",$H118&lt;4,OR(ISNA(MATCH($C118,'Tree List'!$C$3:$C$601,0)),$C118=""),_xlpm.Green&gt;0,COUNTA(_xlpm.FRange)&gt;0),
Error!$B$51,
IF(AND(_xlpm.baseRow,$D118&lt;&gt;"",$E118&lt;&gt;"",$H118&lt;&gt;"",$H118&lt;4,_xlpm.DecBroad&gt;0,_xlpm.Green&gt;0,COUNTA(_xlpm.FRange)&gt;0),
Error!$B$51,
IF(AND(_xlpm.baseRow,$D118&lt;&gt;"",$E118&lt;&gt;"",$G118="",$H118="",OR(_xlpm.ReplaceReq&gt;0,_xlpm.Green&gt;0,_xlpm.Points&gt;0,_xlpm.Street&gt;0)),
Error!$B$38,
IF(AND(_xlpm.baseRow,$D118&lt;&gt;"",$E118&lt;&gt;"",$H118&lt;&gt;"",$H118&lt;4,_xlpm.Street=0,_xlpm.Coniferous&gt;0,COUNTA(_xlpm.FRange)&gt;0),
Error!$B$32,
IF(AND(_xlpm.baseRow,_xlpm.DecBroad&gt;0,$D118&lt;&gt;"",$E118&lt;&gt;"",$G118&lt;&gt;"",$G118&lt;1.5,_xlpm.Street=0,COUNTA(_xlpm.FRange)&gt;0),
Error!$B$42,
IF(AND(_xlpm.baseRow,$I118="",$H118="",_xlpm.ECA&gt;0,_xlpm.ReplaceReq=0),
Error!$B$33,
IF(AND(_xlpm.baseRow,OR($J118="",$J118&lt;=0),_xlpm.ReplaceReq&gt;0),
Error!$B$34,
IF(AND(_xlpm.baseRow,$K118&lt;&gt;"",_xlpm.Points&gt;0,ISNA(MATCH($K118,Tables!$B$242:$B$253,0))),
Error!$B$58,
IF(AND($K118="Small",$L118&lt;&gt;"",ISNA(MATCH($L118,Tables2!$C$35:$C$36,0))),
Error!$B$60,
IF(AND($K118="Small/Medium",$L118&lt;&gt;"",ISNA(MATCH($L118,Tables2!$C$38:$C$39,0))),
Error!$B$60,
IF(AND($K118="Medium/Large",$L118&lt;&gt;"",ISNA(MATCH($L118,Tables2!$C$41:$C$42,0))),
Error!$B$60,
IF(AND($K118="Large",$L118&lt;&gt;"",ISNA(MATCH($L118,Tables2!$C$44:$C$45,0))),
Error!$B$60,
IF(AND(_xlpm.baseRow,$B118&lt;&gt;"", $C118&lt;&gt;"", $D118&lt;&gt;"", $E118&lt;&gt;"", OR($M118="",$K118="",$L118=""),_xlpm.Points&gt;0),
Error!$B$35,
IF(AND(_xlpm.baseRow,$D118&lt;&gt;"",$E118&lt;&gt;"",$N118=""),
Error!$B$36,
""))))))))))))))))))))))))))))))))))))))))))),Error!$B$37))</f>
        <v/>
      </c>
      <c r="P118" s="355" t="str" cm="1">
        <f t="array" aca="1" ref="P118" ca="1">IFERROR(_xlfn.LET(
    _xlpm.txt, $C118,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19" spans="1:16" ht="15" thickBot="1" x14ac:dyDescent="0.35">
      <c r="A119" s="437">
        <v>28</v>
      </c>
      <c r="B119" s="447"/>
      <c r="C119" s="444"/>
      <c r="D119" s="296"/>
      <c r="E119" s="296"/>
      <c r="F119" s="304"/>
      <c r="G119" s="257"/>
      <c r="H119" s="181"/>
      <c r="I119" s="178"/>
      <c r="J119" s="457"/>
      <c r="K119" s="172" t="str">
        <f>IFERROR(
IF(
    AND(
        MOD(ROW()-11,4)=0,
        COUNTIF(INDEX(F:F, 11 + 4*INT((ROW()-11)/4)):INDEX(F:F, 14 + 4*INT((ROW()-11)/4)),"Zoning: Tree Points")&gt;0,
        COUNTIFS('Tree List'!$C$3:$C$601,$C119,'Tree List'!$H$3:$H$601,"sp.")=0
    ),
    VLOOKUP($C119,'Tree List'!$C$3:$F$601,4,FALSE),
    ""
),
"")</f>
        <v/>
      </c>
      <c r="L119" s="173" t="str" cm="1">
        <f t="array" ref="L119">IFERROR(
IF(
    AND(
        COUNTIF(INDEX(F:F, 11 + 4*INT((ROW()-11)/4)):INDEX(F:F, 14 + 4*INT((ROW()-11)/4)),"Zoning: Tree Points")&gt;0,
        COUNTIFS('Tree List'!$C$3:$C$601,$C119,'Tree List'!$H$3:$H$601,"sp.")&gt;0
    ),
    "",
    _xlfn.IFS(
        (COUNTIFS('Tree List'!$C$3:$C$601,$C119,'Tree List'!$D$3:$D$601,"Coniferous")
        + COUNTIFS('Tree List'!$C$3:$C$601,$C119,'Tree List'!$D$3:$D$601,"Deciduous Conifer")) &gt; 0,
            _xlfn.IFS($K119="Small",1.25,$K119="Small/Medium",2.5,$K119="Medium/Large",3.75,$K119="Large",5),
        (COUNTIFS('Tree List'!$C$3:$C$601,$C119,'Tree List'!$D$3:$D$601,"Deciduous")
        + COUNTIFS('Tree List'!$C$3:$C$601,$C119,'Tree List'!$D$3:$D$601,"Broadleaf Evergreen")) &gt; 0,
            _xlfn.IFS($K119="Small",1,$K119="Small/Medium",2,$K119="Medium/Large",3,$K119="Large",4)
    )
),
"")</f>
        <v/>
      </c>
      <c r="M119" s="470" t="str">
        <f t="shared" ref="M119" si="172">IFERROR($L119*$N119,"")</f>
        <v/>
      </c>
      <c r="N119" s="744"/>
      <c r="O119" s="737" t="str" cm="1">
        <f t="array" aca="1" ref="O119"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List'!$C$3:$C$601,$C119,'Tree List'!$D$3:$D$601,{"Deciduous","Broadleaf Evergreen"})),
_xlpm.Coniferous,SUM(COUNTIFS('Tree List'!$C$3:$C$601,$C119,'Tree List'!$D$3:$D$601,{"Coniferous","Deciduous Conifer"})),
IFERROR(
IF(AND(_xlpm.baseRow,ISNA(MATCH($C119,'Tree List'!$C$3:$C$601,0)),SUMPRODUCT(--ISNUMBER(SEARCH(Tables2!$C$677:$C$825,$P119)))&gt;0),
Error!$B$64,
IF(AND(_xlpm.baseRow,COUNTIF(_xlpm.FRange,"ECA / Shoreline")&gt;0,$D119&lt;&gt;"",$E119&lt;&gt;"",$N119=""),
Error!$B$55,
IF(AND(_xlpm.baseRow,$D119&lt;&gt;"",$E119&lt;&gt;"",COUNTBLANK($B119:$C119)&gt;0,COUNTBLANK($F119:$F122)&lt;&gt;4),
Error!$B$22,
IF(AND(_xlpm.baseRow,$D119="Right-of-Way", $E119=""),
Error!$B$67,
IF(AND(_xlpm.baseRow,$D119&lt;&gt;"",ISNA(MATCH($D119,Tables2!$B$66:$B$68,0))),
Error!$B$63,
IF(AND(_xlpm.baseRow,$D119="Off Site",$E119&lt;&gt;"",$E119&lt;&gt;"Yes"),
Error!$B$28,
IF(AND(_xlpm.baseRow,OR($D119="On Site",$D119="Right-of-Way"),$E119&lt;&gt;"",ISNA(MATCH($E119,MultiSelect2[TreeMitigation],0))),
Error!$B$28,
IF(AND(_xlpm.baseRow,$D119&lt;&gt;"",$E119&lt;&gt;"",COUNTIF(_xlpm.FRange,"&lt;&gt;")=0),
Error!$B$26,
IF(AND($E119="No",$F119&lt;&gt;"",ISNA(MATCH($F119,Tables2!$B$55:$B$57,0))),
Error!$B$27,
IF(AND($E119="Yes",$F119&lt;&gt;"",ISNA(MATCH($F119,Tables2!$B$48:$B$52,0))),
Error!$B$27,
IF(AND($D119="Off Site",$E119="Yes",$F119&lt;&gt;"",ISNA(MATCH($F119,Tables2!$B$60:$B$62,0))),
Error!$B$27,
IF(AND(_xlpm.baseRow,_xlpm.Street&gt;0,_xlpm.ECA&gt;0),
Error!$B$29,
IF(AND(_xlpm.baseRow,_xlpm.Street&gt;0,_xlpm.Points&gt;0),
Error!$B$30,
IF(AND(_xlpm.baseRow,_xlpm.Street&gt;0,_xlpm.ReplaceReq&gt;0),
Error!$B$31,
IF(AND(_xlpm.baseRow,$D119&lt;&gt;"",$E119&lt;&gt;"",$G119&lt;&gt;"",_xlpm.DecBroad&gt;0,OR(_xlpm.Points&gt;0,_xlpm.Green&gt;0,_xlpm.ReplaceReq&gt;0),_xlpm.Street=0,$G119&lt;1.5),
Error!$B$42,
IF(AND(_xlpm.baseRow,$D119&lt;&gt;"",$E119&lt;&gt;"",$H119&lt;&gt;"",$H119&lt;4,_xlpm.Street&gt;0,_xlpm.Green&gt;0,COUNTA(_xlpm.FRange)&gt;0),
Error!$B$32,
IF(AND(_xlpm.baseRow,$G119="",_xlpm.ECA&gt;0,_xlpm.DecBroad&gt;0,_xlpm.ReplaceReq&gt;0),
Error!$B$52,
IF(AND(_xlpm.baseRow,$E119&lt;&gt;"", $H119="",_xlpm.ECA&gt;0,_xlpm.Coniferous&gt;0,_xlpm.ReplaceReq&gt;0),
Error!$B$53,
IF(AND(_xlpm.baseRow,$G119="",$H119="",_xlpm.ECA&gt;0,_xlpm.ReplaceReq&gt;0),
Error!$B$39,
IF(AND(_xlpm.baseRow,$D119&lt;&gt;"",$E119&lt;&gt;"",$G119="",$H119="",_xlpm.Coniferous&gt;0,_xlpm.ReplaceReq&gt;0,_xlpm.ECA&gt;0),
Error!$B$50,
IF(AND(_xlpm.baseRow,$D119&lt;&gt;"",$E119&lt;&gt;"",$G119&lt;&gt;"",_xlpm.Street&gt;0,$G119&lt;2),
Error!$B$43,
IF(AND(_xlpm.baseRow,$D119&lt;&gt;"",$E119&lt;&gt;"",_xlpm.Green&gt;0,_xlpm.DecBroad&gt;0,$G119=""),
Error!$B$49,
IF(AND(_xlpm.baseRow,$D119&lt;&gt;"",$E119&lt;&gt;"",$H119&lt;&gt;"",$H119&lt;4,_xlpm.Green&gt;0,_xlpm.DecBroad&gt;0,$G119=""),
Error!$B$51,
IF(AND(_xlpm.baseRow,$D119&lt;&gt;"",$E119&lt;&gt;"",_xlpm.Green&gt;0,_xlpm.Coniferous&gt;0,$H119=""),
Error!$B$50,
IF(AND(_xlpm.baseRow,$D119&lt;&gt;"",$E119&lt;&gt;"",_xlpm.Points&gt;0,_xlpm.DecBroad&gt;0,$G119=""),
Error!$B$49,
IF(AND(_xlpm.baseRow,$D119&lt;&gt;"",$E119&lt;&gt;"",_xlpm.Points&gt;0,_xlpm.Coniferous&gt;0,$H119=""),
Error!$B$50,
IF(AND(_xlpm.baseRow,$D119&lt;&gt;"",$E119&lt;&gt;"",_xlpm.ReplaceReq&gt;0,_xlpm.DecBroad&gt;0,$G119=""),
Error!$B$49,
IF(AND(_xlpm.baseRow,$D119&lt;&gt;"",$E119&lt;&gt;"",_xlpm.ReplaceReq&gt;0,_xlpm.Coniferous&gt;0,$H119=""),
Error!$B$50,
IF(AND(_xlpm.baseRow,$D119&lt;&gt;"",$E119&lt;&gt;"",_xlpm.Street&gt;0,$G119=""),
Error!$B$49,
IF(AND(_xlpm.baseRow,$D119&lt;&gt;"",$E119&lt;&gt;"",$H119&lt;&gt;"",$H119&lt;4,OR(ISNA(MATCH($C119,'Tree List'!$C$3:$C$601,0)),$C119=""),_xlpm.Green&gt;0,COUNTA(_xlpm.FRange)&gt;0),
Error!$B$51,
IF(AND(_xlpm.baseRow,$D119&lt;&gt;"",$E119&lt;&gt;"",$H119&lt;&gt;"",$H119&lt;4,_xlpm.DecBroad&gt;0,_xlpm.Green&gt;0,COUNTA(_xlpm.FRange)&gt;0),
Error!$B$51,
IF(AND(_xlpm.baseRow,$D119&lt;&gt;"",$E119&lt;&gt;"",$G119="",$H119="",OR(_xlpm.ReplaceReq&gt;0,_xlpm.Green&gt;0,_xlpm.Points&gt;0,_xlpm.Street&gt;0)),
Error!$B$38,
IF(AND(_xlpm.baseRow,$D119&lt;&gt;"",$E119&lt;&gt;"",$H119&lt;&gt;"",$H119&lt;4,_xlpm.Street=0,_xlpm.Coniferous&gt;0,COUNTA(_xlpm.FRange)&gt;0),
Error!$B$32,
IF(AND(_xlpm.baseRow,_xlpm.DecBroad&gt;0,$D119&lt;&gt;"",$E119&lt;&gt;"",$G119&lt;&gt;"",$G119&lt;1.5,_xlpm.Street=0,COUNTA(_xlpm.FRange)&gt;0),
Error!$B$42,
IF(AND(_xlpm.baseRow,$I119="",$H119="",_xlpm.ECA&gt;0,_xlpm.ReplaceReq=0),
Error!$B$33,
IF(AND(_xlpm.baseRow,OR($J119="",$J119&lt;=0),_xlpm.ReplaceReq&gt;0),
Error!$B$34,
IF(AND(_xlpm.baseRow,$K119&lt;&gt;"",_xlpm.Points&gt;0,ISNA(MATCH($K119,Tables!$B$242:$B$253,0))),
Error!$B$58,
IF(AND($K119="Small",$L119&lt;&gt;"",ISNA(MATCH($L119,Tables2!$C$35:$C$36,0))),
Error!$B$60,
IF(AND($K119="Small/Medium",$L119&lt;&gt;"",ISNA(MATCH($L119,Tables2!$C$38:$C$39,0))),
Error!$B$60,
IF(AND($K119="Medium/Large",$L119&lt;&gt;"",ISNA(MATCH($L119,Tables2!$C$41:$C$42,0))),
Error!$B$60,
IF(AND($K119="Large",$L119&lt;&gt;"",ISNA(MATCH($L119,Tables2!$C$44:$C$45,0))),
Error!$B$60,
IF(AND(_xlpm.baseRow,$B119&lt;&gt;"", $C119&lt;&gt;"", $D119&lt;&gt;"", $E119&lt;&gt;"", OR($M119="",$K119="",$L119=""),_xlpm.Points&gt;0),
Error!$B$35,
IF(AND(_xlpm.baseRow,$D119&lt;&gt;"",$E119&lt;&gt;"",$N119=""),
Error!$B$36,
""))))))))))))))))))))))))))))))))))))))))))),Error!$B$37))</f>
        <v/>
      </c>
      <c r="P119" s="355" t="str" cm="1">
        <f t="array" aca="1" ref="P119" ca="1">IFERROR(_xlfn.LET(
    _xlpm.txt, $C119,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0" spans="1:16" x14ac:dyDescent="0.3">
      <c r="A120" s="297"/>
      <c r="B120" s="439" t="str">
        <f t="shared" ref="B120" si="173">IF($B119="", "", $B119)</f>
        <v/>
      </c>
      <c r="C120" s="309"/>
      <c r="D120" s="157" t="str">
        <f t="shared" ref="D120" si="174">IF($D119="", "", $D119)</f>
        <v/>
      </c>
      <c r="E120" s="157" t="str">
        <f t="shared" ref="E120" si="175">IF($E119="", "", $E119)</f>
        <v/>
      </c>
      <c r="F120" s="300"/>
      <c r="G120" s="159"/>
      <c r="H120" s="182"/>
      <c r="I120" s="179"/>
      <c r="J120" s="458"/>
      <c r="K120" s="174" t="str">
        <f>IFERROR(
IF(
    AND(
        MOD(ROW()-11,4)=0,
        COUNTIF(INDEX(F:F, 11 + 4*INT((ROW()-11)/4)):INDEX(F:F, 14 + 4*INT((ROW()-11)/4)),"Zoning: Tree Points")&gt;0,
        COUNTIFS('Tree List'!$C$3:$C$601,$C120,'Tree List'!$H$3:$H$601,"sp.")=0
    ),
    VLOOKUP($C120,'Tree List'!$C$3:$F$601,4,FALSE),
    ""
),
"")</f>
        <v/>
      </c>
      <c r="L120" s="175" t="str" cm="1">
        <f t="array" ref="L120">IFERROR(
IF(
    AND(
        COUNTIF(INDEX(F:F, 11 + 4*INT((ROW()-11)/4)):INDEX(F:F, 14 + 4*INT((ROW()-11)/4)),"Zoning: Tree Points")&gt;0,
        COUNTIFS('Tree List'!$C$3:$C$601,$C120,'Tree List'!$H$3:$H$601,"sp.")&gt;0
    ),
    "",
    _xlfn.IFS(
        (COUNTIFS('Tree List'!$C$3:$C$601,$C120,'Tree List'!$D$3:$D$601,"Coniferous")
        + COUNTIFS('Tree List'!$C$3:$C$601,$C120,'Tree List'!$D$3:$D$601,"Deciduous Conifer")) &gt; 0,
            _xlfn.IFS($K120="Small",1.25,$K120="Small/Medium",2.5,$K120="Medium/Large",3.75,$K120="Large",5),
        (COUNTIFS('Tree List'!$C$3:$C$601,$C120,'Tree List'!$D$3:$D$601,"Deciduous")
        + COUNTIFS('Tree List'!$C$3:$C$601,$C120,'Tree List'!$D$3:$D$601,"Broadleaf Evergreen")) &gt; 0,
            _xlfn.IFS($K120="Small",1,$K120="Small/Medium",2,$K120="Medium/Large",3,$K120="Large",4)
    )
),
"")</f>
        <v/>
      </c>
      <c r="M120" s="471" t="str">
        <f t="shared" ref="M120:M122" si="176">IFERROR($L120*$N120,"")</f>
        <v/>
      </c>
      <c r="N120" s="434"/>
      <c r="O120" s="340" t="str" cm="1">
        <f t="array" aca="1" ref="O120"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List'!$C$3:$C$601,$C120,'Tree List'!$D$3:$D$601,{"Deciduous","Broadleaf Evergreen"})),
_xlpm.Coniferous,SUM(COUNTIFS('Tree List'!$C$3:$C$601,$C120,'Tree List'!$D$3:$D$601,{"Coniferous","Deciduous Conifer"})),
IFERROR(
IF(AND(_xlpm.baseRow,ISNA(MATCH($C120,'Tree List'!$C$3:$C$601,0)),SUMPRODUCT(--ISNUMBER(SEARCH(Tables2!$C$677:$C$825,$P120)))&gt;0),
Error!$B$64,
IF(AND(_xlpm.baseRow,COUNTIF(_xlpm.FRange,"ECA / Shoreline")&gt;0,$D120&lt;&gt;"",$E120&lt;&gt;"",$N120=""),
Error!$B$55,
IF(AND(_xlpm.baseRow,$D120&lt;&gt;"",$E120&lt;&gt;"",COUNTBLANK($B120:$C120)&gt;0,COUNTBLANK($F120:$F123)&lt;&gt;4),
Error!$B$22,
IF(AND(_xlpm.baseRow,$D120="Right-of-Way", $E120=""),
Error!$B$67,
IF(AND(_xlpm.baseRow,$D120&lt;&gt;"",ISNA(MATCH($D120,Tables2!$B$66:$B$68,0))),
Error!$B$63,
IF(AND(_xlpm.baseRow,$D120="Off Site",$E120&lt;&gt;"",$E120&lt;&gt;"Yes"),
Error!$B$28,
IF(AND(_xlpm.baseRow,OR($D120="On Site",$D120="Right-of-Way"),$E120&lt;&gt;"",ISNA(MATCH($E120,MultiSelect2[TreeMitigation],0))),
Error!$B$28,
IF(AND(_xlpm.baseRow,$D120&lt;&gt;"",$E120&lt;&gt;"",COUNTIF(_xlpm.FRange,"&lt;&gt;")=0),
Error!$B$26,
IF(AND($E120="No",$F120&lt;&gt;"",ISNA(MATCH($F120,Tables2!$B$55:$B$57,0))),
Error!$B$27,
IF(AND($E120="Yes",$F120&lt;&gt;"",ISNA(MATCH($F120,Tables2!$B$48:$B$52,0))),
Error!$B$27,
IF(AND($D120="Off Site",$E120="Yes",$F120&lt;&gt;"",ISNA(MATCH($F120,Tables2!$B$60:$B$62,0))),
Error!$B$27,
IF(AND(_xlpm.baseRow,_xlpm.Street&gt;0,_xlpm.ECA&gt;0),
Error!$B$29,
IF(AND(_xlpm.baseRow,_xlpm.Street&gt;0,_xlpm.Points&gt;0),
Error!$B$30,
IF(AND(_xlpm.baseRow,_xlpm.Street&gt;0,_xlpm.ReplaceReq&gt;0),
Error!$B$31,
IF(AND(_xlpm.baseRow,$D120&lt;&gt;"",$E120&lt;&gt;"",$G120&lt;&gt;"",_xlpm.DecBroad&gt;0,OR(_xlpm.Points&gt;0,_xlpm.Green&gt;0,_xlpm.ReplaceReq&gt;0),_xlpm.Street=0,$G120&lt;1.5),
Error!$B$42,
IF(AND(_xlpm.baseRow,$D120&lt;&gt;"",$E120&lt;&gt;"",$H120&lt;&gt;"",$H120&lt;4,_xlpm.Street&gt;0,_xlpm.Green&gt;0,COUNTA(_xlpm.FRange)&gt;0),
Error!$B$32,
IF(AND(_xlpm.baseRow,$G120="",_xlpm.ECA&gt;0,_xlpm.DecBroad&gt;0,_xlpm.ReplaceReq&gt;0),
Error!$B$52,
IF(AND(_xlpm.baseRow,$E120&lt;&gt;"", $H120="",_xlpm.ECA&gt;0,_xlpm.Coniferous&gt;0,_xlpm.ReplaceReq&gt;0),
Error!$B$53,
IF(AND(_xlpm.baseRow,$G120="",$H120="",_xlpm.ECA&gt;0,_xlpm.ReplaceReq&gt;0),
Error!$B$39,
IF(AND(_xlpm.baseRow,$D120&lt;&gt;"",$E120&lt;&gt;"",$G120="",$H120="",_xlpm.Coniferous&gt;0,_xlpm.ReplaceReq&gt;0,_xlpm.ECA&gt;0),
Error!$B$50,
IF(AND(_xlpm.baseRow,$D120&lt;&gt;"",$E120&lt;&gt;"",$G120&lt;&gt;"",_xlpm.Street&gt;0,$G120&lt;2),
Error!$B$43,
IF(AND(_xlpm.baseRow,$D120&lt;&gt;"",$E120&lt;&gt;"",_xlpm.Green&gt;0,_xlpm.DecBroad&gt;0,$G120=""),
Error!$B$49,
IF(AND(_xlpm.baseRow,$D120&lt;&gt;"",$E120&lt;&gt;"",$H120&lt;&gt;"",$H120&lt;4,_xlpm.Green&gt;0,_xlpm.DecBroad&gt;0,$G120=""),
Error!$B$51,
IF(AND(_xlpm.baseRow,$D120&lt;&gt;"",$E120&lt;&gt;"",_xlpm.Green&gt;0,_xlpm.Coniferous&gt;0,$H120=""),
Error!$B$50,
IF(AND(_xlpm.baseRow,$D120&lt;&gt;"",$E120&lt;&gt;"",_xlpm.Points&gt;0,_xlpm.DecBroad&gt;0,$G120=""),
Error!$B$49,
IF(AND(_xlpm.baseRow,$D120&lt;&gt;"",$E120&lt;&gt;"",_xlpm.Points&gt;0,_xlpm.Coniferous&gt;0,$H120=""),
Error!$B$50,
IF(AND(_xlpm.baseRow,$D120&lt;&gt;"",$E120&lt;&gt;"",_xlpm.ReplaceReq&gt;0,_xlpm.DecBroad&gt;0,$G120=""),
Error!$B$49,
IF(AND(_xlpm.baseRow,$D120&lt;&gt;"",$E120&lt;&gt;"",_xlpm.ReplaceReq&gt;0,_xlpm.Coniferous&gt;0,$H120=""),
Error!$B$50,
IF(AND(_xlpm.baseRow,$D120&lt;&gt;"",$E120&lt;&gt;"",_xlpm.Street&gt;0,$G120=""),
Error!$B$49,
IF(AND(_xlpm.baseRow,$D120&lt;&gt;"",$E120&lt;&gt;"",$H120&lt;&gt;"",$H120&lt;4,OR(ISNA(MATCH($C120,'Tree List'!$C$3:$C$601,0)),$C120=""),_xlpm.Green&gt;0,COUNTA(_xlpm.FRange)&gt;0),
Error!$B$51,
IF(AND(_xlpm.baseRow,$D120&lt;&gt;"",$E120&lt;&gt;"",$H120&lt;&gt;"",$H120&lt;4,_xlpm.DecBroad&gt;0,_xlpm.Green&gt;0,COUNTA(_xlpm.FRange)&gt;0),
Error!$B$51,
IF(AND(_xlpm.baseRow,$D120&lt;&gt;"",$E120&lt;&gt;"",$G120="",$H120="",OR(_xlpm.ReplaceReq&gt;0,_xlpm.Green&gt;0,_xlpm.Points&gt;0,_xlpm.Street&gt;0)),
Error!$B$38,
IF(AND(_xlpm.baseRow,$D120&lt;&gt;"",$E120&lt;&gt;"",$H120&lt;&gt;"",$H120&lt;4,_xlpm.Street=0,_xlpm.Coniferous&gt;0,COUNTA(_xlpm.FRange)&gt;0),
Error!$B$32,
IF(AND(_xlpm.baseRow,_xlpm.DecBroad&gt;0,$D120&lt;&gt;"",$E120&lt;&gt;"",$G120&lt;&gt;"",$G120&lt;1.5,_xlpm.Street=0,COUNTA(_xlpm.FRange)&gt;0),
Error!$B$42,
IF(AND(_xlpm.baseRow,$I120="",$H120="",_xlpm.ECA&gt;0,_xlpm.ReplaceReq=0),
Error!$B$33,
IF(AND(_xlpm.baseRow,OR($J120="",$J120&lt;=0),_xlpm.ReplaceReq&gt;0),
Error!$B$34,
IF(AND(_xlpm.baseRow,$K120&lt;&gt;"",_xlpm.Points&gt;0,ISNA(MATCH($K120,Tables!$B$242:$B$253,0))),
Error!$B$58,
IF(AND($K120="Small",$L120&lt;&gt;"",ISNA(MATCH($L120,Tables2!$C$35:$C$36,0))),
Error!$B$60,
IF(AND($K120="Small/Medium",$L120&lt;&gt;"",ISNA(MATCH($L120,Tables2!$C$38:$C$39,0))),
Error!$B$60,
IF(AND($K120="Medium/Large",$L120&lt;&gt;"",ISNA(MATCH($L120,Tables2!$C$41:$C$42,0))),
Error!$B$60,
IF(AND($K120="Large",$L120&lt;&gt;"",ISNA(MATCH($L120,Tables2!$C$44:$C$45,0))),
Error!$B$60,
IF(AND(_xlpm.baseRow,$B120&lt;&gt;"", $C120&lt;&gt;"", $D120&lt;&gt;"", $E120&lt;&gt;"", OR($M120="",$K120="",$L120=""),_xlpm.Points&gt;0),
Error!$B$35,
IF(AND(_xlpm.baseRow,$D120&lt;&gt;"",$E120&lt;&gt;"",$N120=""),
Error!$B$36,
""))))))))))))))))))))))))))))))))))))))))))),Error!$B$37))</f>
        <v/>
      </c>
      <c r="P120" s="355" t="str" cm="1">
        <f t="array" aca="1" ref="P120" ca="1">IFERROR(_xlfn.LET(
    _xlpm.txt, $C120,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1" spans="1:16" x14ac:dyDescent="0.3">
      <c r="A121" s="297"/>
      <c r="B121" s="439" t="str">
        <f t="shared" ref="B121" si="177">IF($B119="", "", $B119)</f>
        <v/>
      </c>
      <c r="C121" s="438"/>
      <c r="D121" s="439" t="str">
        <f t="shared" ref="D121" si="178">IF($D119="", "", $D119)</f>
        <v/>
      </c>
      <c r="E121" s="439" t="str">
        <f t="shared" ref="E121" si="179">IF($E119="", "", $E119)</f>
        <v/>
      </c>
      <c r="F121" s="300"/>
      <c r="G121" s="160"/>
      <c r="H121" s="440"/>
      <c r="I121" s="441"/>
      <c r="J121" s="459"/>
      <c r="K121" s="442" t="str">
        <f>IFERROR(
IF(
    AND(
        MOD(ROW()-11,4)=0,
        COUNTIF(INDEX(F:F, 11 + 4*INT((ROW()-11)/4)):INDEX(F:F, 14 + 4*INT((ROW()-11)/4)),"Zoning: Tree Points")&gt;0,
        COUNTIFS('Tree List'!$C$3:$C$601,$C121,'Tree List'!$H$3:$H$601,"sp.")=0
    ),
    VLOOKUP($C121,'Tree List'!$C$3:$F$601,4,FALSE),
    ""
),
"")</f>
        <v/>
      </c>
      <c r="L121" s="443" t="str" cm="1">
        <f t="array" ref="L121">IFERROR(
IF(
    AND(
        COUNTIF(INDEX(F:F, 11 + 4*INT((ROW()-11)/4)):INDEX(F:F, 14 + 4*INT((ROW()-11)/4)),"Zoning: Tree Points")&gt;0,
        COUNTIFS('Tree List'!$C$3:$C$601,$C121,'Tree List'!$H$3:$H$601,"sp.")&gt;0
    ),
    "",
    _xlfn.IFS(
        (COUNTIFS('Tree List'!$C$3:$C$601,$C121,'Tree List'!$D$3:$D$601,"Coniferous")
        + COUNTIFS('Tree List'!$C$3:$C$601,$C121,'Tree List'!$D$3:$D$601,"Deciduous Conifer")) &gt; 0,
            _xlfn.IFS($K121="Small",1.25,$K121="Small/Medium",2.5,$K121="Medium/Large",3.75,$K121="Large",5),
        (COUNTIFS('Tree List'!$C$3:$C$601,$C121,'Tree List'!$D$3:$D$601,"Deciduous")
        + COUNTIFS('Tree List'!$C$3:$C$601,$C121,'Tree List'!$D$3:$D$601,"Broadleaf Evergreen")) &gt; 0,
            _xlfn.IFS($K121="Small",1,$K121="Small/Medium",2,$K121="Medium/Large",3,$K121="Large",4)
    )
),
"")</f>
        <v/>
      </c>
      <c r="M121" s="472" t="str">
        <f t="shared" si="176"/>
        <v/>
      </c>
      <c r="N121" s="434"/>
      <c r="O121" s="340" t="str" cm="1">
        <f t="array" aca="1" ref="O121"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List'!$C$3:$C$601,$C121,'Tree List'!$D$3:$D$601,{"Deciduous","Broadleaf Evergreen"})),
_xlpm.Coniferous,SUM(COUNTIFS('Tree List'!$C$3:$C$601,$C121,'Tree List'!$D$3:$D$601,{"Coniferous","Deciduous Conifer"})),
IFERROR(
IF(AND(_xlpm.baseRow,ISNA(MATCH($C121,'Tree List'!$C$3:$C$601,0)),SUMPRODUCT(--ISNUMBER(SEARCH(Tables2!$C$677:$C$825,$P121)))&gt;0),
Error!$B$64,
IF(AND(_xlpm.baseRow,COUNTIF(_xlpm.FRange,"ECA / Shoreline")&gt;0,$D121&lt;&gt;"",$E121&lt;&gt;"",$N121=""),
Error!$B$55,
IF(AND(_xlpm.baseRow,$D121&lt;&gt;"",$E121&lt;&gt;"",COUNTBLANK($B121:$C121)&gt;0,COUNTBLANK($F121:$F124)&lt;&gt;4),
Error!$B$22,
IF(AND(_xlpm.baseRow,$D121="Right-of-Way", $E121=""),
Error!$B$67,
IF(AND(_xlpm.baseRow,$D121&lt;&gt;"",ISNA(MATCH($D121,Tables2!$B$66:$B$68,0))),
Error!$B$63,
IF(AND(_xlpm.baseRow,$D121="Off Site",$E121&lt;&gt;"",$E121&lt;&gt;"Yes"),
Error!$B$28,
IF(AND(_xlpm.baseRow,OR($D121="On Site",$D121="Right-of-Way"),$E121&lt;&gt;"",ISNA(MATCH($E121,MultiSelect2[TreeMitigation],0))),
Error!$B$28,
IF(AND(_xlpm.baseRow,$D121&lt;&gt;"",$E121&lt;&gt;"",COUNTIF(_xlpm.FRange,"&lt;&gt;")=0),
Error!$B$26,
IF(AND($E121="No",$F121&lt;&gt;"",ISNA(MATCH($F121,Tables2!$B$55:$B$57,0))),
Error!$B$27,
IF(AND($E121="Yes",$F121&lt;&gt;"",ISNA(MATCH($F121,Tables2!$B$48:$B$52,0))),
Error!$B$27,
IF(AND($D121="Off Site",$E121="Yes",$F121&lt;&gt;"",ISNA(MATCH($F121,Tables2!$B$60:$B$62,0))),
Error!$B$27,
IF(AND(_xlpm.baseRow,_xlpm.Street&gt;0,_xlpm.ECA&gt;0),
Error!$B$29,
IF(AND(_xlpm.baseRow,_xlpm.Street&gt;0,_xlpm.Points&gt;0),
Error!$B$30,
IF(AND(_xlpm.baseRow,_xlpm.Street&gt;0,_xlpm.ReplaceReq&gt;0),
Error!$B$31,
IF(AND(_xlpm.baseRow,$D121&lt;&gt;"",$E121&lt;&gt;"",$G121&lt;&gt;"",_xlpm.DecBroad&gt;0,OR(_xlpm.Points&gt;0,_xlpm.Green&gt;0,_xlpm.ReplaceReq&gt;0),_xlpm.Street=0,$G121&lt;1.5),
Error!$B$42,
IF(AND(_xlpm.baseRow,$D121&lt;&gt;"",$E121&lt;&gt;"",$H121&lt;&gt;"",$H121&lt;4,_xlpm.Street&gt;0,_xlpm.Green&gt;0,COUNTA(_xlpm.FRange)&gt;0),
Error!$B$32,
IF(AND(_xlpm.baseRow,$G121="",_xlpm.ECA&gt;0,_xlpm.DecBroad&gt;0,_xlpm.ReplaceReq&gt;0),
Error!$B$52,
IF(AND(_xlpm.baseRow,$E121&lt;&gt;"", $H121="",_xlpm.ECA&gt;0,_xlpm.Coniferous&gt;0,_xlpm.ReplaceReq&gt;0),
Error!$B$53,
IF(AND(_xlpm.baseRow,$G121="",$H121="",_xlpm.ECA&gt;0,_xlpm.ReplaceReq&gt;0),
Error!$B$39,
IF(AND(_xlpm.baseRow,$D121&lt;&gt;"",$E121&lt;&gt;"",$G121="",$H121="",_xlpm.Coniferous&gt;0,_xlpm.ReplaceReq&gt;0,_xlpm.ECA&gt;0),
Error!$B$50,
IF(AND(_xlpm.baseRow,$D121&lt;&gt;"",$E121&lt;&gt;"",$G121&lt;&gt;"",_xlpm.Street&gt;0,$G121&lt;2),
Error!$B$43,
IF(AND(_xlpm.baseRow,$D121&lt;&gt;"",$E121&lt;&gt;"",_xlpm.Green&gt;0,_xlpm.DecBroad&gt;0,$G121=""),
Error!$B$49,
IF(AND(_xlpm.baseRow,$D121&lt;&gt;"",$E121&lt;&gt;"",$H121&lt;&gt;"",$H121&lt;4,_xlpm.Green&gt;0,_xlpm.DecBroad&gt;0,$G121=""),
Error!$B$51,
IF(AND(_xlpm.baseRow,$D121&lt;&gt;"",$E121&lt;&gt;"",_xlpm.Green&gt;0,_xlpm.Coniferous&gt;0,$H121=""),
Error!$B$50,
IF(AND(_xlpm.baseRow,$D121&lt;&gt;"",$E121&lt;&gt;"",_xlpm.Points&gt;0,_xlpm.DecBroad&gt;0,$G121=""),
Error!$B$49,
IF(AND(_xlpm.baseRow,$D121&lt;&gt;"",$E121&lt;&gt;"",_xlpm.Points&gt;0,_xlpm.Coniferous&gt;0,$H121=""),
Error!$B$50,
IF(AND(_xlpm.baseRow,$D121&lt;&gt;"",$E121&lt;&gt;"",_xlpm.ReplaceReq&gt;0,_xlpm.DecBroad&gt;0,$G121=""),
Error!$B$49,
IF(AND(_xlpm.baseRow,$D121&lt;&gt;"",$E121&lt;&gt;"",_xlpm.ReplaceReq&gt;0,_xlpm.Coniferous&gt;0,$H121=""),
Error!$B$50,
IF(AND(_xlpm.baseRow,$D121&lt;&gt;"",$E121&lt;&gt;"",_xlpm.Street&gt;0,$G121=""),
Error!$B$49,
IF(AND(_xlpm.baseRow,$D121&lt;&gt;"",$E121&lt;&gt;"",$H121&lt;&gt;"",$H121&lt;4,OR(ISNA(MATCH($C121,'Tree List'!$C$3:$C$601,0)),$C121=""),_xlpm.Green&gt;0,COUNTA(_xlpm.FRange)&gt;0),
Error!$B$51,
IF(AND(_xlpm.baseRow,$D121&lt;&gt;"",$E121&lt;&gt;"",$H121&lt;&gt;"",$H121&lt;4,_xlpm.DecBroad&gt;0,_xlpm.Green&gt;0,COUNTA(_xlpm.FRange)&gt;0),
Error!$B$51,
IF(AND(_xlpm.baseRow,$D121&lt;&gt;"",$E121&lt;&gt;"",$G121="",$H121="",OR(_xlpm.ReplaceReq&gt;0,_xlpm.Green&gt;0,_xlpm.Points&gt;0,_xlpm.Street&gt;0)),
Error!$B$38,
IF(AND(_xlpm.baseRow,$D121&lt;&gt;"",$E121&lt;&gt;"",$H121&lt;&gt;"",$H121&lt;4,_xlpm.Street=0,_xlpm.Coniferous&gt;0,COUNTA(_xlpm.FRange)&gt;0),
Error!$B$32,
IF(AND(_xlpm.baseRow,_xlpm.DecBroad&gt;0,$D121&lt;&gt;"",$E121&lt;&gt;"",$G121&lt;&gt;"",$G121&lt;1.5,_xlpm.Street=0,COUNTA(_xlpm.FRange)&gt;0),
Error!$B$42,
IF(AND(_xlpm.baseRow,$I121="",$H121="",_xlpm.ECA&gt;0,_xlpm.ReplaceReq=0),
Error!$B$33,
IF(AND(_xlpm.baseRow,OR($J121="",$J121&lt;=0),_xlpm.ReplaceReq&gt;0),
Error!$B$34,
IF(AND(_xlpm.baseRow,$K121&lt;&gt;"",_xlpm.Points&gt;0,ISNA(MATCH($K121,Tables!$B$242:$B$253,0))),
Error!$B$58,
IF(AND($K121="Small",$L121&lt;&gt;"",ISNA(MATCH($L121,Tables2!$C$35:$C$36,0))),
Error!$B$60,
IF(AND($K121="Small/Medium",$L121&lt;&gt;"",ISNA(MATCH($L121,Tables2!$C$38:$C$39,0))),
Error!$B$60,
IF(AND($K121="Medium/Large",$L121&lt;&gt;"",ISNA(MATCH($L121,Tables2!$C$41:$C$42,0))),
Error!$B$60,
IF(AND($K121="Large",$L121&lt;&gt;"",ISNA(MATCH($L121,Tables2!$C$44:$C$45,0))),
Error!$B$60,
IF(AND(_xlpm.baseRow,$B121&lt;&gt;"", $C121&lt;&gt;"", $D121&lt;&gt;"", $E121&lt;&gt;"", OR($M121="",$K121="",$L121=""),_xlpm.Points&gt;0),
Error!$B$35,
IF(AND(_xlpm.baseRow,$D121&lt;&gt;"",$E121&lt;&gt;"",$N121=""),
Error!$B$36,
""))))))))))))))))))))))))))))))))))))))))))),Error!$B$37))</f>
        <v/>
      </c>
      <c r="P121" s="355" t="str" cm="1">
        <f t="array" aca="1" ref="P121" ca="1">IFERROR(_xlfn.LET(
    _xlpm.txt, $C121,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2" spans="1:16" ht="15" thickBot="1" x14ac:dyDescent="0.35">
      <c r="A122" s="298"/>
      <c r="B122" s="439" t="str">
        <f t="shared" ref="B122" si="180">IF($B119="", "", $B119)</f>
        <v/>
      </c>
      <c r="C122" s="310"/>
      <c r="D122" s="154" t="str">
        <f t="shared" ref="D122" si="181">IF($D119="", "", $D119)</f>
        <v/>
      </c>
      <c r="E122" s="154" t="str">
        <f t="shared" ref="E122" si="182">IF($E119="", "", $E119)</f>
        <v/>
      </c>
      <c r="F122" s="302"/>
      <c r="G122" s="161"/>
      <c r="H122" s="183"/>
      <c r="I122" s="180"/>
      <c r="J122" s="460"/>
      <c r="K122" s="176" t="str">
        <f>IFERROR(
IF(
    AND(
        MOD(ROW()-11,4)=0,
        COUNTIF(INDEX(F:F, 11 + 4*INT((ROW()-11)/4)):INDEX(F:F, 14 + 4*INT((ROW()-11)/4)),"Zoning: Tree Points")&gt;0,
        COUNTIFS('Tree List'!$C$3:$C$601,$C122,'Tree List'!$H$3:$H$601,"sp.")=0
    ),
    VLOOKUP($C122,'Tree List'!$C$3:$F$601,4,FALSE),
    ""
),
"")</f>
        <v/>
      </c>
      <c r="L122" s="177" t="str" cm="1">
        <f t="array" ref="L122">IFERROR(
IF(
    AND(
        COUNTIF(INDEX(F:F, 11 + 4*INT((ROW()-11)/4)):INDEX(F:F, 14 + 4*INT((ROW()-11)/4)),"Zoning: Tree Points")&gt;0,
        COUNTIFS('Tree List'!$C$3:$C$601,$C122,'Tree List'!$H$3:$H$601,"sp.")&gt;0
    ),
    "",
    _xlfn.IFS(
        (COUNTIFS('Tree List'!$C$3:$C$601,$C122,'Tree List'!$D$3:$D$601,"Coniferous")
        + COUNTIFS('Tree List'!$C$3:$C$601,$C122,'Tree List'!$D$3:$D$601,"Deciduous Conifer")) &gt; 0,
            _xlfn.IFS($K122="Small",1.25,$K122="Small/Medium",2.5,$K122="Medium/Large",3.75,$K122="Large",5),
        (COUNTIFS('Tree List'!$C$3:$C$601,$C122,'Tree List'!$D$3:$D$601,"Deciduous")
        + COUNTIFS('Tree List'!$C$3:$C$601,$C122,'Tree List'!$D$3:$D$601,"Broadleaf Evergreen")) &gt; 0,
            _xlfn.IFS($K122="Small",1,$K122="Small/Medium",2,$K122="Medium/Large",3,$K122="Large",4)
    )
),
"")</f>
        <v/>
      </c>
      <c r="M122" s="473" t="str">
        <f t="shared" si="176"/>
        <v/>
      </c>
      <c r="N122" s="435"/>
      <c r="O122" s="341" t="str" cm="1">
        <f t="array" aca="1" ref="O122"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List'!$C$3:$C$601,$C122,'Tree List'!$D$3:$D$601,{"Deciduous","Broadleaf Evergreen"})),
_xlpm.Coniferous,SUM(COUNTIFS('Tree List'!$C$3:$C$601,$C122,'Tree List'!$D$3:$D$601,{"Coniferous","Deciduous Conifer"})),
IFERROR(
IF(AND(_xlpm.baseRow,ISNA(MATCH($C122,'Tree List'!$C$3:$C$601,0)),SUMPRODUCT(--ISNUMBER(SEARCH(Tables2!$C$677:$C$825,$P122)))&gt;0),
Error!$B$64,
IF(AND(_xlpm.baseRow,COUNTIF(_xlpm.FRange,"ECA / Shoreline")&gt;0,$D122&lt;&gt;"",$E122&lt;&gt;"",$N122=""),
Error!$B$55,
IF(AND(_xlpm.baseRow,$D122&lt;&gt;"",$E122&lt;&gt;"",COUNTBLANK($B122:$C122)&gt;0,COUNTBLANK($F122:$F125)&lt;&gt;4),
Error!$B$22,
IF(AND(_xlpm.baseRow,$D122="Right-of-Way", $E122=""),
Error!$B$67,
IF(AND(_xlpm.baseRow,$D122&lt;&gt;"",ISNA(MATCH($D122,Tables2!$B$66:$B$68,0))),
Error!$B$63,
IF(AND(_xlpm.baseRow,$D122="Off Site",$E122&lt;&gt;"",$E122&lt;&gt;"Yes"),
Error!$B$28,
IF(AND(_xlpm.baseRow,OR($D122="On Site",$D122="Right-of-Way"),$E122&lt;&gt;"",ISNA(MATCH($E122,MultiSelect2[TreeMitigation],0))),
Error!$B$28,
IF(AND(_xlpm.baseRow,$D122&lt;&gt;"",$E122&lt;&gt;"",COUNTIF(_xlpm.FRange,"&lt;&gt;")=0),
Error!$B$26,
IF(AND($E122="No",$F122&lt;&gt;"",ISNA(MATCH($F122,Tables2!$B$55:$B$57,0))),
Error!$B$27,
IF(AND($E122="Yes",$F122&lt;&gt;"",ISNA(MATCH($F122,Tables2!$B$48:$B$52,0))),
Error!$B$27,
IF(AND($D122="Off Site",$E122="Yes",$F122&lt;&gt;"",ISNA(MATCH($F122,Tables2!$B$60:$B$62,0))),
Error!$B$27,
IF(AND(_xlpm.baseRow,_xlpm.Street&gt;0,_xlpm.ECA&gt;0),
Error!$B$29,
IF(AND(_xlpm.baseRow,_xlpm.Street&gt;0,_xlpm.Points&gt;0),
Error!$B$30,
IF(AND(_xlpm.baseRow,_xlpm.Street&gt;0,_xlpm.ReplaceReq&gt;0),
Error!$B$31,
IF(AND(_xlpm.baseRow,$D122&lt;&gt;"",$E122&lt;&gt;"",$G122&lt;&gt;"",_xlpm.DecBroad&gt;0,OR(_xlpm.Points&gt;0,_xlpm.Green&gt;0,_xlpm.ReplaceReq&gt;0),_xlpm.Street=0,$G122&lt;1.5),
Error!$B$42,
IF(AND(_xlpm.baseRow,$D122&lt;&gt;"",$E122&lt;&gt;"",$H122&lt;&gt;"",$H122&lt;4,_xlpm.Street&gt;0,_xlpm.Green&gt;0,COUNTA(_xlpm.FRange)&gt;0),
Error!$B$32,
IF(AND(_xlpm.baseRow,$G122="",_xlpm.ECA&gt;0,_xlpm.DecBroad&gt;0,_xlpm.ReplaceReq&gt;0),
Error!$B$52,
IF(AND(_xlpm.baseRow,$E122&lt;&gt;"", $H122="",_xlpm.ECA&gt;0,_xlpm.Coniferous&gt;0,_xlpm.ReplaceReq&gt;0),
Error!$B$53,
IF(AND(_xlpm.baseRow,$G122="",$H122="",_xlpm.ECA&gt;0,_xlpm.ReplaceReq&gt;0),
Error!$B$39,
IF(AND(_xlpm.baseRow,$D122&lt;&gt;"",$E122&lt;&gt;"",$G122="",$H122="",_xlpm.Coniferous&gt;0,_xlpm.ReplaceReq&gt;0,_xlpm.ECA&gt;0),
Error!$B$50,
IF(AND(_xlpm.baseRow,$D122&lt;&gt;"",$E122&lt;&gt;"",$G122&lt;&gt;"",_xlpm.Street&gt;0,$G122&lt;2),
Error!$B$43,
IF(AND(_xlpm.baseRow,$D122&lt;&gt;"",$E122&lt;&gt;"",_xlpm.Green&gt;0,_xlpm.DecBroad&gt;0,$G122=""),
Error!$B$49,
IF(AND(_xlpm.baseRow,$D122&lt;&gt;"",$E122&lt;&gt;"",$H122&lt;&gt;"",$H122&lt;4,_xlpm.Green&gt;0,_xlpm.DecBroad&gt;0,$G122=""),
Error!$B$51,
IF(AND(_xlpm.baseRow,$D122&lt;&gt;"",$E122&lt;&gt;"",_xlpm.Green&gt;0,_xlpm.Coniferous&gt;0,$H122=""),
Error!$B$50,
IF(AND(_xlpm.baseRow,$D122&lt;&gt;"",$E122&lt;&gt;"",_xlpm.Points&gt;0,_xlpm.DecBroad&gt;0,$G122=""),
Error!$B$49,
IF(AND(_xlpm.baseRow,$D122&lt;&gt;"",$E122&lt;&gt;"",_xlpm.Points&gt;0,_xlpm.Coniferous&gt;0,$H122=""),
Error!$B$50,
IF(AND(_xlpm.baseRow,$D122&lt;&gt;"",$E122&lt;&gt;"",_xlpm.ReplaceReq&gt;0,_xlpm.DecBroad&gt;0,$G122=""),
Error!$B$49,
IF(AND(_xlpm.baseRow,$D122&lt;&gt;"",$E122&lt;&gt;"",_xlpm.ReplaceReq&gt;0,_xlpm.Coniferous&gt;0,$H122=""),
Error!$B$50,
IF(AND(_xlpm.baseRow,$D122&lt;&gt;"",$E122&lt;&gt;"",_xlpm.Street&gt;0,$G122=""),
Error!$B$49,
IF(AND(_xlpm.baseRow,$D122&lt;&gt;"",$E122&lt;&gt;"",$H122&lt;&gt;"",$H122&lt;4,OR(ISNA(MATCH($C122,'Tree List'!$C$3:$C$601,0)),$C122=""),_xlpm.Green&gt;0,COUNTA(_xlpm.FRange)&gt;0),
Error!$B$51,
IF(AND(_xlpm.baseRow,$D122&lt;&gt;"",$E122&lt;&gt;"",$H122&lt;&gt;"",$H122&lt;4,_xlpm.DecBroad&gt;0,_xlpm.Green&gt;0,COUNTA(_xlpm.FRange)&gt;0),
Error!$B$51,
IF(AND(_xlpm.baseRow,$D122&lt;&gt;"",$E122&lt;&gt;"",$G122="",$H122="",OR(_xlpm.ReplaceReq&gt;0,_xlpm.Green&gt;0,_xlpm.Points&gt;0,_xlpm.Street&gt;0)),
Error!$B$38,
IF(AND(_xlpm.baseRow,$D122&lt;&gt;"",$E122&lt;&gt;"",$H122&lt;&gt;"",$H122&lt;4,_xlpm.Street=0,_xlpm.Coniferous&gt;0,COUNTA(_xlpm.FRange)&gt;0),
Error!$B$32,
IF(AND(_xlpm.baseRow,_xlpm.DecBroad&gt;0,$D122&lt;&gt;"",$E122&lt;&gt;"",$G122&lt;&gt;"",$G122&lt;1.5,_xlpm.Street=0,COUNTA(_xlpm.FRange)&gt;0),
Error!$B$42,
IF(AND(_xlpm.baseRow,$I122="",$H122="",_xlpm.ECA&gt;0,_xlpm.ReplaceReq=0),
Error!$B$33,
IF(AND(_xlpm.baseRow,OR($J122="",$J122&lt;=0),_xlpm.ReplaceReq&gt;0),
Error!$B$34,
IF(AND(_xlpm.baseRow,$K122&lt;&gt;"",_xlpm.Points&gt;0,ISNA(MATCH($K122,Tables!$B$242:$B$253,0))),
Error!$B$58,
IF(AND($K122="Small",$L122&lt;&gt;"",ISNA(MATCH($L122,Tables2!$C$35:$C$36,0))),
Error!$B$60,
IF(AND($K122="Small/Medium",$L122&lt;&gt;"",ISNA(MATCH($L122,Tables2!$C$38:$C$39,0))),
Error!$B$60,
IF(AND($K122="Medium/Large",$L122&lt;&gt;"",ISNA(MATCH($L122,Tables2!$C$41:$C$42,0))),
Error!$B$60,
IF(AND($K122="Large",$L122&lt;&gt;"",ISNA(MATCH($L122,Tables2!$C$44:$C$45,0))),
Error!$B$60,
IF(AND(_xlpm.baseRow,$B122&lt;&gt;"", $C122&lt;&gt;"", $D122&lt;&gt;"", $E122&lt;&gt;"", OR($M122="",$K122="",$L122=""),_xlpm.Points&gt;0),
Error!$B$35,
IF(AND(_xlpm.baseRow,$D122&lt;&gt;"",$E122&lt;&gt;"",$N122=""),
Error!$B$36,
""))))))))))))))))))))))))))))))))))))))))))),Error!$B$37))</f>
        <v/>
      </c>
      <c r="P122" s="355" t="str" cm="1">
        <f t="array" aca="1" ref="P122" ca="1">IFERROR(_xlfn.LET(
    _xlpm.txt, $C122,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3" spans="1:16" ht="15" thickBot="1" x14ac:dyDescent="0.35">
      <c r="A123" s="437">
        <v>29</v>
      </c>
      <c r="B123" s="447"/>
      <c r="C123" s="444"/>
      <c r="D123" s="296"/>
      <c r="E123" s="296"/>
      <c r="F123" s="304"/>
      <c r="G123" s="257"/>
      <c r="H123" s="181"/>
      <c r="I123" s="178"/>
      <c r="J123" s="457"/>
      <c r="K123" s="172" t="str">
        <f>IFERROR(
IF(
    AND(
        MOD(ROW()-11,4)=0,
        COUNTIF(INDEX(F:F, 11 + 4*INT((ROW()-11)/4)):INDEX(F:F, 14 + 4*INT((ROW()-11)/4)),"Zoning: Tree Points")&gt;0,
        COUNTIFS('Tree List'!$C$3:$C$601,$C123,'Tree List'!$H$3:$H$601,"sp.")=0
    ),
    VLOOKUP($C123,'Tree List'!$C$3:$F$601,4,FALSE),
    ""
),
"")</f>
        <v/>
      </c>
      <c r="L123" s="173" t="str" cm="1">
        <f t="array" ref="L123">IFERROR(
IF(
    AND(
        COUNTIF(INDEX(F:F, 11 + 4*INT((ROW()-11)/4)):INDEX(F:F, 14 + 4*INT((ROW()-11)/4)),"Zoning: Tree Points")&gt;0,
        COUNTIFS('Tree List'!$C$3:$C$601,$C123,'Tree List'!$H$3:$H$601,"sp.")&gt;0
    ),
    "",
    _xlfn.IFS(
        (COUNTIFS('Tree List'!$C$3:$C$601,$C123,'Tree List'!$D$3:$D$601,"Coniferous")
        + COUNTIFS('Tree List'!$C$3:$C$601,$C123,'Tree List'!$D$3:$D$601,"Deciduous Conifer")) &gt; 0,
            _xlfn.IFS($K123="Small",1.25,$K123="Small/Medium",2.5,$K123="Medium/Large",3.75,$K123="Large",5),
        (COUNTIFS('Tree List'!$C$3:$C$601,$C123,'Tree List'!$D$3:$D$601,"Deciduous")
        + COUNTIFS('Tree List'!$C$3:$C$601,$C123,'Tree List'!$D$3:$D$601,"Broadleaf Evergreen")) &gt; 0,
            _xlfn.IFS($K123="Small",1,$K123="Small/Medium",2,$K123="Medium/Large",3,$K123="Large",4)
    )
),
"")</f>
        <v/>
      </c>
      <c r="M123" s="470" t="str">
        <f t="shared" ref="M123" si="183">IFERROR($L123*$N123,"")</f>
        <v/>
      </c>
      <c r="N123" s="744"/>
      <c r="O123" s="737" t="str" cm="1">
        <f t="array" aca="1" ref="O123"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List'!$C$3:$C$601,$C123,'Tree List'!$D$3:$D$601,{"Deciduous","Broadleaf Evergreen"})),
_xlpm.Coniferous,SUM(COUNTIFS('Tree List'!$C$3:$C$601,$C123,'Tree List'!$D$3:$D$601,{"Coniferous","Deciduous Conifer"})),
IFERROR(
IF(AND(_xlpm.baseRow,ISNA(MATCH($C123,'Tree List'!$C$3:$C$601,0)),SUMPRODUCT(--ISNUMBER(SEARCH(Tables2!$C$677:$C$825,$P123)))&gt;0),
Error!$B$64,
IF(AND(_xlpm.baseRow,COUNTIF(_xlpm.FRange,"ECA / Shoreline")&gt;0,$D123&lt;&gt;"",$E123&lt;&gt;"",$N123=""),
Error!$B$55,
IF(AND(_xlpm.baseRow,$D123&lt;&gt;"",$E123&lt;&gt;"",COUNTBLANK($B123:$C123)&gt;0,COUNTBLANK($F123:$F126)&lt;&gt;4),
Error!$B$22,
IF(AND(_xlpm.baseRow,$D123="Right-of-Way", $E123=""),
Error!$B$67,
IF(AND(_xlpm.baseRow,$D123&lt;&gt;"",ISNA(MATCH($D123,Tables2!$B$66:$B$68,0))),
Error!$B$63,
IF(AND(_xlpm.baseRow,$D123="Off Site",$E123&lt;&gt;"",$E123&lt;&gt;"Yes"),
Error!$B$28,
IF(AND(_xlpm.baseRow,OR($D123="On Site",$D123="Right-of-Way"),$E123&lt;&gt;"",ISNA(MATCH($E123,MultiSelect2[TreeMitigation],0))),
Error!$B$28,
IF(AND(_xlpm.baseRow,$D123&lt;&gt;"",$E123&lt;&gt;"",COUNTIF(_xlpm.FRange,"&lt;&gt;")=0),
Error!$B$26,
IF(AND($E123="No",$F123&lt;&gt;"",ISNA(MATCH($F123,Tables2!$B$55:$B$57,0))),
Error!$B$27,
IF(AND($E123="Yes",$F123&lt;&gt;"",ISNA(MATCH($F123,Tables2!$B$48:$B$52,0))),
Error!$B$27,
IF(AND($D123="Off Site",$E123="Yes",$F123&lt;&gt;"",ISNA(MATCH($F123,Tables2!$B$60:$B$62,0))),
Error!$B$27,
IF(AND(_xlpm.baseRow,_xlpm.Street&gt;0,_xlpm.ECA&gt;0),
Error!$B$29,
IF(AND(_xlpm.baseRow,_xlpm.Street&gt;0,_xlpm.Points&gt;0),
Error!$B$30,
IF(AND(_xlpm.baseRow,_xlpm.Street&gt;0,_xlpm.ReplaceReq&gt;0),
Error!$B$31,
IF(AND(_xlpm.baseRow,$D123&lt;&gt;"",$E123&lt;&gt;"",$G123&lt;&gt;"",_xlpm.DecBroad&gt;0,OR(_xlpm.Points&gt;0,_xlpm.Green&gt;0,_xlpm.ReplaceReq&gt;0),_xlpm.Street=0,$G123&lt;1.5),
Error!$B$42,
IF(AND(_xlpm.baseRow,$D123&lt;&gt;"",$E123&lt;&gt;"",$H123&lt;&gt;"",$H123&lt;4,_xlpm.Street&gt;0,_xlpm.Green&gt;0,COUNTA(_xlpm.FRange)&gt;0),
Error!$B$32,
IF(AND(_xlpm.baseRow,$G123="",_xlpm.ECA&gt;0,_xlpm.DecBroad&gt;0,_xlpm.ReplaceReq&gt;0),
Error!$B$52,
IF(AND(_xlpm.baseRow,$E123&lt;&gt;"", $H123="",_xlpm.ECA&gt;0,_xlpm.Coniferous&gt;0,_xlpm.ReplaceReq&gt;0),
Error!$B$53,
IF(AND(_xlpm.baseRow,$G123="",$H123="",_xlpm.ECA&gt;0,_xlpm.ReplaceReq&gt;0),
Error!$B$39,
IF(AND(_xlpm.baseRow,$D123&lt;&gt;"",$E123&lt;&gt;"",$G123="",$H123="",_xlpm.Coniferous&gt;0,_xlpm.ReplaceReq&gt;0,_xlpm.ECA&gt;0),
Error!$B$50,
IF(AND(_xlpm.baseRow,$D123&lt;&gt;"",$E123&lt;&gt;"",$G123&lt;&gt;"",_xlpm.Street&gt;0,$G123&lt;2),
Error!$B$43,
IF(AND(_xlpm.baseRow,$D123&lt;&gt;"",$E123&lt;&gt;"",_xlpm.Green&gt;0,_xlpm.DecBroad&gt;0,$G123=""),
Error!$B$49,
IF(AND(_xlpm.baseRow,$D123&lt;&gt;"",$E123&lt;&gt;"",$H123&lt;&gt;"",$H123&lt;4,_xlpm.Green&gt;0,_xlpm.DecBroad&gt;0,$G123=""),
Error!$B$51,
IF(AND(_xlpm.baseRow,$D123&lt;&gt;"",$E123&lt;&gt;"",_xlpm.Green&gt;0,_xlpm.Coniferous&gt;0,$H123=""),
Error!$B$50,
IF(AND(_xlpm.baseRow,$D123&lt;&gt;"",$E123&lt;&gt;"",_xlpm.Points&gt;0,_xlpm.DecBroad&gt;0,$G123=""),
Error!$B$49,
IF(AND(_xlpm.baseRow,$D123&lt;&gt;"",$E123&lt;&gt;"",_xlpm.Points&gt;0,_xlpm.Coniferous&gt;0,$H123=""),
Error!$B$50,
IF(AND(_xlpm.baseRow,$D123&lt;&gt;"",$E123&lt;&gt;"",_xlpm.ReplaceReq&gt;0,_xlpm.DecBroad&gt;0,$G123=""),
Error!$B$49,
IF(AND(_xlpm.baseRow,$D123&lt;&gt;"",$E123&lt;&gt;"",_xlpm.ReplaceReq&gt;0,_xlpm.Coniferous&gt;0,$H123=""),
Error!$B$50,
IF(AND(_xlpm.baseRow,$D123&lt;&gt;"",$E123&lt;&gt;"",_xlpm.Street&gt;0,$G123=""),
Error!$B$49,
IF(AND(_xlpm.baseRow,$D123&lt;&gt;"",$E123&lt;&gt;"",$H123&lt;&gt;"",$H123&lt;4,OR(ISNA(MATCH($C123,'Tree List'!$C$3:$C$601,0)),$C123=""),_xlpm.Green&gt;0,COUNTA(_xlpm.FRange)&gt;0),
Error!$B$51,
IF(AND(_xlpm.baseRow,$D123&lt;&gt;"",$E123&lt;&gt;"",$H123&lt;&gt;"",$H123&lt;4,_xlpm.DecBroad&gt;0,_xlpm.Green&gt;0,COUNTA(_xlpm.FRange)&gt;0),
Error!$B$51,
IF(AND(_xlpm.baseRow,$D123&lt;&gt;"",$E123&lt;&gt;"",$G123="",$H123="",OR(_xlpm.ReplaceReq&gt;0,_xlpm.Green&gt;0,_xlpm.Points&gt;0,_xlpm.Street&gt;0)),
Error!$B$38,
IF(AND(_xlpm.baseRow,$D123&lt;&gt;"",$E123&lt;&gt;"",$H123&lt;&gt;"",$H123&lt;4,_xlpm.Street=0,_xlpm.Coniferous&gt;0,COUNTA(_xlpm.FRange)&gt;0),
Error!$B$32,
IF(AND(_xlpm.baseRow,_xlpm.DecBroad&gt;0,$D123&lt;&gt;"",$E123&lt;&gt;"",$G123&lt;&gt;"",$G123&lt;1.5,_xlpm.Street=0,COUNTA(_xlpm.FRange)&gt;0),
Error!$B$42,
IF(AND(_xlpm.baseRow,$I123="",$H123="",_xlpm.ECA&gt;0,_xlpm.ReplaceReq=0),
Error!$B$33,
IF(AND(_xlpm.baseRow,OR($J123="",$J123&lt;=0),_xlpm.ReplaceReq&gt;0),
Error!$B$34,
IF(AND(_xlpm.baseRow,$K123&lt;&gt;"",_xlpm.Points&gt;0,ISNA(MATCH($K123,Tables!$B$242:$B$253,0))),
Error!$B$58,
IF(AND($K123="Small",$L123&lt;&gt;"",ISNA(MATCH($L123,Tables2!$C$35:$C$36,0))),
Error!$B$60,
IF(AND($K123="Small/Medium",$L123&lt;&gt;"",ISNA(MATCH($L123,Tables2!$C$38:$C$39,0))),
Error!$B$60,
IF(AND($K123="Medium/Large",$L123&lt;&gt;"",ISNA(MATCH($L123,Tables2!$C$41:$C$42,0))),
Error!$B$60,
IF(AND($K123="Large",$L123&lt;&gt;"",ISNA(MATCH($L123,Tables2!$C$44:$C$45,0))),
Error!$B$60,
IF(AND(_xlpm.baseRow,$B123&lt;&gt;"", $C123&lt;&gt;"", $D123&lt;&gt;"", $E123&lt;&gt;"", OR($M123="",$K123="",$L123=""),_xlpm.Points&gt;0),
Error!$B$35,
IF(AND(_xlpm.baseRow,$D123&lt;&gt;"",$E123&lt;&gt;"",$N123=""),
Error!$B$36,
""))))))))))))))))))))))))))))))))))))))))))),Error!$B$37))</f>
        <v/>
      </c>
      <c r="P123" s="355" t="str" cm="1">
        <f t="array" aca="1" ref="P123" ca="1">IFERROR(_xlfn.LET(
    _xlpm.txt, $C123,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4" spans="1:16" x14ac:dyDescent="0.3">
      <c r="A124" s="297"/>
      <c r="B124" s="439" t="str">
        <f t="shared" ref="B124" si="184">IF($B123="", "", $B123)</f>
        <v/>
      </c>
      <c r="C124" s="309"/>
      <c r="D124" s="157" t="str">
        <f t="shared" ref="D124" si="185">IF($D123="", "", $D123)</f>
        <v/>
      </c>
      <c r="E124" s="157" t="str">
        <f t="shared" ref="E124" si="186">IF($E123="", "", $E123)</f>
        <v/>
      </c>
      <c r="F124" s="300"/>
      <c r="G124" s="159"/>
      <c r="H124" s="182"/>
      <c r="I124" s="179"/>
      <c r="J124" s="458"/>
      <c r="K124" s="174" t="str">
        <f>IFERROR(
IF(
    AND(
        MOD(ROW()-11,4)=0,
        COUNTIF(INDEX(F:F, 11 + 4*INT((ROW()-11)/4)):INDEX(F:F, 14 + 4*INT((ROW()-11)/4)),"Zoning: Tree Points")&gt;0,
        COUNTIFS('Tree List'!$C$3:$C$601,$C124,'Tree List'!$H$3:$H$601,"sp.")=0
    ),
    VLOOKUP($C124,'Tree List'!$C$3:$F$601,4,FALSE),
    ""
),
"")</f>
        <v/>
      </c>
      <c r="L124" s="175" t="str" cm="1">
        <f t="array" ref="L124">IFERROR(
IF(
    AND(
        COUNTIF(INDEX(F:F, 11 + 4*INT((ROW()-11)/4)):INDEX(F:F, 14 + 4*INT((ROW()-11)/4)),"Zoning: Tree Points")&gt;0,
        COUNTIFS('Tree List'!$C$3:$C$601,$C124,'Tree List'!$H$3:$H$601,"sp.")&gt;0
    ),
    "",
    _xlfn.IFS(
        (COUNTIFS('Tree List'!$C$3:$C$601,$C124,'Tree List'!$D$3:$D$601,"Coniferous")
        + COUNTIFS('Tree List'!$C$3:$C$601,$C124,'Tree List'!$D$3:$D$601,"Deciduous Conifer")) &gt; 0,
            _xlfn.IFS($K124="Small",1.25,$K124="Small/Medium",2.5,$K124="Medium/Large",3.75,$K124="Large",5),
        (COUNTIFS('Tree List'!$C$3:$C$601,$C124,'Tree List'!$D$3:$D$601,"Deciduous")
        + COUNTIFS('Tree List'!$C$3:$C$601,$C124,'Tree List'!$D$3:$D$601,"Broadleaf Evergreen")) &gt; 0,
            _xlfn.IFS($K124="Small",1,$K124="Small/Medium",2,$K124="Medium/Large",3,$K124="Large",4)
    )
),
"")</f>
        <v/>
      </c>
      <c r="M124" s="471" t="str">
        <f t="shared" ref="M124:M126" si="187">IFERROR($L124*$N124,"")</f>
        <v/>
      </c>
      <c r="N124" s="434"/>
      <c r="O124" s="340" t="str" cm="1">
        <f t="array" aca="1" ref="O124"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List'!$C$3:$C$601,$C124,'Tree List'!$D$3:$D$601,{"Deciduous","Broadleaf Evergreen"})),
_xlpm.Coniferous,SUM(COUNTIFS('Tree List'!$C$3:$C$601,$C124,'Tree List'!$D$3:$D$601,{"Coniferous","Deciduous Conifer"})),
IFERROR(
IF(AND(_xlpm.baseRow,ISNA(MATCH($C124,'Tree List'!$C$3:$C$601,0)),SUMPRODUCT(--ISNUMBER(SEARCH(Tables2!$C$677:$C$825,$P124)))&gt;0),
Error!$B$64,
IF(AND(_xlpm.baseRow,COUNTIF(_xlpm.FRange,"ECA / Shoreline")&gt;0,$D124&lt;&gt;"",$E124&lt;&gt;"",$N124=""),
Error!$B$55,
IF(AND(_xlpm.baseRow,$D124&lt;&gt;"",$E124&lt;&gt;"",COUNTBLANK($B124:$C124)&gt;0,COUNTBLANK($F124:$F127)&lt;&gt;4),
Error!$B$22,
IF(AND(_xlpm.baseRow,$D124="Right-of-Way", $E124=""),
Error!$B$67,
IF(AND(_xlpm.baseRow,$D124&lt;&gt;"",ISNA(MATCH($D124,Tables2!$B$66:$B$68,0))),
Error!$B$63,
IF(AND(_xlpm.baseRow,$D124="Off Site",$E124&lt;&gt;"",$E124&lt;&gt;"Yes"),
Error!$B$28,
IF(AND(_xlpm.baseRow,OR($D124="On Site",$D124="Right-of-Way"),$E124&lt;&gt;"",ISNA(MATCH($E124,MultiSelect2[TreeMitigation],0))),
Error!$B$28,
IF(AND(_xlpm.baseRow,$D124&lt;&gt;"",$E124&lt;&gt;"",COUNTIF(_xlpm.FRange,"&lt;&gt;")=0),
Error!$B$26,
IF(AND($E124="No",$F124&lt;&gt;"",ISNA(MATCH($F124,Tables2!$B$55:$B$57,0))),
Error!$B$27,
IF(AND($E124="Yes",$F124&lt;&gt;"",ISNA(MATCH($F124,Tables2!$B$48:$B$52,0))),
Error!$B$27,
IF(AND($D124="Off Site",$E124="Yes",$F124&lt;&gt;"",ISNA(MATCH($F124,Tables2!$B$60:$B$62,0))),
Error!$B$27,
IF(AND(_xlpm.baseRow,_xlpm.Street&gt;0,_xlpm.ECA&gt;0),
Error!$B$29,
IF(AND(_xlpm.baseRow,_xlpm.Street&gt;0,_xlpm.Points&gt;0),
Error!$B$30,
IF(AND(_xlpm.baseRow,_xlpm.Street&gt;0,_xlpm.ReplaceReq&gt;0),
Error!$B$31,
IF(AND(_xlpm.baseRow,$D124&lt;&gt;"",$E124&lt;&gt;"",$G124&lt;&gt;"",_xlpm.DecBroad&gt;0,OR(_xlpm.Points&gt;0,_xlpm.Green&gt;0,_xlpm.ReplaceReq&gt;0),_xlpm.Street=0,$G124&lt;1.5),
Error!$B$42,
IF(AND(_xlpm.baseRow,$D124&lt;&gt;"",$E124&lt;&gt;"",$H124&lt;&gt;"",$H124&lt;4,_xlpm.Street&gt;0,_xlpm.Green&gt;0,COUNTA(_xlpm.FRange)&gt;0),
Error!$B$32,
IF(AND(_xlpm.baseRow,$G124="",_xlpm.ECA&gt;0,_xlpm.DecBroad&gt;0,_xlpm.ReplaceReq&gt;0),
Error!$B$52,
IF(AND(_xlpm.baseRow,$E124&lt;&gt;"", $H124="",_xlpm.ECA&gt;0,_xlpm.Coniferous&gt;0,_xlpm.ReplaceReq&gt;0),
Error!$B$53,
IF(AND(_xlpm.baseRow,$G124="",$H124="",_xlpm.ECA&gt;0,_xlpm.ReplaceReq&gt;0),
Error!$B$39,
IF(AND(_xlpm.baseRow,$D124&lt;&gt;"",$E124&lt;&gt;"",$G124="",$H124="",_xlpm.Coniferous&gt;0,_xlpm.ReplaceReq&gt;0,_xlpm.ECA&gt;0),
Error!$B$50,
IF(AND(_xlpm.baseRow,$D124&lt;&gt;"",$E124&lt;&gt;"",$G124&lt;&gt;"",_xlpm.Street&gt;0,$G124&lt;2),
Error!$B$43,
IF(AND(_xlpm.baseRow,$D124&lt;&gt;"",$E124&lt;&gt;"",_xlpm.Green&gt;0,_xlpm.DecBroad&gt;0,$G124=""),
Error!$B$49,
IF(AND(_xlpm.baseRow,$D124&lt;&gt;"",$E124&lt;&gt;"",$H124&lt;&gt;"",$H124&lt;4,_xlpm.Green&gt;0,_xlpm.DecBroad&gt;0,$G124=""),
Error!$B$51,
IF(AND(_xlpm.baseRow,$D124&lt;&gt;"",$E124&lt;&gt;"",_xlpm.Green&gt;0,_xlpm.Coniferous&gt;0,$H124=""),
Error!$B$50,
IF(AND(_xlpm.baseRow,$D124&lt;&gt;"",$E124&lt;&gt;"",_xlpm.Points&gt;0,_xlpm.DecBroad&gt;0,$G124=""),
Error!$B$49,
IF(AND(_xlpm.baseRow,$D124&lt;&gt;"",$E124&lt;&gt;"",_xlpm.Points&gt;0,_xlpm.Coniferous&gt;0,$H124=""),
Error!$B$50,
IF(AND(_xlpm.baseRow,$D124&lt;&gt;"",$E124&lt;&gt;"",_xlpm.ReplaceReq&gt;0,_xlpm.DecBroad&gt;0,$G124=""),
Error!$B$49,
IF(AND(_xlpm.baseRow,$D124&lt;&gt;"",$E124&lt;&gt;"",_xlpm.ReplaceReq&gt;0,_xlpm.Coniferous&gt;0,$H124=""),
Error!$B$50,
IF(AND(_xlpm.baseRow,$D124&lt;&gt;"",$E124&lt;&gt;"",_xlpm.Street&gt;0,$G124=""),
Error!$B$49,
IF(AND(_xlpm.baseRow,$D124&lt;&gt;"",$E124&lt;&gt;"",$H124&lt;&gt;"",$H124&lt;4,OR(ISNA(MATCH($C124,'Tree List'!$C$3:$C$601,0)),$C124=""),_xlpm.Green&gt;0,COUNTA(_xlpm.FRange)&gt;0),
Error!$B$51,
IF(AND(_xlpm.baseRow,$D124&lt;&gt;"",$E124&lt;&gt;"",$H124&lt;&gt;"",$H124&lt;4,_xlpm.DecBroad&gt;0,_xlpm.Green&gt;0,COUNTA(_xlpm.FRange)&gt;0),
Error!$B$51,
IF(AND(_xlpm.baseRow,$D124&lt;&gt;"",$E124&lt;&gt;"",$G124="",$H124="",OR(_xlpm.ReplaceReq&gt;0,_xlpm.Green&gt;0,_xlpm.Points&gt;0,_xlpm.Street&gt;0)),
Error!$B$38,
IF(AND(_xlpm.baseRow,$D124&lt;&gt;"",$E124&lt;&gt;"",$H124&lt;&gt;"",$H124&lt;4,_xlpm.Street=0,_xlpm.Coniferous&gt;0,COUNTA(_xlpm.FRange)&gt;0),
Error!$B$32,
IF(AND(_xlpm.baseRow,_xlpm.DecBroad&gt;0,$D124&lt;&gt;"",$E124&lt;&gt;"",$G124&lt;&gt;"",$G124&lt;1.5,_xlpm.Street=0,COUNTA(_xlpm.FRange)&gt;0),
Error!$B$42,
IF(AND(_xlpm.baseRow,$I124="",$H124="",_xlpm.ECA&gt;0,_xlpm.ReplaceReq=0),
Error!$B$33,
IF(AND(_xlpm.baseRow,OR($J124="",$J124&lt;=0),_xlpm.ReplaceReq&gt;0),
Error!$B$34,
IF(AND(_xlpm.baseRow,$K124&lt;&gt;"",_xlpm.Points&gt;0,ISNA(MATCH($K124,Tables!$B$242:$B$253,0))),
Error!$B$58,
IF(AND($K124="Small",$L124&lt;&gt;"",ISNA(MATCH($L124,Tables2!$C$35:$C$36,0))),
Error!$B$60,
IF(AND($K124="Small/Medium",$L124&lt;&gt;"",ISNA(MATCH($L124,Tables2!$C$38:$C$39,0))),
Error!$B$60,
IF(AND($K124="Medium/Large",$L124&lt;&gt;"",ISNA(MATCH($L124,Tables2!$C$41:$C$42,0))),
Error!$B$60,
IF(AND($K124="Large",$L124&lt;&gt;"",ISNA(MATCH($L124,Tables2!$C$44:$C$45,0))),
Error!$B$60,
IF(AND(_xlpm.baseRow,$B124&lt;&gt;"", $C124&lt;&gt;"", $D124&lt;&gt;"", $E124&lt;&gt;"", OR($M124="",$K124="",$L124=""),_xlpm.Points&gt;0),
Error!$B$35,
IF(AND(_xlpm.baseRow,$D124&lt;&gt;"",$E124&lt;&gt;"",$N124=""),
Error!$B$36,
""))))))))))))))))))))))))))))))))))))))))))),Error!$B$37))</f>
        <v/>
      </c>
      <c r="P124" s="355" t="str" cm="1">
        <f t="array" aca="1" ref="P124" ca="1">IFERROR(_xlfn.LET(
    _xlpm.txt, $C124,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5" spans="1:16" x14ac:dyDescent="0.3">
      <c r="A125" s="297"/>
      <c r="B125" s="439" t="str">
        <f t="shared" ref="B125" si="188">IF($B123="", "", $B123)</f>
        <v/>
      </c>
      <c r="C125" s="438"/>
      <c r="D125" s="439" t="str">
        <f t="shared" ref="D125" si="189">IF($D123="", "", $D123)</f>
        <v/>
      </c>
      <c r="E125" s="439" t="str">
        <f t="shared" ref="E125" si="190">IF($E123="", "", $E123)</f>
        <v/>
      </c>
      <c r="F125" s="300"/>
      <c r="G125" s="160"/>
      <c r="H125" s="440"/>
      <c r="I125" s="441"/>
      <c r="J125" s="459"/>
      <c r="K125" s="442" t="str">
        <f>IFERROR(
IF(
    AND(
        MOD(ROW()-11,4)=0,
        COUNTIF(INDEX(F:F, 11 + 4*INT((ROW()-11)/4)):INDEX(F:F, 14 + 4*INT((ROW()-11)/4)),"Zoning: Tree Points")&gt;0,
        COUNTIFS('Tree List'!$C$3:$C$601,$C125,'Tree List'!$H$3:$H$601,"sp.")=0
    ),
    VLOOKUP($C125,'Tree List'!$C$3:$F$601,4,FALSE),
    ""
),
"")</f>
        <v/>
      </c>
      <c r="L125" s="443" t="str" cm="1">
        <f t="array" ref="L125">IFERROR(
IF(
    AND(
        COUNTIF(INDEX(F:F, 11 + 4*INT((ROW()-11)/4)):INDEX(F:F, 14 + 4*INT((ROW()-11)/4)),"Zoning: Tree Points")&gt;0,
        COUNTIFS('Tree List'!$C$3:$C$601,$C125,'Tree List'!$H$3:$H$601,"sp.")&gt;0
    ),
    "",
    _xlfn.IFS(
        (COUNTIFS('Tree List'!$C$3:$C$601,$C125,'Tree List'!$D$3:$D$601,"Coniferous")
        + COUNTIFS('Tree List'!$C$3:$C$601,$C125,'Tree List'!$D$3:$D$601,"Deciduous Conifer")) &gt; 0,
            _xlfn.IFS($K125="Small",1.25,$K125="Small/Medium",2.5,$K125="Medium/Large",3.75,$K125="Large",5),
        (COUNTIFS('Tree List'!$C$3:$C$601,$C125,'Tree List'!$D$3:$D$601,"Deciduous")
        + COUNTIFS('Tree List'!$C$3:$C$601,$C125,'Tree List'!$D$3:$D$601,"Broadleaf Evergreen")) &gt; 0,
            _xlfn.IFS($K125="Small",1,$K125="Small/Medium",2,$K125="Medium/Large",3,$K125="Large",4)
    )
),
"")</f>
        <v/>
      </c>
      <c r="M125" s="472" t="str">
        <f t="shared" si="187"/>
        <v/>
      </c>
      <c r="N125" s="434"/>
      <c r="O125" s="340" t="str" cm="1">
        <f t="array" aca="1" ref="O125"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List'!$C$3:$C$601,$C125,'Tree List'!$D$3:$D$601,{"Deciduous","Broadleaf Evergreen"})),
_xlpm.Coniferous,SUM(COUNTIFS('Tree List'!$C$3:$C$601,$C125,'Tree List'!$D$3:$D$601,{"Coniferous","Deciduous Conifer"})),
IFERROR(
IF(AND(_xlpm.baseRow,ISNA(MATCH($C125,'Tree List'!$C$3:$C$601,0)),SUMPRODUCT(--ISNUMBER(SEARCH(Tables2!$C$677:$C$825,$P125)))&gt;0),
Error!$B$64,
IF(AND(_xlpm.baseRow,COUNTIF(_xlpm.FRange,"ECA / Shoreline")&gt;0,$D125&lt;&gt;"",$E125&lt;&gt;"",$N125=""),
Error!$B$55,
IF(AND(_xlpm.baseRow,$D125&lt;&gt;"",$E125&lt;&gt;"",COUNTBLANK($B125:$C125)&gt;0,COUNTBLANK($F125:$F128)&lt;&gt;4),
Error!$B$22,
IF(AND(_xlpm.baseRow,$D125="Right-of-Way", $E125=""),
Error!$B$67,
IF(AND(_xlpm.baseRow,$D125&lt;&gt;"",ISNA(MATCH($D125,Tables2!$B$66:$B$68,0))),
Error!$B$63,
IF(AND(_xlpm.baseRow,$D125="Off Site",$E125&lt;&gt;"",$E125&lt;&gt;"Yes"),
Error!$B$28,
IF(AND(_xlpm.baseRow,OR($D125="On Site",$D125="Right-of-Way"),$E125&lt;&gt;"",ISNA(MATCH($E125,MultiSelect2[TreeMitigation],0))),
Error!$B$28,
IF(AND(_xlpm.baseRow,$D125&lt;&gt;"",$E125&lt;&gt;"",COUNTIF(_xlpm.FRange,"&lt;&gt;")=0),
Error!$B$26,
IF(AND($E125="No",$F125&lt;&gt;"",ISNA(MATCH($F125,Tables2!$B$55:$B$57,0))),
Error!$B$27,
IF(AND($E125="Yes",$F125&lt;&gt;"",ISNA(MATCH($F125,Tables2!$B$48:$B$52,0))),
Error!$B$27,
IF(AND($D125="Off Site",$E125="Yes",$F125&lt;&gt;"",ISNA(MATCH($F125,Tables2!$B$60:$B$62,0))),
Error!$B$27,
IF(AND(_xlpm.baseRow,_xlpm.Street&gt;0,_xlpm.ECA&gt;0),
Error!$B$29,
IF(AND(_xlpm.baseRow,_xlpm.Street&gt;0,_xlpm.Points&gt;0),
Error!$B$30,
IF(AND(_xlpm.baseRow,_xlpm.Street&gt;0,_xlpm.ReplaceReq&gt;0),
Error!$B$31,
IF(AND(_xlpm.baseRow,$D125&lt;&gt;"",$E125&lt;&gt;"",$G125&lt;&gt;"",_xlpm.DecBroad&gt;0,OR(_xlpm.Points&gt;0,_xlpm.Green&gt;0,_xlpm.ReplaceReq&gt;0),_xlpm.Street=0,$G125&lt;1.5),
Error!$B$42,
IF(AND(_xlpm.baseRow,$D125&lt;&gt;"",$E125&lt;&gt;"",$H125&lt;&gt;"",$H125&lt;4,_xlpm.Street&gt;0,_xlpm.Green&gt;0,COUNTA(_xlpm.FRange)&gt;0),
Error!$B$32,
IF(AND(_xlpm.baseRow,$G125="",_xlpm.ECA&gt;0,_xlpm.DecBroad&gt;0,_xlpm.ReplaceReq&gt;0),
Error!$B$52,
IF(AND(_xlpm.baseRow,$E125&lt;&gt;"", $H125="",_xlpm.ECA&gt;0,_xlpm.Coniferous&gt;0,_xlpm.ReplaceReq&gt;0),
Error!$B$53,
IF(AND(_xlpm.baseRow,$G125="",$H125="",_xlpm.ECA&gt;0,_xlpm.ReplaceReq&gt;0),
Error!$B$39,
IF(AND(_xlpm.baseRow,$D125&lt;&gt;"",$E125&lt;&gt;"",$G125="",$H125="",_xlpm.Coniferous&gt;0,_xlpm.ReplaceReq&gt;0,_xlpm.ECA&gt;0),
Error!$B$50,
IF(AND(_xlpm.baseRow,$D125&lt;&gt;"",$E125&lt;&gt;"",$G125&lt;&gt;"",_xlpm.Street&gt;0,$G125&lt;2),
Error!$B$43,
IF(AND(_xlpm.baseRow,$D125&lt;&gt;"",$E125&lt;&gt;"",_xlpm.Green&gt;0,_xlpm.DecBroad&gt;0,$G125=""),
Error!$B$49,
IF(AND(_xlpm.baseRow,$D125&lt;&gt;"",$E125&lt;&gt;"",$H125&lt;&gt;"",$H125&lt;4,_xlpm.Green&gt;0,_xlpm.DecBroad&gt;0,$G125=""),
Error!$B$51,
IF(AND(_xlpm.baseRow,$D125&lt;&gt;"",$E125&lt;&gt;"",_xlpm.Green&gt;0,_xlpm.Coniferous&gt;0,$H125=""),
Error!$B$50,
IF(AND(_xlpm.baseRow,$D125&lt;&gt;"",$E125&lt;&gt;"",_xlpm.Points&gt;0,_xlpm.DecBroad&gt;0,$G125=""),
Error!$B$49,
IF(AND(_xlpm.baseRow,$D125&lt;&gt;"",$E125&lt;&gt;"",_xlpm.Points&gt;0,_xlpm.Coniferous&gt;0,$H125=""),
Error!$B$50,
IF(AND(_xlpm.baseRow,$D125&lt;&gt;"",$E125&lt;&gt;"",_xlpm.ReplaceReq&gt;0,_xlpm.DecBroad&gt;0,$G125=""),
Error!$B$49,
IF(AND(_xlpm.baseRow,$D125&lt;&gt;"",$E125&lt;&gt;"",_xlpm.ReplaceReq&gt;0,_xlpm.Coniferous&gt;0,$H125=""),
Error!$B$50,
IF(AND(_xlpm.baseRow,$D125&lt;&gt;"",$E125&lt;&gt;"",_xlpm.Street&gt;0,$G125=""),
Error!$B$49,
IF(AND(_xlpm.baseRow,$D125&lt;&gt;"",$E125&lt;&gt;"",$H125&lt;&gt;"",$H125&lt;4,OR(ISNA(MATCH($C125,'Tree List'!$C$3:$C$601,0)),$C125=""),_xlpm.Green&gt;0,COUNTA(_xlpm.FRange)&gt;0),
Error!$B$51,
IF(AND(_xlpm.baseRow,$D125&lt;&gt;"",$E125&lt;&gt;"",$H125&lt;&gt;"",$H125&lt;4,_xlpm.DecBroad&gt;0,_xlpm.Green&gt;0,COUNTA(_xlpm.FRange)&gt;0),
Error!$B$51,
IF(AND(_xlpm.baseRow,$D125&lt;&gt;"",$E125&lt;&gt;"",$G125="",$H125="",OR(_xlpm.ReplaceReq&gt;0,_xlpm.Green&gt;0,_xlpm.Points&gt;0,_xlpm.Street&gt;0)),
Error!$B$38,
IF(AND(_xlpm.baseRow,$D125&lt;&gt;"",$E125&lt;&gt;"",$H125&lt;&gt;"",$H125&lt;4,_xlpm.Street=0,_xlpm.Coniferous&gt;0,COUNTA(_xlpm.FRange)&gt;0),
Error!$B$32,
IF(AND(_xlpm.baseRow,_xlpm.DecBroad&gt;0,$D125&lt;&gt;"",$E125&lt;&gt;"",$G125&lt;&gt;"",$G125&lt;1.5,_xlpm.Street=0,COUNTA(_xlpm.FRange)&gt;0),
Error!$B$42,
IF(AND(_xlpm.baseRow,$I125="",$H125="",_xlpm.ECA&gt;0,_xlpm.ReplaceReq=0),
Error!$B$33,
IF(AND(_xlpm.baseRow,OR($J125="",$J125&lt;=0),_xlpm.ReplaceReq&gt;0),
Error!$B$34,
IF(AND(_xlpm.baseRow,$K125&lt;&gt;"",_xlpm.Points&gt;0,ISNA(MATCH($K125,Tables!$B$242:$B$253,0))),
Error!$B$58,
IF(AND($K125="Small",$L125&lt;&gt;"",ISNA(MATCH($L125,Tables2!$C$35:$C$36,0))),
Error!$B$60,
IF(AND($K125="Small/Medium",$L125&lt;&gt;"",ISNA(MATCH($L125,Tables2!$C$38:$C$39,0))),
Error!$B$60,
IF(AND($K125="Medium/Large",$L125&lt;&gt;"",ISNA(MATCH($L125,Tables2!$C$41:$C$42,0))),
Error!$B$60,
IF(AND($K125="Large",$L125&lt;&gt;"",ISNA(MATCH($L125,Tables2!$C$44:$C$45,0))),
Error!$B$60,
IF(AND(_xlpm.baseRow,$B125&lt;&gt;"", $C125&lt;&gt;"", $D125&lt;&gt;"", $E125&lt;&gt;"", OR($M125="",$K125="",$L125=""),_xlpm.Points&gt;0),
Error!$B$35,
IF(AND(_xlpm.baseRow,$D125&lt;&gt;"",$E125&lt;&gt;"",$N125=""),
Error!$B$36,
""))))))))))))))))))))))))))))))))))))))))))),Error!$B$37))</f>
        <v/>
      </c>
      <c r="P125" s="355" t="str" cm="1">
        <f t="array" aca="1" ref="P125" ca="1">IFERROR(_xlfn.LET(
    _xlpm.txt, $C125,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6" spans="1:16" ht="15" thickBot="1" x14ac:dyDescent="0.35">
      <c r="A126" s="298"/>
      <c r="B126" s="439" t="str">
        <f t="shared" ref="B126" si="191">IF($B123="", "", $B123)</f>
        <v/>
      </c>
      <c r="C126" s="310"/>
      <c r="D126" s="154" t="str">
        <f t="shared" ref="D126" si="192">IF($D123="", "", $D123)</f>
        <v/>
      </c>
      <c r="E126" s="154" t="str">
        <f t="shared" ref="E126" si="193">IF($E123="", "", $E123)</f>
        <v/>
      </c>
      <c r="F126" s="302"/>
      <c r="G126" s="161"/>
      <c r="H126" s="183"/>
      <c r="I126" s="180"/>
      <c r="J126" s="460"/>
      <c r="K126" s="176" t="str">
        <f>IFERROR(
IF(
    AND(
        MOD(ROW()-11,4)=0,
        COUNTIF(INDEX(F:F, 11 + 4*INT((ROW()-11)/4)):INDEX(F:F, 14 + 4*INT((ROW()-11)/4)),"Zoning: Tree Points")&gt;0,
        COUNTIFS('Tree List'!$C$3:$C$601,$C126,'Tree List'!$H$3:$H$601,"sp.")=0
    ),
    VLOOKUP($C126,'Tree List'!$C$3:$F$601,4,FALSE),
    ""
),
"")</f>
        <v/>
      </c>
      <c r="L126" s="177" t="str" cm="1">
        <f t="array" ref="L126">IFERROR(
IF(
    AND(
        COUNTIF(INDEX(F:F, 11 + 4*INT((ROW()-11)/4)):INDEX(F:F, 14 + 4*INT((ROW()-11)/4)),"Zoning: Tree Points")&gt;0,
        COUNTIFS('Tree List'!$C$3:$C$601,$C126,'Tree List'!$H$3:$H$601,"sp.")&gt;0
    ),
    "",
    _xlfn.IFS(
        (COUNTIFS('Tree List'!$C$3:$C$601,$C126,'Tree List'!$D$3:$D$601,"Coniferous")
        + COUNTIFS('Tree List'!$C$3:$C$601,$C126,'Tree List'!$D$3:$D$601,"Deciduous Conifer")) &gt; 0,
            _xlfn.IFS($K126="Small",1.25,$K126="Small/Medium",2.5,$K126="Medium/Large",3.75,$K126="Large",5),
        (COUNTIFS('Tree List'!$C$3:$C$601,$C126,'Tree List'!$D$3:$D$601,"Deciduous")
        + COUNTIFS('Tree List'!$C$3:$C$601,$C126,'Tree List'!$D$3:$D$601,"Broadleaf Evergreen")) &gt; 0,
            _xlfn.IFS($K126="Small",1,$K126="Small/Medium",2,$K126="Medium/Large",3,$K126="Large",4)
    )
),
"")</f>
        <v/>
      </c>
      <c r="M126" s="473" t="str">
        <f t="shared" si="187"/>
        <v/>
      </c>
      <c r="N126" s="435"/>
      <c r="O126" s="341" t="str" cm="1">
        <f t="array" aca="1" ref="O126"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List'!$C$3:$C$601,$C126,'Tree List'!$D$3:$D$601,{"Deciduous","Broadleaf Evergreen"})),
_xlpm.Coniferous,SUM(COUNTIFS('Tree List'!$C$3:$C$601,$C126,'Tree List'!$D$3:$D$601,{"Coniferous","Deciduous Conifer"})),
IFERROR(
IF(AND(_xlpm.baseRow,ISNA(MATCH($C126,'Tree List'!$C$3:$C$601,0)),SUMPRODUCT(--ISNUMBER(SEARCH(Tables2!$C$677:$C$825,$P126)))&gt;0),
Error!$B$64,
IF(AND(_xlpm.baseRow,COUNTIF(_xlpm.FRange,"ECA / Shoreline")&gt;0,$D126&lt;&gt;"",$E126&lt;&gt;"",$N126=""),
Error!$B$55,
IF(AND(_xlpm.baseRow,$D126&lt;&gt;"",$E126&lt;&gt;"",COUNTBLANK($B126:$C126)&gt;0,COUNTBLANK($F126:$F129)&lt;&gt;4),
Error!$B$22,
IF(AND(_xlpm.baseRow,$D126="Right-of-Way", $E126=""),
Error!$B$67,
IF(AND(_xlpm.baseRow,$D126&lt;&gt;"",ISNA(MATCH($D126,Tables2!$B$66:$B$68,0))),
Error!$B$63,
IF(AND(_xlpm.baseRow,$D126="Off Site",$E126&lt;&gt;"",$E126&lt;&gt;"Yes"),
Error!$B$28,
IF(AND(_xlpm.baseRow,OR($D126="On Site",$D126="Right-of-Way"),$E126&lt;&gt;"",ISNA(MATCH($E126,MultiSelect2[TreeMitigation],0))),
Error!$B$28,
IF(AND(_xlpm.baseRow,$D126&lt;&gt;"",$E126&lt;&gt;"",COUNTIF(_xlpm.FRange,"&lt;&gt;")=0),
Error!$B$26,
IF(AND($E126="No",$F126&lt;&gt;"",ISNA(MATCH($F126,Tables2!$B$55:$B$57,0))),
Error!$B$27,
IF(AND($E126="Yes",$F126&lt;&gt;"",ISNA(MATCH($F126,Tables2!$B$48:$B$52,0))),
Error!$B$27,
IF(AND($D126="Off Site",$E126="Yes",$F126&lt;&gt;"",ISNA(MATCH($F126,Tables2!$B$60:$B$62,0))),
Error!$B$27,
IF(AND(_xlpm.baseRow,_xlpm.Street&gt;0,_xlpm.ECA&gt;0),
Error!$B$29,
IF(AND(_xlpm.baseRow,_xlpm.Street&gt;0,_xlpm.Points&gt;0),
Error!$B$30,
IF(AND(_xlpm.baseRow,_xlpm.Street&gt;0,_xlpm.ReplaceReq&gt;0),
Error!$B$31,
IF(AND(_xlpm.baseRow,$D126&lt;&gt;"",$E126&lt;&gt;"",$G126&lt;&gt;"",_xlpm.DecBroad&gt;0,OR(_xlpm.Points&gt;0,_xlpm.Green&gt;0,_xlpm.ReplaceReq&gt;0),_xlpm.Street=0,$G126&lt;1.5),
Error!$B$42,
IF(AND(_xlpm.baseRow,$D126&lt;&gt;"",$E126&lt;&gt;"",$H126&lt;&gt;"",$H126&lt;4,_xlpm.Street&gt;0,_xlpm.Green&gt;0,COUNTA(_xlpm.FRange)&gt;0),
Error!$B$32,
IF(AND(_xlpm.baseRow,$G126="",_xlpm.ECA&gt;0,_xlpm.DecBroad&gt;0,_xlpm.ReplaceReq&gt;0),
Error!$B$52,
IF(AND(_xlpm.baseRow,$E126&lt;&gt;"", $H126="",_xlpm.ECA&gt;0,_xlpm.Coniferous&gt;0,_xlpm.ReplaceReq&gt;0),
Error!$B$53,
IF(AND(_xlpm.baseRow,$G126="",$H126="",_xlpm.ECA&gt;0,_xlpm.ReplaceReq&gt;0),
Error!$B$39,
IF(AND(_xlpm.baseRow,$D126&lt;&gt;"",$E126&lt;&gt;"",$G126="",$H126="",_xlpm.Coniferous&gt;0,_xlpm.ReplaceReq&gt;0,_xlpm.ECA&gt;0),
Error!$B$50,
IF(AND(_xlpm.baseRow,$D126&lt;&gt;"",$E126&lt;&gt;"",$G126&lt;&gt;"",_xlpm.Street&gt;0,$G126&lt;2),
Error!$B$43,
IF(AND(_xlpm.baseRow,$D126&lt;&gt;"",$E126&lt;&gt;"",_xlpm.Green&gt;0,_xlpm.DecBroad&gt;0,$G126=""),
Error!$B$49,
IF(AND(_xlpm.baseRow,$D126&lt;&gt;"",$E126&lt;&gt;"",$H126&lt;&gt;"",$H126&lt;4,_xlpm.Green&gt;0,_xlpm.DecBroad&gt;0,$G126=""),
Error!$B$51,
IF(AND(_xlpm.baseRow,$D126&lt;&gt;"",$E126&lt;&gt;"",_xlpm.Green&gt;0,_xlpm.Coniferous&gt;0,$H126=""),
Error!$B$50,
IF(AND(_xlpm.baseRow,$D126&lt;&gt;"",$E126&lt;&gt;"",_xlpm.Points&gt;0,_xlpm.DecBroad&gt;0,$G126=""),
Error!$B$49,
IF(AND(_xlpm.baseRow,$D126&lt;&gt;"",$E126&lt;&gt;"",_xlpm.Points&gt;0,_xlpm.Coniferous&gt;0,$H126=""),
Error!$B$50,
IF(AND(_xlpm.baseRow,$D126&lt;&gt;"",$E126&lt;&gt;"",_xlpm.ReplaceReq&gt;0,_xlpm.DecBroad&gt;0,$G126=""),
Error!$B$49,
IF(AND(_xlpm.baseRow,$D126&lt;&gt;"",$E126&lt;&gt;"",_xlpm.ReplaceReq&gt;0,_xlpm.Coniferous&gt;0,$H126=""),
Error!$B$50,
IF(AND(_xlpm.baseRow,$D126&lt;&gt;"",$E126&lt;&gt;"",_xlpm.Street&gt;0,$G126=""),
Error!$B$49,
IF(AND(_xlpm.baseRow,$D126&lt;&gt;"",$E126&lt;&gt;"",$H126&lt;&gt;"",$H126&lt;4,OR(ISNA(MATCH($C126,'Tree List'!$C$3:$C$601,0)),$C126=""),_xlpm.Green&gt;0,COUNTA(_xlpm.FRange)&gt;0),
Error!$B$51,
IF(AND(_xlpm.baseRow,$D126&lt;&gt;"",$E126&lt;&gt;"",$H126&lt;&gt;"",$H126&lt;4,_xlpm.DecBroad&gt;0,_xlpm.Green&gt;0,COUNTA(_xlpm.FRange)&gt;0),
Error!$B$51,
IF(AND(_xlpm.baseRow,$D126&lt;&gt;"",$E126&lt;&gt;"",$G126="",$H126="",OR(_xlpm.ReplaceReq&gt;0,_xlpm.Green&gt;0,_xlpm.Points&gt;0,_xlpm.Street&gt;0)),
Error!$B$38,
IF(AND(_xlpm.baseRow,$D126&lt;&gt;"",$E126&lt;&gt;"",$H126&lt;&gt;"",$H126&lt;4,_xlpm.Street=0,_xlpm.Coniferous&gt;0,COUNTA(_xlpm.FRange)&gt;0),
Error!$B$32,
IF(AND(_xlpm.baseRow,_xlpm.DecBroad&gt;0,$D126&lt;&gt;"",$E126&lt;&gt;"",$G126&lt;&gt;"",$G126&lt;1.5,_xlpm.Street=0,COUNTA(_xlpm.FRange)&gt;0),
Error!$B$42,
IF(AND(_xlpm.baseRow,$I126="",$H126="",_xlpm.ECA&gt;0,_xlpm.ReplaceReq=0),
Error!$B$33,
IF(AND(_xlpm.baseRow,OR($J126="",$J126&lt;=0),_xlpm.ReplaceReq&gt;0),
Error!$B$34,
IF(AND(_xlpm.baseRow,$K126&lt;&gt;"",_xlpm.Points&gt;0,ISNA(MATCH($K126,Tables!$B$242:$B$253,0))),
Error!$B$58,
IF(AND($K126="Small",$L126&lt;&gt;"",ISNA(MATCH($L126,Tables2!$C$35:$C$36,0))),
Error!$B$60,
IF(AND($K126="Small/Medium",$L126&lt;&gt;"",ISNA(MATCH($L126,Tables2!$C$38:$C$39,0))),
Error!$B$60,
IF(AND($K126="Medium/Large",$L126&lt;&gt;"",ISNA(MATCH($L126,Tables2!$C$41:$C$42,0))),
Error!$B$60,
IF(AND($K126="Large",$L126&lt;&gt;"",ISNA(MATCH($L126,Tables2!$C$44:$C$45,0))),
Error!$B$60,
IF(AND(_xlpm.baseRow,$B126&lt;&gt;"", $C126&lt;&gt;"", $D126&lt;&gt;"", $E126&lt;&gt;"", OR($M126="",$K126="",$L126=""),_xlpm.Points&gt;0),
Error!$B$35,
IF(AND(_xlpm.baseRow,$D126&lt;&gt;"",$E126&lt;&gt;"",$N126=""),
Error!$B$36,
""))))))))))))))))))))))))))))))))))))))))))),Error!$B$37))</f>
        <v/>
      </c>
      <c r="P126" s="355" t="str" cm="1">
        <f t="array" aca="1" ref="P126" ca="1">IFERROR(_xlfn.LET(
    _xlpm.txt, $C126,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7" spans="1:16" ht="15" thickBot="1" x14ac:dyDescent="0.35">
      <c r="A127" s="437">
        <v>30</v>
      </c>
      <c r="B127" s="447"/>
      <c r="C127" s="444"/>
      <c r="D127" s="296"/>
      <c r="E127" s="296"/>
      <c r="F127" s="304"/>
      <c r="G127" s="257"/>
      <c r="H127" s="181"/>
      <c r="I127" s="178"/>
      <c r="J127" s="457"/>
      <c r="K127" s="172" t="str">
        <f>IFERROR(
IF(
    AND(
        MOD(ROW()-11,4)=0,
        COUNTIF(INDEX(F:F, 11 + 4*INT((ROW()-11)/4)):INDEX(F:F, 14 + 4*INT((ROW()-11)/4)),"Zoning: Tree Points")&gt;0,
        COUNTIFS('Tree List'!$C$3:$C$601,$C127,'Tree List'!$H$3:$H$601,"sp.")=0
    ),
    VLOOKUP($C127,'Tree List'!$C$3:$F$601,4,FALSE),
    ""
),
"")</f>
        <v/>
      </c>
      <c r="L127" s="173" t="str" cm="1">
        <f t="array" ref="L127">IFERROR(
IF(
    AND(
        COUNTIF(INDEX(F:F, 11 + 4*INT((ROW()-11)/4)):INDEX(F:F, 14 + 4*INT((ROW()-11)/4)),"Zoning: Tree Points")&gt;0,
        COUNTIFS('Tree List'!$C$3:$C$601,$C127,'Tree List'!$H$3:$H$601,"sp.")&gt;0
    ),
    "",
    _xlfn.IFS(
        (COUNTIFS('Tree List'!$C$3:$C$601,$C127,'Tree List'!$D$3:$D$601,"Coniferous")
        + COUNTIFS('Tree List'!$C$3:$C$601,$C127,'Tree List'!$D$3:$D$601,"Deciduous Conifer")) &gt; 0,
            _xlfn.IFS($K127="Small",1.25,$K127="Small/Medium",2.5,$K127="Medium/Large",3.75,$K127="Large",5),
        (COUNTIFS('Tree List'!$C$3:$C$601,$C127,'Tree List'!$D$3:$D$601,"Deciduous")
        + COUNTIFS('Tree List'!$C$3:$C$601,$C127,'Tree List'!$D$3:$D$601,"Broadleaf Evergreen")) &gt; 0,
            _xlfn.IFS($K127="Small",1,$K127="Small/Medium",2,$K127="Medium/Large",3,$K127="Large",4)
    )
),
"")</f>
        <v/>
      </c>
      <c r="M127" s="470" t="str">
        <f t="shared" ref="M127" si="194">IFERROR($L127*$N127,"")</f>
        <v/>
      </c>
      <c r="N127" s="744"/>
      <c r="O127" s="737" t="str" cm="1">
        <f t="array" aca="1" ref="O127"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List'!$C$3:$C$601,$C127,'Tree List'!$D$3:$D$601,{"Deciduous","Broadleaf Evergreen"})),
_xlpm.Coniferous,SUM(COUNTIFS('Tree List'!$C$3:$C$601,$C127,'Tree List'!$D$3:$D$601,{"Coniferous","Deciduous Conifer"})),
IFERROR(
IF(AND(_xlpm.baseRow,ISNA(MATCH($C127,'Tree List'!$C$3:$C$601,0)),SUMPRODUCT(--ISNUMBER(SEARCH(Tables2!$C$677:$C$825,$P127)))&gt;0),
Error!$B$64,
IF(AND(_xlpm.baseRow,COUNTIF(_xlpm.FRange,"ECA / Shoreline")&gt;0,$D127&lt;&gt;"",$E127&lt;&gt;"",$N127=""),
Error!$B$55,
IF(AND(_xlpm.baseRow,$D127&lt;&gt;"",$E127&lt;&gt;"",COUNTBLANK($B127:$C127)&gt;0,COUNTBLANK($F127:$F130)&lt;&gt;4),
Error!$B$22,
IF(AND(_xlpm.baseRow,$D127="Right-of-Way", $E127=""),
Error!$B$67,
IF(AND(_xlpm.baseRow,$D127&lt;&gt;"",ISNA(MATCH($D127,Tables2!$B$66:$B$68,0))),
Error!$B$63,
IF(AND(_xlpm.baseRow,$D127="Off Site",$E127&lt;&gt;"",$E127&lt;&gt;"Yes"),
Error!$B$28,
IF(AND(_xlpm.baseRow,OR($D127="On Site",$D127="Right-of-Way"),$E127&lt;&gt;"",ISNA(MATCH($E127,MultiSelect2[TreeMitigation],0))),
Error!$B$28,
IF(AND(_xlpm.baseRow,$D127&lt;&gt;"",$E127&lt;&gt;"",COUNTIF(_xlpm.FRange,"&lt;&gt;")=0),
Error!$B$26,
IF(AND($E127="No",$F127&lt;&gt;"",ISNA(MATCH($F127,Tables2!$B$55:$B$57,0))),
Error!$B$27,
IF(AND($E127="Yes",$F127&lt;&gt;"",ISNA(MATCH($F127,Tables2!$B$48:$B$52,0))),
Error!$B$27,
IF(AND($D127="Off Site",$E127="Yes",$F127&lt;&gt;"",ISNA(MATCH($F127,Tables2!$B$60:$B$62,0))),
Error!$B$27,
IF(AND(_xlpm.baseRow,_xlpm.Street&gt;0,_xlpm.ECA&gt;0),
Error!$B$29,
IF(AND(_xlpm.baseRow,_xlpm.Street&gt;0,_xlpm.Points&gt;0),
Error!$B$30,
IF(AND(_xlpm.baseRow,_xlpm.Street&gt;0,_xlpm.ReplaceReq&gt;0),
Error!$B$31,
IF(AND(_xlpm.baseRow,$D127&lt;&gt;"",$E127&lt;&gt;"",$G127&lt;&gt;"",_xlpm.DecBroad&gt;0,OR(_xlpm.Points&gt;0,_xlpm.Green&gt;0,_xlpm.ReplaceReq&gt;0),_xlpm.Street=0,$G127&lt;1.5),
Error!$B$42,
IF(AND(_xlpm.baseRow,$D127&lt;&gt;"",$E127&lt;&gt;"",$H127&lt;&gt;"",$H127&lt;4,_xlpm.Street&gt;0,_xlpm.Green&gt;0,COUNTA(_xlpm.FRange)&gt;0),
Error!$B$32,
IF(AND(_xlpm.baseRow,$G127="",_xlpm.ECA&gt;0,_xlpm.DecBroad&gt;0,_xlpm.ReplaceReq&gt;0),
Error!$B$52,
IF(AND(_xlpm.baseRow,$E127&lt;&gt;"", $H127="",_xlpm.ECA&gt;0,_xlpm.Coniferous&gt;0,_xlpm.ReplaceReq&gt;0),
Error!$B$53,
IF(AND(_xlpm.baseRow,$G127="",$H127="",_xlpm.ECA&gt;0,_xlpm.ReplaceReq&gt;0),
Error!$B$39,
IF(AND(_xlpm.baseRow,$D127&lt;&gt;"",$E127&lt;&gt;"",$G127="",$H127="",_xlpm.Coniferous&gt;0,_xlpm.ReplaceReq&gt;0,_xlpm.ECA&gt;0),
Error!$B$50,
IF(AND(_xlpm.baseRow,$D127&lt;&gt;"",$E127&lt;&gt;"",$G127&lt;&gt;"",_xlpm.Street&gt;0,$G127&lt;2),
Error!$B$43,
IF(AND(_xlpm.baseRow,$D127&lt;&gt;"",$E127&lt;&gt;"",_xlpm.Green&gt;0,_xlpm.DecBroad&gt;0,$G127=""),
Error!$B$49,
IF(AND(_xlpm.baseRow,$D127&lt;&gt;"",$E127&lt;&gt;"",$H127&lt;&gt;"",$H127&lt;4,_xlpm.Green&gt;0,_xlpm.DecBroad&gt;0,$G127=""),
Error!$B$51,
IF(AND(_xlpm.baseRow,$D127&lt;&gt;"",$E127&lt;&gt;"",_xlpm.Green&gt;0,_xlpm.Coniferous&gt;0,$H127=""),
Error!$B$50,
IF(AND(_xlpm.baseRow,$D127&lt;&gt;"",$E127&lt;&gt;"",_xlpm.Points&gt;0,_xlpm.DecBroad&gt;0,$G127=""),
Error!$B$49,
IF(AND(_xlpm.baseRow,$D127&lt;&gt;"",$E127&lt;&gt;"",_xlpm.Points&gt;0,_xlpm.Coniferous&gt;0,$H127=""),
Error!$B$50,
IF(AND(_xlpm.baseRow,$D127&lt;&gt;"",$E127&lt;&gt;"",_xlpm.ReplaceReq&gt;0,_xlpm.DecBroad&gt;0,$G127=""),
Error!$B$49,
IF(AND(_xlpm.baseRow,$D127&lt;&gt;"",$E127&lt;&gt;"",_xlpm.ReplaceReq&gt;0,_xlpm.Coniferous&gt;0,$H127=""),
Error!$B$50,
IF(AND(_xlpm.baseRow,$D127&lt;&gt;"",$E127&lt;&gt;"",_xlpm.Street&gt;0,$G127=""),
Error!$B$49,
IF(AND(_xlpm.baseRow,$D127&lt;&gt;"",$E127&lt;&gt;"",$H127&lt;&gt;"",$H127&lt;4,OR(ISNA(MATCH($C127,'Tree List'!$C$3:$C$601,0)),$C127=""),_xlpm.Green&gt;0,COUNTA(_xlpm.FRange)&gt;0),
Error!$B$51,
IF(AND(_xlpm.baseRow,$D127&lt;&gt;"",$E127&lt;&gt;"",$H127&lt;&gt;"",$H127&lt;4,_xlpm.DecBroad&gt;0,_xlpm.Green&gt;0,COUNTA(_xlpm.FRange)&gt;0),
Error!$B$51,
IF(AND(_xlpm.baseRow,$D127&lt;&gt;"",$E127&lt;&gt;"",$G127="",$H127="",OR(_xlpm.ReplaceReq&gt;0,_xlpm.Green&gt;0,_xlpm.Points&gt;0,_xlpm.Street&gt;0)),
Error!$B$38,
IF(AND(_xlpm.baseRow,$D127&lt;&gt;"",$E127&lt;&gt;"",$H127&lt;&gt;"",$H127&lt;4,_xlpm.Street=0,_xlpm.Coniferous&gt;0,COUNTA(_xlpm.FRange)&gt;0),
Error!$B$32,
IF(AND(_xlpm.baseRow,_xlpm.DecBroad&gt;0,$D127&lt;&gt;"",$E127&lt;&gt;"",$G127&lt;&gt;"",$G127&lt;1.5,_xlpm.Street=0,COUNTA(_xlpm.FRange)&gt;0),
Error!$B$42,
IF(AND(_xlpm.baseRow,$I127="",$H127="",_xlpm.ECA&gt;0,_xlpm.ReplaceReq=0),
Error!$B$33,
IF(AND(_xlpm.baseRow,OR($J127="",$J127&lt;=0),_xlpm.ReplaceReq&gt;0),
Error!$B$34,
IF(AND(_xlpm.baseRow,$K127&lt;&gt;"",_xlpm.Points&gt;0,ISNA(MATCH($K127,Tables!$B$242:$B$253,0))),
Error!$B$58,
IF(AND($K127="Small",$L127&lt;&gt;"",ISNA(MATCH($L127,Tables2!$C$35:$C$36,0))),
Error!$B$60,
IF(AND($K127="Small/Medium",$L127&lt;&gt;"",ISNA(MATCH($L127,Tables2!$C$38:$C$39,0))),
Error!$B$60,
IF(AND($K127="Medium/Large",$L127&lt;&gt;"",ISNA(MATCH($L127,Tables2!$C$41:$C$42,0))),
Error!$B$60,
IF(AND($K127="Large",$L127&lt;&gt;"",ISNA(MATCH($L127,Tables2!$C$44:$C$45,0))),
Error!$B$60,
IF(AND(_xlpm.baseRow,$B127&lt;&gt;"", $C127&lt;&gt;"", $D127&lt;&gt;"", $E127&lt;&gt;"", OR($M127="",$K127="",$L127=""),_xlpm.Points&gt;0),
Error!$B$35,
IF(AND(_xlpm.baseRow,$D127&lt;&gt;"",$E127&lt;&gt;"",$N127=""),
Error!$B$36,
""))))))))))))))))))))))))))))))))))))))))))),Error!$B$37))</f>
        <v/>
      </c>
      <c r="P127" s="355" t="str" cm="1">
        <f t="array" aca="1" ref="P127" ca="1">IFERROR(_xlfn.LET(
    _xlpm.txt, $C127,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8" spans="1:16" x14ac:dyDescent="0.3">
      <c r="A128" s="297"/>
      <c r="B128" s="439" t="str">
        <f t="shared" ref="B128" si="195">IF($B127="", "", $B127)</f>
        <v/>
      </c>
      <c r="C128" s="309"/>
      <c r="D128" s="157" t="str">
        <f t="shared" ref="D128" si="196">IF($D127="", "", $D127)</f>
        <v/>
      </c>
      <c r="E128" s="157" t="str">
        <f t="shared" ref="E128" si="197">IF($E127="", "", $E127)</f>
        <v/>
      </c>
      <c r="F128" s="300"/>
      <c r="G128" s="159"/>
      <c r="H128" s="182"/>
      <c r="I128" s="179"/>
      <c r="J128" s="458"/>
      <c r="K128" s="174" t="str">
        <f>IFERROR(
IF(
    AND(
        MOD(ROW()-11,4)=0,
        COUNTIF(INDEX(F:F, 11 + 4*INT((ROW()-11)/4)):INDEX(F:F, 14 + 4*INT((ROW()-11)/4)),"Zoning: Tree Points")&gt;0,
        COUNTIFS('Tree List'!$C$3:$C$601,$C128,'Tree List'!$H$3:$H$601,"sp.")=0
    ),
    VLOOKUP($C128,'Tree List'!$C$3:$F$601,4,FALSE),
    ""
),
"")</f>
        <v/>
      </c>
      <c r="L128" s="175" t="str" cm="1">
        <f t="array" ref="L128">IFERROR(
IF(
    AND(
        COUNTIF(INDEX(F:F, 11 + 4*INT((ROW()-11)/4)):INDEX(F:F, 14 + 4*INT((ROW()-11)/4)),"Zoning: Tree Points")&gt;0,
        COUNTIFS('Tree List'!$C$3:$C$601,$C128,'Tree List'!$H$3:$H$601,"sp.")&gt;0
    ),
    "",
    _xlfn.IFS(
        (COUNTIFS('Tree List'!$C$3:$C$601,$C128,'Tree List'!$D$3:$D$601,"Coniferous")
        + COUNTIFS('Tree List'!$C$3:$C$601,$C128,'Tree List'!$D$3:$D$601,"Deciduous Conifer")) &gt; 0,
            _xlfn.IFS($K128="Small",1.25,$K128="Small/Medium",2.5,$K128="Medium/Large",3.75,$K128="Large",5),
        (COUNTIFS('Tree List'!$C$3:$C$601,$C128,'Tree List'!$D$3:$D$601,"Deciduous")
        + COUNTIFS('Tree List'!$C$3:$C$601,$C128,'Tree List'!$D$3:$D$601,"Broadleaf Evergreen")) &gt; 0,
            _xlfn.IFS($K128="Small",1,$K128="Small/Medium",2,$K128="Medium/Large",3,$K128="Large",4)
    )
),
"")</f>
        <v/>
      </c>
      <c r="M128" s="471" t="str">
        <f t="shared" ref="M128:M130" si="198">IFERROR($L128*$N128,"")</f>
        <v/>
      </c>
      <c r="N128" s="434"/>
      <c r="O128" s="340" t="str" cm="1">
        <f t="array" aca="1" ref="O128"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List'!$C$3:$C$601,$C128,'Tree List'!$D$3:$D$601,{"Deciduous","Broadleaf Evergreen"})),
_xlpm.Coniferous,SUM(COUNTIFS('Tree List'!$C$3:$C$601,$C128,'Tree List'!$D$3:$D$601,{"Coniferous","Deciduous Conifer"})),
IFERROR(
IF(AND(_xlpm.baseRow,ISNA(MATCH($C128,'Tree List'!$C$3:$C$601,0)),SUMPRODUCT(--ISNUMBER(SEARCH(Tables2!$C$677:$C$825,$P128)))&gt;0),
Error!$B$64,
IF(AND(_xlpm.baseRow,COUNTIF(_xlpm.FRange,"ECA / Shoreline")&gt;0,$D128&lt;&gt;"",$E128&lt;&gt;"",$N128=""),
Error!$B$55,
IF(AND(_xlpm.baseRow,$D128&lt;&gt;"",$E128&lt;&gt;"",COUNTBLANK($B128:$C128)&gt;0,COUNTBLANK($F128:$F131)&lt;&gt;4),
Error!$B$22,
IF(AND(_xlpm.baseRow,$D128="Right-of-Way", $E128=""),
Error!$B$67,
IF(AND(_xlpm.baseRow,$D128&lt;&gt;"",ISNA(MATCH($D128,Tables2!$B$66:$B$68,0))),
Error!$B$63,
IF(AND(_xlpm.baseRow,$D128="Off Site",$E128&lt;&gt;"",$E128&lt;&gt;"Yes"),
Error!$B$28,
IF(AND(_xlpm.baseRow,OR($D128="On Site",$D128="Right-of-Way"),$E128&lt;&gt;"",ISNA(MATCH($E128,MultiSelect2[TreeMitigation],0))),
Error!$B$28,
IF(AND(_xlpm.baseRow,$D128&lt;&gt;"",$E128&lt;&gt;"",COUNTIF(_xlpm.FRange,"&lt;&gt;")=0),
Error!$B$26,
IF(AND($E128="No",$F128&lt;&gt;"",ISNA(MATCH($F128,Tables2!$B$55:$B$57,0))),
Error!$B$27,
IF(AND($E128="Yes",$F128&lt;&gt;"",ISNA(MATCH($F128,Tables2!$B$48:$B$52,0))),
Error!$B$27,
IF(AND($D128="Off Site",$E128="Yes",$F128&lt;&gt;"",ISNA(MATCH($F128,Tables2!$B$60:$B$62,0))),
Error!$B$27,
IF(AND(_xlpm.baseRow,_xlpm.Street&gt;0,_xlpm.ECA&gt;0),
Error!$B$29,
IF(AND(_xlpm.baseRow,_xlpm.Street&gt;0,_xlpm.Points&gt;0),
Error!$B$30,
IF(AND(_xlpm.baseRow,_xlpm.Street&gt;0,_xlpm.ReplaceReq&gt;0),
Error!$B$31,
IF(AND(_xlpm.baseRow,$D128&lt;&gt;"",$E128&lt;&gt;"",$G128&lt;&gt;"",_xlpm.DecBroad&gt;0,OR(_xlpm.Points&gt;0,_xlpm.Green&gt;0,_xlpm.ReplaceReq&gt;0),_xlpm.Street=0,$G128&lt;1.5),
Error!$B$42,
IF(AND(_xlpm.baseRow,$D128&lt;&gt;"",$E128&lt;&gt;"",$H128&lt;&gt;"",$H128&lt;4,_xlpm.Street&gt;0,_xlpm.Green&gt;0,COUNTA(_xlpm.FRange)&gt;0),
Error!$B$32,
IF(AND(_xlpm.baseRow,$G128="",_xlpm.ECA&gt;0,_xlpm.DecBroad&gt;0,_xlpm.ReplaceReq&gt;0),
Error!$B$52,
IF(AND(_xlpm.baseRow,$E128&lt;&gt;"", $H128="",_xlpm.ECA&gt;0,_xlpm.Coniferous&gt;0,_xlpm.ReplaceReq&gt;0),
Error!$B$53,
IF(AND(_xlpm.baseRow,$G128="",$H128="",_xlpm.ECA&gt;0,_xlpm.ReplaceReq&gt;0),
Error!$B$39,
IF(AND(_xlpm.baseRow,$D128&lt;&gt;"",$E128&lt;&gt;"",$G128="",$H128="",_xlpm.Coniferous&gt;0,_xlpm.ReplaceReq&gt;0,_xlpm.ECA&gt;0),
Error!$B$50,
IF(AND(_xlpm.baseRow,$D128&lt;&gt;"",$E128&lt;&gt;"",$G128&lt;&gt;"",_xlpm.Street&gt;0,$G128&lt;2),
Error!$B$43,
IF(AND(_xlpm.baseRow,$D128&lt;&gt;"",$E128&lt;&gt;"",_xlpm.Green&gt;0,_xlpm.DecBroad&gt;0,$G128=""),
Error!$B$49,
IF(AND(_xlpm.baseRow,$D128&lt;&gt;"",$E128&lt;&gt;"",$H128&lt;&gt;"",$H128&lt;4,_xlpm.Green&gt;0,_xlpm.DecBroad&gt;0,$G128=""),
Error!$B$51,
IF(AND(_xlpm.baseRow,$D128&lt;&gt;"",$E128&lt;&gt;"",_xlpm.Green&gt;0,_xlpm.Coniferous&gt;0,$H128=""),
Error!$B$50,
IF(AND(_xlpm.baseRow,$D128&lt;&gt;"",$E128&lt;&gt;"",_xlpm.Points&gt;0,_xlpm.DecBroad&gt;0,$G128=""),
Error!$B$49,
IF(AND(_xlpm.baseRow,$D128&lt;&gt;"",$E128&lt;&gt;"",_xlpm.Points&gt;0,_xlpm.Coniferous&gt;0,$H128=""),
Error!$B$50,
IF(AND(_xlpm.baseRow,$D128&lt;&gt;"",$E128&lt;&gt;"",_xlpm.ReplaceReq&gt;0,_xlpm.DecBroad&gt;0,$G128=""),
Error!$B$49,
IF(AND(_xlpm.baseRow,$D128&lt;&gt;"",$E128&lt;&gt;"",_xlpm.ReplaceReq&gt;0,_xlpm.Coniferous&gt;0,$H128=""),
Error!$B$50,
IF(AND(_xlpm.baseRow,$D128&lt;&gt;"",$E128&lt;&gt;"",_xlpm.Street&gt;0,$G128=""),
Error!$B$49,
IF(AND(_xlpm.baseRow,$D128&lt;&gt;"",$E128&lt;&gt;"",$H128&lt;&gt;"",$H128&lt;4,OR(ISNA(MATCH($C128,'Tree List'!$C$3:$C$601,0)),$C128=""),_xlpm.Green&gt;0,COUNTA(_xlpm.FRange)&gt;0),
Error!$B$51,
IF(AND(_xlpm.baseRow,$D128&lt;&gt;"",$E128&lt;&gt;"",$H128&lt;&gt;"",$H128&lt;4,_xlpm.DecBroad&gt;0,_xlpm.Green&gt;0,COUNTA(_xlpm.FRange)&gt;0),
Error!$B$51,
IF(AND(_xlpm.baseRow,$D128&lt;&gt;"",$E128&lt;&gt;"",$G128="",$H128="",OR(_xlpm.ReplaceReq&gt;0,_xlpm.Green&gt;0,_xlpm.Points&gt;0,_xlpm.Street&gt;0)),
Error!$B$38,
IF(AND(_xlpm.baseRow,$D128&lt;&gt;"",$E128&lt;&gt;"",$H128&lt;&gt;"",$H128&lt;4,_xlpm.Street=0,_xlpm.Coniferous&gt;0,COUNTA(_xlpm.FRange)&gt;0),
Error!$B$32,
IF(AND(_xlpm.baseRow,_xlpm.DecBroad&gt;0,$D128&lt;&gt;"",$E128&lt;&gt;"",$G128&lt;&gt;"",$G128&lt;1.5,_xlpm.Street=0,COUNTA(_xlpm.FRange)&gt;0),
Error!$B$42,
IF(AND(_xlpm.baseRow,$I128="",$H128="",_xlpm.ECA&gt;0,_xlpm.ReplaceReq=0),
Error!$B$33,
IF(AND(_xlpm.baseRow,OR($J128="",$J128&lt;=0),_xlpm.ReplaceReq&gt;0),
Error!$B$34,
IF(AND(_xlpm.baseRow,$K128&lt;&gt;"",_xlpm.Points&gt;0,ISNA(MATCH($K128,Tables!$B$242:$B$253,0))),
Error!$B$58,
IF(AND($K128="Small",$L128&lt;&gt;"",ISNA(MATCH($L128,Tables2!$C$35:$C$36,0))),
Error!$B$60,
IF(AND($K128="Small/Medium",$L128&lt;&gt;"",ISNA(MATCH($L128,Tables2!$C$38:$C$39,0))),
Error!$B$60,
IF(AND($K128="Medium/Large",$L128&lt;&gt;"",ISNA(MATCH($L128,Tables2!$C$41:$C$42,0))),
Error!$B$60,
IF(AND($K128="Large",$L128&lt;&gt;"",ISNA(MATCH($L128,Tables2!$C$44:$C$45,0))),
Error!$B$60,
IF(AND(_xlpm.baseRow,$B128&lt;&gt;"", $C128&lt;&gt;"", $D128&lt;&gt;"", $E128&lt;&gt;"", OR($M128="",$K128="",$L128=""),_xlpm.Points&gt;0),
Error!$B$35,
IF(AND(_xlpm.baseRow,$D128&lt;&gt;"",$E128&lt;&gt;"",$N128=""),
Error!$B$36,
""))))))))))))))))))))))))))))))))))))))))))),Error!$B$37))</f>
        <v/>
      </c>
      <c r="P128" s="355" t="str" cm="1">
        <f t="array" aca="1" ref="P128" ca="1">IFERROR(_xlfn.LET(
    _xlpm.txt, $C128,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29" spans="1:16" x14ac:dyDescent="0.3">
      <c r="A129" s="297"/>
      <c r="B129" s="439" t="str">
        <f t="shared" ref="B129" si="199">IF($B127="", "", $B127)</f>
        <v/>
      </c>
      <c r="C129" s="438"/>
      <c r="D129" s="439" t="str">
        <f t="shared" ref="D129" si="200">IF($D127="", "", $D127)</f>
        <v/>
      </c>
      <c r="E129" s="439" t="str">
        <f t="shared" ref="E129" si="201">IF($E127="", "", $E127)</f>
        <v/>
      </c>
      <c r="F129" s="300"/>
      <c r="G129" s="160"/>
      <c r="H129" s="440"/>
      <c r="I129" s="441"/>
      <c r="J129" s="459"/>
      <c r="K129" s="442" t="str">
        <f>IFERROR(
IF(
    AND(
        MOD(ROW()-11,4)=0,
        COUNTIF(INDEX(F:F, 11 + 4*INT((ROW()-11)/4)):INDEX(F:F, 14 + 4*INT((ROW()-11)/4)),"Zoning: Tree Points")&gt;0,
        COUNTIFS('Tree List'!$C$3:$C$601,$C129,'Tree List'!$H$3:$H$601,"sp.")=0
    ),
    VLOOKUP($C129,'Tree List'!$C$3:$F$601,4,FALSE),
    ""
),
"")</f>
        <v/>
      </c>
      <c r="L129" s="443" t="str" cm="1">
        <f t="array" ref="L129">IFERROR(
IF(
    AND(
        COUNTIF(INDEX(F:F, 11 + 4*INT((ROW()-11)/4)):INDEX(F:F, 14 + 4*INT((ROW()-11)/4)),"Zoning: Tree Points")&gt;0,
        COUNTIFS('Tree List'!$C$3:$C$601,$C129,'Tree List'!$H$3:$H$601,"sp.")&gt;0
    ),
    "",
    _xlfn.IFS(
        (COUNTIFS('Tree List'!$C$3:$C$601,$C129,'Tree List'!$D$3:$D$601,"Coniferous")
        + COUNTIFS('Tree List'!$C$3:$C$601,$C129,'Tree List'!$D$3:$D$601,"Deciduous Conifer")) &gt; 0,
            _xlfn.IFS($K129="Small",1.25,$K129="Small/Medium",2.5,$K129="Medium/Large",3.75,$K129="Large",5),
        (COUNTIFS('Tree List'!$C$3:$C$601,$C129,'Tree List'!$D$3:$D$601,"Deciduous")
        + COUNTIFS('Tree List'!$C$3:$C$601,$C129,'Tree List'!$D$3:$D$601,"Broadleaf Evergreen")) &gt; 0,
            _xlfn.IFS($K129="Small",1,$K129="Small/Medium",2,$K129="Medium/Large",3,$K129="Large",4)
    )
),
"")</f>
        <v/>
      </c>
      <c r="M129" s="472" t="str">
        <f t="shared" si="198"/>
        <v/>
      </c>
      <c r="N129" s="434"/>
      <c r="O129" s="340" t="str" cm="1">
        <f t="array" aca="1" ref="O129"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List'!$C$3:$C$601,$C129,'Tree List'!$D$3:$D$601,{"Deciduous","Broadleaf Evergreen"})),
_xlpm.Coniferous,SUM(COUNTIFS('Tree List'!$C$3:$C$601,$C129,'Tree List'!$D$3:$D$601,{"Coniferous","Deciduous Conifer"})),
IFERROR(
IF(AND(_xlpm.baseRow,ISNA(MATCH($C129,'Tree List'!$C$3:$C$601,0)),SUMPRODUCT(--ISNUMBER(SEARCH(Tables2!$C$677:$C$825,$P129)))&gt;0),
Error!$B$64,
IF(AND(_xlpm.baseRow,COUNTIF(_xlpm.FRange,"ECA / Shoreline")&gt;0,$D129&lt;&gt;"",$E129&lt;&gt;"",$N129=""),
Error!$B$55,
IF(AND(_xlpm.baseRow,$D129&lt;&gt;"",$E129&lt;&gt;"",COUNTBLANK($B129:$C129)&gt;0,COUNTBLANK($F129:$F132)&lt;&gt;4),
Error!$B$22,
IF(AND(_xlpm.baseRow,$D129="Right-of-Way", $E129=""),
Error!$B$67,
IF(AND(_xlpm.baseRow,$D129&lt;&gt;"",ISNA(MATCH($D129,Tables2!$B$66:$B$68,0))),
Error!$B$63,
IF(AND(_xlpm.baseRow,$D129="Off Site",$E129&lt;&gt;"",$E129&lt;&gt;"Yes"),
Error!$B$28,
IF(AND(_xlpm.baseRow,OR($D129="On Site",$D129="Right-of-Way"),$E129&lt;&gt;"",ISNA(MATCH($E129,MultiSelect2[TreeMitigation],0))),
Error!$B$28,
IF(AND(_xlpm.baseRow,$D129&lt;&gt;"",$E129&lt;&gt;"",COUNTIF(_xlpm.FRange,"&lt;&gt;")=0),
Error!$B$26,
IF(AND($E129="No",$F129&lt;&gt;"",ISNA(MATCH($F129,Tables2!$B$55:$B$57,0))),
Error!$B$27,
IF(AND($E129="Yes",$F129&lt;&gt;"",ISNA(MATCH($F129,Tables2!$B$48:$B$52,0))),
Error!$B$27,
IF(AND($D129="Off Site",$E129="Yes",$F129&lt;&gt;"",ISNA(MATCH($F129,Tables2!$B$60:$B$62,0))),
Error!$B$27,
IF(AND(_xlpm.baseRow,_xlpm.Street&gt;0,_xlpm.ECA&gt;0),
Error!$B$29,
IF(AND(_xlpm.baseRow,_xlpm.Street&gt;0,_xlpm.Points&gt;0),
Error!$B$30,
IF(AND(_xlpm.baseRow,_xlpm.Street&gt;0,_xlpm.ReplaceReq&gt;0),
Error!$B$31,
IF(AND(_xlpm.baseRow,$D129&lt;&gt;"",$E129&lt;&gt;"",$G129&lt;&gt;"",_xlpm.DecBroad&gt;0,OR(_xlpm.Points&gt;0,_xlpm.Green&gt;0,_xlpm.ReplaceReq&gt;0),_xlpm.Street=0,$G129&lt;1.5),
Error!$B$42,
IF(AND(_xlpm.baseRow,$D129&lt;&gt;"",$E129&lt;&gt;"",$H129&lt;&gt;"",$H129&lt;4,_xlpm.Street&gt;0,_xlpm.Green&gt;0,COUNTA(_xlpm.FRange)&gt;0),
Error!$B$32,
IF(AND(_xlpm.baseRow,$G129="",_xlpm.ECA&gt;0,_xlpm.DecBroad&gt;0,_xlpm.ReplaceReq&gt;0),
Error!$B$52,
IF(AND(_xlpm.baseRow,$E129&lt;&gt;"", $H129="",_xlpm.ECA&gt;0,_xlpm.Coniferous&gt;0,_xlpm.ReplaceReq&gt;0),
Error!$B$53,
IF(AND(_xlpm.baseRow,$G129="",$H129="",_xlpm.ECA&gt;0,_xlpm.ReplaceReq&gt;0),
Error!$B$39,
IF(AND(_xlpm.baseRow,$D129&lt;&gt;"",$E129&lt;&gt;"",$G129="",$H129="",_xlpm.Coniferous&gt;0,_xlpm.ReplaceReq&gt;0,_xlpm.ECA&gt;0),
Error!$B$50,
IF(AND(_xlpm.baseRow,$D129&lt;&gt;"",$E129&lt;&gt;"",$G129&lt;&gt;"",_xlpm.Street&gt;0,$G129&lt;2),
Error!$B$43,
IF(AND(_xlpm.baseRow,$D129&lt;&gt;"",$E129&lt;&gt;"",_xlpm.Green&gt;0,_xlpm.DecBroad&gt;0,$G129=""),
Error!$B$49,
IF(AND(_xlpm.baseRow,$D129&lt;&gt;"",$E129&lt;&gt;"",$H129&lt;&gt;"",$H129&lt;4,_xlpm.Green&gt;0,_xlpm.DecBroad&gt;0,$G129=""),
Error!$B$51,
IF(AND(_xlpm.baseRow,$D129&lt;&gt;"",$E129&lt;&gt;"",_xlpm.Green&gt;0,_xlpm.Coniferous&gt;0,$H129=""),
Error!$B$50,
IF(AND(_xlpm.baseRow,$D129&lt;&gt;"",$E129&lt;&gt;"",_xlpm.Points&gt;0,_xlpm.DecBroad&gt;0,$G129=""),
Error!$B$49,
IF(AND(_xlpm.baseRow,$D129&lt;&gt;"",$E129&lt;&gt;"",_xlpm.Points&gt;0,_xlpm.Coniferous&gt;0,$H129=""),
Error!$B$50,
IF(AND(_xlpm.baseRow,$D129&lt;&gt;"",$E129&lt;&gt;"",_xlpm.ReplaceReq&gt;0,_xlpm.DecBroad&gt;0,$G129=""),
Error!$B$49,
IF(AND(_xlpm.baseRow,$D129&lt;&gt;"",$E129&lt;&gt;"",_xlpm.ReplaceReq&gt;0,_xlpm.Coniferous&gt;0,$H129=""),
Error!$B$50,
IF(AND(_xlpm.baseRow,$D129&lt;&gt;"",$E129&lt;&gt;"",_xlpm.Street&gt;0,$G129=""),
Error!$B$49,
IF(AND(_xlpm.baseRow,$D129&lt;&gt;"",$E129&lt;&gt;"",$H129&lt;&gt;"",$H129&lt;4,OR(ISNA(MATCH($C129,'Tree List'!$C$3:$C$601,0)),$C129=""),_xlpm.Green&gt;0,COUNTA(_xlpm.FRange)&gt;0),
Error!$B$51,
IF(AND(_xlpm.baseRow,$D129&lt;&gt;"",$E129&lt;&gt;"",$H129&lt;&gt;"",$H129&lt;4,_xlpm.DecBroad&gt;0,_xlpm.Green&gt;0,COUNTA(_xlpm.FRange)&gt;0),
Error!$B$51,
IF(AND(_xlpm.baseRow,$D129&lt;&gt;"",$E129&lt;&gt;"",$G129="",$H129="",OR(_xlpm.ReplaceReq&gt;0,_xlpm.Green&gt;0,_xlpm.Points&gt;0,_xlpm.Street&gt;0)),
Error!$B$38,
IF(AND(_xlpm.baseRow,$D129&lt;&gt;"",$E129&lt;&gt;"",$H129&lt;&gt;"",$H129&lt;4,_xlpm.Street=0,_xlpm.Coniferous&gt;0,COUNTA(_xlpm.FRange)&gt;0),
Error!$B$32,
IF(AND(_xlpm.baseRow,_xlpm.DecBroad&gt;0,$D129&lt;&gt;"",$E129&lt;&gt;"",$G129&lt;&gt;"",$G129&lt;1.5,_xlpm.Street=0,COUNTA(_xlpm.FRange)&gt;0),
Error!$B$42,
IF(AND(_xlpm.baseRow,$I129="",$H129="",_xlpm.ECA&gt;0,_xlpm.ReplaceReq=0),
Error!$B$33,
IF(AND(_xlpm.baseRow,OR($J129="",$J129&lt;=0),_xlpm.ReplaceReq&gt;0),
Error!$B$34,
IF(AND(_xlpm.baseRow,$K129&lt;&gt;"",_xlpm.Points&gt;0,ISNA(MATCH($K129,Tables!$B$242:$B$253,0))),
Error!$B$58,
IF(AND($K129="Small",$L129&lt;&gt;"",ISNA(MATCH($L129,Tables2!$C$35:$C$36,0))),
Error!$B$60,
IF(AND($K129="Small/Medium",$L129&lt;&gt;"",ISNA(MATCH($L129,Tables2!$C$38:$C$39,0))),
Error!$B$60,
IF(AND($K129="Medium/Large",$L129&lt;&gt;"",ISNA(MATCH($L129,Tables2!$C$41:$C$42,0))),
Error!$B$60,
IF(AND($K129="Large",$L129&lt;&gt;"",ISNA(MATCH($L129,Tables2!$C$44:$C$45,0))),
Error!$B$60,
IF(AND(_xlpm.baseRow,$B129&lt;&gt;"", $C129&lt;&gt;"", $D129&lt;&gt;"", $E129&lt;&gt;"", OR($M129="",$K129="",$L129=""),_xlpm.Points&gt;0),
Error!$B$35,
IF(AND(_xlpm.baseRow,$D129&lt;&gt;"",$E129&lt;&gt;"",$N129=""),
Error!$B$36,
""))))))))))))))))))))))))))))))))))))))))))),Error!$B$37))</f>
        <v/>
      </c>
      <c r="P129" s="355" t="str" cm="1">
        <f t="array" aca="1" ref="P129" ca="1">IFERROR(_xlfn.LET(
    _xlpm.txt, $C129,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0" spans="1:16" ht="15" thickBot="1" x14ac:dyDescent="0.35">
      <c r="A130" s="298"/>
      <c r="B130" s="154" t="str">
        <f t="shared" ref="B130" si="202">IF($B127="", "", $B127)</f>
        <v/>
      </c>
      <c r="C130" s="310"/>
      <c r="D130" s="154" t="str">
        <f t="shared" ref="D130" si="203">IF($D127="", "", $D127)</f>
        <v/>
      </c>
      <c r="E130" s="154" t="str">
        <f t="shared" ref="E130" si="204">IF($E127="", "", $E127)</f>
        <v/>
      </c>
      <c r="F130" s="302"/>
      <c r="G130" s="161"/>
      <c r="H130" s="183"/>
      <c r="I130" s="180"/>
      <c r="J130" s="460"/>
      <c r="K130" s="176" t="str">
        <f>IFERROR(
IF(
    AND(
        MOD(ROW()-11,4)=0,
        COUNTIF(INDEX(F:F, 11 + 4*INT((ROW()-11)/4)):INDEX(F:F, 14 + 4*INT((ROW()-11)/4)),"Zoning: Tree Points")&gt;0,
        COUNTIFS('Tree List'!$C$3:$C$601,$C130,'Tree List'!$H$3:$H$601,"sp.")=0
    ),
    VLOOKUP($C130,'Tree List'!$C$3:$F$601,4,FALSE),
    ""
),
"")</f>
        <v/>
      </c>
      <c r="L130" s="177" t="str" cm="1">
        <f t="array" ref="L130">IFERROR(
IF(
    AND(
        COUNTIF(INDEX(F:F, 11 + 4*INT((ROW()-11)/4)):INDEX(F:F, 14 + 4*INT((ROW()-11)/4)),"Zoning: Tree Points")&gt;0,
        COUNTIFS('Tree List'!$C$3:$C$601,$C130,'Tree List'!$H$3:$H$601,"sp.")&gt;0
    ),
    "",
    _xlfn.IFS(
        (COUNTIFS('Tree List'!$C$3:$C$601,$C130,'Tree List'!$D$3:$D$601,"Coniferous")
        + COUNTIFS('Tree List'!$C$3:$C$601,$C130,'Tree List'!$D$3:$D$601,"Deciduous Conifer")) &gt; 0,
            _xlfn.IFS($K130="Small",1.25,$K130="Small/Medium",2.5,$K130="Medium/Large",3.75,$K130="Large",5),
        (COUNTIFS('Tree List'!$C$3:$C$601,$C130,'Tree List'!$D$3:$D$601,"Deciduous")
        + COUNTIFS('Tree List'!$C$3:$C$601,$C130,'Tree List'!$D$3:$D$601,"Broadleaf Evergreen")) &gt; 0,
            _xlfn.IFS($K130="Small",1,$K130="Small/Medium",2,$K130="Medium/Large",3,$K130="Large",4)
    )
),
"")</f>
        <v/>
      </c>
      <c r="M130" s="473" t="str">
        <f t="shared" si="198"/>
        <v/>
      </c>
      <c r="N130" s="435"/>
      <c r="O130" s="341" t="str" cm="1">
        <f t="array" aca="1" ref="O130" ca="1">_xlfn.LET(
_xlpm.r,ROW(),
_xlpm.baseRow,MOD(_xlpm.r-11,4)=0,
_xlpm.FRange,INDEX($F:$F,_xlpm.r):INDEX($F:$F,_xlpm.r+3),
_xlpm.Street,COUNTIF(_xlpm.FRange,"Zoning: Street Tree"),
_xlpm.Green,COUNTIF(_xlpm.FRange,"Zoning: Green Factor"),
_xlpm.Points,COUNTIF(_xlpm.FRange,"Zoning: Tree Points"),
_xlpm.ReplaceReq,COUNTIF(_xlpm.FRange,"Tree Code: Replacement Required"),
_xlpm.ECA,COUNTIF(_xlpm.FRange,"ECA / Shoreline"),
_xlpm.DecBroad,SUM(COUNTIFS('Tree List'!$C$3:$C$601,$C130,'Tree List'!$D$3:$D$601,{"Deciduous","Broadleaf Evergreen"})),
_xlpm.Coniferous,SUM(COUNTIFS('Tree List'!$C$3:$C$601,$C130,'Tree List'!$D$3:$D$601,{"Coniferous","Deciduous Conifer"})),
IFERROR(
IF(AND(_xlpm.baseRow,ISNA(MATCH($C130,'Tree List'!$C$3:$C$601,0)),SUMPRODUCT(--ISNUMBER(SEARCH(Tables2!$C$677:$C$825,$P130)))&gt;0),
Error!$B$64,
IF(AND(_xlpm.baseRow,COUNTIF(_xlpm.FRange,"ECA / Shoreline")&gt;0,$D130&lt;&gt;"",$E130&lt;&gt;"",$N130=""),
Error!$B$55,
IF(AND(_xlpm.baseRow,$D130&lt;&gt;"",$E130&lt;&gt;"",COUNTBLANK($B130:$C130)&gt;0,COUNTBLANK($F130:$F133)&lt;&gt;4),
Error!$B$22,
IF(AND(_xlpm.baseRow,$D130="Right-of-Way", $E130=""),
Error!$B$67,
IF(AND(_xlpm.baseRow,$D130&lt;&gt;"",ISNA(MATCH($D130,Tables2!$B$66:$B$68,0))),
Error!$B$63,
IF(AND(_xlpm.baseRow,$D130="Off Site",$E130&lt;&gt;"",$E130&lt;&gt;"Yes"),
Error!$B$28,
IF(AND(_xlpm.baseRow,OR($D130="On Site",$D130="Right-of-Way"),$E130&lt;&gt;"",ISNA(MATCH($E130,MultiSelect2[TreeMitigation],0))),
Error!$B$28,
IF(AND(_xlpm.baseRow,$D130&lt;&gt;"",$E130&lt;&gt;"",COUNTIF(_xlpm.FRange,"&lt;&gt;")=0),
Error!$B$26,
IF(AND($E130="No",$F130&lt;&gt;"",ISNA(MATCH($F130,Tables2!$B$55:$B$57,0))),
Error!$B$27,
IF(AND($E130="Yes",$F130&lt;&gt;"",ISNA(MATCH($F130,Tables2!$B$48:$B$52,0))),
Error!$B$27,
IF(AND($D130="Off Site",$E130="Yes",$F130&lt;&gt;"",ISNA(MATCH($F130,Tables2!$B$60:$B$62,0))),
Error!$B$27,
IF(AND(_xlpm.baseRow,_xlpm.Street&gt;0,_xlpm.ECA&gt;0),
Error!$B$29,
IF(AND(_xlpm.baseRow,_xlpm.Street&gt;0,_xlpm.Points&gt;0),
Error!$B$30,
IF(AND(_xlpm.baseRow,_xlpm.Street&gt;0,_xlpm.ReplaceReq&gt;0),
Error!$B$31,
IF(AND(_xlpm.baseRow,$D130&lt;&gt;"",$E130&lt;&gt;"",$G130&lt;&gt;"",_xlpm.DecBroad&gt;0,OR(_xlpm.Points&gt;0,_xlpm.Green&gt;0,_xlpm.ReplaceReq&gt;0),_xlpm.Street=0,$G130&lt;1.5),
Error!$B$42,
IF(AND(_xlpm.baseRow,$D130&lt;&gt;"",$E130&lt;&gt;"",$H130&lt;&gt;"",$H130&lt;4,_xlpm.Street&gt;0,_xlpm.Green&gt;0,COUNTA(_xlpm.FRange)&gt;0),
Error!$B$32,
IF(AND(_xlpm.baseRow,$G130="",_xlpm.ECA&gt;0,_xlpm.DecBroad&gt;0,_xlpm.ReplaceReq&gt;0),
Error!$B$52,
IF(AND(_xlpm.baseRow,$E130&lt;&gt;"", $H130="",_xlpm.ECA&gt;0,_xlpm.Coniferous&gt;0,_xlpm.ReplaceReq&gt;0),
Error!$B$53,
IF(AND(_xlpm.baseRow,$G130="",$H130="",_xlpm.ECA&gt;0,_xlpm.ReplaceReq&gt;0),
Error!$B$39,
IF(AND(_xlpm.baseRow,$D130&lt;&gt;"",$E130&lt;&gt;"",$G130="",$H130="",_xlpm.Coniferous&gt;0,_xlpm.ReplaceReq&gt;0,_xlpm.ECA&gt;0),
Error!$B$50,
IF(AND(_xlpm.baseRow,$D130&lt;&gt;"",$E130&lt;&gt;"",$G130&lt;&gt;"",_xlpm.Street&gt;0,$G130&lt;2),
Error!$B$43,
IF(AND(_xlpm.baseRow,$D130&lt;&gt;"",$E130&lt;&gt;"",_xlpm.Green&gt;0,_xlpm.DecBroad&gt;0,$G130=""),
Error!$B$49,
IF(AND(_xlpm.baseRow,$D130&lt;&gt;"",$E130&lt;&gt;"",$H130&lt;&gt;"",$H130&lt;4,_xlpm.Green&gt;0,_xlpm.DecBroad&gt;0,$G130=""),
Error!$B$51,
IF(AND(_xlpm.baseRow,$D130&lt;&gt;"",$E130&lt;&gt;"",_xlpm.Green&gt;0,_xlpm.Coniferous&gt;0,$H130=""),
Error!$B$50,
IF(AND(_xlpm.baseRow,$D130&lt;&gt;"",$E130&lt;&gt;"",_xlpm.Points&gt;0,_xlpm.DecBroad&gt;0,$G130=""),
Error!$B$49,
IF(AND(_xlpm.baseRow,$D130&lt;&gt;"",$E130&lt;&gt;"",_xlpm.Points&gt;0,_xlpm.Coniferous&gt;0,$H130=""),
Error!$B$50,
IF(AND(_xlpm.baseRow,$D130&lt;&gt;"",$E130&lt;&gt;"",_xlpm.ReplaceReq&gt;0,_xlpm.DecBroad&gt;0,$G130=""),
Error!$B$49,
IF(AND(_xlpm.baseRow,$D130&lt;&gt;"",$E130&lt;&gt;"",_xlpm.ReplaceReq&gt;0,_xlpm.Coniferous&gt;0,$H130=""),
Error!$B$50,
IF(AND(_xlpm.baseRow,$D130&lt;&gt;"",$E130&lt;&gt;"",_xlpm.Street&gt;0,$G130=""),
Error!$B$49,
IF(AND(_xlpm.baseRow,$D130&lt;&gt;"",$E130&lt;&gt;"",$H130&lt;&gt;"",$H130&lt;4,OR(ISNA(MATCH($C130,'Tree List'!$C$3:$C$601,0)),$C130=""),_xlpm.Green&gt;0,COUNTA(_xlpm.FRange)&gt;0),
Error!$B$51,
IF(AND(_xlpm.baseRow,$D130&lt;&gt;"",$E130&lt;&gt;"",$H130&lt;&gt;"",$H130&lt;4,_xlpm.DecBroad&gt;0,_xlpm.Green&gt;0,COUNTA(_xlpm.FRange)&gt;0),
Error!$B$51,
IF(AND(_xlpm.baseRow,$D130&lt;&gt;"",$E130&lt;&gt;"",$G130="",$H130="",OR(_xlpm.ReplaceReq&gt;0,_xlpm.Green&gt;0,_xlpm.Points&gt;0,_xlpm.Street&gt;0)),
Error!$B$38,
IF(AND(_xlpm.baseRow,$D130&lt;&gt;"",$E130&lt;&gt;"",$H130&lt;&gt;"",$H130&lt;4,_xlpm.Street=0,_xlpm.Coniferous&gt;0,COUNTA(_xlpm.FRange)&gt;0),
Error!$B$32,
IF(AND(_xlpm.baseRow,_xlpm.DecBroad&gt;0,$D130&lt;&gt;"",$E130&lt;&gt;"",$G130&lt;&gt;"",$G130&lt;1.5,_xlpm.Street=0,COUNTA(_xlpm.FRange)&gt;0),
Error!$B$42,
IF(AND(_xlpm.baseRow,$I130="",$H130="",_xlpm.ECA&gt;0,_xlpm.ReplaceReq=0),
Error!$B$33,
IF(AND(_xlpm.baseRow,OR($J130="",$J130&lt;=0),_xlpm.ReplaceReq&gt;0),
Error!$B$34,
IF(AND(_xlpm.baseRow,$K130&lt;&gt;"",_xlpm.Points&gt;0,ISNA(MATCH($K130,Tables!$B$242:$B$253,0))),
Error!$B$58,
IF(AND($K130="Small",$L130&lt;&gt;"",ISNA(MATCH($L130,Tables2!$C$35:$C$36,0))),
Error!$B$60,
IF(AND($K130="Small/Medium",$L130&lt;&gt;"",ISNA(MATCH($L130,Tables2!$C$38:$C$39,0))),
Error!$B$60,
IF(AND($K130="Medium/Large",$L130&lt;&gt;"",ISNA(MATCH($L130,Tables2!$C$41:$C$42,0))),
Error!$B$60,
IF(AND($K130="Large",$L130&lt;&gt;"",ISNA(MATCH($L130,Tables2!$C$44:$C$45,0))),
Error!$B$60,
IF(AND(_xlpm.baseRow,$B130&lt;&gt;"", $C130&lt;&gt;"", $D130&lt;&gt;"", $E130&lt;&gt;"", OR($M130="",$K130="",$L130=""),_xlpm.Points&gt;0),
Error!$B$35,
IF(AND(_xlpm.baseRow,$D130&lt;&gt;"",$E130&lt;&gt;"",$N130=""),
Error!$B$36,
""))))))))))))))))))))))))))))))))))))))))))),Error!$B$37))</f>
        <v/>
      </c>
      <c r="P130" s="355" t="str" cm="1">
        <f t="array" aca="1" ref="P130" ca="1">IFERROR(_xlfn.LET(
    _xlpm.txt, $C130,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
      </c>
    </row>
    <row r="132" spans="1:16" x14ac:dyDescent="0.3">
      <c r="A132" s="762" t="str">
        <f>'Existing Trees Form'!A812</f>
        <v>(TIF Version 1.04.4)</v>
      </c>
    </row>
  </sheetData>
  <sheetProtection algorithmName="SHA-512" hashValue="nWtDx8KCLwmfIM9LEN1fiGaQBqrcPp0IukDMssgaydnk40IQ6DxF4WWj1sAuUoRV8I5Yt29u1RHBfYEBLVVmlQ==" saltValue="LcyQWOeFX8m9iWg8MRRKDA==" spinCount="100000" sheet="1" objects="1" scenarios="1" formatColumns="0" selectLockedCells="1"/>
  <conditionalFormatting sqref="D2:F2">
    <cfRule type="expression" dxfId="102" priority="562">
      <formula>$D$2&lt;&gt;""</formula>
    </cfRule>
  </conditionalFormatting>
  <conditionalFormatting sqref="D3:F3">
    <cfRule type="expression" dxfId="101" priority="11">
      <formula>$D$2&lt;&gt;""</formula>
    </cfRule>
  </conditionalFormatting>
  <conditionalFormatting sqref="E11:E130">
    <cfRule type="expression" dxfId="100" priority="8">
      <formula>AND(MOD(ROW()-11,4)=0,OR($D11="On Site",$D11="Right-of-way"),$E11&lt;&gt;"",$E11&lt;&gt;"Yes", $E11&lt;&gt;"No")</formula>
    </cfRule>
    <cfRule type="expression" dxfId="99" priority="37">
      <formula>AND($D11="Off Site",$E11&lt;&gt;"",$E11&lt;&gt;"Yes",MOD(ROW()-11,4)=0)</formula>
    </cfRule>
  </conditionalFormatting>
  <conditionalFormatting sqref="F11:F130">
    <cfRule type="expression" dxfId="97" priority="39">
      <formula>AND(OR($F11="Zoning: Street Tree", $F11="ECA / Shoreline"), COUNTIF(OFFSET($F$11,4*INT((ROW()-11)/4),0,4,1),"Zoning: Street Tree")&gt;0, COUNTIF(OFFSET($F$11,4*INT((ROW()-11)/4),0,4,1),"ECA / Shoreline")&gt;0 )</formula>
    </cfRule>
    <cfRule type="expression" dxfId="96" priority="41">
      <formula>AND(OR($F11="Zoning: Street Tree", $F11="Tree Code: Replacement Required"), COUNTIF(OFFSET($F$11,4*INT((ROW()-11)/4),0,4,1),"Zoning: Street Tree")&gt;0, COUNTIF(OFFSET($F$11,4*INT((ROW()-11)/4),0,4,1),"Tree Code: Replacement Required")&gt;0 )</formula>
    </cfRule>
    <cfRule type="expression" dxfId="95" priority="42">
      <formula>AND(OR($F11="Zoning: Street Tree", $F11="Zoning: Tree Points"), COUNTIF(OFFSET($F$11,4*INT((ROW()-11)/4),0,4,1),"Zoning: Street Tree")&gt;0, COUNTIF(OFFSET($F$11,4*INT((ROW()-11)/4),0,4,1),"Zoning: Tree Points")&gt;0 )</formula>
    </cfRule>
    <cfRule type="expression" dxfId="92" priority="45">
      <formula>$E11=""</formula>
    </cfRule>
  </conditionalFormatting>
  <conditionalFormatting sqref="G11 G15 G19 G23 G27 G31 G35 G39 G43 G47 G51 G55 G59 G63 G67 G71 G75 G79 G83 G87 G91 G95 G99 G103 G107 G111 G115 G119 G123 G127">
    <cfRule type="expression" dxfId="90" priority="563">
      <formula>AND(MOD(ROW()-11,4)=0, COUNTIF(OFFSET($F$11,4*INT((ROW()-11)/4),0,4,1),"ECA / Shoreline")&gt;0, COUNTIF(OFFSET($F$11,4*INT((ROW()-11)/4),0,4,1),"&lt;&gt;ECA / Shoreline")=COUNTBLANK(OFFSET($F$11,4*INT((ROW()-11)/4),0,4,1)))</formula>
    </cfRule>
  </conditionalFormatting>
  <conditionalFormatting sqref="H11 H15 H19 H23 H27 H31 H35 H39 H43 H47 H51 H55 H59 H63 H67 H71 H75 H79 H83 H87 H91 H95 H99 H103 H107 H111 H115 H119 H123 H127">
    <cfRule type="expression" dxfId="84" priority="16">
      <formula>AND(MOD(ROW()-11,4)=0, COUNTIF(OFFSET($F$11,4*INT((ROW()-11)/4),0,4,1),"Zoning: Street Tree")&gt;0, COUNTIF(OFFSET($F$11,4*INT((ROW()-11)/4),0,4,1),"Zoning: Green Factor")=0)</formula>
    </cfRule>
  </conditionalFormatting>
  <conditionalFormatting sqref="I11:I130">
    <cfRule type="expression" dxfId="81" priority="15">
      <formula>AND( MOD(ROW()-11,4)=0, COUNTIF(OFFSET($F$11,4*INT((ROW()-11)/4),0,4,1),"*Tree Code: Replacement Required*")=0, COUNTIF(OFFSET($F$11,4*INT((ROW()-11)/4),0,4,1),"*ECA / Shoreline*")&gt;0 )</formula>
    </cfRule>
    <cfRule type="expression" dxfId="80" priority="38">
      <formula>AND(MOD(ROW()-11,4)=0, COUNTIF(OFFSET($F$11, FLOOR(ROW()-11,4), 0, 4, 1), "*ECA / Shoreline*") &gt; 0, COUNTIF(OFFSET($F$11, FLOOR(ROW()-11,4), 0, 4, 1), "*Tree Code: Replacement Required*") = 0, COUNTIF(OFFSET($F$11, FLOOR(ROW()-11,4), 0, 4, 1), "*Street Tree*") = 0)</formula>
    </cfRule>
  </conditionalFormatting>
  <conditionalFormatting sqref="J11:J130">
    <cfRule type="expression" dxfId="79" priority="32">
      <formula>AND(MOD(ROW()-11,4)=0, COUNTIF(OFFSET($F$11, FLOOR(ROW()-11,4), 0, 4, 1), "*Tree Code: Replacement Required*") &gt; 0, COUNTIF(OFFSET($F$11, FLOOR(ROW()-11,4), 0, 4, 1), "*Street Tree*") = 0,$D11&lt;&gt;"", $E11&lt;&gt;"")</formula>
    </cfRule>
  </conditionalFormatting>
  <conditionalFormatting sqref="K11:M130">
    <cfRule type="expression" dxfId="78" priority="31">
      <formula>AND(MOD(ROW()-11,4)=0, COUNTIF(OFFSET($F$11, FLOOR(ROW()-11,4), 0, 4, 1), "*Zoning: Tree Points*") &gt; 0, COUNTIF(OFFSET($F$11, FLOOR(ROW()-11,4), 0, 4, 1), "*Street Tree*") = 0 )</formula>
    </cfRule>
  </conditionalFormatting>
  <dataValidations xWindow="1510" yWindow="382" count="14">
    <dataValidation allowBlank="1" showInputMessage="1" showErrorMessage="1" prompt="Resolve if red error message appears." sqref="O10" xr:uid="{C4521B1F-8ADE-4A4B-B2DD-305A8B243BC2}"/>
    <dataValidation type="decimal" operator="greaterThanOrEqual" allowBlank="1" showInputMessage="1" showErrorMessage="1" sqref="J12:J14 J16:J18 J20:J22 J24:J26 J28:J30 J32:J34 J36:J38 J40:J42 J44:J46 J48:J50 J52:J54 J56:J58 M56:N58 M52:N54 M48:N50 M44:N46 M40:N42 M36:N38 M32:N34 M28:N30 M24:N26 M20:N22 M16:N18 M12:N14 J60:J62 J64:J66 J68:J70 J72:J74 J76:J78 J80:J82 J84:J86 J88:J90 J92:J94 J96:J98 J100:J102 J104:J106 J108:J110 J112:J114 J116:J118 J120:J122 J124:J126 J128:J130 M60:N62 M64:N66 M68:N70 M72:N74 M76:N78 M80:N82 M84:N86 M88:N90 M92:N94 M96:N98 M100:N102 M104:N106 M108:N110 M112:N114 M116:N118 M120:N122 M124:N126 M128:N130" xr:uid="{C628BAB3-8D1E-4BAC-BDBA-F122C795F668}">
      <formula1>0</formula1>
    </dataValidation>
    <dataValidation type="decimal" allowBlank="1" showErrorMessage="1" error="Value not acceptable. No special characters. Enter lower range if it's a range." prompt="Enter tree height at time of planting" sqref="H11:H130" xr:uid="{3FBEC3BE-7BA8-464E-B396-38D8E00F5AD8}">
      <formula1>0.5</formula1>
      <formula2>400</formula2>
    </dataValidation>
    <dataValidation type="decimal" allowBlank="1" showErrorMessage="1" error="Value not acceptable. No special characters. Enter lower range if it's a range." prompt="Enter tree caliper at time of planting" sqref="G11:G130" xr:uid="{579089AB-399C-475C-87C4-3FDB3E623F3A}">
      <formula1>0.5</formula1>
      <formula2>1000</formula2>
    </dataValidation>
    <dataValidation type="decimal" allowBlank="1" showErrorMessage="1" error="Value not acceptable. No special characters. Enter lower range if it's a range." prompt="Enter container size at time of planting" sqref="I11:I130" xr:uid="{A3D61B3E-19AF-4266-B743-7E08213FA93A}">
      <formula1>0</formula1>
      <formula2>1000</formula2>
    </dataValidation>
    <dataValidation type="decimal" allowBlank="1" showInputMessage="1" showErrorMessage="1" error="Value not acceptable. No special characters. Enter lower range if it's a range." sqref="M11 M15 M19 M23 M27 M31 M35 M39 M43 M47 M51 M55 M59 M63 M67 M71 M75 M79 M83 M87 M91 M95 M99 M103 M107 M111 M115 M119 M123 M127" xr:uid="{4E8FEDF7-FAEC-46C1-8708-D7C20634D38C}">
      <formula1>0.5</formula1>
      <formula2>10000</formula2>
    </dataValidation>
    <dataValidation allowBlank="1" showErrorMessage="1" prompt="Enter Tree ID" sqref="B11:B130" xr:uid="{63FEE02B-5DB0-4001-860D-48CB9C563321}"/>
    <dataValidation type="list" allowBlank="1" showErrorMessage="1" prompt="Enter proposed location of tree replacement from dropdown" sqref="D11:D130" xr:uid="{EA95DA39-D373-470D-B40C-3E98BF8D4D2E}">
      <formula1>L1Listb</formula1>
    </dataValidation>
    <dataValidation type="list" allowBlank="1" showErrorMessage="1" prompt="Enter type of tree replacement from dropdown" sqref="E11:E130" xr:uid="{FC23AE96-3CFB-49BB-9B56-C97FC9EEC726}">
      <formula1>L2Listb</formula1>
    </dataValidation>
    <dataValidation type="list" allowBlank="1" showErrorMessage="1" prompt="Select all code requirements that apply from dropdown list" sqref="F11:F130" xr:uid="{7F01EB45-2567-4B39-9049-0653512A7740}">
      <formula1>L3Listb</formula1>
    </dataValidation>
    <dataValidation type="decimal" allowBlank="1" showErrorMessage="1" error="Value not acceptable. No special characters. Enter lower range if it's a range." prompt="Enter mature canopy area in square feet" sqref="J11 J15 J19 J23 J27 J31 J35 J39 J43 J47 J51 J55 J59 J63 J67 J71 J75 J79 J83 J87 J91 J95 J99 J103 J107 J111 J115 J119 J123 J127" xr:uid="{BD12A8DC-13B3-48F6-B5B7-05B4965AC1E0}">
      <formula1>0.5</formula1>
      <formula2>10000</formula2>
    </dataValidation>
    <dataValidation type="list" allowBlank="1" showErrorMessage="1" prompt="Select tree species size from dropdown if not automatically populated" sqref="K11:K130" xr:uid="{3E02ACFF-EDCF-4EBE-A2A4-5F0938D9E220}">
      <formula1>L1Listd</formula1>
    </dataValidation>
    <dataValidation type="list" allowBlank="1" showErrorMessage="1" prompt="Select the corresponding points per planting from dropdown if not automatically populated" sqref="L11:L130" xr:uid="{62968B87-6215-4805-A8AE-6219A78E6D99}">
      <formula1>L2Listd</formula1>
    </dataValidation>
    <dataValidation type="decimal" operator="greaterThanOrEqual" allowBlank="1" showErrorMessage="1" error="Value not acceptable. No special characters. Enter lower range if it's a range." prompt="Enter the quantity of plantings of the same species and size." sqref="N11 N15 N19 N23 N27 N31 N35 N39 N43 N47 N51 N55 N59 N63 N67 N71 N75 N79 N83 N87 N91 N95 N99 N103 N107 N111 N115 N119 N123 N127" xr:uid="{3FD376DD-EFD4-4EF9-9137-4F0F7ADC6C1A}">
      <formula1>0.5</formula1>
    </dataValidation>
  </dataValidations>
  <hyperlinks>
    <hyperlink ref="B7" r:id="rId1" display="See Get Started Tree Information Guide for FAQs and examples." xr:uid="{447F9B27-78BA-4486-8FA8-509A305930D0}"/>
    <hyperlink ref="B7:E7" r:id="rId2" display="Read the Get Started Guide for FAQs and examples to help you complete the forms." xr:uid="{3D6E1562-4EB0-49B2-937F-9581DA7F40A3}"/>
  </hyperlinks>
  <pageMargins left="0.2" right="0.2" top="0.25" bottom="0.25" header="0.3" footer="0.3"/>
  <pageSetup scale="57" fitToHeight="0" orientation="landscape" r:id="rId3"/>
  <legacyDrawing r:id="rId4"/>
  <tableParts count="1">
    <tablePart r:id="rId5"/>
  </tableParts>
  <extLst>
    <ext xmlns:x14="http://schemas.microsoft.com/office/spreadsheetml/2009/9/main" uri="{78C0D931-6437-407d-A8EE-F0AAD7539E65}">
      <x14:conditionalFormattings>
        <x14:conditionalFormatting xmlns:xm="http://schemas.microsoft.com/office/excel/2006/main">
          <x14:cfRule type="expression" priority="6" id="{026E3BD9-DA1D-4F8C-A67F-DC571793D89D}">
            <xm:f>AND(MOD(ROW()-11,4)=0,$D11&lt;&gt;"",$D11&lt;&gt;Tables2!$B$66:$B$68)</xm:f>
            <x14:dxf>
              <font>
                <b/>
                <i val="0"/>
                <strike/>
                <color rgb="FFFF0000"/>
              </font>
            </x14:dxf>
          </x14:cfRule>
          <xm:sqref>D11 D15 D19 D23 D27 D31 D35 D39 D43 D47 D51 D55 D59 D63 D67 D71 D75 D79 D83 D87 D91 D95 D99 D103 D107 D111 D115 D119 D123 D127</xm:sqref>
        </x14:conditionalFormatting>
        <x14:conditionalFormatting xmlns:xm="http://schemas.microsoft.com/office/excel/2006/main">
          <x14:cfRule type="expression" priority="36" id="{4D88B72F-9DAB-4F99-858B-6D4C34C3D430}">
            <xm:f>AND($D11="Off Site",$E11="Yes",$F11&lt;&gt;"",ISNA(MATCH($F11,Tables2!$B$60:$B$62,0)))</xm:f>
            <x14:dxf>
              <font>
                <b/>
                <i val="0"/>
                <strike/>
                <color rgb="FFFF0000"/>
              </font>
            </x14:dxf>
          </x14:cfRule>
          <x14:cfRule type="expression" priority="43" id="{7551FC81-C8AF-40AC-812E-C5778F527F04}">
            <xm:f>AND($E11="No", $F11&lt;&gt;Tables2!$B$55:$B$57)</xm:f>
            <x14:dxf>
              <font>
                <b/>
                <i val="0"/>
                <strike/>
                <color rgb="FFFF0000"/>
              </font>
            </x14:dxf>
          </x14:cfRule>
          <x14:cfRule type="expression" priority="44" id="{30C5782F-75CB-49B6-BE6C-71275BEF16F0}">
            <xm:f>AND($E11="Yes", $F11&lt;&gt;Tables2!$B$48:$B$52)</xm:f>
            <x14:dxf>
              <font>
                <b/>
                <i val="0"/>
                <strike/>
                <color rgb="FFFF0000"/>
              </font>
            </x14:dxf>
          </x14:cfRule>
          <xm:sqref>F11:F130</xm:sqref>
        </x14:conditionalFormatting>
        <x14:conditionalFormatting xmlns:xm="http://schemas.microsoft.com/office/excel/2006/main">
          <x14:cfRule type="expression" priority="3" id="{4FEA1F27-05E7-4633-A423-666E167410E1}">
            <xm:f>AND(MOD(ROW()-11,4)=0, (COUNTIFS('Tree List'!$C$3:$C$601,$C11,'Tree List'!$D$3:$D$601,"Coniferous") + COUNTIFS('Tree List'!$C$3:$C$601,$C11,'Tree List'!$D$3:$D$601,"Deciduous Conifer"))&gt;0,COUNTIF(OFFSET($F$11,4*INT((ROW()-11)/4),0,4,1),"Zoning: Street Tree")=0)</xm:f>
            <x14:dxf>
              <font>
                <color theme="2" tint="-0.24994659260841701"/>
              </font>
              <fill>
                <patternFill>
                  <bgColor theme="2" tint="-0.24994659260841701"/>
                </patternFill>
              </fill>
            </x14:dxf>
          </x14:cfRule>
          <x14:cfRule type="expression" priority="564" id="{AEF33B66-014F-4A6C-8E87-800B01C8AC09}">
            <xm:f>AND(MOD(ROW()-11,4)=0, (COUNTIFS('Tree List'!$C$3:$C$601,$C11,'Tree List'!$D$3:$D$601,"Coniferous") + COUNTIFS('Tree List'!$C$3:$C$601,$C11,'Tree List'!$D$3:$D$601,"Deciduous Conifer"))&gt;0, COUNTIF(OFFSET($F$11, FLOOR(ROW()-11,4), 0, 4, 1), "*Tree Code: Replacement Required*") &gt; 0, COUNTIF(OFFSET($F$11, FLOOR(ROW()-11,4), 0, 4, 1), "*ECA / Shoreline*") &gt; 0)</xm:f>
            <x14:dxf>
              <font>
                <color theme="2" tint="-0.24994659260841701"/>
              </font>
              <fill>
                <patternFill>
                  <bgColor theme="2" tint="-0.24994659260841701"/>
                </patternFill>
              </fill>
            </x14:dxf>
          </x14:cfRule>
          <x14:cfRule type="expression" priority="565" id="{B5C8CD7D-97A3-4A29-8EDD-0672882FB016}">
            <xm:f>AND(MOD(ROW()-11,4)=0, COUNTIF(OFFSET($F$11,4*INT((ROW()-11)/4),0,4,1),"Tree Code: Replacement Required")&gt;0, COUNTIF(OFFSET($F$11,4*INT((ROW()-11)/4),0,4,1),"ECA / Shoreline")=0, (COUNTIFS('Tree List'!$C$3:$C$601,$C11,'Tree List'!$D$3:$D$601,"Coniferous") + COUNTIFS('Tree List'!$C$3:$C$601,$C11,'Tree List'!$D$3:$D$601,"Deciduous Conifer"))&gt;0 )</xm:f>
            <x14:dxf>
              <font>
                <color theme="2" tint="-0.24994659260841701"/>
              </font>
              <fill>
                <patternFill>
                  <bgColor theme="2" tint="-0.24994659260841701"/>
                </patternFill>
              </fill>
            </x14:dxf>
          </x14:cfRule>
          <x14:cfRule type="expression" priority="566" id="{BC368EA1-5693-404D-949E-CAD61BB48D12}">
            <xm:f>AND(MOD(ROW()-11,4)=0, COUNTIF(OFFSET($F$11,4*INT((ROW()-11)/4),0,4,1),"Zoning: Tree Points")&gt;0, (COUNTIFS('Tree List'!$C$3:$C$601,$C11,'Tree List'!$D$3:$D$601,"Coniferous") + COUNTIFS('Tree List'!$C$3:$C$601,$C11,'Tree List'!$D$3:$D$601,"Deciduous Conifer"))&gt;0 )</xm:f>
            <x14:dxf>
              <font>
                <color theme="2" tint="-0.24994659260841701"/>
              </font>
              <fill>
                <patternFill>
                  <bgColor theme="2" tint="-0.24994659260841701"/>
                </patternFill>
              </fill>
            </x14:dxf>
          </x14:cfRule>
          <x14:cfRule type="expression" priority="567" id="{B101625B-3566-4461-8AD0-B55E0ADD3278}">
            <xm:f>AND(MOD(ROW()-11,4)=0, COUNTIF(OFFSET($F$11,4*INT((ROW()-11)/4),0,4,1),"Zoning: Green Factor")&gt;0, COUNTIF(OFFSET($F$11,4*INT((ROW()-11)/4),0,4,1),"Zoning: Street Tree")=0, (COUNTIFS('Tree List'!$C$3:$C$601,$C11,'Tree List'!$D$3:$D$601,"Coniferous") + COUNTIFS('Tree List'!$C$3:$C$601,$C11,'Tree List'!$D$3:$D$601,"Deciduous Conifer"))&gt;0)</xm:f>
            <x14:dxf>
              <font>
                <color theme="2" tint="-0.24994659260841701"/>
              </font>
              <fill>
                <patternFill>
                  <bgColor theme="2" tint="-0.24994659260841701"/>
                </patternFill>
              </fill>
            </x14:dxf>
          </x14:cfRule>
          <xm:sqref>G11 G15 G19 G23 G27 G31 G35 G39 G43 G47 G51 G55 G59 G63 G67 G71 G75 G79 G83 G87 G91 G95 G99 G103 G107 G111 G115 G119 G123 G127</xm:sqref>
        </x14:conditionalFormatting>
        <x14:conditionalFormatting xmlns:xm="http://schemas.microsoft.com/office/excel/2006/main">
          <x14:cfRule type="expression" priority="1" id="{5FFA1E12-AA01-4FA5-9997-C33F0D61380D}">
            <xm:f>AND(MOD(ROW()-11,4)=0, (COUNTIFS('Tree List'!$C$3:$C$601,$C11,'Tree List'!$D$3:$D$601,"Deciduous") + COUNTIFS('Tree List'!$C$3:$C$601,$C11,'Tree List'!$D$3:$D$601,"Broadleaf Evergreen"))&gt;0, COUNTIF(OFFSET($F$11, FLOOR(ROW()-11,4), 0, 4, 1), "*ECA / Shoreline*") &gt; 0, COUNTIF(OFFSET($F$11, FLOOR(ROW()-11,4), 0, 4, 1), "*Tree Code: Replacement Required*") &gt; 0, COUNTIF(OFFSET($F$11, FLOOR(ROW()-11,4), 0, 4, 1), "*Street Tree*") = 0, COUNTIF(OFFSET($F$11,4*INT((ROW()-11)/4),0,4,1),"Zoning: Green Factor")=0)</xm:f>
            <x14:dxf>
              <font>
                <color theme="2" tint="-0.24994659260841701"/>
              </font>
              <fill>
                <patternFill>
                  <bgColor theme="2" tint="-0.24994659260841701"/>
                </patternFill>
              </fill>
            </x14:dxf>
          </x14:cfRule>
          <x14:cfRule type="expression" priority="19" id="{8875D0EC-EAA2-480A-9276-F379E6DDC18D}">
            <xm:f>AND(MOD(ROW()-11,4)=0, COUNTIF(OFFSET($F$11,4*INT((ROW()-11)/4),0,4,1),"Tree Code: Replacement Required")&gt;0, COUNTIF(OFFSET($F$11, FLOOR(ROW()-11,4), 0, 4, 1), "*Zoning: Green Factor*") = 0, COUNTIF(OFFSET($F$11,4*INT((ROW()-11)/4),0,4,1),"ECA / Shoreline")=0, (COUNTIFS('Tree List'!$C$3:$C$601,$C11,'Tree List'!$D$3:$D$601,"Deciduous") + COUNTIFS('Tree List'!$C$3:$C$601,$C11,'Tree List'!$D$3:$D$601,"Broadleaf Evergreen"))&gt;0 )</xm:f>
            <x14:dxf>
              <font>
                <color theme="2" tint="-0.24994659260841701"/>
              </font>
              <fill>
                <patternFill>
                  <bgColor theme="2" tint="-0.24994659260841701"/>
                </patternFill>
              </fill>
            </x14:dxf>
          </x14:cfRule>
          <x14:cfRule type="expression" priority="21" id="{8AA1FE89-22C9-4641-A8EE-6ED90BF9C1AE}">
            <xm:f>AND(MOD(ROW()-11,4)=0, COUNTIF(OFFSET($F$11,4*INT((ROW()-11)/4),0,4,1),"Zoning: Tree Points")&gt;0, COUNTIF(OFFSET($F$11,4*INT((ROW()-11)/4),0,4,1),"Zoning: Green Factor")=0, COUNTIF(OFFSET($F$11,4*INT((ROW()-11)/4),0,4,1),"ECA / Shoreline")=0, (COUNTIFS('Tree List'!$C$3:$C$601,$C11,'Tree List'!$D$3:$D$601,"Deciduous") + COUNTIFS('Tree List'!$C$3:$C$601,$C11,'Tree List'!$D$3:$D$601,"Broadleaf Evergreen"))&gt;0)</xm:f>
            <x14:dxf>
              <font>
                <color theme="2" tint="-0.24994659260841701"/>
              </font>
              <fill>
                <patternFill>
                  <bgColor theme="2" tint="-0.24994659260841701"/>
                </patternFill>
              </fill>
            </x14:dxf>
          </x14:cfRule>
          <xm:sqref>H11 H15 H19 H23 H27 H31 H35 H39 H43 H47 H51 H55 H59 H63 H67 H71 H75 H79 H83 H87 H91 H95 H99 H103 H107 H111 H115 H119 H123 H127</xm:sqref>
        </x14:conditionalFormatting>
      </x14:conditionalFormattings>
    </ext>
    <ext xmlns:x14="http://schemas.microsoft.com/office/spreadsheetml/2009/9/main" uri="{CCE6A557-97BC-4b89-ADB6-D9C93CAAB3DF}">
      <x14:dataValidations xmlns:xm="http://schemas.microsoft.com/office/excel/2006/main" xWindow="1510" yWindow="382" count="1">
        <x14:dataValidation type="list" allowBlank="1" prompt="Enter Tree Name" xr:uid="{4720A700-9163-4750-BC32-9A65762887F8}">
          <x14:formula1>
            <xm:f>'Tree List2'!$A$2:$A$576</xm:f>
          </x14:formula1>
          <xm:sqref>C11:C130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76F2A-92ED-4C3D-80C0-5B1CE90C7408}">
  <sheetPr>
    <tabColor theme="5" tint="-0.249977111117893"/>
    <pageSetUpPr fitToPage="1"/>
  </sheetPr>
  <dimension ref="A1:H62"/>
  <sheetViews>
    <sheetView showGridLines="0" workbookViewId="0"/>
  </sheetViews>
  <sheetFormatPr defaultColWidth="9.109375" defaultRowHeight="14.4" x14ac:dyDescent="0.3"/>
  <cols>
    <col min="1" max="1" width="6" style="18" customWidth="1"/>
    <col min="2" max="2" width="18.6640625" style="18" customWidth="1"/>
    <col min="3" max="3" width="42.33203125" style="746" customWidth="1"/>
    <col min="4" max="4" width="18.6640625" style="749" bestFit="1" customWidth="1"/>
    <col min="5" max="5" width="16.88671875" style="18" customWidth="1"/>
    <col min="6" max="6" width="12.5546875" style="749" bestFit="1" customWidth="1"/>
    <col min="7" max="7" width="24.33203125" style="751" bestFit="1" customWidth="1"/>
    <col min="8" max="8" width="23" style="36" bestFit="1" customWidth="1"/>
    <col min="9" max="16384" width="9.109375" style="19"/>
  </cols>
  <sheetData>
    <row r="1" spans="1:8" ht="21" customHeight="1" thickBot="1" x14ac:dyDescent="0.35">
      <c r="A1" s="501" t="s">
        <v>2119</v>
      </c>
      <c r="C1" s="128"/>
      <c r="D1" s="30"/>
      <c r="F1" s="30"/>
      <c r="G1" s="30"/>
    </row>
    <row r="2" spans="1:8" ht="31.2" x14ac:dyDescent="0.5">
      <c r="A2" s="64" t="s">
        <v>2087</v>
      </c>
      <c r="B2" s="65"/>
      <c r="C2" s="129"/>
      <c r="D2" s="66"/>
      <c r="E2" s="19"/>
      <c r="F2" s="30"/>
      <c r="G2" s="124" t="s">
        <v>1628</v>
      </c>
      <c r="H2" s="125" t="str">
        <f>IF('Existing Trees Form'!I2&lt;&gt;"",'Existing Trees Form'!I2,"")</f>
        <v/>
      </c>
    </row>
    <row r="3" spans="1:8" ht="21.75" customHeight="1" thickBot="1" x14ac:dyDescent="0.35">
      <c r="A3" s="747" t="s">
        <v>2177</v>
      </c>
      <c r="B3" s="98"/>
      <c r="C3" s="130"/>
      <c r="D3" s="67"/>
      <c r="F3" s="30"/>
      <c r="G3" s="30"/>
    </row>
    <row r="4" spans="1:8" s="50" customFormat="1" ht="21.75" customHeight="1" thickBot="1" x14ac:dyDescent="0.35">
      <c r="A4" s="88" t="s">
        <v>62</v>
      </c>
      <c r="B4" s="68"/>
      <c r="C4" s="131"/>
      <c r="D4" s="69"/>
      <c r="E4" s="47"/>
      <c r="F4" s="48"/>
      <c r="G4" s="34" t="s">
        <v>45</v>
      </c>
      <c r="H4" s="46">
        <f>IFERROR(SUM(H8:H202),"")</f>
        <v>0</v>
      </c>
    </row>
    <row r="5" spans="1:8" s="50" customFormat="1" ht="21.75" customHeight="1" thickBot="1" x14ac:dyDescent="0.35">
      <c r="A5" s="47"/>
      <c r="B5" s="62"/>
      <c r="C5" s="132"/>
      <c r="D5" s="63"/>
      <c r="E5" s="47"/>
      <c r="F5" s="48"/>
      <c r="G5" s="48"/>
      <c r="H5" s="49"/>
    </row>
    <row r="6" spans="1:8" ht="15" thickBot="1" x14ac:dyDescent="0.35">
      <c r="A6" s="97" t="s">
        <v>1619</v>
      </c>
      <c r="B6" s="27" t="s">
        <v>2174</v>
      </c>
      <c r="C6" s="133" t="s">
        <v>2175</v>
      </c>
      <c r="D6" s="28" t="s">
        <v>2176</v>
      </c>
      <c r="E6" s="27" t="s">
        <v>0</v>
      </c>
      <c r="F6" s="28" t="s">
        <v>42</v>
      </c>
      <c r="G6" s="28" t="s">
        <v>43</v>
      </c>
      <c r="H6" s="29" t="s">
        <v>44</v>
      </c>
    </row>
    <row r="7" spans="1:8" hidden="1" x14ac:dyDescent="0.3">
      <c r="A7" s="411"/>
      <c r="B7" s="412"/>
      <c r="C7" s="745"/>
      <c r="D7" s="748"/>
      <c r="E7" s="412"/>
      <c r="F7" s="748"/>
      <c r="G7" s="750"/>
      <c r="H7" s="413"/>
    </row>
    <row r="8" spans="1:8" x14ac:dyDescent="0.3">
      <c r="A8" s="18" cm="1">
        <f t="array" ref="A8">IF(COUNTA(_xlfn.ANCHORARRAY(B8))="","",_xlfn.SEQUENCE(ROWS(_xlfn.ANCHORARRAY(B8)),1,1,1))</f>
        <v>1</v>
      </c>
      <c r="B8" s="18" t="str" cm="1">
        <f t="array" ref="B8">IFERROR(
_xlfn.LET(
_xlpm.result,
_xlfn._xlws.FILTER(
'Existing Trees Form'!B11:E820,
('Existing Trees Form'!I11:I820="Payment in Lieu") *
ISNUMBER(
MATCH(
'Existing Trees Form'!E11:E820,
{"Tier 1","Tier 2","Tier 3","Tier 2 Grove"},
0
)
) *
('Existing Trees Form'!F11:F820="Remove") *
('Existing Trees Form'!H11:H820&lt;&gt;"")
),
IF(_xlpm.result="", "Missing", _xlpm.result)
), "")</f>
        <v/>
      </c>
      <c r="F8" s="749" t="str" cm="1">
        <f t="array" ref="F8">IFERROR(
    _xlfn.LET(
        _xlpm.spill,_xlfn.ANCHORARRAY( B8),
        _xlpm.Dcol, INDEX(_xlpm.spill,,3),
        _xlpm.Ecol, INDEX(_xlpm.spill,,4),
        IF(
            ( ((_xlpm.Ecol="Tier 1") + (_xlpm.Ecol="Tier 2") + (_xlpm.Ecol="Tier 2 Grove"))&gt;0 ) * (_xlpm.Dcol&gt;24),
            _xlpm.Dcol/2,
            "N/A"
        )
    ),
    ""
)</f>
        <v/>
      </c>
      <c r="G8" s="751" t="str" cm="1">
        <f t="array" ref="G8">IFERROR(
    _xlfn.LET(
        _xlpm.spill,_xlfn.ANCHORARRAY( B8),
        _xlpm.Dcol, INDEX(_xlpm.spill,,3),
        _xlpm.Ecol, INDEX(_xlpm.spill,,4),
        _xlpm.Fcol,_xlfn.ANCHORARRAY( F8),
        IF(
            (((_xlpm.Ecol="Tier 1") + (_xlpm.Ecol="Tier 2") + (_xlpm.Ecol="Tier 2 Grove"))&gt;0) * (_xlpm.Dcol&gt;24),
            3.1415926535 * (_xlpm.Fcol^2),
            "N/A"
        )
    ),
    ""
)</f>
        <v/>
      </c>
      <c r="H8" s="31" t="str" cm="1">
        <f t="array" ref="H8">IFERROR(
    _xlfn.LET(
        _xlpm.spill,_xlfn.ANCHORARRAY( B8),
        _xlpm.Dcol, INDEX(_xlpm.spill,,3),
        _xlpm.Ecol, INDEX(_xlpm.spill,,4),
        _xlpm.Gcol,_xlfn.ANCHORARRAY( G8),
        _xlpm.isTier12, (_xlpm.Ecol="Tier 1") + (_xlpm.Ecol="Tier 2") + (_xlpm.Ecol="Tier 2 Grove"),
        _xlpm.isTier3, (_xlpm.Ecol="Tier 3"),
        IF(
            _xlpm.isTier12*(_xlpm.Dcol&lt;=24),
            8080,
            IF(
                _xlpm.isTier3,
                2833,
                IF(
                    _xlpm.isTier12*(_xlpm.Dcol&gt;24),
                    _xlpm.Gcol*17.87,
                    ""
                )
            )
        )
    ),
    ""
)</f>
        <v/>
      </c>
    </row>
    <row r="9" spans="1:8" x14ac:dyDescent="0.3">
      <c r="H9" s="31"/>
    </row>
    <row r="10" spans="1:8" x14ac:dyDescent="0.3">
      <c r="H10" s="31"/>
    </row>
    <row r="11" spans="1:8" x14ac:dyDescent="0.3">
      <c r="H11" s="31"/>
    </row>
    <row r="12" spans="1:8" x14ac:dyDescent="0.3">
      <c r="H12" s="31"/>
    </row>
    <row r="13" spans="1:8" x14ac:dyDescent="0.3">
      <c r="H13" s="31"/>
    </row>
    <row r="14" spans="1:8" x14ac:dyDescent="0.3">
      <c r="H14" s="31"/>
    </row>
    <row r="15" spans="1:8" x14ac:dyDescent="0.3">
      <c r="H15" s="31"/>
    </row>
    <row r="16" spans="1:8" x14ac:dyDescent="0.3">
      <c r="H16" s="31"/>
    </row>
    <row r="17" spans="8:8" x14ac:dyDescent="0.3">
      <c r="H17" s="31"/>
    </row>
    <row r="18" spans="8:8" x14ac:dyDescent="0.3">
      <c r="H18" s="31"/>
    </row>
    <row r="19" spans="8:8" x14ac:dyDescent="0.3">
      <c r="H19" s="31"/>
    </row>
    <row r="20" spans="8:8" x14ac:dyDescent="0.3">
      <c r="H20" s="31"/>
    </row>
    <row r="21" spans="8:8" x14ac:dyDescent="0.3">
      <c r="H21" s="31"/>
    </row>
    <row r="22" spans="8:8" x14ac:dyDescent="0.3">
      <c r="H22" s="31"/>
    </row>
    <row r="23" spans="8:8" x14ac:dyDescent="0.3">
      <c r="H23" s="31"/>
    </row>
    <row r="24" spans="8:8" x14ac:dyDescent="0.3">
      <c r="H24" s="31"/>
    </row>
    <row r="25" spans="8:8" x14ac:dyDescent="0.3">
      <c r="H25" s="31"/>
    </row>
    <row r="26" spans="8:8" x14ac:dyDescent="0.3">
      <c r="H26" s="31"/>
    </row>
    <row r="27" spans="8:8" x14ac:dyDescent="0.3">
      <c r="H27" s="31"/>
    </row>
    <row r="28" spans="8:8" x14ac:dyDescent="0.3">
      <c r="H28" s="31"/>
    </row>
    <row r="29" spans="8:8" x14ac:dyDescent="0.3">
      <c r="H29" s="31"/>
    </row>
    <row r="30" spans="8:8" x14ac:dyDescent="0.3">
      <c r="H30" s="31"/>
    </row>
    <row r="31" spans="8:8" x14ac:dyDescent="0.3">
      <c r="H31" s="31"/>
    </row>
    <row r="32" spans="8:8" x14ac:dyDescent="0.3">
      <c r="H32" s="31"/>
    </row>
    <row r="33" spans="8:8" x14ac:dyDescent="0.3">
      <c r="H33" s="31"/>
    </row>
    <row r="34" spans="8:8" x14ac:dyDescent="0.3">
      <c r="H34" s="31"/>
    </row>
    <row r="35" spans="8:8" x14ac:dyDescent="0.3">
      <c r="H35" s="31"/>
    </row>
    <row r="36" spans="8:8" x14ac:dyDescent="0.3">
      <c r="H36" s="31"/>
    </row>
    <row r="37" spans="8:8" x14ac:dyDescent="0.3">
      <c r="H37" s="31"/>
    </row>
    <row r="38" spans="8:8" x14ac:dyDescent="0.3">
      <c r="H38" s="31"/>
    </row>
    <row r="39" spans="8:8" x14ac:dyDescent="0.3">
      <c r="H39" s="31"/>
    </row>
    <row r="40" spans="8:8" x14ac:dyDescent="0.3">
      <c r="H40" s="31"/>
    </row>
    <row r="41" spans="8:8" x14ac:dyDescent="0.3">
      <c r="H41" s="31"/>
    </row>
    <row r="42" spans="8:8" x14ac:dyDescent="0.3">
      <c r="H42" s="31"/>
    </row>
    <row r="43" spans="8:8" x14ac:dyDescent="0.3">
      <c r="H43" s="31"/>
    </row>
    <row r="44" spans="8:8" x14ac:dyDescent="0.3">
      <c r="H44" s="31"/>
    </row>
    <row r="45" spans="8:8" x14ac:dyDescent="0.3">
      <c r="H45" s="31"/>
    </row>
    <row r="46" spans="8:8" x14ac:dyDescent="0.3">
      <c r="H46" s="31"/>
    </row>
    <row r="47" spans="8:8" x14ac:dyDescent="0.3">
      <c r="H47" s="31"/>
    </row>
    <row r="48" spans="8:8" x14ac:dyDescent="0.3">
      <c r="H48" s="31"/>
    </row>
    <row r="49" spans="8:8" x14ac:dyDescent="0.3">
      <c r="H49" s="31"/>
    </row>
    <row r="50" spans="8:8" x14ac:dyDescent="0.3">
      <c r="H50" s="31"/>
    </row>
    <row r="51" spans="8:8" x14ac:dyDescent="0.3">
      <c r="H51" s="31"/>
    </row>
    <row r="52" spans="8:8" x14ac:dyDescent="0.3">
      <c r="H52" s="31"/>
    </row>
    <row r="53" spans="8:8" x14ac:dyDescent="0.3">
      <c r="H53" s="31"/>
    </row>
    <row r="54" spans="8:8" x14ac:dyDescent="0.3">
      <c r="H54" s="31"/>
    </row>
    <row r="55" spans="8:8" x14ac:dyDescent="0.3">
      <c r="H55" s="31"/>
    </row>
    <row r="56" spans="8:8" x14ac:dyDescent="0.3">
      <c r="H56" s="31"/>
    </row>
    <row r="57" spans="8:8" x14ac:dyDescent="0.3">
      <c r="H57" s="31"/>
    </row>
    <row r="58" spans="8:8" x14ac:dyDescent="0.3">
      <c r="H58" s="31"/>
    </row>
    <row r="59" spans="8:8" x14ac:dyDescent="0.3">
      <c r="H59" s="31"/>
    </row>
    <row r="60" spans="8:8" x14ac:dyDescent="0.3">
      <c r="H60" s="31"/>
    </row>
    <row r="61" spans="8:8" x14ac:dyDescent="0.3">
      <c r="H61" s="31"/>
    </row>
    <row r="62" spans="8:8" x14ac:dyDescent="0.3">
      <c r="H62" s="31"/>
    </row>
  </sheetData>
  <sheetProtection algorithmName="SHA-512" hashValue="Zr5XnEdkAkYM5hucLP5EdC8nzwQmdNcWDns8OcZJ/AGw3Al7jROj7GZSMtvcr+WXOmKbcScfmXRKDs/SNh/hLw==" saltValue="Ex3PD4Mthmob6WJplIkD4g==" spinCount="100000" sheet="1" objects="1" scenarios="1" formatColumns="0" formatRows="0"/>
  <conditionalFormatting sqref="A8">
    <cfRule type="expression" dxfId="77" priority="1">
      <formula>AND($A$8=1,$C$8="")</formula>
    </cfRule>
  </conditionalFormatting>
  <conditionalFormatting sqref="A2:D4">
    <cfRule type="cellIs" dxfId="76" priority="2" operator="equal">
      <formula>"Missing"</formula>
    </cfRule>
  </conditionalFormatting>
  <conditionalFormatting sqref="A8:I63">
    <cfRule type="expression" dxfId="75" priority="5">
      <formula>A8&lt;&gt;""</formula>
    </cfRule>
  </conditionalFormatting>
  <conditionalFormatting sqref="B1:D1 B5:D1048576">
    <cfRule type="cellIs" dxfId="74" priority="3" operator="equal">
      <formula>"Missing"</formula>
    </cfRule>
  </conditionalFormatting>
  <hyperlinks>
    <hyperlink ref="A4" r:id="rId1" xr:uid="{BFF24BD0-BF65-4448-BF2E-C3FE2B59E8A9}"/>
  </hyperlinks>
  <pageMargins left="0.25" right="0.25" top="0.25" bottom="0.25" header="0.3" footer="0.3"/>
  <pageSetup scale="68" fitToHeight="0" orientation="landscape"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69180-3FEF-4214-8840-5A3DAEDF3EED}">
  <sheetPr>
    <tabColor theme="3" tint="0.749992370372631"/>
    <pageSetUpPr fitToPage="1"/>
  </sheetPr>
  <dimension ref="A1:T75"/>
  <sheetViews>
    <sheetView showGridLines="0" zoomScaleNormal="100" workbookViewId="0">
      <selection activeCell="B1" sqref="B1"/>
    </sheetView>
  </sheetViews>
  <sheetFormatPr defaultRowHeight="14.4" x14ac:dyDescent="0.3"/>
  <cols>
    <col min="1" max="1" width="5.6640625" customWidth="1"/>
    <col min="2" max="2" width="12.5546875" customWidth="1"/>
    <col min="3" max="3" width="18.5546875" customWidth="1"/>
    <col min="4" max="4" width="35.6640625" customWidth="1"/>
    <col min="5" max="5" width="22.33203125" customWidth="1"/>
    <col min="6" max="6" width="23.109375" customWidth="1"/>
    <col min="7" max="7" width="14.88671875" customWidth="1"/>
    <col min="8" max="8" width="27.6640625" customWidth="1"/>
    <col min="9" max="9" width="43.109375" customWidth="1"/>
    <col min="10" max="10" width="16.88671875" customWidth="1"/>
    <col min="11" max="11" width="33.44140625" customWidth="1"/>
    <col min="12" max="12" width="20.88671875" customWidth="1"/>
    <col min="13" max="13" width="31.6640625" customWidth="1"/>
    <col min="14" max="14" width="13.88671875" customWidth="1"/>
    <col min="15" max="15" width="48.109375" customWidth="1"/>
    <col min="16" max="16" width="13.44140625" customWidth="1"/>
    <col min="17" max="17" width="32.88671875" customWidth="1"/>
    <col min="18" max="18" width="14.109375" customWidth="1"/>
    <col min="19" max="19" width="22.6640625" customWidth="1"/>
    <col min="20" max="20" width="114.6640625" customWidth="1"/>
  </cols>
  <sheetData>
    <row r="1" spans="1:20" ht="15.6" x14ac:dyDescent="0.3">
      <c r="B1" s="384" t="s">
        <v>2193</v>
      </c>
      <c r="H1" s="502"/>
    </row>
    <row r="2" spans="1:20" s="624" customFormat="1" ht="10.8" x14ac:dyDescent="0.25">
      <c r="B2" s="625"/>
    </row>
    <row r="3" spans="1:20" ht="36.6" x14ac:dyDescent="0.7">
      <c r="A3" s="505"/>
      <c r="B3" s="503" t="s">
        <v>2110</v>
      </c>
      <c r="C3" s="504"/>
      <c r="D3" s="505"/>
      <c r="G3" s="506"/>
      <c r="H3" s="507"/>
      <c r="I3" s="506"/>
      <c r="J3" s="506"/>
      <c r="L3" s="508"/>
    </row>
    <row r="4" spans="1:20" ht="24" customHeight="1" x14ac:dyDescent="0.7">
      <c r="B4" s="507"/>
      <c r="C4" s="509"/>
      <c r="G4" s="506"/>
      <c r="H4" s="507"/>
      <c r="I4" s="506"/>
      <c r="J4" s="506"/>
      <c r="L4" s="508"/>
    </row>
    <row r="5" spans="1:20" ht="15.6" x14ac:dyDescent="0.3">
      <c r="B5" s="507" t="s">
        <v>2074</v>
      </c>
      <c r="G5" s="506"/>
      <c r="H5" s="507"/>
      <c r="I5" s="506"/>
      <c r="J5" s="506"/>
      <c r="L5" s="80"/>
    </row>
    <row r="6" spans="1:20" ht="15.6" x14ac:dyDescent="0.3">
      <c r="B6" t="s">
        <v>2073</v>
      </c>
      <c r="G6" s="506"/>
      <c r="H6" s="507"/>
      <c r="I6" s="506"/>
      <c r="J6" s="506"/>
      <c r="L6" s="80"/>
    </row>
    <row r="7" spans="1:20" ht="16.2" thickBot="1" x14ac:dyDescent="0.35">
      <c r="B7" t="s">
        <v>2072</v>
      </c>
      <c r="G7" s="506"/>
      <c r="H7" s="507"/>
      <c r="I7" s="506"/>
      <c r="J7" s="506"/>
      <c r="L7" s="80"/>
      <c r="T7" s="510"/>
    </row>
    <row r="8" spans="1:20" ht="24" thickBot="1" x14ac:dyDescent="0.35">
      <c r="B8" s="351" t="s">
        <v>2071</v>
      </c>
      <c r="G8" s="506"/>
      <c r="H8" s="507"/>
      <c r="I8" s="506"/>
      <c r="J8" s="506"/>
      <c r="L8" s="80"/>
      <c r="M8" s="626"/>
      <c r="N8" s="626"/>
      <c r="O8" s="511"/>
      <c r="S8" s="627" t="s">
        <v>2194</v>
      </c>
      <c r="T8" s="510" t="s">
        <v>2195</v>
      </c>
    </row>
    <row r="9" spans="1:20" ht="29.4" thickBot="1" x14ac:dyDescent="0.35">
      <c r="B9" s="752" t="s">
        <v>2253</v>
      </c>
      <c r="C9" s="753"/>
      <c r="D9" s="753"/>
      <c r="E9" s="753"/>
      <c r="I9" s="506"/>
      <c r="J9" s="506"/>
      <c r="L9" s="80"/>
      <c r="M9" s="626"/>
      <c r="N9" s="628" t="s">
        <v>1628</v>
      </c>
      <c r="O9" s="511" t="s">
        <v>2109</v>
      </c>
      <c r="Q9" s="627" t="s">
        <v>2070</v>
      </c>
      <c r="S9" s="627" t="s">
        <v>2196</v>
      </c>
      <c r="T9" s="510" t="s">
        <v>2069</v>
      </c>
    </row>
    <row r="10" spans="1:20" ht="24" thickBot="1" x14ac:dyDescent="0.45">
      <c r="I10" s="506"/>
      <c r="J10" s="506"/>
      <c r="L10" s="80"/>
      <c r="M10" s="626"/>
      <c r="N10" s="626"/>
      <c r="O10" s="511"/>
      <c r="Q10" s="512" t="s">
        <v>2197</v>
      </c>
      <c r="S10" s="513"/>
    </row>
    <row r="11" spans="1:20" s="513" customFormat="1" ht="21" x14ac:dyDescent="0.4">
      <c r="B11" s="514" t="s">
        <v>2102</v>
      </c>
      <c r="C11" s="629"/>
      <c r="D11" s="630"/>
      <c r="E11" s="631"/>
      <c r="F11" s="631"/>
      <c r="G11" s="632"/>
      <c r="H11" s="633"/>
      <c r="J11" s="634"/>
      <c r="K11" s="635"/>
      <c r="L11" s="636"/>
    </row>
    <row r="12" spans="1:20" ht="17.399999999999999" thickBot="1" x14ac:dyDescent="0.35">
      <c r="B12" s="515" t="s">
        <v>2068</v>
      </c>
      <c r="C12" s="637"/>
      <c r="D12" s="638"/>
      <c r="E12" s="639"/>
      <c r="F12" s="639"/>
      <c r="G12" s="640"/>
      <c r="H12" s="641"/>
      <c r="I12" s="141"/>
      <c r="P12" s="642"/>
      <c r="S12" s="35"/>
      <c r="T12" s="516"/>
    </row>
    <row r="13" spans="1:20" ht="17.399999999999999" thickBot="1" x14ac:dyDescent="0.35">
      <c r="B13" s="643" t="s">
        <v>2067</v>
      </c>
      <c r="C13" s="505"/>
      <c r="D13" s="638"/>
      <c r="E13" s="639"/>
      <c r="F13" s="639"/>
      <c r="G13" s="640"/>
      <c r="H13" s="641"/>
      <c r="I13" s="84"/>
      <c r="P13" s="642"/>
      <c r="Q13" s="517" t="s">
        <v>41</v>
      </c>
      <c r="R13" s="644" t="s">
        <v>2254</v>
      </c>
      <c r="S13" s="645"/>
      <c r="T13" s="646"/>
    </row>
    <row r="14" spans="1:20" ht="16.2" thickBot="1" x14ac:dyDescent="0.35">
      <c r="B14" s="643" t="s">
        <v>2066</v>
      </c>
      <c r="C14" s="505"/>
      <c r="D14" s="647"/>
      <c r="E14" s="647"/>
      <c r="F14" s="647"/>
      <c r="G14" s="640"/>
      <c r="H14" s="648"/>
      <c r="I14" s="84"/>
      <c r="M14" s="518"/>
      <c r="N14" s="518"/>
      <c r="P14" s="642"/>
      <c r="Q14" s="519" t="s">
        <v>1627</v>
      </c>
      <c r="R14" s="520" t="s">
        <v>2198</v>
      </c>
      <c r="S14" s="35"/>
      <c r="T14" s="516"/>
    </row>
    <row r="15" spans="1:20" ht="16.2" thickBot="1" x14ac:dyDescent="0.35">
      <c r="B15" s="649" t="s">
        <v>2155</v>
      </c>
      <c r="C15" s="521"/>
      <c r="D15" s="650"/>
      <c r="E15" s="650"/>
      <c r="F15" s="650"/>
      <c r="G15" s="651"/>
      <c r="H15" s="648"/>
      <c r="I15" s="84"/>
      <c r="K15" s="522" t="s">
        <v>1626</v>
      </c>
      <c r="L15" s="518" t="s">
        <v>2199</v>
      </c>
      <c r="M15" s="518"/>
      <c r="N15" s="518"/>
      <c r="P15" s="642"/>
      <c r="Q15" s="523" t="s">
        <v>2186</v>
      </c>
      <c r="R15" s="646" t="s">
        <v>2200</v>
      </c>
      <c r="S15" s="645"/>
      <c r="T15" s="646"/>
    </row>
    <row r="16" spans="1:20" ht="29.4" thickBot="1" x14ac:dyDescent="0.35">
      <c r="C16" s="652"/>
      <c r="D16" s="653"/>
      <c r="E16" s="654"/>
      <c r="F16" s="654"/>
      <c r="G16" s="653"/>
      <c r="H16" s="648"/>
      <c r="I16" s="51"/>
      <c r="K16" s="581" t="s">
        <v>2172</v>
      </c>
      <c r="L16" s="518" t="s">
        <v>2201</v>
      </c>
      <c r="M16" s="518"/>
      <c r="N16" s="518"/>
      <c r="P16" s="642"/>
      <c r="Q16" s="524" t="s">
        <v>2065</v>
      </c>
      <c r="R16" s="646" t="s">
        <v>2202</v>
      </c>
      <c r="S16" s="645"/>
      <c r="T16" s="646"/>
    </row>
    <row r="17" spans="1:20" ht="29.4" thickBot="1" x14ac:dyDescent="0.35">
      <c r="B17" s="752" t="s">
        <v>2255</v>
      </c>
      <c r="C17" s="754"/>
      <c r="D17" s="754"/>
      <c r="E17" s="755"/>
      <c r="J17" s="525"/>
      <c r="K17" s="655" t="s">
        <v>2173</v>
      </c>
      <c r="L17" s="518" t="s">
        <v>2203</v>
      </c>
      <c r="M17" s="656"/>
      <c r="N17" s="656"/>
      <c r="O17" s="518"/>
      <c r="P17" s="642"/>
    </row>
    <row r="18" spans="1:20" x14ac:dyDescent="0.3">
      <c r="I18" s="509"/>
      <c r="J18" s="12"/>
      <c r="K18" s="642"/>
      <c r="L18" s="642"/>
      <c r="M18" s="642"/>
      <c r="N18" s="642"/>
      <c r="P18" s="642"/>
    </row>
    <row r="19" spans="1:20" s="509" customFormat="1" ht="15" thickBot="1" x14ac:dyDescent="0.35">
      <c r="B19"/>
      <c r="C19" s="657"/>
      <c r="D19" s="658"/>
      <c r="E19" s="82"/>
      <c r="F19" s="18"/>
      <c r="G19" s="18"/>
      <c r="H19" s="18"/>
      <c r="K19"/>
      <c r="L19"/>
      <c r="M19"/>
      <c r="N19"/>
      <c r="O19"/>
      <c r="P19"/>
      <c r="Q19"/>
      <c r="R19"/>
      <c r="S19"/>
      <c r="T19"/>
    </row>
    <row r="20" spans="1:20" s="509" customFormat="1" ht="15" thickBot="1" x14ac:dyDescent="0.35">
      <c r="B20"/>
      <c r="C20"/>
      <c r="D20" s="659" t="s">
        <v>2064</v>
      </c>
      <c r="E20" s="82"/>
      <c r="F20" s="660"/>
      <c r="G20" s="661"/>
      <c r="H20" s="661" t="s">
        <v>2063</v>
      </c>
      <c r="I20" s="526"/>
      <c r="J20" s="662"/>
      <c r="K20" s="663"/>
      <c r="L20"/>
      <c r="M20" s="660" t="s">
        <v>2204</v>
      </c>
      <c r="N20" s="661"/>
      <c r="O20" s="661"/>
      <c r="P20" s="663"/>
      <c r="Q20"/>
      <c r="R20" s="664"/>
      <c r="S20"/>
      <c r="T20"/>
    </row>
    <row r="21" spans="1:20" s="509" customFormat="1" ht="31.2" x14ac:dyDescent="0.3">
      <c r="B21" s="665" t="s">
        <v>1619</v>
      </c>
      <c r="C21" s="666" t="s">
        <v>1102</v>
      </c>
      <c r="D21" s="527" t="s">
        <v>2101</v>
      </c>
      <c r="E21" s="527" t="s">
        <v>2205</v>
      </c>
      <c r="F21" s="667" t="s">
        <v>0</v>
      </c>
      <c r="G21" s="668" t="s">
        <v>2062</v>
      </c>
      <c r="H21" s="666" t="s">
        <v>2108</v>
      </c>
      <c r="I21" s="669" t="s">
        <v>1622</v>
      </c>
      <c r="J21" s="670" t="s">
        <v>2062</v>
      </c>
      <c r="K21" s="666" t="s">
        <v>1122</v>
      </c>
      <c r="L21" s="665" t="s">
        <v>2170</v>
      </c>
      <c r="M21" s="665" t="s">
        <v>1612</v>
      </c>
      <c r="N21" s="671" t="s">
        <v>2062</v>
      </c>
      <c r="O21" s="669" t="s">
        <v>1613</v>
      </c>
      <c r="P21" s="670" t="s">
        <v>2062</v>
      </c>
      <c r="Q21" s="756" t="s">
        <v>34</v>
      </c>
      <c r="R21" s="672" t="s">
        <v>2062</v>
      </c>
      <c r="S21" s="407" t="s">
        <v>54</v>
      </c>
      <c r="T21"/>
    </row>
    <row r="22" spans="1:20" s="509" customFormat="1" x14ac:dyDescent="0.3">
      <c r="A22"/>
      <c r="B22" s="406"/>
      <c r="C22" s="406"/>
      <c r="D22" s="406"/>
      <c r="E22" s="406"/>
      <c r="F22" s="528" t="s">
        <v>1103</v>
      </c>
      <c r="G22" s="529"/>
      <c r="H22" s="530" t="s">
        <v>1104</v>
      </c>
      <c r="I22" s="531" t="s">
        <v>1977</v>
      </c>
      <c r="J22" s="529"/>
      <c r="K22" s="530" t="s">
        <v>2206</v>
      </c>
      <c r="L22" s="532"/>
      <c r="M22" s="532"/>
      <c r="N22" s="532"/>
      <c r="O22" s="533"/>
      <c r="P22" s="534"/>
      <c r="Q22" s="533"/>
      <c r="R22" s="534"/>
      <c r="S22" s="532"/>
      <c r="T22"/>
    </row>
    <row r="23" spans="1:20" s="509" customFormat="1" ht="202.2" thickBot="1" x14ac:dyDescent="0.35">
      <c r="A23"/>
      <c r="B23" s="405" t="s">
        <v>2061</v>
      </c>
      <c r="C23" s="405" t="s">
        <v>2060</v>
      </c>
      <c r="D23" s="404" t="s">
        <v>2256</v>
      </c>
      <c r="E23" s="404" t="s">
        <v>2107</v>
      </c>
      <c r="F23" s="535" t="s">
        <v>1106</v>
      </c>
      <c r="G23" s="673" t="s">
        <v>1107</v>
      </c>
      <c r="H23" s="536" t="s">
        <v>2257</v>
      </c>
      <c r="I23" s="537" t="s">
        <v>2207</v>
      </c>
      <c r="J23" s="674" t="s">
        <v>1105</v>
      </c>
      <c r="K23" s="538" t="s">
        <v>2208</v>
      </c>
      <c r="L23" s="539" t="s">
        <v>2209</v>
      </c>
      <c r="M23" s="540" t="s">
        <v>2210</v>
      </c>
      <c r="N23" s="675" t="s">
        <v>2059</v>
      </c>
      <c r="O23" s="541" t="s">
        <v>2211</v>
      </c>
      <c r="P23" s="676" t="s">
        <v>2058</v>
      </c>
      <c r="Q23" s="541" t="s">
        <v>2258</v>
      </c>
      <c r="R23" s="676" t="s">
        <v>1105</v>
      </c>
      <c r="S23" s="539" t="s">
        <v>2259</v>
      </c>
      <c r="T23"/>
    </row>
    <row r="24" spans="1:20" s="509" customFormat="1" x14ac:dyDescent="0.3">
      <c r="A24"/>
      <c r="B24" s="400"/>
      <c r="C24" s="400"/>
      <c r="D24" s="400"/>
      <c r="E24" s="400"/>
      <c r="F24" s="528" t="s">
        <v>1108</v>
      </c>
      <c r="G24" s="529"/>
      <c r="H24" s="542" t="s">
        <v>2160</v>
      </c>
      <c r="I24" s="543"/>
      <c r="J24" s="677"/>
      <c r="K24" s="530" t="s">
        <v>2212</v>
      </c>
      <c r="L24" s="544"/>
      <c r="M24" s="530" t="s">
        <v>1616</v>
      </c>
      <c r="N24" s="403"/>
      <c r="O24" s="537"/>
      <c r="P24" s="545"/>
      <c r="Q24" s="537"/>
      <c r="R24" s="674"/>
      <c r="S24"/>
      <c r="T24"/>
    </row>
    <row r="25" spans="1:20" s="509" customFormat="1" ht="87" thickBot="1" x14ac:dyDescent="0.35">
      <c r="A25"/>
      <c r="B25"/>
      <c r="C25" s="400"/>
      <c r="D25" s="400"/>
      <c r="F25" s="757" t="s">
        <v>2260</v>
      </c>
      <c r="G25" s="758" t="s">
        <v>1109</v>
      </c>
      <c r="H25" s="678" t="s">
        <v>2261</v>
      </c>
      <c r="I25" s="537" t="s">
        <v>2213</v>
      </c>
      <c r="J25" s="674" t="s">
        <v>2262</v>
      </c>
      <c r="K25" s="540" t="s">
        <v>2214</v>
      </c>
      <c r="L25" s="544"/>
      <c r="M25" s="536" t="s">
        <v>2215</v>
      </c>
      <c r="N25" s="403"/>
      <c r="O25" s="547" t="s">
        <v>2216</v>
      </c>
      <c r="P25" s="759" t="s">
        <v>2262</v>
      </c>
      <c r="Q25" s="547" t="s">
        <v>2213</v>
      </c>
      <c r="R25" s="759" t="s">
        <v>2262</v>
      </c>
      <c r="S25"/>
      <c r="T25"/>
    </row>
    <row r="26" spans="1:20" s="509" customFormat="1" x14ac:dyDescent="0.3">
      <c r="A26"/>
      <c r="B26"/>
      <c r="C26" s="400"/>
      <c r="D26" s="400"/>
      <c r="E26" s="400"/>
      <c r="F26" s="546"/>
      <c r="G26" s="674"/>
      <c r="H26" s="548"/>
      <c r="I26" s="549" t="s">
        <v>1979</v>
      </c>
      <c r="J26" s="550"/>
      <c r="K26" s="530" t="s">
        <v>15</v>
      </c>
      <c r="L26" s="544"/>
      <c r="M26" s="530" t="s">
        <v>1617</v>
      </c>
      <c r="N26" s="403"/>
      <c r="O26" s="551"/>
      <c r="P26" s="551"/>
      <c r="Q26"/>
      <c r="R26"/>
      <c r="S26"/>
      <c r="T26"/>
    </row>
    <row r="27" spans="1:20" s="509" customFormat="1" ht="72" x14ac:dyDescent="0.3">
      <c r="A27"/>
      <c r="B27"/>
      <c r="C27" s="400"/>
      <c r="D27" s="400"/>
      <c r="E27" s="400"/>
      <c r="F27" s="552" t="s">
        <v>2263</v>
      </c>
      <c r="G27" s="673" t="s">
        <v>1110</v>
      </c>
      <c r="H27" s="553" t="s">
        <v>2217</v>
      </c>
      <c r="I27" s="552" t="s">
        <v>2218</v>
      </c>
      <c r="J27" s="673" t="s">
        <v>1111</v>
      </c>
      <c r="K27" s="553" t="s">
        <v>2219</v>
      </c>
      <c r="L27" s="544"/>
      <c r="M27" s="536" t="s">
        <v>2220</v>
      </c>
      <c r="N27" s="402"/>
      <c r="O27"/>
      <c r="P27"/>
      <c r="Q27"/>
      <c r="R27"/>
      <c r="S27"/>
      <c r="T27"/>
    </row>
    <row r="28" spans="1:20" s="509" customFormat="1" x14ac:dyDescent="0.3">
      <c r="A28"/>
      <c r="B28"/>
      <c r="C28" s="400"/>
      <c r="D28" s="400"/>
      <c r="E28" s="400"/>
      <c r="F28" s="554" t="s">
        <v>39</v>
      </c>
      <c r="G28" s="529"/>
      <c r="H28" s="555"/>
      <c r="I28" s="556" t="s">
        <v>6</v>
      </c>
      <c r="J28" s="557"/>
      <c r="K28" s="558" t="s">
        <v>35</v>
      </c>
      <c r="L28" s="544"/>
      <c r="M28" s="530" t="s">
        <v>2057</v>
      </c>
      <c r="N28" s="559"/>
      <c r="O28" s="544"/>
      <c r="P28" s="544"/>
      <c r="Q28" s="680"/>
      <c r="R28" s="681"/>
      <c r="S28"/>
      <c r="T28"/>
    </row>
    <row r="29" spans="1:20" s="509" customFormat="1" ht="101.4" thickBot="1" x14ac:dyDescent="0.35">
      <c r="A29"/>
      <c r="B29"/>
      <c r="C29" s="400"/>
      <c r="D29" s="400"/>
      <c r="E29" s="400"/>
      <c r="F29" s="535" t="s">
        <v>2221</v>
      </c>
      <c r="G29" s="673" t="s">
        <v>1111</v>
      </c>
      <c r="H29" s="560" t="s">
        <v>2222</v>
      </c>
      <c r="I29" s="552" t="s">
        <v>2223</v>
      </c>
      <c r="J29" s="673" t="s">
        <v>2056</v>
      </c>
      <c r="K29" s="540" t="s">
        <v>2224</v>
      </c>
      <c r="L29"/>
      <c r="M29" s="539" t="s">
        <v>2225</v>
      </c>
      <c r="N29" s="551"/>
      <c r="O29" s="551"/>
      <c r="P29" s="551"/>
      <c r="Q29" s="561"/>
      <c r="R29" s="681"/>
      <c r="S29"/>
      <c r="T29"/>
    </row>
    <row r="30" spans="1:20" s="509" customFormat="1" x14ac:dyDescent="0.3">
      <c r="A30"/>
      <c r="B30"/>
      <c r="C30" s="400"/>
      <c r="D30" s="400"/>
      <c r="E30" s="400"/>
      <c r="F30" s="531" t="s">
        <v>1112</v>
      </c>
      <c r="G30" s="529"/>
      <c r="H30"/>
      <c r="I30" s="562" t="s">
        <v>1980</v>
      </c>
      <c r="J30" s="557"/>
      <c r="K30" s="530" t="s">
        <v>16</v>
      </c>
      <c r="L30" s="544"/>
      <c r="M30" s="530" t="s">
        <v>2055</v>
      </c>
      <c r="N30" s="551"/>
      <c r="O30" s="551"/>
      <c r="P30" s="551"/>
      <c r="Q30" s="561"/>
      <c r="R30" s="681"/>
      <c r="S30"/>
      <c r="T30"/>
    </row>
    <row r="31" spans="1:20" s="509" customFormat="1" ht="72.599999999999994" thickBot="1" x14ac:dyDescent="0.35">
      <c r="A31"/>
      <c r="B31"/>
      <c r="C31" s="400"/>
      <c r="D31" s="400"/>
      <c r="E31" s="400"/>
      <c r="F31" s="546" t="s">
        <v>2054</v>
      </c>
      <c r="G31" s="674" t="s">
        <v>1105</v>
      </c>
      <c r="H31"/>
      <c r="I31" s="546" t="s">
        <v>2053</v>
      </c>
      <c r="J31" s="674" t="s">
        <v>1107</v>
      </c>
      <c r="K31" s="560" t="s">
        <v>2226</v>
      </c>
      <c r="L31" s="544"/>
      <c r="M31" s="539" t="s">
        <v>2227</v>
      </c>
      <c r="N31" s="551"/>
      <c r="O31" s="561"/>
      <c r="P31" s="561"/>
      <c r="Q31" s="561"/>
      <c r="R31" s="681"/>
      <c r="S31"/>
      <c r="T31"/>
    </row>
    <row r="32" spans="1:20" s="509" customFormat="1" ht="43.2" x14ac:dyDescent="0.3">
      <c r="A32"/>
      <c r="B32"/>
      <c r="C32" s="400"/>
      <c r="D32" s="400"/>
      <c r="E32" s="400"/>
      <c r="F32" s="563" t="s">
        <v>2052</v>
      </c>
      <c r="G32" s="674"/>
      <c r="H32"/>
      <c r="I32" s="546"/>
      <c r="J32" s="674"/>
      <c r="K32" s="561"/>
      <c r="L32" s="544"/>
      <c r="M32" s="561"/>
      <c r="N32" s="551"/>
      <c r="O32" s="561"/>
      <c r="P32" s="561"/>
      <c r="Q32" s="561"/>
      <c r="R32" s="681"/>
      <c r="S32"/>
      <c r="T32"/>
    </row>
    <row r="33" spans="1:20" s="509" customFormat="1" x14ac:dyDescent="0.3">
      <c r="A33"/>
      <c r="B33"/>
      <c r="C33" s="400"/>
      <c r="D33" s="400"/>
      <c r="E33" s="400"/>
      <c r="F33" s="562" t="s">
        <v>1097</v>
      </c>
      <c r="G33" s="557"/>
      <c r="H33"/>
      <c r="I33" s="564" t="s">
        <v>24</v>
      </c>
      <c r="J33" s="557"/>
      <c r="K33"/>
      <c r="L33" s="544"/>
      <c r="M33" s="561"/>
      <c r="N33" s="561"/>
      <c r="O33" s="561"/>
      <c r="P33" s="561"/>
      <c r="Q33" s="561"/>
      <c r="R33" s="681"/>
      <c r="S33"/>
      <c r="T33"/>
    </row>
    <row r="34" spans="1:20" s="509" customFormat="1" ht="86.4" x14ac:dyDescent="0.3">
      <c r="A34"/>
      <c r="B34"/>
      <c r="C34" s="400"/>
      <c r="D34" s="400"/>
      <c r="E34" s="400"/>
      <c r="F34" s="757" t="s">
        <v>2228</v>
      </c>
      <c r="G34" s="674" t="s">
        <v>2264</v>
      </c>
      <c r="H34"/>
      <c r="I34" s="546" t="s">
        <v>2051</v>
      </c>
      <c r="J34" s="674" t="s">
        <v>1107</v>
      </c>
      <c r="K34"/>
      <c r="L34" s="544"/>
      <c r="M34" s="561"/>
      <c r="N34" s="561"/>
      <c r="O34" s="561"/>
      <c r="P34" s="561"/>
      <c r="Q34" s="561"/>
      <c r="R34" s="681"/>
      <c r="S34"/>
      <c r="T34"/>
    </row>
    <row r="35" spans="1:20" s="509" customFormat="1" ht="29.4" thickBot="1" x14ac:dyDescent="0.35">
      <c r="A35"/>
      <c r="B35"/>
      <c r="C35" s="400"/>
      <c r="D35" s="400"/>
      <c r="E35" s="400"/>
      <c r="F35" s="760" t="s">
        <v>1113</v>
      </c>
      <c r="G35" s="759" t="s">
        <v>2265</v>
      </c>
      <c r="H35"/>
      <c r="I35" s="552"/>
      <c r="J35" s="674"/>
      <c r="K35"/>
      <c r="L35" s="544"/>
      <c r="M35" s="561"/>
      <c r="N35" s="561"/>
      <c r="O35" s="561"/>
      <c r="P35" s="561"/>
      <c r="Q35" s="561"/>
      <c r="R35" s="681"/>
      <c r="S35"/>
      <c r="T35"/>
    </row>
    <row r="36" spans="1:20" s="509" customFormat="1" x14ac:dyDescent="0.3">
      <c r="A36"/>
      <c r="B36"/>
      <c r="C36" s="400"/>
      <c r="D36" s="400"/>
      <c r="E36" s="400"/>
      <c r="F36"/>
      <c r="G36"/>
      <c r="H36"/>
      <c r="I36" s="564" t="s">
        <v>26</v>
      </c>
      <c r="J36" s="557"/>
      <c r="K36"/>
      <c r="L36" s="398"/>
      <c r="M36" s="398"/>
      <c r="N36" s="398"/>
      <c r="O36" s="398"/>
      <c r="P36" s="398"/>
      <c r="Q36" s="398"/>
      <c r="R36" s="682"/>
      <c r="S36"/>
      <c r="T36"/>
    </row>
    <row r="37" spans="1:20" s="509" customFormat="1" ht="129.6" x14ac:dyDescent="0.3">
      <c r="A37"/>
      <c r="B37"/>
      <c r="C37" s="400"/>
      <c r="D37" s="400"/>
      <c r="E37" s="400"/>
      <c r="F37"/>
      <c r="G37"/>
      <c r="H37"/>
      <c r="I37" s="552" t="s">
        <v>2050</v>
      </c>
      <c r="J37" s="673" t="s">
        <v>1114</v>
      </c>
      <c r="K37"/>
      <c r="L37" s="398"/>
      <c r="M37" s="398"/>
      <c r="N37" s="398"/>
      <c r="O37" s="398"/>
      <c r="P37" s="398"/>
      <c r="Q37" s="398"/>
      <c r="R37" s="682"/>
      <c r="S37"/>
      <c r="T37"/>
    </row>
    <row r="38" spans="1:20" s="509" customFormat="1" x14ac:dyDescent="0.3">
      <c r="A38"/>
      <c r="B38"/>
      <c r="C38" s="400"/>
      <c r="D38" s="400"/>
      <c r="E38" s="400"/>
      <c r="F38"/>
      <c r="G38"/>
      <c r="H38"/>
      <c r="I38" s="564" t="s">
        <v>22</v>
      </c>
      <c r="J38" s="557"/>
      <c r="K38" s="566"/>
      <c r="L38" s="398"/>
      <c r="M38" s="398"/>
      <c r="N38" s="398"/>
      <c r="O38" s="398"/>
      <c r="P38" s="398"/>
      <c r="Q38" s="398"/>
      <c r="R38" s="682"/>
      <c r="S38"/>
      <c r="T38"/>
    </row>
    <row r="39" spans="1:20" s="509" customFormat="1" ht="43.2" x14ac:dyDescent="0.3">
      <c r="A39"/>
      <c r="B39"/>
      <c r="C39" s="400"/>
      <c r="D39" s="400"/>
      <c r="E39" s="400"/>
      <c r="F39"/>
      <c r="G39"/>
      <c r="H39" s="566"/>
      <c r="I39" s="567" t="s">
        <v>2229</v>
      </c>
      <c r="J39" s="674" t="s">
        <v>1115</v>
      </c>
      <c r="K39" s="566"/>
      <c r="L39" s="398"/>
      <c r="M39" s="398"/>
      <c r="N39" s="398"/>
      <c r="O39" s="398"/>
      <c r="P39" s="398"/>
      <c r="Q39" s="398"/>
      <c r="R39" s="682"/>
      <c r="S39"/>
      <c r="T39"/>
    </row>
    <row r="40" spans="1:20" s="509" customFormat="1" ht="100.8" x14ac:dyDescent="0.3">
      <c r="A40"/>
      <c r="B40"/>
      <c r="C40" s="400"/>
      <c r="D40" s="400"/>
      <c r="E40" s="400"/>
      <c r="F40"/>
      <c r="G40"/>
      <c r="H40" s="401"/>
      <c r="I40" s="568" t="s">
        <v>2266</v>
      </c>
      <c r="J40" s="674" t="s">
        <v>1116</v>
      </c>
      <c r="K40" s="544"/>
      <c r="L40" s="398"/>
      <c r="M40" s="683"/>
      <c r="N40" s="683"/>
      <c r="O40" s="683"/>
      <c r="P40" s="683"/>
      <c r="Q40" s="683"/>
      <c r="R40" s="682"/>
      <c r="S40"/>
      <c r="T40"/>
    </row>
    <row r="41" spans="1:20" s="509" customFormat="1" ht="28.8" x14ac:dyDescent="0.3">
      <c r="A41"/>
      <c r="B41"/>
      <c r="C41" s="400"/>
      <c r="D41" s="400"/>
      <c r="E41" s="400"/>
      <c r="F41" s="566"/>
      <c r="G41" s="566"/>
      <c r="H41" s="399"/>
      <c r="I41" s="552" t="s">
        <v>2267</v>
      </c>
      <c r="J41" s="673" t="s">
        <v>1117</v>
      </c>
      <c r="K41" s="566"/>
      <c r="L41" s="398"/>
      <c r="M41" s="398"/>
      <c r="N41" s="398"/>
      <c r="O41" s="398"/>
      <c r="P41" s="398"/>
      <c r="Q41" s="398"/>
      <c r="R41" s="682"/>
      <c r="S41"/>
      <c r="T41"/>
    </row>
    <row r="42" spans="1:20" s="509" customFormat="1" x14ac:dyDescent="0.3">
      <c r="A42"/>
      <c r="B42"/>
      <c r="C42" s="400"/>
      <c r="D42" s="400"/>
      <c r="E42" s="400"/>
      <c r="F42" s="566"/>
      <c r="G42" s="566"/>
      <c r="H42"/>
      <c r="I42" s="564" t="s">
        <v>27</v>
      </c>
      <c r="J42" s="557"/>
      <c r="K42" s="566"/>
      <c r="L42" s="398"/>
      <c r="M42" s="398"/>
      <c r="N42" s="398"/>
      <c r="O42" s="398"/>
      <c r="P42" s="398"/>
      <c r="Q42" s="398"/>
      <c r="R42" s="682"/>
      <c r="S42"/>
      <c r="T42"/>
    </row>
    <row r="43" spans="1:20" s="509" customFormat="1" ht="129.6" x14ac:dyDescent="0.3">
      <c r="A43"/>
      <c r="B43"/>
      <c r="C43" s="400"/>
      <c r="D43" s="400"/>
      <c r="E43" s="400"/>
      <c r="F43" s="566"/>
      <c r="G43" s="566"/>
      <c r="H43" s="399"/>
      <c r="I43" s="569" t="s">
        <v>2049</v>
      </c>
      <c r="J43" s="673" t="s">
        <v>1114</v>
      </c>
      <c r="K43" s="566"/>
      <c r="L43" s="398"/>
      <c r="M43" s="398"/>
      <c r="N43" s="398"/>
      <c r="O43" s="398"/>
      <c r="P43" s="398"/>
      <c r="Q43" s="398"/>
      <c r="R43" s="682"/>
      <c r="S43"/>
      <c r="T43"/>
    </row>
    <row r="44" spans="1:20" s="509" customFormat="1" x14ac:dyDescent="0.3">
      <c r="A44"/>
      <c r="B44"/>
      <c r="C44" s="400"/>
      <c r="D44" s="400"/>
      <c r="E44" s="400"/>
      <c r="F44" s="566"/>
      <c r="G44" s="566"/>
      <c r="H44" s="399"/>
      <c r="I44" s="564" t="s">
        <v>23</v>
      </c>
      <c r="J44" s="557"/>
      <c r="K44" s="398"/>
      <c r="L44" s="398"/>
      <c r="M44" s="398"/>
      <c r="N44" s="398"/>
      <c r="O44" s="398"/>
      <c r="P44" s="398"/>
      <c r="Q44" s="398"/>
      <c r="R44" s="682"/>
      <c r="S44"/>
      <c r="T44"/>
    </row>
    <row r="45" spans="1:20" s="509" customFormat="1" ht="100.8" x14ac:dyDescent="0.3">
      <c r="A45"/>
      <c r="B45"/>
      <c r="C45" s="400"/>
      <c r="D45" s="400"/>
      <c r="E45" s="400"/>
      <c r="F45" s="566"/>
      <c r="G45" s="566"/>
      <c r="H45" s="399"/>
      <c r="I45" s="570" t="s">
        <v>2048</v>
      </c>
      <c r="J45" s="673" t="s">
        <v>1118</v>
      </c>
      <c r="K45" s="398"/>
      <c r="L45" s="398"/>
      <c r="M45" s="398"/>
      <c r="N45" s="398"/>
      <c r="O45" s="398"/>
      <c r="P45" s="398"/>
      <c r="Q45" s="398"/>
      <c r="R45" s="682"/>
      <c r="S45"/>
      <c r="T45"/>
    </row>
    <row r="46" spans="1:20" s="509" customFormat="1" x14ac:dyDescent="0.3">
      <c r="A46"/>
      <c r="B46"/>
      <c r="C46" s="684"/>
      <c r="D46" s="684"/>
      <c r="E46" s="685"/>
      <c r="F46" s="566"/>
      <c r="G46" s="566"/>
      <c r="H46" s="686"/>
      <c r="I46" s="687" t="s">
        <v>2268</v>
      </c>
      <c r="J46" s="557"/>
      <c r="K46" s="398"/>
      <c r="L46" s="566"/>
      <c r="M46" s="398"/>
      <c r="N46" s="398"/>
      <c r="O46" s="398"/>
      <c r="P46" s="398"/>
      <c r="Q46" s="398"/>
      <c r="R46" s="682"/>
      <c r="S46"/>
      <c r="T46"/>
    </row>
    <row r="47" spans="1:20" s="509" customFormat="1" ht="57.6" x14ac:dyDescent="0.3">
      <c r="A47"/>
      <c r="B47"/>
      <c r="C47" s="684"/>
      <c r="D47" s="684"/>
      <c r="E47" s="685"/>
      <c r="F47" s="566"/>
      <c r="G47" s="566"/>
      <c r="H47" s="686"/>
      <c r="I47" s="546" t="s">
        <v>2269</v>
      </c>
      <c r="J47" s="758" t="s">
        <v>1109</v>
      </c>
      <c r="K47" s="398"/>
      <c r="L47" s="566"/>
      <c r="M47" s="398"/>
      <c r="N47" s="398"/>
      <c r="O47" s="398"/>
      <c r="P47" s="398"/>
      <c r="Q47" s="398"/>
      <c r="R47" s="682"/>
      <c r="S47"/>
      <c r="T47"/>
    </row>
    <row r="48" spans="1:20" s="509" customFormat="1" ht="72" x14ac:dyDescent="0.3">
      <c r="A48"/>
      <c r="B48"/>
      <c r="C48" s="684"/>
      <c r="D48" s="684"/>
      <c r="E48" s="685"/>
      <c r="F48" s="686"/>
      <c r="G48" s="686"/>
      <c r="H48" s="686"/>
      <c r="I48" s="546" t="s">
        <v>2263</v>
      </c>
      <c r="J48" s="674" t="s">
        <v>2270</v>
      </c>
      <c r="K48" s="398"/>
      <c r="L48" s="566"/>
      <c r="M48" s="398"/>
      <c r="N48" s="398"/>
      <c r="O48" s="398"/>
      <c r="P48" s="398"/>
      <c r="Q48" s="398"/>
      <c r="R48" s="682"/>
      <c r="S48"/>
      <c r="T48"/>
    </row>
    <row r="49" spans="1:20" s="509" customFormat="1" ht="72.599999999999994" thickBot="1" x14ac:dyDescent="0.35">
      <c r="A49"/>
      <c r="B49"/>
      <c r="C49" s="684"/>
      <c r="D49" s="684"/>
      <c r="E49" s="685"/>
      <c r="F49" s="686"/>
      <c r="G49" s="686"/>
      <c r="H49" s="686"/>
      <c r="I49" s="565" t="s">
        <v>2047</v>
      </c>
      <c r="J49" s="679" t="s">
        <v>1119</v>
      </c>
      <c r="K49" s="398"/>
      <c r="L49" s="398"/>
      <c r="M49" s="398"/>
      <c r="N49" s="398"/>
      <c r="O49" s="398"/>
      <c r="P49" s="398"/>
      <c r="Q49" s="398"/>
      <c r="R49" s="682"/>
      <c r="S49"/>
      <c r="T49"/>
    </row>
    <row r="50" spans="1:20" s="509" customFormat="1" x14ac:dyDescent="0.3">
      <c r="B50"/>
      <c r="C50" s="684"/>
      <c r="D50" s="684"/>
      <c r="E50" s="685"/>
      <c r="F50" s="686"/>
      <c r="G50" s="686"/>
      <c r="H50" s="686"/>
      <c r="K50" s="398"/>
      <c r="L50" s="398"/>
      <c r="M50" s="398"/>
      <c r="N50" s="398"/>
      <c r="O50" s="398"/>
      <c r="P50" s="398"/>
      <c r="Q50" s="398"/>
      <c r="R50" s="682"/>
      <c r="S50"/>
      <c r="T50"/>
    </row>
    <row r="51" spans="1:20" s="509" customFormat="1" x14ac:dyDescent="0.3">
      <c r="B51"/>
      <c r="C51"/>
      <c r="D51"/>
      <c r="E51"/>
      <c r="F51" s="566"/>
      <c r="G51" s="688"/>
      <c r="H51" s="686"/>
      <c r="K51" s="566"/>
      <c r="L51" s="566"/>
      <c r="M51" s="566"/>
      <c r="N51" s="566"/>
      <c r="O51" s="566"/>
      <c r="P51" s="566"/>
      <c r="Q51" s="566"/>
      <c r="R51" s="566"/>
      <c r="S51"/>
      <c r="T51"/>
    </row>
    <row r="52" spans="1:20" s="509" customFormat="1" x14ac:dyDescent="0.3">
      <c r="B52"/>
      <c r="C52"/>
      <c r="D52"/>
      <c r="E52"/>
      <c r="F52"/>
      <c r="G52"/>
      <c r="H52"/>
      <c r="I52"/>
      <c r="J52"/>
      <c r="K52"/>
      <c r="L52"/>
      <c r="M52"/>
      <c r="N52"/>
      <c r="O52"/>
      <c r="P52"/>
      <c r="Q52"/>
      <c r="R52"/>
      <c r="S52"/>
      <c r="T52"/>
    </row>
    <row r="53" spans="1:20" s="509" customFormat="1" x14ac:dyDescent="0.3">
      <c r="B53"/>
      <c r="C53"/>
      <c r="D53"/>
      <c r="E53"/>
      <c r="F53"/>
      <c r="G53"/>
      <c r="H53"/>
      <c r="I53"/>
      <c r="J53"/>
      <c r="K53"/>
      <c r="L53"/>
      <c r="M53"/>
      <c r="N53"/>
      <c r="O53"/>
      <c r="P53"/>
      <c r="Q53"/>
      <c r="R53"/>
      <c r="S53"/>
      <c r="T53"/>
    </row>
    <row r="54" spans="1:20" s="509" customFormat="1" x14ac:dyDescent="0.3">
      <c r="B54"/>
      <c r="C54"/>
      <c r="D54"/>
      <c r="E54"/>
      <c r="F54"/>
      <c r="G54"/>
      <c r="H54"/>
      <c r="I54"/>
      <c r="J54"/>
      <c r="K54"/>
      <c r="L54"/>
      <c r="M54"/>
      <c r="N54"/>
      <c r="O54"/>
      <c r="P54"/>
      <c r="Q54"/>
      <c r="R54"/>
      <c r="S54"/>
      <c r="T54"/>
    </row>
    <row r="55" spans="1:20" s="509" customFormat="1" x14ac:dyDescent="0.3">
      <c r="B55"/>
      <c r="C55"/>
      <c r="D55"/>
      <c r="E55"/>
      <c r="F55"/>
      <c r="G55"/>
      <c r="H55"/>
      <c r="I55"/>
      <c r="J55"/>
      <c r="K55"/>
      <c r="L55"/>
      <c r="M55"/>
      <c r="N55"/>
      <c r="O55"/>
      <c r="P55"/>
      <c r="Q55"/>
      <c r="R55"/>
      <c r="S55"/>
      <c r="T55"/>
    </row>
    <row r="56" spans="1:20" s="509" customFormat="1" x14ac:dyDescent="0.3">
      <c r="B56"/>
      <c r="C56"/>
      <c r="D56"/>
      <c r="E56"/>
      <c r="F56"/>
      <c r="G56"/>
      <c r="H56"/>
      <c r="I56"/>
      <c r="J56"/>
      <c r="K56"/>
      <c r="L56"/>
      <c r="M56"/>
      <c r="N56"/>
      <c r="O56"/>
      <c r="P56"/>
      <c r="Q56"/>
      <c r="R56"/>
      <c r="S56"/>
      <c r="T56"/>
    </row>
    <row r="57" spans="1:20" s="509" customFormat="1" x14ac:dyDescent="0.3">
      <c r="B57"/>
      <c r="C57"/>
      <c r="D57"/>
      <c r="E57"/>
      <c r="F57"/>
      <c r="G57"/>
      <c r="H57"/>
      <c r="I57"/>
      <c r="J57"/>
      <c r="K57"/>
      <c r="L57"/>
      <c r="M57"/>
      <c r="N57"/>
      <c r="O57"/>
      <c r="P57"/>
      <c r="Q57"/>
      <c r="R57"/>
      <c r="S57"/>
      <c r="T57"/>
    </row>
    <row r="58" spans="1:20" s="509" customFormat="1" ht="13.8" x14ac:dyDescent="0.3"/>
    <row r="59" spans="1:20" s="509" customFormat="1" ht="13.8" x14ac:dyDescent="0.3"/>
    <row r="60" spans="1:20" s="509" customFormat="1" ht="13.8" x14ac:dyDescent="0.3"/>
    <row r="74" spans="9:10" ht="21" x14ac:dyDescent="0.3">
      <c r="I74" s="81"/>
      <c r="J74" s="81"/>
    </row>
    <row r="75" spans="9:10" x14ac:dyDescent="0.3">
      <c r="I75" s="689"/>
      <c r="J75" s="689"/>
    </row>
  </sheetData>
  <sheetProtection algorithmName="SHA-512" hashValue="/GoTwdStjZQxVPez1sM3VX2LEK0QJhAE1HAqu3hu4Ea8bcjnd8iBl6uii9q5pnmeFi2dH5DRve2VzmqkuiOIYQ==" saltValue="+h65l41pIecxJVQGXjVhdw==" spinCount="100000" sheet="1" objects="1" scenarios="1"/>
  <dataConsolidate/>
  <conditionalFormatting sqref="Q13">
    <cfRule type="expression" dxfId="73" priority="1">
      <formula>#REF!=""</formula>
    </cfRule>
  </conditionalFormatting>
  <dataValidations count="3">
    <dataValidation allowBlank="1" showErrorMessage="1" sqref="E23:E24 E26:E45" xr:uid="{1E714CCA-66C5-4372-906A-B2F13FB124A3}"/>
    <dataValidation type="decimal" operator="greaterThan" allowBlank="1" showInputMessage="1" showErrorMessage="1" sqref="K44:K50 L49:P50 Q46:Q50 M46:P48" xr:uid="{BD1E938E-7AFB-465C-BDFB-24E1C8E26833}">
      <formula1>0</formula1>
    </dataValidation>
    <dataValidation operator="greaterThan" allowBlank="1" showInputMessage="1" showErrorMessage="1" sqref="L23:L24 R23:R24 M31:N32 O29:P32 Q29:Q45 M33:P45 L28 L30:L45" xr:uid="{294F9473-7B56-4E53-9416-07399CE4CAEC}"/>
  </dataValidations>
  <hyperlinks>
    <hyperlink ref="G23" r:id="rId1" xr:uid="{722D7D2A-7729-4D96-9907-0ADA635A33C0}"/>
    <hyperlink ref="G29" r:id="rId2" xr:uid="{DA35C307-CCD7-40F2-8713-D67F225461F5}"/>
    <hyperlink ref="J39" r:id="rId3" xr:uid="{9FC334A7-FB00-408D-86C2-499D2570049F}"/>
    <hyperlink ref="J41" r:id="rId4" xr:uid="{4CA117F0-859B-46CA-99FD-8931833DB479}"/>
    <hyperlink ref="J40" r:id="rId5" xr:uid="{75A7EC25-E6D3-49BE-B4ED-718B63A9F779}"/>
    <hyperlink ref="J45" r:id="rId6" xr:uid="{CF2E95A9-0C2C-4EEE-BB52-36F8EF6B263B}"/>
    <hyperlink ref="J43" r:id="rId7" xr:uid="{0529A2CF-2B08-482A-8AE3-134A2C221993}"/>
    <hyperlink ref="G25" r:id="rId8" xr:uid="{B6D9B38B-D8EC-4ED0-95AA-35E463E1BC52}"/>
    <hyperlink ref="G27" r:id="rId9" xr:uid="{8C21E74C-46E3-4061-AC40-D97487687A78}"/>
    <hyperlink ref="J27" r:id="rId10" xr:uid="{FEC473FC-C356-4BE9-9268-3D9789209C48}"/>
    <hyperlink ref="J34" r:id="rId11" xr:uid="{49BC2A89-9439-4B12-A850-7C8DDF99387E}"/>
    <hyperlink ref="J37" r:id="rId12" xr:uid="{932B9A05-6ECC-4EAF-96BE-A07CF6D3D5D0}"/>
    <hyperlink ref="J31" r:id="rId13" xr:uid="{FC42B370-8B62-47FC-BBE6-744416E9A9BE}"/>
    <hyperlink ref="J47" r:id="rId14" xr:uid="{DD3ECC46-8A48-46CB-B0AD-4B17E360FD6F}"/>
    <hyperlink ref="J48" r:id="rId15" display="SMC 25.09 - Regulations For Environmentally Critical Areas" xr:uid="{E6FBE70A-6768-484D-AE13-2B919B594534}"/>
    <hyperlink ref="G31" r:id="rId16" xr:uid="{E335DC54-9921-4321-9759-6958F835548A}"/>
    <hyperlink ref="J23" r:id="rId17" xr:uid="{3717CDBA-C8A3-49A8-8435-C298B7ADE6C0}"/>
    <hyperlink ref="R23" r:id="rId18" xr:uid="{D442250F-C87B-485D-B55A-9C4AE670F08F}"/>
    <hyperlink ref="J49" r:id="rId19" xr:uid="{966E280D-DC13-4858-AA32-DB6A47E14958}"/>
    <hyperlink ref="G35" r:id="rId20" display="25.11.130 - Definitions" xr:uid="{1F6A93C6-F624-473E-8275-20A550800F09}"/>
    <hyperlink ref="G34" r:id="rId21" display="SMC 25.11.050 - General provisions for regulated tree categories" xr:uid="{45473C2C-123D-4C2C-98AF-E7C17FBA5B44}"/>
    <hyperlink ref="P23" r:id="rId22" xr:uid="{71421475-F4A3-4D1A-9A2F-E9EF21530CCC}"/>
    <hyperlink ref="J29" r:id="rId23" xr:uid="{1BCBAC51-6F2C-4206-ACC5-4126B95DCA18}"/>
    <hyperlink ref="N23" r:id="rId24" display="Chapter 23.84A - Definitions" xr:uid="{BFB42372-753D-4493-A7B9-CC75FA0EC755}"/>
    <hyperlink ref="J25" r:id="rId25" xr:uid="{D1071BE2-CF18-429C-8BD8-966A0DC3ECC6}"/>
    <hyperlink ref="R25" r:id="rId26" xr:uid="{A4B3DAA2-F5A6-4059-B49D-DDF524A9994A}"/>
    <hyperlink ref="P25" r:id="rId27" xr:uid="{2DE01C5B-FC47-487E-B963-AB18A8E29534}"/>
    <hyperlink ref="B9" r:id="rId28" display="Seattle Trees &amp; Codes Website for Seattle’s tree regulations, resources, and contact information related to trees, tree protection, and tree maintenance. " xr:uid="{FA3397D9-10E3-4BFD-BF60-D46436FD9D45}"/>
    <hyperlink ref="B9:E9" r:id="rId29" display="View Seattle Trees &amp; Codes website for tree regulations, resources, and contact information." xr:uid="{5F77009D-AD57-4E4A-8470-CEF3718EA716}"/>
    <hyperlink ref="B17" r:id="rId30" display="See Get Started Tree Information Guide for FAQs and examples." xr:uid="{2CA4F68E-3416-4F25-AB2A-611BF7AAC4A4}"/>
    <hyperlink ref="B17:E17" r:id="rId31" display="Read the Get Started Guide for FAQs and examples to help you complete the forms." xr:uid="{40FE1239-F31E-43DF-AD0E-A8AB3FE05D40}"/>
  </hyperlinks>
  <pageMargins left="0.7" right="0.7" top="0.75" bottom="0.75" header="0.3" footer="0.3"/>
  <pageSetup scale="38" orientation="landscape" r:id="rId3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9E2D3-21B8-4D37-A344-82B145931AA4}">
  <sheetPr>
    <tabColor theme="9" tint="0.59999389629810485"/>
  </sheetPr>
  <dimension ref="A1:T35"/>
  <sheetViews>
    <sheetView showGridLines="0" zoomScale="85" zoomScaleNormal="85" workbookViewId="0">
      <selection activeCell="B1" sqref="B1"/>
    </sheetView>
  </sheetViews>
  <sheetFormatPr defaultRowHeight="14.4" x14ac:dyDescent="0.3"/>
  <cols>
    <col min="1" max="1" width="5.6640625" customWidth="1"/>
    <col min="2" max="2" width="12.44140625" customWidth="1"/>
    <col min="3" max="3" width="16.33203125" customWidth="1"/>
    <col min="4" max="4" width="34.88671875" customWidth="1"/>
    <col min="5" max="5" width="27.33203125" customWidth="1"/>
    <col min="6" max="6" width="24.33203125" customWidth="1"/>
    <col min="7" max="7" width="33.109375" customWidth="1"/>
    <col min="8" max="8" width="15.5546875" customWidth="1"/>
    <col min="9" max="9" width="19.33203125" customWidth="1"/>
    <col min="10" max="10" width="17.44140625" customWidth="1"/>
    <col min="11" max="11" width="29.109375" customWidth="1"/>
    <col min="12" max="12" width="23.5546875" customWidth="1"/>
    <col min="13" max="13" width="36.5546875" customWidth="1"/>
    <col min="14" max="14" width="15.109375" customWidth="1"/>
    <col min="15" max="15" width="27.33203125" customWidth="1"/>
    <col min="16" max="16" width="13.33203125" customWidth="1"/>
    <col min="17" max="17" width="27.44140625" customWidth="1"/>
    <col min="18" max="18" width="17.88671875" customWidth="1"/>
    <col min="19" max="19" width="29.44140625" customWidth="1"/>
    <col min="20" max="20" width="20.44140625" customWidth="1"/>
    <col min="21" max="21" width="13.5546875" customWidth="1"/>
  </cols>
  <sheetData>
    <row r="1" spans="1:20" x14ac:dyDescent="0.3">
      <c r="B1" s="384" t="s">
        <v>2106</v>
      </c>
      <c r="I1" s="571"/>
      <c r="J1" s="572"/>
    </row>
    <row r="2" spans="1:20" s="624" customFormat="1" ht="10.8" x14ac:dyDescent="0.25">
      <c r="B2" s="625"/>
      <c r="I2" s="690"/>
      <c r="J2" s="691"/>
    </row>
    <row r="3" spans="1:20" ht="36.6" x14ac:dyDescent="0.3">
      <c r="A3" s="573"/>
      <c r="B3" s="573" t="s">
        <v>2105</v>
      </c>
      <c r="C3" s="574"/>
      <c r="D3" s="575"/>
      <c r="E3" s="506"/>
      <c r="F3" s="506"/>
      <c r="G3" s="576"/>
      <c r="H3" s="577"/>
      <c r="I3" s="578"/>
      <c r="J3" s="578"/>
      <c r="K3" s="578"/>
      <c r="L3" s="578"/>
      <c r="P3" s="579"/>
    </row>
    <row r="4" spans="1:20" ht="24" customHeight="1" x14ac:dyDescent="0.7">
      <c r="G4" s="506"/>
      <c r="H4" s="507"/>
      <c r="I4" s="506"/>
      <c r="J4" s="506"/>
      <c r="L4" s="508"/>
    </row>
    <row r="5" spans="1:20" ht="15.6" x14ac:dyDescent="0.3">
      <c r="B5" s="507" t="s">
        <v>2084</v>
      </c>
      <c r="C5" s="509"/>
      <c r="G5" s="506"/>
      <c r="H5" s="507"/>
      <c r="I5" s="506"/>
      <c r="J5" s="506"/>
      <c r="L5" s="80"/>
    </row>
    <row r="6" spans="1:20" ht="15.6" x14ac:dyDescent="0.3">
      <c r="B6" s="510" t="s">
        <v>2083</v>
      </c>
      <c r="G6" s="506"/>
      <c r="H6" s="507"/>
      <c r="I6" s="506"/>
      <c r="J6" s="506"/>
      <c r="L6" s="80"/>
    </row>
    <row r="7" spans="1:20" ht="15.6" x14ac:dyDescent="0.3">
      <c r="B7" s="510" t="s">
        <v>2072</v>
      </c>
      <c r="G7" s="506"/>
      <c r="H7" s="507"/>
      <c r="I7" s="506"/>
      <c r="J7" s="506"/>
      <c r="L7" s="80"/>
      <c r="T7" s="510"/>
    </row>
    <row r="8" spans="1:20" ht="19.5" customHeight="1" thickBot="1" x14ac:dyDescent="0.35">
      <c r="B8" s="510" t="s">
        <v>2071</v>
      </c>
      <c r="G8" s="506"/>
      <c r="H8" s="507"/>
      <c r="I8" s="506"/>
      <c r="J8" s="506"/>
      <c r="L8" s="80"/>
      <c r="M8" s="626"/>
      <c r="N8" s="626"/>
      <c r="O8" s="511"/>
      <c r="S8" s="692"/>
      <c r="T8" s="510"/>
    </row>
    <row r="9" spans="1:20" ht="39.75" customHeight="1" thickBot="1" x14ac:dyDescent="0.35">
      <c r="B9" s="752" t="s">
        <v>2253</v>
      </c>
      <c r="C9" s="753"/>
      <c r="D9" s="753"/>
      <c r="E9" s="753"/>
      <c r="I9" s="506"/>
      <c r="J9" s="628" t="s">
        <v>1628</v>
      </c>
      <c r="K9" s="566" t="s">
        <v>2104</v>
      </c>
      <c r="Q9" s="627" t="s">
        <v>2103</v>
      </c>
      <c r="R9" s="693" t="s">
        <v>2230</v>
      </c>
      <c r="S9" s="692"/>
      <c r="T9" s="510"/>
    </row>
    <row r="10" spans="1:20" ht="15" thickBot="1" x14ac:dyDescent="0.35">
      <c r="C10" s="578"/>
      <c r="D10" s="506"/>
      <c r="E10" s="506"/>
      <c r="F10" s="506"/>
      <c r="G10" s="578"/>
      <c r="H10" s="506"/>
      <c r="I10" s="506"/>
      <c r="J10" s="506"/>
      <c r="K10" s="506"/>
      <c r="L10" s="506"/>
      <c r="P10" s="579"/>
      <c r="Q10" s="506"/>
      <c r="R10" s="694"/>
    </row>
    <row r="11" spans="1:20" s="513" customFormat="1" ht="28.5" customHeight="1" thickBot="1" x14ac:dyDescent="0.45">
      <c r="B11" s="695" t="s">
        <v>2102</v>
      </c>
      <c r="C11" s="696"/>
      <c r="D11" s="696"/>
      <c r="E11" s="697"/>
      <c r="F11" s="698"/>
      <c r="G11" s="698"/>
      <c r="H11" s="580"/>
      <c r="I11" s="580"/>
      <c r="J11" s="580"/>
      <c r="K11" s="580"/>
      <c r="L11" s="699" t="s">
        <v>2271</v>
      </c>
      <c r="M11" s="700" t="s">
        <v>2201</v>
      </c>
      <c r="N11" s="700"/>
      <c r="O11"/>
      <c r="P11" s="579"/>
      <c r="Q11" s="582" t="s">
        <v>59</v>
      </c>
      <c r="R11" s="701" t="s">
        <v>2231</v>
      </c>
      <c r="S11"/>
    </row>
    <row r="12" spans="1:20" x14ac:dyDescent="0.3">
      <c r="B12" s="416" t="s">
        <v>2156</v>
      </c>
      <c r="C12" s="91"/>
      <c r="D12" s="91"/>
      <c r="E12" s="702"/>
      <c r="F12" s="54"/>
      <c r="G12" s="52"/>
      <c r="H12" s="506"/>
      <c r="I12" s="506"/>
      <c r="J12" s="506"/>
      <c r="K12" s="506"/>
    </row>
    <row r="13" spans="1:20" x14ac:dyDescent="0.3">
      <c r="B13" s="416" t="s">
        <v>2098</v>
      </c>
      <c r="C13" s="91"/>
      <c r="D13" s="91"/>
      <c r="E13" s="702"/>
      <c r="F13" s="54"/>
      <c r="G13" s="52"/>
      <c r="H13" s="506"/>
      <c r="I13" s="506"/>
      <c r="J13" s="506"/>
      <c r="K13" s="506"/>
    </row>
    <row r="14" spans="1:20" ht="15" thickBot="1" x14ac:dyDescent="0.35">
      <c r="B14" s="417" t="s">
        <v>2099</v>
      </c>
      <c r="C14" s="382"/>
      <c r="D14" s="382"/>
      <c r="E14" s="703"/>
      <c r="F14" s="52"/>
      <c r="G14" s="52"/>
      <c r="H14" s="506"/>
      <c r="I14" s="506"/>
      <c r="J14" s="506"/>
      <c r="K14" s="506"/>
      <c r="P14" s="579"/>
      <c r="Q14" s="506"/>
      <c r="R14" s="694"/>
    </row>
    <row r="15" spans="1:20" ht="16.8" x14ac:dyDescent="0.3">
      <c r="C15" s="704"/>
      <c r="D15" s="705"/>
      <c r="E15" s="705"/>
      <c r="F15" s="54"/>
      <c r="G15" s="54"/>
      <c r="H15" s="506"/>
      <c r="I15" s="506"/>
      <c r="J15" s="506"/>
      <c r="K15" s="506"/>
      <c r="P15" s="579"/>
      <c r="Q15" s="506"/>
      <c r="R15" s="694"/>
    </row>
    <row r="16" spans="1:20" ht="15.6" x14ac:dyDescent="0.3">
      <c r="B16" s="752" t="s">
        <v>2255</v>
      </c>
      <c r="C16" s="754"/>
      <c r="D16" s="754"/>
      <c r="E16" s="755"/>
      <c r="F16" s="54"/>
      <c r="G16" s="54"/>
      <c r="H16" s="506"/>
      <c r="I16" s="506"/>
      <c r="J16" s="506"/>
      <c r="K16" s="506"/>
      <c r="P16" s="579"/>
    </row>
    <row r="17" spans="2:20" ht="20.25" customHeight="1" thickBot="1" x14ac:dyDescent="0.35">
      <c r="D17" s="506"/>
      <c r="E17" s="506"/>
      <c r="F17" s="506"/>
      <c r="G17" s="506"/>
      <c r="H17" s="506"/>
      <c r="I17" s="506"/>
      <c r="J17" s="706"/>
      <c r="K17" s="706"/>
      <c r="P17" s="707"/>
    </row>
    <row r="18" spans="2:20" ht="15" thickBot="1" x14ac:dyDescent="0.35">
      <c r="C18" s="506"/>
      <c r="D18" s="660"/>
      <c r="E18" s="708" t="s">
        <v>2082</v>
      </c>
      <c r="F18" s="662"/>
      <c r="G18" s="662"/>
      <c r="H18" s="663"/>
      <c r="I18" s="506"/>
      <c r="J18" s="506"/>
      <c r="K18" s="506"/>
      <c r="L18" s="506"/>
      <c r="M18" s="709" t="s">
        <v>2232</v>
      </c>
      <c r="N18" s="661"/>
      <c r="O18" s="710"/>
      <c r="P18" s="711"/>
      <c r="Q18" s="712"/>
      <c r="R18" s="694"/>
    </row>
    <row r="19" spans="2:20" ht="31.2" x14ac:dyDescent="0.3">
      <c r="B19" s="665" t="s">
        <v>1619</v>
      </c>
      <c r="C19" s="583" t="s">
        <v>1120</v>
      </c>
      <c r="D19" s="527" t="s">
        <v>2101</v>
      </c>
      <c r="E19" s="527" t="s">
        <v>46</v>
      </c>
      <c r="F19" s="527" t="s">
        <v>1122</v>
      </c>
      <c r="G19" s="584" t="s">
        <v>1622</v>
      </c>
      <c r="H19" s="585" t="s">
        <v>2062</v>
      </c>
      <c r="I19" s="527" t="s">
        <v>1629</v>
      </c>
      <c r="J19" s="527" t="s">
        <v>1630</v>
      </c>
      <c r="K19" s="527" t="s">
        <v>2081</v>
      </c>
      <c r="L19" s="586" t="s">
        <v>58</v>
      </c>
      <c r="M19" s="665" t="s">
        <v>1612</v>
      </c>
      <c r="N19" s="671" t="s">
        <v>2062</v>
      </c>
      <c r="O19" s="584" t="s">
        <v>1618</v>
      </c>
      <c r="P19" s="585" t="s">
        <v>2062</v>
      </c>
      <c r="Q19" s="584" t="s">
        <v>34</v>
      </c>
      <c r="R19" s="585" t="s">
        <v>2062</v>
      </c>
      <c r="S19" s="586" t="s">
        <v>55</v>
      </c>
      <c r="T19" s="407" t="s">
        <v>54</v>
      </c>
    </row>
    <row r="20" spans="2:20" x14ac:dyDescent="0.3">
      <c r="B20" s="587"/>
      <c r="C20" s="587"/>
      <c r="D20" s="587"/>
      <c r="E20" s="588" t="s">
        <v>2189</v>
      </c>
      <c r="F20" s="588" t="s">
        <v>47</v>
      </c>
      <c r="G20" s="589" t="s">
        <v>1977</v>
      </c>
      <c r="H20" s="590"/>
      <c r="I20" s="587"/>
      <c r="J20" s="587"/>
      <c r="K20" s="587"/>
      <c r="L20" s="591"/>
      <c r="M20" s="592"/>
      <c r="N20" s="592"/>
      <c r="O20" s="593"/>
      <c r="P20" s="594"/>
      <c r="Q20" s="593"/>
      <c r="R20" s="594"/>
      <c r="S20" s="592"/>
      <c r="T20" s="592"/>
    </row>
    <row r="21" spans="2:20" s="512" customFormat="1" ht="202.2" thickBot="1" x14ac:dyDescent="0.35">
      <c r="B21" s="713" t="s">
        <v>2061</v>
      </c>
      <c r="C21" s="713" t="s">
        <v>2080</v>
      </c>
      <c r="D21" s="713" t="s">
        <v>2272</v>
      </c>
      <c r="E21" s="714" t="s">
        <v>2233</v>
      </c>
      <c r="F21" s="714" t="s">
        <v>2234</v>
      </c>
      <c r="G21" s="597" t="s">
        <v>2079</v>
      </c>
      <c r="H21" s="715" t="s">
        <v>1105</v>
      </c>
      <c r="I21" s="716" t="s">
        <v>2078</v>
      </c>
      <c r="J21" s="716" t="s">
        <v>2077</v>
      </c>
      <c r="K21" s="716" t="s">
        <v>2235</v>
      </c>
      <c r="L21" s="717" t="s">
        <v>2236</v>
      </c>
      <c r="M21" s="598" t="s">
        <v>2210</v>
      </c>
      <c r="N21" s="718" t="s">
        <v>2059</v>
      </c>
      <c r="O21" s="597" t="s">
        <v>2211</v>
      </c>
      <c r="P21" s="715" t="s">
        <v>2058</v>
      </c>
      <c r="Q21" s="597" t="s">
        <v>2273</v>
      </c>
      <c r="R21" s="715" t="s">
        <v>1105</v>
      </c>
      <c r="S21" s="719" t="s">
        <v>2237</v>
      </c>
      <c r="T21" s="720" t="s">
        <v>2274</v>
      </c>
    </row>
    <row r="22" spans="2:20" s="512" customFormat="1" x14ac:dyDescent="0.3">
      <c r="C22" s="721"/>
      <c r="D22" s="722"/>
      <c r="E22" s="723" t="s">
        <v>2190</v>
      </c>
      <c r="F22" s="723" t="s">
        <v>48</v>
      </c>
      <c r="G22" s="597"/>
      <c r="H22" s="715"/>
      <c r="I22" s="403"/>
      <c r="J22" s="403"/>
      <c r="K22" s="403"/>
      <c r="L22" s="403"/>
      <c r="M22" s="530" t="s">
        <v>1616</v>
      </c>
      <c r="N22" s="403"/>
      <c r="O22" s="591"/>
      <c r="P22" s="715"/>
      <c r="Q22" s="591"/>
      <c r="R22" s="715"/>
      <c r="S22" s="681"/>
      <c r="T22" s="681"/>
    </row>
    <row r="23" spans="2:20" s="512" customFormat="1" ht="115.8" thickBot="1" x14ac:dyDescent="0.35">
      <c r="C23" s="724"/>
      <c r="D23" s="400"/>
      <c r="E23" s="714" t="s">
        <v>2238</v>
      </c>
      <c r="F23" s="713" t="s">
        <v>2239</v>
      </c>
      <c r="G23" s="599" t="s">
        <v>2213</v>
      </c>
      <c r="H23" s="715" t="s">
        <v>2262</v>
      </c>
      <c r="I23" s="403"/>
      <c r="J23" s="403"/>
      <c r="K23" s="403"/>
      <c r="L23" s="403"/>
      <c r="M23" s="596" t="s">
        <v>2240</v>
      </c>
      <c r="N23" s="403"/>
      <c r="O23" s="600" t="s">
        <v>2241</v>
      </c>
      <c r="P23" s="725" t="s">
        <v>2262</v>
      </c>
      <c r="Q23" s="600" t="s">
        <v>2213</v>
      </c>
      <c r="R23" s="725" t="s">
        <v>2262</v>
      </c>
      <c r="T23" s="681"/>
    </row>
    <row r="24" spans="2:20" s="512" customFormat="1" x14ac:dyDescent="0.3">
      <c r="C24" s="724"/>
      <c r="D24" s="400"/>
      <c r="E24" s="726" t="s">
        <v>1623</v>
      </c>
      <c r="F24" s="727"/>
      <c r="G24" s="531" t="s">
        <v>1978</v>
      </c>
      <c r="H24" s="529"/>
      <c r="I24" s="403"/>
      <c r="J24" s="403"/>
      <c r="K24" s="403"/>
      <c r="L24" s="403"/>
      <c r="M24" s="530" t="s">
        <v>1617</v>
      </c>
      <c r="N24" s="403"/>
      <c r="O24" s="551"/>
      <c r="P24" s="551"/>
      <c r="Q24"/>
      <c r="R24"/>
    </row>
    <row r="25" spans="2:20" ht="130.19999999999999" thickBot="1" x14ac:dyDescent="0.35">
      <c r="C25" s="727"/>
      <c r="D25" s="727"/>
      <c r="E25" s="713" t="s">
        <v>2242</v>
      </c>
      <c r="F25" s="728"/>
      <c r="G25" s="601" t="s">
        <v>2243</v>
      </c>
      <c r="H25" s="729" t="s">
        <v>1105</v>
      </c>
      <c r="I25" s="730"/>
      <c r="J25" s="730"/>
      <c r="K25" s="730"/>
      <c r="L25" s="402"/>
      <c r="M25" s="596" t="s">
        <v>2244</v>
      </c>
      <c r="N25" s="402"/>
      <c r="Q25" s="731"/>
    </row>
    <row r="26" spans="2:20" x14ac:dyDescent="0.3">
      <c r="C26" s="727"/>
      <c r="D26" s="727"/>
      <c r="E26" s="732"/>
      <c r="F26" s="728"/>
      <c r="G26" s="531" t="s">
        <v>1979</v>
      </c>
      <c r="H26" s="529"/>
      <c r="I26" s="730"/>
      <c r="J26" s="730"/>
      <c r="K26" s="730"/>
      <c r="L26" s="402"/>
      <c r="M26" s="530" t="s">
        <v>2057</v>
      </c>
      <c r="N26" s="402"/>
      <c r="O26" s="544"/>
      <c r="P26" s="544"/>
      <c r="Q26" s="680"/>
      <c r="R26" s="681"/>
    </row>
    <row r="27" spans="2:20" ht="43.2" x14ac:dyDescent="0.3">
      <c r="C27" s="727"/>
      <c r="E27" s="72"/>
      <c r="F27" s="733"/>
      <c r="G27" s="602" t="s">
        <v>2245</v>
      </c>
      <c r="H27" s="729" t="s">
        <v>1111</v>
      </c>
      <c r="I27" s="730"/>
      <c r="J27" s="730"/>
      <c r="K27" s="730"/>
      <c r="L27" s="402"/>
      <c r="M27" s="596" t="s">
        <v>2246</v>
      </c>
      <c r="N27" s="402"/>
      <c r="O27" s="551"/>
      <c r="P27" s="551"/>
      <c r="Q27" s="561"/>
      <c r="R27" s="681"/>
    </row>
    <row r="28" spans="2:20" x14ac:dyDescent="0.3">
      <c r="C28" s="727"/>
      <c r="E28" s="72"/>
      <c r="F28" s="733"/>
      <c r="G28" s="528" t="s">
        <v>49</v>
      </c>
      <c r="H28" s="529"/>
      <c r="I28" s="730"/>
      <c r="J28" s="730"/>
      <c r="K28" s="730"/>
      <c r="L28" s="402"/>
      <c r="M28" s="530" t="s">
        <v>2055</v>
      </c>
      <c r="N28" s="402"/>
      <c r="O28" s="730"/>
      <c r="P28" s="730"/>
      <c r="Q28" s="734"/>
    </row>
    <row r="29" spans="2:20" ht="58.2" thickBot="1" x14ac:dyDescent="0.35">
      <c r="C29" s="727"/>
      <c r="D29" s="727"/>
      <c r="E29" s="733"/>
      <c r="F29" s="72"/>
      <c r="G29" s="603" t="s">
        <v>2076</v>
      </c>
      <c r="H29" s="715" t="s">
        <v>1109</v>
      </c>
      <c r="I29" s="730"/>
      <c r="J29" s="730"/>
      <c r="K29" s="730"/>
      <c r="L29" s="402"/>
      <c r="M29" s="595" t="s">
        <v>2247</v>
      </c>
      <c r="N29" s="402"/>
      <c r="O29" s="730"/>
      <c r="P29" s="730"/>
      <c r="Q29" s="734"/>
    </row>
    <row r="30" spans="2:20" ht="86.4" x14ac:dyDescent="0.3">
      <c r="C30" s="727"/>
      <c r="D30" s="727"/>
      <c r="E30" s="728"/>
      <c r="G30" s="604" t="s">
        <v>2248</v>
      </c>
      <c r="H30" s="715" t="s">
        <v>1110</v>
      </c>
      <c r="I30" s="730"/>
      <c r="J30" s="730"/>
      <c r="K30" s="730"/>
      <c r="L30" s="402"/>
      <c r="M30" s="730"/>
      <c r="N30" s="730"/>
      <c r="O30" s="730"/>
      <c r="P30" s="730"/>
      <c r="Q30" s="734"/>
    </row>
    <row r="31" spans="2:20" ht="86.4" x14ac:dyDescent="0.3">
      <c r="C31" s="727"/>
      <c r="D31" s="727"/>
      <c r="E31" s="728"/>
      <c r="G31" s="605" t="s">
        <v>2075</v>
      </c>
      <c r="H31" s="761" t="s">
        <v>1119</v>
      </c>
      <c r="I31" s="730"/>
      <c r="J31" s="730"/>
      <c r="K31" s="730"/>
      <c r="L31" s="402"/>
      <c r="M31" s="730"/>
      <c r="N31" s="730"/>
      <c r="O31" s="730"/>
      <c r="P31" s="730"/>
      <c r="Q31" s="735"/>
    </row>
    <row r="32" spans="2:20" x14ac:dyDescent="0.3">
      <c r="C32" s="727"/>
      <c r="D32" s="727"/>
      <c r="E32" s="728"/>
      <c r="G32" s="531" t="s">
        <v>1980</v>
      </c>
      <c r="H32" s="529"/>
      <c r="I32" s="730"/>
      <c r="J32" s="730"/>
      <c r="K32" s="730"/>
      <c r="L32" s="402"/>
      <c r="M32" s="730"/>
      <c r="N32" s="730"/>
      <c r="O32" s="730"/>
      <c r="P32" s="730"/>
      <c r="Q32" s="735"/>
    </row>
    <row r="33" spans="5:8" ht="72.599999999999994" thickBot="1" x14ac:dyDescent="0.35">
      <c r="E33" s="606"/>
      <c r="F33" s="510"/>
      <c r="G33" s="607" t="s">
        <v>2249</v>
      </c>
      <c r="H33" s="736" t="s">
        <v>1107</v>
      </c>
    </row>
    <row r="34" spans="5:8" x14ac:dyDescent="0.3">
      <c r="E34" s="72"/>
    </row>
    <row r="35" spans="5:8" x14ac:dyDescent="0.3">
      <c r="G35" s="728"/>
    </row>
  </sheetData>
  <sheetProtection algorithmName="SHA-512" hashValue="IFzH+idA0DPN5khsa2L1HI3MvX0JBbFOKu1zO4ZbT88xE9E2Tn4hqmVRQZ5lf/sb3ZIdWO6cuLFVflP0i5fjsQ==" saltValue="8pdtDLdKZqqLOJrnD1cTIg==" spinCount="100000" sheet="1" objects="1" scenarios="1"/>
  <dataConsolidate/>
  <conditionalFormatting sqref="E29">
    <cfRule type="expression" dxfId="72" priority="4">
      <formula>AND($E25="Offsite",$E29&lt;&gt;"",$E29&lt;&gt;"Yes",MOD(ROW(),4)=2)</formula>
    </cfRule>
  </conditionalFormatting>
  <conditionalFormatting sqref="E30:E32">
    <cfRule type="expression" dxfId="71" priority="3">
      <formula>AND($E29="Offsite",$E30&lt;&gt;"",$E30&lt;&gt;"Yes",MOD(ROW(),4)=2)</formula>
    </cfRule>
  </conditionalFormatting>
  <conditionalFormatting sqref="E11:G11">
    <cfRule type="expression" dxfId="70" priority="7">
      <formula>#REF!&lt;&gt;""</formula>
    </cfRule>
  </conditionalFormatting>
  <conditionalFormatting sqref="F25:F26">
    <cfRule type="expression" dxfId="69" priority="5">
      <formula>AND($E23="Offsite",$F25&lt;&gt;"",$F25&lt;&gt;"Yes",MOD(ROW(),4)=2)</formula>
    </cfRule>
  </conditionalFormatting>
  <conditionalFormatting sqref="F27:F28">
    <cfRule type="expression" dxfId="68" priority="2">
      <formula>AND(#REF!="Offsite",$F27&lt;&gt;"",$F27&lt;&gt;"Yes",MOD(ROW(),4)=2)</formula>
    </cfRule>
  </conditionalFormatting>
  <conditionalFormatting sqref="G35">
    <cfRule type="expression" dxfId="67" priority="6">
      <formula>AND($E23="Offsite",$F25&lt;&gt;"",$F25&lt;&gt;"Yes",MOD(ROW(),4)=2)</formula>
    </cfRule>
  </conditionalFormatting>
  <conditionalFormatting sqref="I21:K22 I23:I24 K23:K24 J23:J32">
    <cfRule type="expression" dxfId="66" priority="1">
      <formula>COUNTIF(INDIRECT("$G" &amp; (INT((ROW()-10)/4)*4+10) &amp; ":$G" &amp; (INT((ROW()-10)/4)*4+13)),"*ECA / Shoreline*")&gt;0</formula>
    </cfRule>
  </conditionalFormatting>
  <dataValidations count="2">
    <dataValidation allowBlank="1" sqref="M11:N11 R11 P17" xr:uid="{0C46A703-9CF7-4EE8-990F-189224A63833}"/>
    <dataValidation operator="greaterThan" allowBlank="1" showInputMessage="1" showErrorMessage="1" sqref="R21:S22 M29:N29 O27:Q27" xr:uid="{4CD43E04-CB98-4D3B-8CEA-B29A2E0E2B3E}"/>
  </dataValidations>
  <hyperlinks>
    <hyperlink ref="H27" r:id="rId1" xr:uid="{2E5D8A21-5387-4492-8067-B73E764C4604}"/>
    <hyperlink ref="H33" r:id="rId2" xr:uid="{63DDFF74-D0B0-4782-BCED-CE2C1A1C558D}"/>
    <hyperlink ref="H29" r:id="rId3" xr:uid="{16381D8A-785F-4974-9F74-A38BDFC9F1F7}"/>
    <hyperlink ref="H30" r:id="rId4" xr:uid="{94422438-0FB6-4144-912F-8B85EE66B461}"/>
    <hyperlink ref="H21" r:id="rId5" xr:uid="{ADC8B20A-792D-44D5-98C3-13CF4D0765CF}"/>
    <hyperlink ref="H25" r:id="rId6" xr:uid="{A3B37F75-AE02-47F8-A99F-DFE0FDBD9EE5}"/>
    <hyperlink ref="R21" r:id="rId7" xr:uid="{F3BE9B2E-9635-4D6C-BFAD-91B2CA5E8A20}"/>
    <hyperlink ref="P21" r:id="rId8" xr:uid="{3068690B-41F4-42AC-ACD0-2F25529C85D0}"/>
    <hyperlink ref="N21" r:id="rId9" display="Chapter 23.84A - Definitions" xr:uid="{A470A583-3A37-4423-85AF-B3BDE48E78DD}"/>
    <hyperlink ref="B16" r:id="rId10" display="See Get Started Tree Information Guide for FAQs and examples." xr:uid="{B3C3CEFA-36BF-4061-A2B7-59D8B10E5819}"/>
    <hyperlink ref="B9" r:id="rId11" display="Seattle Trees &amp; Codes Website for Seattle’s tree regulations, resources, and contact information related to trees, tree protection, and tree maintenance. " xr:uid="{E37AF683-FAEA-4ED7-B645-D44CF711CB46}"/>
    <hyperlink ref="H23" r:id="rId12" xr:uid="{68BA6FCF-F693-4ECF-B301-028BCB8D1C50}"/>
    <hyperlink ref="R23" r:id="rId13" xr:uid="{FE827747-A2D2-4494-84B2-533B5B423BA4}"/>
    <hyperlink ref="B9:E9" r:id="rId14" display="View Seattle Trees &amp; Codes website for tree regulations, resources, and contact information." xr:uid="{8A573E6D-8AE0-4575-851F-66278F977E1A}"/>
    <hyperlink ref="B16:E16" r:id="rId15" display="Read the Get Started Guide for FAQs and examples to help you complete the forms." xr:uid="{C45ABFF5-1899-4CA8-BEFE-CFF61D21F587}"/>
    <hyperlink ref="H31" r:id="rId16" xr:uid="{D0A1A661-8FBA-48D8-AC89-4399D2B3C32C}"/>
    <hyperlink ref="P23" r:id="rId17" xr:uid="{15525A0A-CCD1-41E0-900B-A247C3D455A4}"/>
  </hyperlinks>
  <pageMargins left="0.7" right="0.7" top="0.75" bottom="0.75" header="0.3" footer="0.3"/>
  <pageSetup orientation="portrait" r:id="rId1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ECD93-56D1-4A2B-B645-0CB0C50CBBA1}">
  <sheetPr>
    <tabColor theme="1" tint="0.34998626667073579"/>
    <pageSetUpPr fitToPage="1"/>
  </sheetPr>
  <dimension ref="A1:AB1048573"/>
  <sheetViews>
    <sheetView zoomScale="85" zoomScaleNormal="85" workbookViewId="0"/>
  </sheetViews>
  <sheetFormatPr defaultColWidth="9.109375" defaultRowHeight="14.4" x14ac:dyDescent="0.3"/>
  <cols>
    <col min="1" max="1" width="5.5546875" style="249" customWidth="1"/>
    <col min="2" max="2" width="10" style="47" customWidth="1"/>
    <col min="3" max="3" width="71.109375" style="141" bestFit="1" customWidth="1"/>
    <col min="4" max="4" width="13.33203125" style="500" customWidth="1"/>
    <col min="5" max="5" width="24.44140625" style="47" customWidth="1"/>
    <col min="6" max="6" width="14.5546875" style="47" customWidth="1"/>
    <col min="7" max="7" width="5.109375" style="48" bestFit="1" customWidth="1"/>
    <col min="8" max="8" width="50.88671875" style="251" bestFit="1" customWidth="1"/>
    <col min="9" max="9" width="29.109375" style="132" customWidth="1"/>
    <col min="10" max="10" width="19.5546875" style="463" bestFit="1" customWidth="1"/>
    <col min="11" max="11" width="14.5546875" style="212" customWidth="1"/>
    <col min="12" max="12" width="20.6640625" style="212" customWidth="1"/>
    <col min="13" max="13" width="17.109375" style="497" customWidth="1"/>
    <col min="14" max="14" width="3.6640625" style="19" customWidth="1"/>
    <col min="15" max="15" width="5.109375" style="249" customWidth="1"/>
    <col min="16" max="16" width="9.33203125" style="47" customWidth="1"/>
    <col min="17" max="17" width="71.109375" style="141" bestFit="1" customWidth="1"/>
    <col min="18" max="18" width="12.33203125" style="141" customWidth="1"/>
    <col min="19" max="19" width="13.5546875" style="141" bestFit="1" customWidth="1"/>
    <col min="20" max="20" width="31.5546875" style="251" bestFit="1" customWidth="1"/>
    <col min="21" max="21" width="18.6640625" style="255" customWidth="1"/>
    <col min="22" max="22" width="15.33203125" style="255" customWidth="1"/>
    <col min="23" max="23" width="18.33203125" style="255" customWidth="1"/>
    <col min="24" max="24" width="15.5546875" style="468" customWidth="1"/>
    <col min="25" max="25" width="14.5546875" style="256" customWidth="1"/>
    <col min="26" max="26" width="13.88671875" style="256" customWidth="1"/>
    <col min="27" max="27" width="13.44140625" style="491" customWidth="1"/>
    <col min="28" max="28" width="9.33203125" style="255" customWidth="1"/>
    <col min="29" max="16384" width="9.109375" style="19"/>
  </cols>
  <sheetData>
    <row r="1" spans="1:28" s="50" customFormat="1" ht="21.6" thickBot="1" x14ac:dyDescent="0.35">
      <c r="A1" s="774" t="s">
        <v>2275</v>
      </c>
      <c r="B1" s="210"/>
      <c r="C1" s="132"/>
      <c r="D1" s="273"/>
      <c r="E1" s="210"/>
      <c r="F1" s="210"/>
      <c r="G1" s="63"/>
      <c r="H1" s="211"/>
      <c r="I1" s="132"/>
      <c r="J1" s="195"/>
      <c r="K1" s="212"/>
      <c r="L1" s="212"/>
      <c r="M1" s="212"/>
      <c r="O1" s="195"/>
      <c r="P1" s="195"/>
      <c r="Q1" s="196"/>
      <c r="R1" s="195"/>
      <c r="S1" s="195"/>
      <c r="T1" s="200"/>
      <c r="U1" s="197"/>
      <c r="V1" s="197"/>
      <c r="W1" s="197"/>
      <c r="X1" s="463"/>
      <c r="Y1" s="197"/>
      <c r="Z1" s="197"/>
      <c r="AA1" s="197"/>
      <c r="AB1" s="197"/>
    </row>
    <row r="2" spans="1:28" s="50" customFormat="1" ht="30.75" customHeight="1" thickBot="1" x14ac:dyDescent="0.35">
      <c r="A2" s="195"/>
      <c r="B2" s="195"/>
      <c r="C2" s="195"/>
      <c r="D2" s="274"/>
      <c r="E2" s="275"/>
      <c r="F2" s="213"/>
      <c r="G2" s="214"/>
      <c r="H2" s="195"/>
      <c r="I2" s="195"/>
      <c r="J2" s="215"/>
      <c r="K2" s="212"/>
      <c r="L2" s="216" t="str">
        <f>IF('Existing Trees Form'!L2="","",'Existing Trees Form'!L2)</f>
        <v>Total Existing Trees: 0
(Used to meet code)</v>
      </c>
      <c r="M2" s="217" t="str">
        <f>IF('Existing Trees Form'!M2="","",'Existing Trees Form'!M2)</f>
        <v>Total Removals: 0
Total Retained: 0</v>
      </c>
      <c r="N2" s="292"/>
      <c r="O2" s="195"/>
      <c r="P2" s="195"/>
      <c r="Q2" s="195"/>
      <c r="R2" s="772"/>
      <c r="S2" s="195"/>
      <c r="T2" s="200"/>
      <c r="U2" s="195"/>
      <c r="V2" s="195"/>
      <c r="W2" s="195"/>
      <c r="X2" s="463"/>
      <c r="Y2" s="195"/>
      <c r="Z2" s="195"/>
      <c r="AA2" s="195"/>
      <c r="AB2" s="194"/>
    </row>
    <row r="3" spans="1:28" s="50" customFormat="1" ht="18.600000000000001" thickBot="1" x14ac:dyDescent="0.35">
      <c r="A3" s="276"/>
      <c r="B3" s="228"/>
      <c r="C3" s="132"/>
      <c r="D3" s="214"/>
      <c r="E3" s="275"/>
      <c r="F3" s="213"/>
      <c r="G3" s="214"/>
      <c r="H3" s="211"/>
      <c r="I3" s="218"/>
      <c r="J3" s="195"/>
      <c r="K3" s="212"/>
      <c r="L3" s="219"/>
      <c r="M3" s="219"/>
      <c r="N3" s="292"/>
      <c r="O3" s="195"/>
      <c r="P3" s="195"/>
      <c r="Q3" s="195"/>
      <c r="R3" s="195"/>
      <c r="S3" s="195"/>
      <c r="T3" s="200"/>
      <c r="U3" s="195"/>
      <c r="V3" s="195"/>
      <c r="W3" s="195"/>
      <c r="X3" s="463"/>
      <c r="Y3" s="195"/>
      <c r="Z3" s="195"/>
      <c r="AA3" s="195"/>
      <c r="AB3" s="194"/>
    </row>
    <row r="4" spans="1:28" s="50" customFormat="1" ht="19.5" customHeight="1" thickBot="1" x14ac:dyDescent="0.35">
      <c r="A4" s="277"/>
      <c r="B4" s="278"/>
      <c r="C4" s="279"/>
      <c r="D4" s="221"/>
      <c r="E4" s="220"/>
      <c r="F4" s="220"/>
      <c r="G4" s="221"/>
      <c r="H4" s="211"/>
      <c r="I4" s="196"/>
      <c r="J4" s="195"/>
      <c r="K4" s="222"/>
      <c r="L4" s="120" t="s">
        <v>41</v>
      </c>
      <c r="M4" s="492" t="str">
        <f>IF('Existing Trees Form'!M4="","",'Existing Trees Form'!M4)</f>
        <v/>
      </c>
      <c r="N4" s="292"/>
      <c r="O4" s="195"/>
      <c r="P4" s="195"/>
      <c r="Q4" s="195"/>
      <c r="R4" s="195"/>
      <c r="S4" s="195"/>
      <c r="T4" s="200"/>
      <c r="U4" s="195"/>
      <c r="V4" s="195"/>
      <c r="W4" s="195"/>
      <c r="X4" s="463"/>
      <c r="Y4" s="195"/>
      <c r="Z4" s="195"/>
      <c r="AA4" s="195"/>
      <c r="AB4" s="194"/>
    </row>
    <row r="5" spans="1:28" s="227" customFormat="1" ht="33" customHeight="1" thickBot="1" x14ac:dyDescent="0.35">
      <c r="A5" s="288" t="s">
        <v>2085</v>
      </c>
      <c r="B5" s="289"/>
      <c r="C5" s="290"/>
      <c r="D5" s="224"/>
      <c r="E5" s="224"/>
      <c r="F5" s="223"/>
      <c r="G5" s="291" t="s">
        <v>1628</v>
      </c>
      <c r="H5" s="202" t="str">
        <f>IF('Existing Trees Form'!I2="","",'Existing Trees Form'!I2)</f>
        <v/>
      </c>
      <c r="I5" s="168" t="s">
        <v>2171</v>
      </c>
      <c r="J5" s="464">
        <f ca="1">IF('Existing Trees Form'!J5="","",'Existing Trees Form'!J5)</f>
        <v>0</v>
      </c>
      <c r="K5" s="226"/>
      <c r="L5" s="740" t="s">
        <v>1627</v>
      </c>
      <c r="M5" s="742">
        <f ca="1">IF('Existing Trees Form'!M5="","",'Existing Trees Form'!M5)</f>
        <v>0</v>
      </c>
      <c r="N5" s="293"/>
      <c r="O5" s="285" t="s">
        <v>2086</v>
      </c>
      <c r="P5" s="286"/>
      <c r="Q5" s="287"/>
      <c r="R5" s="199"/>
      <c r="S5" s="191"/>
      <c r="T5" s="291" t="s">
        <v>1628</v>
      </c>
      <c r="U5" s="202" t="str">
        <f>IF('Existing Trees Form'!I2="","",'Existing Trees Form'!I2)</f>
        <v/>
      </c>
      <c r="V5" s="195"/>
      <c r="W5" s="195"/>
      <c r="X5" s="483"/>
      <c r="Y5" s="191"/>
      <c r="Z5" s="192" t="str">
        <f>IF('Tree Plantings Form'!L2="","",'Tree Plantings Form'!L2)</f>
        <v>Total New Plantings: 0
(Used to meet code)</v>
      </c>
      <c r="AA5" s="193"/>
      <c r="AB5" s="194"/>
    </row>
    <row r="6" spans="1:28" s="227" customFormat="1" ht="38.25" customHeight="1" thickBot="1" x14ac:dyDescent="0.35">
      <c r="A6" s="228"/>
      <c r="B6" s="280"/>
      <c r="C6" s="769"/>
      <c r="D6" s="770"/>
      <c r="E6" s="768"/>
      <c r="F6" s="224"/>
      <c r="G6" s="224"/>
      <c r="H6" s="225"/>
      <c r="I6" s="169" t="s">
        <v>2172</v>
      </c>
      <c r="J6" s="465">
        <f ca="1">IF('Existing Trees Form'!J6="","",'Existing Trees Form'!J6)</f>
        <v>0</v>
      </c>
      <c r="K6" s="222"/>
      <c r="L6" s="738" t="s">
        <v>2186</v>
      </c>
      <c r="M6" s="493">
        <f ca="1">IF('Existing Trees Form'!M6="","",'Existing Trees Form'!M6)</f>
        <v>0</v>
      </c>
      <c r="N6" s="293"/>
      <c r="O6" s="281"/>
      <c r="P6" s="282"/>
      <c r="Q6" s="283"/>
      <c r="R6" s="199"/>
      <c r="S6" s="773"/>
      <c r="T6" s="771"/>
      <c r="U6" s="195"/>
      <c r="V6" s="195"/>
      <c r="W6" s="195"/>
      <c r="X6" s="483"/>
      <c r="Y6" s="191"/>
      <c r="Z6" s="198"/>
      <c r="AA6" s="198"/>
      <c r="AB6" s="194"/>
    </row>
    <row r="7" spans="1:28" s="227" customFormat="1" ht="37.5" customHeight="1" thickBot="1" x14ac:dyDescent="0.35">
      <c r="B7" s="775" t="str">
        <f ca="1">IF(OR('Existing Trees Form'!$D$2&lt;&gt;"",'Tree Plantings Form'!$D$2&lt;&gt;""),
"You must fix the unresolved error(s) in the Existing Trees Form and Tree Plantings Form for this message to disappear.",
""
)</f>
        <v>You must fix the unresolved error(s) in the Existing Trees Form and Tree Plantings Form for this message to disappear.</v>
      </c>
      <c r="C7" s="229"/>
      <c r="D7" s="230"/>
      <c r="E7" s="224"/>
      <c r="F7" s="224"/>
      <c r="G7" s="230"/>
      <c r="H7" s="200"/>
      <c r="I7" s="170" t="s">
        <v>2173</v>
      </c>
      <c r="J7" s="451">
        <f>IF('Existing Trees Form'!J7="","",'Existing Trees Form'!J7)</f>
        <v>0</v>
      </c>
      <c r="K7" s="226"/>
      <c r="L7" s="121" t="s">
        <v>61</v>
      </c>
      <c r="M7" s="493">
        <f>IF('Existing Trees Form'!M7="","",'Existing Trees Form'!M7)</f>
        <v>0</v>
      </c>
      <c r="N7" s="293"/>
      <c r="O7" s="284"/>
      <c r="P7" s="776" t="str">
        <f ca="1">IF(OR('Existing Trees Form'!$D$2&lt;&gt;"",'Tree Plantings Form'!$D$2&lt;&gt;""),
"You must fix the unresolved error(s) in the Existing Trees Form and Tree Plantings Form for this message to disappear.",
""
)</f>
        <v>You must fix the unresolved error(s) in the Existing Trees Form and Tree Plantings Form for this message to disappear.</v>
      </c>
      <c r="Q7" s="283"/>
      <c r="R7" s="191"/>
      <c r="S7" s="191"/>
      <c r="T7" s="201"/>
      <c r="U7" s="191"/>
      <c r="V7" s="191"/>
      <c r="W7" s="126" t="s">
        <v>2250</v>
      </c>
      <c r="X7" s="469">
        <f ca="1">IF('Tree Plantings Form'!J5="","",'Tree Plantings Form'!J5)</f>
        <v>0</v>
      </c>
      <c r="Y7" s="191"/>
      <c r="Z7" s="127" t="s">
        <v>59</v>
      </c>
      <c r="AA7" s="486">
        <f ca="1">IF('Tree Plantings Form'!M5="","",'Tree Plantings Form'!M5)</f>
        <v>0</v>
      </c>
      <c r="AB7" s="231"/>
    </row>
    <row r="8" spans="1:28" s="227" customFormat="1" ht="16.2" thickBot="1" x14ac:dyDescent="0.35">
      <c r="A8" s="232"/>
      <c r="B8" s="232"/>
      <c r="C8" s="229"/>
      <c r="D8" s="232"/>
      <c r="E8" s="232"/>
      <c r="F8" s="232"/>
      <c r="G8" s="232"/>
      <c r="H8" s="200"/>
      <c r="I8" s="233"/>
      <c r="J8" s="232"/>
      <c r="K8" s="234"/>
      <c r="L8" s="234"/>
      <c r="M8" s="494"/>
      <c r="N8" s="293"/>
      <c r="O8" s="231"/>
      <c r="P8" s="231"/>
      <c r="Q8" s="231"/>
      <c r="R8" s="231"/>
      <c r="S8" s="231"/>
      <c r="T8" s="200"/>
      <c r="U8" s="231"/>
      <c r="V8" s="231"/>
      <c r="W8" s="231"/>
      <c r="X8" s="484"/>
      <c r="Y8" s="231"/>
      <c r="Z8" s="231"/>
      <c r="AA8" s="487"/>
      <c r="AB8" s="231"/>
    </row>
    <row r="9" spans="1:28" s="50" customFormat="1" ht="31.8" thickBot="1" x14ac:dyDescent="0.35">
      <c r="A9" s="615" t="s">
        <v>1619</v>
      </c>
      <c r="B9" s="99" t="s">
        <v>1102</v>
      </c>
      <c r="C9" s="100" t="s">
        <v>1126</v>
      </c>
      <c r="D9" s="100" t="s">
        <v>60</v>
      </c>
      <c r="E9" s="189" t="s">
        <v>0</v>
      </c>
      <c r="F9" s="348" t="s">
        <v>1982</v>
      </c>
      <c r="G9" s="358" t="s">
        <v>1983</v>
      </c>
      <c r="H9" s="100" t="s">
        <v>1622</v>
      </c>
      <c r="I9" s="100" t="s">
        <v>1122</v>
      </c>
      <c r="J9" s="100" t="s">
        <v>2170</v>
      </c>
      <c r="K9" s="100" t="s">
        <v>1612</v>
      </c>
      <c r="L9" s="100" t="s">
        <v>1613</v>
      </c>
      <c r="M9" s="101" t="s">
        <v>34</v>
      </c>
      <c r="N9" s="292"/>
      <c r="O9" s="235" t="s">
        <v>1619</v>
      </c>
      <c r="P9" s="237" t="s">
        <v>57</v>
      </c>
      <c r="Q9" s="238" t="s">
        <v>1126</v>
      </c>
      <c r="R9" s="239" t="s">
        <v>56</v>
      </c>
      <c r="S9" s="239" t="s">
        <v>1121</v>
      </c>
      <c r="T9" s="240" t="s">
        <v>1622</v>
      </c>
      <c r="U9" s="239" t="s">
        <v>1629</v>
      </c>
      <c r="V9" s="236" t="s">
        <v>1630</v>
      </c>
      <c r="W9" s="239" t="s">
        <v>1631</v>
      </c>
      <c r="X9" s="485" t="s">
        <v>58</v>
      </c>
      <c r="Y9" s="239" t="s">
        <v>1612</v>
      </c>
      <c r="Z9" s="239" t="s">
        <v>1618</v>
      </c>
      <c r="AA9" s="488" t="s">
        <v>34</v>
      </c>
      <c r="AB9" s="241" t="s">
        <v>55</v>
      </c>
    </row>
    <row r="10" spans="1:28" s="50" customFormat="1" ht="15.6" hidden="1" x14ac:dyDescent="0.3">
      <c r="A10" s="242"/>
      <c r="B10" s="243"/>
      <c r="C10" s="243"/>
      <c r="D10" s="498"/>
      <c r="E10" s="244"/>
      <c r="F10" s="245"/>
      <c r="G10" s="246"/>
      <c r="H10" s="247"/>
      <c r="I10" s="248"/>
      <c r="J10" s="461"/>
      <c r="K10" s="248"/>
      <c r="L10" s="248"/>
      <c r="M10" s="495"/>
      <c r="Q10" s="243"/>
      <c r="R10" s="243"/>
      <c r="S10" s="243"/>
      <c r="T10" s="247"/>
      <c r="X10" s="466"/>
      <c r="AA10" s="489"/>
    </row>
    <row r="11" spans="1:28" x14ac:dyDescent="0.3">
      <c r="A11" s="249" t="str" cm="1">
        <f t="array" ref="A11">IFERROR(
_xlfn.LET(
    _xlpm.data,'Existing Trees Form'!A11:M820,
    _xlpm.cleaned, IF(_xlpm.data=0,"",_xlpm.data),
    _xlpm.cond, (('Existing Trees Form'!B11:B820 &lt;&gt; "") +
           ('Existing Trees Form'!C11:C820 &lt;&gt; "") +
           ('Existing Trees Form'!D11:D820 &lt;&gt; "") +
           ('Existing Trees Form'!E11:E820 &lt;&gt; "") +
           ('Existing Trees Form'!F11:F820 &lt;&gt; "")) &gt; 0,
    _xlpm.filtered, _xlfn._xlws.FILTER(_xlpm.cleaned, _xlpm.cond),
    _xlpm.r, ROWS(_xlpm.filtered),
    _xlpm.seq, IF(MOD(_xlfn.SEQUENCE(_xlpm.r)-1,4)=0, (_xlfn.SEQUENCE(_xlpm.r)+3)/4, ""),
    _xlfn.HSTACK(_xlpm.seq, _xlfn.DROP(_xlpm.filtered,,1))
),
"")</f>
        <v/>
      </c>
      <c r="D11" s="499"/>
      <c r="G11" s="250"/>
      <c r="J11" s="462"/>
      <c r="K11" s="252"/>
      <c r="L11" s="253"/>
      <c r="M11" s="496"/>
      <c r="O11" s="249" t="str" cm="1">
        <f t="array" ref="O11">IFERROR(
_xlfn.LET(
    _xlpm.data,'Tree Plantings Form'!A11:N130,
    _xlpm.cleaned, IF(_xlpm.data=0,"",_xlpm.data),
    _xlpm.cond, (('Tree Plantings Form'!B11:B130 &lt;&gt; "") +
           ('Tree Plantings Form'!C11:C130 &lt;&gt; "") +
           ('Tree Plantings Form'!D11:D130 &lt;&gt; "") +
           ('Tree Plantings Form'!E11:E130 &lt;&gt; "") +
           ('Tree Plantings Form'!F11:F130 &lt;&gt; "")) &gt; 0,
    _xlpm.filtered, _xlfn._xlws.FILTER(_xlpm.cleaned, _xlpm.cond),
    _xlpm.r, ROWS(_xlpm.filtered),
    _xlpm.seq, IF(MOD(_xlfn.SEQUENCE(_xlpm.r)-1,4)=0, (_xlfn.SEQUENCE(_xlpm.r)+3)/4, ""),
    _xlfn.HSTACK(_xlpm.seq, _xlfn.DROP(_xlpm.filtered,,1))
),
"")</f>
        <v/>
      </c>
      <c r="U11" s="203"/>
      <c r="V11" s="204"/>
      <c r="W11" s="205"/>
      <c r="X11" s="467"/>
      <c r="Y11" s="206"/>
      <c r="Z11" s="207"/>
      <c r="AA11" s="490"/>
      <c r="AB11" s="208"/>
    </row>
    <row r="12" spans="1:28" x14ac:dyDescent="0.3">
      <c r="D12" s="499"/>
      <c r="G12" s="254"/>
      <c r="J12" s="462"/>
      <c r="K12" s="252"/>
      <c r="L12" s="253"/>
      <c r="M12" s="496"/>
      <c r="U12" s="203"/>
      <c r="V12" s="204"/>
      <c r="W12" s="205"/>
      <c r="X12" s="467"/>
      <c r="Y12" s="206"/>
      <c r="Z12" s="207"/>
      <c r="AA12" s="490"/>
      <c r="AB12" s="208"/>
    </row>
    <row r="13" spans="1:28" x14ac:dyDescent="0.3">
      <c r="D13" s="499"/>
      <c r="G13" s="254"/>
      <c r="J13" s="462"/>
      <c r="K13" s="252"/>
      <c r="L13" s="253"/>
      <c r="M13" s="496"/>
      <c r="U13" s="203"/>
      <c r="V13" s="204"/>
      <c r="W13" s="205"/>
      <c r="X13" s="467"/>
      <c r="Y13" s="206"/>
      <c r="Z13" s="207"/>
      <c r="AA13" s="490"/>
      <c r="AB13" s="208"/>
    </row>
    <row r="14" spans="1:28" x14ac:dyDescent="0.3">
      <c r="D14" s="499"/>
      <c r="G14" s="254"/>
      <c r="J14" s="462"/>
      <c r="K14" s="252"/>
      <c r="L14" s="253"/>
      <c r="M14" s="496"/>
      <c r="U14" s="203"/>
      <c r="V14" s="204"/>
      <c r="W14" s="205"/>
      <c r="X14" s="467"/>
      <c r="Y14" s="206"/>
      <c r="Z14" s="207"/>
      <c r="AA14" s="490"/>
      <c r="AB14" s="208"/>
    </row>
    <row r="15" spans="1:28" x14ac:dyDescent="0.3">
      <c r="D15" s="499"/>
      <c r="G15" s="250"/>
      <c r="J15" s="462"/>
      <c r="K15" s="252"/>
      <c r="L15" s="253"/>
      <c r="M15" s="496"/>
      <c r="U15" s="203"/>
      <c r="V15" s="204"/>
      <c r="W15" s="205"/>
      <c r="X15" s="467"/>
      <c r="Y15" s="206"/>
      <c r="Z15" s="207"/>
      <c r="AA15" s="490"/>
      <c r="AB15" s="208"/>
    </row>
    <row r="16" spans="1:28" x14ac:dyDescent="0.3">
      <c r="D16" s="499"/>
      <c r="G16" s="254"/>
      <c r="J16" s="462"/>
      <c r="K16" s="252"/>
      <c r="L16" s="253"/>
      <c r="M16" s="496"/>
      <c r="U16" s="203"/>
      <c r="V16" s="204"/>
      <c r="W16" s="205"/>
      <c r="X16" s="467"/>
      <c r="Y16" s="206"/>
      <c r="Z16" s="207"/>
      <c r="AA16" s="490"/>
      <c r="AB16" s="208"/>
    </row>
    <row r="17" spans="4:28" x14ac:dyDescent="0.3">
      <c r="D17" s="499"/>
      <c r="G17" s="254"/>
      <c r="J17" s="462"/>
      <c r="K17" s="252"/>
      <c r="L17" s="253"/>
      <c r="M17" s="496"/>
      <c r="U17" s="203"/>
      <c r="V17" s="204"/>
      <c r="W17" s="205"/>
      <c r="X17" s="467"/>
      <c r="Y17" s="206"/>
      <c r="Z17" s="207"/>
      <c r="AA17" s="490"/>
      <c r="AB17" s="208"/>
    </row>
    <row r="18" spans="4:28" x14ac:dyDescent="0.3">
      <c r="D18" s="499"/>
      <c r="G18" s="254"/>
      <c r="J18" s="462"/>
      <c r="K18" s="252"/>
      <c r="L18" s="253"/>
      <c r="M18" s="496"/>
      <c r="U18" s="203"/>
      <c r="V18" s="204"/>
      <c r="W18" s="205"/>
      <c r="X18" s="467"/>
      <c r="Y18" s="206"/>
      <c r="Z18" s="207"/>
      <c r="AA18" s="490"/>
      <c r="AB18" s="208"/>
    </row>
    <row r="19" spans="4:28" x14ac:dyDescent="0.3">
      <c r="D19" s="499"/>
      <c r="G19" s="250"/>
      <c r="J19" s="462"/>
      <c r="K19" s="252"/>
      <c r="L19" s="253"/>
      <c r="M19" s="496"/>
      <c r="U19" s="203"/>
      <c r="V19" s="204"/>
      <c r="W19" s="205"/>
      <c r="X19" s="467"/>
      <c r="Y19" s="206"/>
      <c r="Z19" s="207"/>
      <c r="AA19" s="490"/>
      <c r="AB19" s="208"/>
    </row>
    <row r="20" spans="4:28" x14ac:dyDescent="0.3">
      <c r="D20" s="499"/>
      <c r="G20" s="254"/>
      <c r="J20" s="462"/>
      <c r="K20" s="252"/>
      <c r="L20" s="253"/>
      <c r="M20" s="496"/>
      <c r="U20" s="203"/>
      <c r="V20" s="204"/>
      <c r="W20" s="205"/>
      <c r="X20" s="467"/>
      <c r="Y20" s="206"/>
      <c r="Z20" s="207"/>
      <c r="AA20" s="490"/>
      <c r="AB20" s="208"/>
    </row>
    <row r="21" spans="4:28" x14ac:dyDescent="0.3">
      <c r="D21" s="499"/>
      <c r="G21" s="254"/>
      <c r="J21" s="462"/>
      <c r="K21" s="252"/>
      <c r="L21" s="253"/>
      <c r="M21" s="496"/>
      <c r="U21" s="203"/>
      <c r="V21" s="204"/>
      <c r="W21" s="205"/>
      <c r="X21" s="467"/>
      <c r="Y21" s="206"/>
      <c r="Z21" s="207"/>
      <c r="AA21" s="490"/>
      <c r="AB21" s="208"/>
    </row>
    <row r="22" spans="4:28" x14ac:dyDescent="0.3">
      <c r="D22" s="499"/>
      <c r="G22" s="254"/>
      <c r="J22" s="462"/>
      <c r="K22" s="252"/>
      <c r="L22" s="253"/>
      <c r="M22" s="496"/>
      <c r="U22" s="203"/>
      <c r="V22" s="204"/>
      <c r="W22" s="205"/>
      <c r="X22" s="467"/>
      <c r="Y22" s="206"/>
      <c r="Z22" s="207"/>
      <c r="AA22" s="490"/>
      <c r="AB22" s="208"/>
    </row>
    <row r="23" spans="4:28" x14ac:dyDescent="0.3">
      <c r="D23" s="499"/>
      <c r="G23" s="250"/>
      <c r="J23" s="462"/>
      <c r="K23" s="252"/>
      <c r="L23" s="253"/>
      <c r="M23" s="496"/>
      <c r="U23" s="203"/>
      <c r="V23" s="204"/>
      <c r="W23" s="205"/>
      <c r="X23" s="467"/>
      <c r="Y23" s="206"/>
      <c r="Z23" s="207"/>
      <c r="AA23" s="490"/>
      <c r="AB23" s="208"/>
    </row>
    <row r="24" spans="4:28" x14ac:dyDescent="0.3">
      <c r="D24" s="499"/>
      <c r="G24" s="254"/>
      <c r="J24" s="462"/>
      <c r="K24" s="252"/>
      <c r="L24" s="253"/>
      <c r="M24" s="496"/>
      <c r="U24" s="203"/>
      <c r="V24" s="204"/>
      <c r="W24" s="205"/>
      <c r="X24" s="467"/>
      <c r="Y24" s="206"/>
      <c r="Z24" s="207"/>
      <c r="AA24" s="490"/>
      <c r="AB24" s="208"/>
    </row>
    <row r="25" spans="4:28" x14ac:dyDescent="0.3">
      <c r="D25" s="499"/>
      <c r="G25" s="254"/>
      <c r="J25" s="462"/>
      <c r="K25" s="252"/>
      <c r="L25" s="253"/>
      <c r="M25" s="496"/>
      <c r="U25" s="203"/>
      <c r="V25" s="204"/>
      <c r="W25" s="205"/>
      <c r="X25" s="467"/>
      <c r="Y25" s="206"/>
      <c r="Z25" s="207"/>
      <c r="AA25" s="490"/>
      <c r="AB25" s="208"/>
    </row>
    <row r="26" spans="4:28" x14ac:dyDescent="0.3">
      <c r="D26" s="499"/>
      <c r="G26" s="254"/>
      <c r="J26" s="462"/>
      <c r="K26" s="252"/>
      <c r="L26" s="253"/>
      <c r="M26" s="496"/>
      <c r="U26" s="203"/>
      <c r="V26" s="204"/>
      <c r="W26" s="205"/>
      <c r="X26" s="467"/>
      <c r="Y26" s="206"/>
      <c r="Z26" s="207"/>
      <c r="AA26" s="490"/>
      <c r="AB26" s="208"/>
    </row>
    <row r="27" spans="4:28" x14ac:dyDescent="0.3">
      <c r="D27" s="499"/>
      <c r="G27" s="250"/>
      <c r="J27" s="462"/>
      <c r="K27" s="252"/>
      <c r="L27" s="253"/>
      <c r="M27" s="496"/>
      <c r="U27" s="203"/>
      <c r="V27" s="204"/>
      <c r="W27" s="205"/>
      <c r="X27" s="467"/>
      <c r="Y27" s="206"/>
      <c r="Z27" s="207"/>
      <c r="AA27" s="490"/>
      <c r="AB27" s="208"/>
    </row>
    <row r="28" spans="4:28" x14ac:dyDescent="0.3">
      <c r="D28" s="499"/>
      <c r="G28" s="254"/>
      <c r="J28" s="462"/>
      <c r="K28" s="252"/>
      <c r="L28" s="253"/>
      <c r="M28" s="496"/>
      <c r="U28" s="203"/>
      <c r="V28" s="204"/>
      <c r="W28" s="205"/>
      <c r="X28" s="467"/>
      <c r="Y28" s="206"/>
      <c r="Z28" s="207"/>
      <c r="AA28" s="490"/>
      <c r="AB28" s="208"/>
    </row>
    <row r="29" spans="4:28" x14ac:dyDescent="0.3">
      <c r="D29" s="499"/>
      <c r="G29" s="254"/>
      <c r="J29" s="462"/>
      <c r="K29" s="252"/>
      <c r="L29" s="253"/>
      <c r="M29" s="496"/>
      <c r="U29" s="203"/>
      <c r="V29" s="204"/>
      <c r="W29" s="205"/>
      <c r="X29" s="467"/>
      <c r="Y29" s="206"/>
      <c r="Z29" s="207"/>
      <c r="AA29" s="490"/>
      <c r="AB29" s="208"/>
    </row>
    <row r="30" spans="4:28" x14ac:dyDescent="0.3">
      <c r="D30" s="499"/>
      <c r="G30" s="254"/>
      <c r="J30" s="462"/>
      <c r="K30" s="252"/>
      <c r="L30" s="253"/>
      <c r="M30" s="496"/>
      <c r="U30" s="203"/>
      <c r="V30" s="204"/>
      <c r="W30" s="205"/>
      <c r="X30" s="467"/>
      <c r="Y30" s="206"/>
      <c r="Z30" s="207"/>
      <c r="AA30" s="490"/>
      <c r="AB30" s="208"/>
    </row>
    <row r="31" spans="4:28" x14ac:dyDescent="0.3">
      <c r="D31" s="499"/>
      <c r="G31" s="250"/>
      <c r="J31" s="462"/>
      <c r="K31" s="252"/>
      <c r="L31" s="253"/>
      <c r="M31" s="496"/>
      <c r="U31" s="203"/>
      <c r="V31" s="204"/>
      <c r="W31" s="205"/>
      <c r="X31" s="467"/>
      <c r="Y31" s="206"/>
      <c r="Z31" s="207"/>
      <c r="AA31" s="490"/>
      <c r="AB31" s="208"/>
    </row>
    <row r="32" spans="4:28" x14ac:dyDescent="0.3">
      <c r="D32" s="499"/>
      <c r="G32" s="254"/>
      <c r="J32" s="462"/>
      <c r="K32" s="252"/>
      <c r="L32" s="253"/>
      <c r="M32" s="496"/>
      <c r="U32" s="203"/>
      <c r="V32" s="204"/>
      <c r="W32" s="205"/>
      <c r="X32" s="467"/>
      <c r="Y32" s="206"/>
      <c r="Z32" s="207"/>
      <c r="AA32" s="490"/>
      <c r="AB32" s="208"/>
    </row>
    <row r="33" spans="4:28" x14ac:dyDescent="0.3">
      <c r="D33" s="499"/>
      <c r="G33" s="254"/>
      <c r="J33" s="462"/>
      <c r="K33" s="252"/>
      <c r="L33" s="253"/>
      <c r="M33" s="496"/>
      <c r="U33" s="203"/>
      <c r="V33" s="204"/>
      <c r="W33" s="205"/>
      <c r="X33" s="467"/>
      <c r="Y33" s="206"/>
      <c r="Z33" s="207"/>
      <c r="AA33" s="490"/>
      <c r="AB33" s="208"/>
    </row>
    <row r="34" spans="4:28" x14ac:dyDescent="0.3">
      <c r="D34" s="499"/>
      <c r="G34" s="254"/>
      <c r="J34" s="462"/>
      <c r="K34" s="252"/>
      <c r="L34" s="253"/>
      <c r="M34" s="496"/>
      <c r="U34" s="203"/>
      <c r="V34" s="204"/>
      <c r="W34" s="205"/>
      <c r="X34" s="467"/>
      <c r="Y34" s="206"/>
      <c r="Z34" s="207"/>
      <c r="AA34" s="490"/>
      <c r="AB34" s="208"/>
    </row>
    <row r="35" spans="4:28" x14ac:dyDescent="0.3">
      <c r="D35" s="499"/>
      <c r="G35" s="250"/>
      <c r="J35" s="462"/>
      <c r="K35" s="252"/>
      <c r="L35" s="253"/>
      <c r="M35" s="496"/>
      <c r="U35" s="203"/>
      <c r="V35" s="204"/>
      <c r="W35" s="205"/>
      <c r="X35" s="467"/>
      <c r="Y35" s="206"/>
      <c r="Z35" s="207"/>
      <c r="AA35" s="490"/>
      <c r="AB35" s="208"/>
    </row>
    <row r="36" spans="4:28" x14ac:dyDescent="0.3">
      <c r="D36" s="499"/>
      <c r="G36" s="254"/>
      <c r="J36" s="462"/>
      <c r="K36" s="252"/>
      <c r="L36" s="253"/>
      <c r="M36" s="496"/>
      <c r="U36" s="203"/>
      <c r="V36" s="204"/>
      <c r="W36" s="205"/>
      <c r="X36" s="467"/>
      <c r="Y36" s="206"/>
      <c r="Z36" s="207"/>
      <c r="AA36" s="490"/>
      <c r="AB36" s="208"/>
    </row>
    <row r="37" spans="4:28" x14ac:dyDescent="0.3">
      <c r="D37" s="499"/>
      <c r="G37" s="254"/>
      <c r="J37" s="462"/>
      <c r="K37" s="252"/>
      <c r="L37" s="253"/>
      <c r="M37" s="496"/>
      <c r="U37" s="203"/>
      <c r="V37" s="204"/>
      <c r="W37" s="205"/>
      <c r="X37" s="467"/>
      <c r="Y37" s="206"/>
      <c r="Z37" s="207"/>
      <c r="AA37" s="490"/>
      <c r="AB37" s="208"/>
    </row>
    <row r="38" spans="4:28" x14ac:dyDescent="0.3">
      <c r="D38" s="499"/>
      <c r="G38" s="254"/>
      <c r="J38" s="462"/>
      <c r="K38" s="252"/>
      <c r="L38" s="253"/>
      <c r="M38" s="496"/>
      <c r="U38" s="203"/>
      <c r="V38" s="204"/>
      <c r="W38" s="205"/>
      <c r="X38" s="467"/>
      <c r="Y38" s="206"/>
      <c r="Z38" s="207"/>
      <c r="AA38" s="490"/>
      <c r="AB38" s="208"/>
    </row>
    <row r="39" spans="4:28" x14ac:dyDescent="0.3">
      <c r="D39" s="499"/>
      <c r="G39" s="250"/>
      <c r="J39" s="462"/>
      <c r="K39" s="252"/>
      <c r="L39" s="253"/>
      <c r="M39" s="496"/>
      <c r="U39" s="203"/>
      <c r="V39" s="204"/>
      <c r="W39" s="205"/>
      <c r="X39" s="467"/>
      <c r="Y39" s="206"/>
      <c r="Z39" s="207"/>
      <c r="AA39" s="490"/>
      <c r="AB39" s="208"/>
    </row>
    <row r="40" spans="4:28" x14ac:dyDescent="0.3">
      <c r="D40" s="499"/>
      <c r="G40" s="254"/>
      <c r="J40" s="462"/>
      <c r="K40" s="252"/>
      <c r="L40" s="253"/>
      <c r="M40" s="496"/>
      <c r="U40" s="203"/>
      <c r="V40" s="204"/>
      <c r="W40" s="205"/>
      <c r="X40" s="467"/>
      <c r="Y40" s="206"/>
      <c r="Z40" s="207"/>
      <c r="AA40" s="490"/>
      <c r="AB40" s="208"/>
    </row>
    <row r="41" spans="4:28" x14ac:dyDescent="0.3">
      <c r="D41" s="499"/>
      <c r="G41" s="254"/>
      <c r="J41" s="462"/>
      <c r="K41" s="252"/>
      <c r="L41" s="253"/>
      <c r="M41" s="496"/>
      <c r="U41" s="203"/>
      <c r="V41" s="204"/>
      <c r="W41" s="205"/>
      <c r="X41" s="467"/>
      <c r="Y41" s="206"/>
      <c r="Z41" s="207"/>
      <c r="AA41" s="490"/>
      <c r="AB41" s="208"/>
    </row>
    <row r="42" spans="4:28" x14ac:dyDescent="0.3">
      <c r="D42" s="499"/>
      <c r="G42" s="254"/>
      <c r="J42" s="462"/>
      <c r="K42" s="252"/>
      <c r="L42" s="253"/>
      <c r="M42" s="496"/>
      <c r="U42" s="203"/>
      <c r="V42" s="204"/>
      <c r="W42" s="205"/>
      <c r="X42" s="467"/>
      <c r="Y42" s="206"/>
      <c r="Z42" s="207"/>
      <c r="AA42" s="490"/>
      <c r="AB42" s="208"/>
    </row>
    <row r="43" spans="4:28" x14ac:dyDescent="0.3">
      <c r="D43" s="499"/>
      <c r="G43" s="250"/>
      <c r="J43" s="462"/>
      <c r="K43" s="252"/>
      <c r="L43" s="253"/>
      <c r="M43" s="496"/>
      <c r="U43" s="203"/>
      <c r="V43" s="204"/>
      <c r="W43" s="205"/>
      <c r="X43" s="467"/>
      <c r="Y43" s="206"/>
      <c r="Z43" s="207"/>
      <c r="AA43" s="490"/>
      <c r="AB43" s="208"/>
    </row>
    <row r="44" spans="4:28" x14ac:dyDescent="0.3">
      <c r="D44" s="499"/>
      <c r="G44" s="254"/>
      <c r="J44" s="462"/>
      <c r="K44" s="252"/>
      <c r="L44" s="253"/>
      <c r="M44" s="496"/>
      <c r="U44" s="203"/>
      <c r="V44" s="204"/>
      <c r="W44" s="205"/>
      <c r="X44" s="467"/>
      <c r="Y44" s="206"/>
      <c r="Z44" s="207"/>
      <c r="AA44" s="490"/>
      <c r="AB44" s="208"/>
    </row>
    <row r="45" spans="4:28" x14ac:dyDescent="0.3">
      <c r="D45" s="499"/>
      <c r="G45" s="254"/>
      <c r="J45" s="462"/>
      <c r="K45" s="252"/>
      <c r="L45" s="253"/>
      <c r="M45" s="496"/>
      <c r="U45" s="203"/>
      <c r="V45" s="204"/>
      <c r="W45" s="205"/>
      <c r="X45" s="467"/>
      <c r="Y45" s="206"/>
      <c r="Z45" s="207"/>
      <c r="AA45" s="490"/>
      <c r="AB45" s="208"/>
    </row>
    <row r="46" spans="4:28" x14ac:dyDescent="0.3">
      <c r="D46" s="499"/>
      <c r="G46" s="254"/>
      <c r="J46" s="462"/>
      <c r="K46" s="252"/>
      <c r="L46" s="253"/>
      <c r="M46" s="496"/>
      <c r="U46" s="203"/>
      <c r="V46" s="204"/>
      <c r="W46" s="205"/>
      <c r="X46" s="467"/>
      <c r="Y46" s="206"/>
      <c r="Z46" s="207"/>
      <c r="AA46" s="490"/>
      <c r="AB46" s="208"/>
    </row>
    <row r="47" spans="4:28" x14ac:dyDescent="0.3">
      <c r="D47" s="499"/>
      <c r="G47" s="250"/>
      <c r="J47" s="462"/>
      <c r="K47" s="252"/>
      <c r="L47" s="253"/>
      <c r="M47" s="496"/>
      <c r="U47" s="203"/>
      <c r="V47" s="204"/>
      <c r="W47" s="205"/>
      <c r="X47" s="467"/>
      <c r="Y47" s="206"/>
      <c r="Z47" s="207"/>
      <c r="AA47" s="490"/>
      <c r="AB47" s="208"/>
    </row>
    <row r="48" spans="4:28" x14ac:dyDescent="0.3">
      <c r="D48" s="499"/>
      <c r="G48" s="254"/>
      <c r="J48" s="462"/>
      <c r="K48" s="252"/>
      <c r="L48" s="253"/>
      <c r="M48" s="496"/>
      <c r="U48" s="203"/>
      <c r="V48" s="204"/>
      <c r="W48" s="205"/>
      <c r="X48" s="467"/>
      <c r="Y48" s="206"/>
      <c r="Z48" s="207"/>
      <c r="AA48" s="490"/>
      <c r="AB48" s="208"/>
    </row>
    <row r="49" spans="4:28" x14ac:dyDescent="0.3">
      <c r="D49" s="499"/>
      <c r="G49" s="254"/>
      <c r="J49" s="462"/>
      <c r="K49" s="252"/>
      <c r="L49" s="253"/>
      <c r="M49" s="496"/>
      <c r="U49" s="203"/>
      <c r="V49" s="204"/>
      <c r="W49" s="205"/>
      <c r="X49" s="467"/>
      <c r="Y49" s="206"/>
      <c r="Z49" s="207"/>
      <c r="AA49" s="490"/>
      <c r="AB49" s="208"/>
    </row>
    <row r="50" spans="4:28" x14ac:dyDescent="0.3">
      <c r="D50" s="499"/>
      <c r="G50" s="254"/>
      <c r="J50" s="462"/>
      <c r="K50" s="252"/>
      <c r="L50" s="253"/>
      <c r="M50" s="496"/>
      <c r="U50" s="203"/>
      <c r="V50" s="204"/>
      <c r="W50" s="205"/>
      <c r="X50" s="467"/>
      <c r="Y50" s="206"/>
      <c r="Z50" s="207"/>
      <c r="AA50" s="490"/>
      <c r="AB50" s="208"/>
    </row>
    <row r="51" spans="4:28" x14ac:dyDescent="0.3">
      <c r="D51" s="499"/>
      <c r="G51" s="250"/>
      <c r="J51" s="462"/>
      <c r="K51" s="252"/>
      <c r="L51" s="253"/>
      <c r="M51" s="496"/>
      <c r="U51" s="203"/>
      <c r="V51" s="204"/>
      <c r="W51" s="205"/>
      <c r="X51" s="467"/>
      <c r="Y51" s="206"/>
      <c r="Z51" s="207"/>
      <c r="AA51" s="490"/>
      <c r="AB51" s="208"/>
    </row>
    <row r="52" spans="4:28" x14ac:dyDescent="0.3">
      <c r="D52" s="499"/>
      <c r="G52" s="254"/>
      <c r="J52" s="462"/>
      <c r="K52" s="252"/>
      <c r="L52" s="253"/>
      <c r="M52" s="496"/>
      <c r="U52" s="203"/>
      <c r="V52" s="204"/>
      <c r="W52" s="205"/>
      <c r="X52" s="467"/>
      <c r="Y52" s="206"/>
      <c r="Z52" s="207"/>
      <c r="AA52" s="490"/>
      <c r="AB52" s="208"/>
    </row>
    <row r="53" spans="4:28" x14ac:dyDescent="0.3">
      <c r="D53" s="499"/>
      <c r="G53" s="254"/>
      <c r="J53" s="462"/>
      <c r="K53" s="252"/>
      <c r="L53" s="253"/>
      <c r="M53" s="496"/>
      <c r="U53" s="203"/>
      <c r="V53" s="204"/>
      <c r="W53" s="205"/>
      <c r="X53" s="467"/>
      <c r="Y53" s="206"/>
      <c r="Z53" s="207"/>
      <c r="AA53" s="490"/>
      <c r="AB53" s="208"/>
    </row>
    <row r="54" spans="4:28" x14ac:dyDescent="0.3">
      <c r="D54" s="499"/>
      <c r="G54" s="254"/>
      <c r="J54" s="462"/>
      <c r="K54" s="252"/>
      <c r="L54" s="253"/>
      <c r="M54" s="496"/>
      <c r="U54" s="203"/>
      <c r="V54" s="204"/>
      <c r="W54" s="205"/>
      <c r="X54" s="467"/>
      <c r="Y54" s="206"/>
      <c r="Z54" s="207"/>
      <c r="AA54" s="490"/>
      <c r="AB54" s="208"/>
    </row>
    <row r="55" spans="4:28" x14ac:dyDescent="0.3">
      <c r="D55" s="499"/>
      <c r="G55" s="250"/>
      <c r="J55" s="462"/>
      <c r="K55" s="252"/>
      <c r="L55" s="253"/>
      <c r="M55" s="496"/>
      <c r="U55" s="203"/>
      <c r="V55" s="204"/>
      <c r="W55" s="205"/>
      <c r="X55" s="467"/>
      <c r="Y55" s="206"/>
      <c r="Z55" s="207"/>
      <c r="AA55" s="490"/>
      <c r="AB55" s="208"/>
    </row>
    <row r="56" spans="4:28" x14ac:dyDescent="0.3">
      <c r="D56" s="499"/>
      <c r="G56" s="254"/>
      <c r="J56" s="462"/>
      <c r="K56" s="252"/>
      <c r="L56" s="253"/>
      <c r="M56" s="496"/>
      <c r="U56" s="203"/>
      <c r="V56" s="204"/>
      <c r="W56" s="205"/>
      <c r="X56" s="467"/>
      <c r="Y56" s="206"/>
      <c r="Z56" s="207"/>
      <c r="AA56" s="490"/>
      <c r="AB56" s="208"/>
    </row>
    <row r="57" spans="4:28" x14ac:dyDescent="0.3">
      <c r="D57" s="499"/>
      <c r="G57" s="254"/>
      <c r="J57" s="462"/>
      <c r="K57" s="252"/>
      <c r="L57" s="253"/>
      <c r="M57" s="496"/>
      <c r="U57" s="203"/>
      <c r="V57" s="204"/>
      <c r="W57" s="205"/>
      <c r="X57" s="467"/>
      <c r="Y57" s="206"/>
      <c r="Z57" s="207"/>
      <c r="AA57" s="490"/>
      <c r="AB57" s="208"/>
    </row>
    <row r="58" spans="4:28" x14ac:dyDescent="0.3">
      <c r="D58" s="499"/>
      <c r="G58" s="254"/>
      <c r="J58" s="462"/>
      <c r="K58" s="252"/>
      <c r="L58" s="253"/>
      <c r="M58" s="496"/>
      <c r="U58" s="203"/>
      <c r="V58" s="204"/>
      <c r="W58" s="205"/>
      <c r="X58" s="467"/>
      <c r="Y58" s="206"/>
      <c r="Z58" s="207"/>
      <c r="AA58" s="490"/>
      <c r="AB58" s="208"/>
    </row>
    <row r="59" spans="4:28" x14ac:dyDescent="0.3">
      <c r="U59" s="203"/>
      <c r="V59" s="204"/>
      <c r="W59" s="205"/>
      <c r="X59" s="467"/>
      <c r="Y59" s="206"/>
      <c r="Z59" s="207"/>
      <c r="AA59" s="490"/>
      <c r="AB59" s="208"/>
    </row>
    <row r="60" spans="4:28" x14ac:dyDescent="0.3">
      <c r="U60" s="203"/>
      <c r="V60" s="204"/>
      <c r="W60" s="205"/>
      <c r="X60" s="467"/>
      <c r="Y60" s="206"/>
      <c r="Z60" s="207"/>
      <c r="AA60" s="490"/>
      <c r="AB60" s="208"/>
    </row>
    <row r="61" spans="4:28" x14ac:dyDescent="0.3">
      <c r="U61" s="203"/>
      <c r="V61" s="204"/>
      <c r="W61" s="205"/>
      <c r="X61" s="467"/>
      <c r="Y61" s="206"/>
      <c r="Z61" s="207"/>
      <c r="AA61" s="490"/>
      <c r="AB61" s="208"/>
    </row>
    <row r="62" spans="4:28" x14ac:dyDescent="0.3">
      <c r="U62" s="203"/>
      <c r="V62" s="204"/>
      <c r="W62" s="205"/>
      <c r="X62" s="467"/>
      <c r="Y62" s="206"/>
      <c r="Z62" s="207"/>
      <c r="AA62" s="490"/>
      <c r="AB62" s="208"/>
    </row>
    <row r="63" spans="4:28" x14ac:dyDescent="0.3">
      <c r="U63" s="203"/>
      <c r="V63" s="204"/>
      <c r="W63" s="205"/>
      <c r="X63" s="467"/>
      <c r="Y63" s="206"/>
      <c r="Z63" s="207"/>
      <c r="AA63" s="490"/>
      <c r="AB63" s="208"/>
    </row>
    <row r="64" spans="4:28" x14ac:dyDescent="0.3">
      <c r="U64" s="203"/>
      <c r="V64" s="204"/>
      <c r="W64" s="205"/>
      <c r="X64" s="467"/>
      <c r="Y64" s="206"/>
      <c r="Z64" s="207"/>
      <c r="AA64" s="490"/>
      <c r="AB64" s="208"/>
    </row>
    <row r="65" spans="21:28" x14ac:dyDescent="0.3">
      <c r="U65" s="203"/>
      <c r="V65" s="204"/>
      <c r="W65" s="205"/>
      <c r="X65" s="467"/>
      <c r="Y65" s="206"/>
      <c r="Z65" s="207"/>
      <c r="AA65" s="490"/>
      <c r="AB65" s="208"/>
    </row>
    <row r="66" spans="21:28" x14ac:dyDescent="0.3">
      <c r="U66" s="203"/>
      <c r="V66" s="204"/>
      <c r="W66" s="205"/>
      <c r="X66" s="467"/>
      <c r="Y66" s="206"/>
      <c r="Z66" s="207"/>
      <c r="AA66" s="490"/>
      <c r="AB66" s="208"/>
    </row>
    <row r="67" spans="21:28" x14ac:dyDescent="0.3">
      <c r="U67" s="203"/>
      <c r="V67" s="204"/>
      <c r="W67" s="205"/>
      <c r="X67" s="467"/>
      <c r="Y67" s="206"/>
      <c r="Z67" s="207"/>
      <c r="AA67" s="490"/>
      <c r="AB67" s="208"/>
    </row>
    <row r="68" spans="21:28" x14ac:dyDescent="0.3">
      <c r="U68" s="203"/>
      <c r="V68" s="204"/>
      <c r="W68" s="205"/>
      <c r="X68" s="467"/>
      <c r="Y68" s="206"/>
      <c r="Z68" s="207"/>
      <c r="AA68" s="490"/>
      <c r="AB68" s="208"/>
    </row>
    <row r="69" spans="21:28" x14ac:dyDescent="0.3">
      <c r="U69" s="203"/>
      <c r="V69" s="204"/>
      <c r="W69" s="205"/>
      <c r="X69" s="467"/>
      <c r="Y69" s="206"/>
      <c r="Z69" s="207"/>
      <c r="AA69" s="490"/>
      <c r="AB69" s="208"/>
    </row>
    <row r="70" spans="21:28" x14ac:dyDescent="0.3">
      <c r="U70" s="203"/>
      <c r="V70" s="204"/>
      <c r="W70" s="205"/>
      <c r="X70" s="467"/>
      <c r="Y70" s="206"/>
      <c r="Z70" s="207"/>
      <c r="AA70" s="490"/>
      <c r="AB70" s="208"/>
    </row>
    <row r="71" spans="21:28" x14ac:dyDescent="0.3">
      <c r="U71" s="203"/>
      <c r="V71" s="204"/>
      <c r="W71" s="205"/>
      <c r="X71" s="467"/>
      <c r="Y71" s="206"/>
      <c r="Z71" s="207"/>
      <c r="AA71" s="490"/>
      <c r="AB71" s="208"/>
    </row>
    <row r="72" spans="21:28" x14ac:dyDescent="0.3">
      <c r="U72" s="203"/>
      <c r="V72" s="204"/>
      <c r="W72" s="205"/>
      <c r="X72" s="467"/>
      <c r="Y72" s="206"/>
      <c r="Z72" s="207"/>
      <c r="AA72" s="490"/>
      <c r="AB72" s="208"/>
    </row>
    <row r="73" spans="21:28" x14ac:dyDescent="0.3">
      <c r="U73" s="203"/>
      <c r="V73" s="204"/>
      <c r="W73" s="205"/>
      <c r="X73" s="467"/>
      <c r="Y73" s="206"/>
      <c r="Z73" s="207"/>
      <c r="AA73" s="490"/>
      <c r="AB73" s="208"/>
    </row>
    <row r="74" spans="21:28" x14ac:dyDescent="0.3">
      <c r="U74" s="203"/>
      <c r="V74" s="204"/>
      <c r="W74" s="205"/>
      <c r="X74" s="467"/>
      <c r="Y74" s="206"/>
      <c r="Z74" s="207"/>
      <c r="AA74" s="490"/>
      <c r="AB74" s="208"/>
    </row>
    <row r="75" spans="21:28" x14ac:dyDescent="0.3">
      <c r="U75" s="203"/>
      <c r="V75" s="204"/>
      <c r="W75" s="205"/>
      <c r="X75" s="467"/>
      <c r="Y75" s="206"/>
      <c r="Z75" s="207"/>
      <c r="AA75" s="490"/>
      <c r="AB75" s="208"/>
    </row>
    <row r="76" spans="21:28" x14ac:dyDescent="0.3">
      <c r="U76" s="203"/>
      <c r="V76" s="204"/>
      <c r="W76" s="205"/>
      <c r="X76" s="467"/>
      <c r="Y76" s="206"/>
      <c r="Z76" s="207"/>
      <c r="AA76" s="490"/>
      <c r="AB76" s="208"/>
    </row>
    <row r="77" spans="21:28" x14ac:dyDescent="0.3">
      <c r="U77" s="203"/>
      <c r="V77" s="204"/>
      <c r="W77" s="205"/>
      <c r="X77" s="467"/>
      <c r="Y77" s="206"/>
      <c r="Z77" s="207"/>
      <c r="AA77" s="490"/>
      <c r="AB77" s="208"/>
    </row>
    <row r="78" spans="21:28" x14ac:dyDescent="0.3">
      <c r="U78" s="203"/>
      <c r="V78" s="204"/>
      <c r="W78" s="205"/>
      <c r="X78" s="467"/>
      <c r="Y78" s="206"/>
      <c r="Z78" s="207"/>
      <c r="AA78" s="490"/>
      <c r="AB78" s="208"/>
    </row>
    <row r="79" spans="21:28" x14ac:dyDescent="0.3">
      <c r="U79" s="203"/>
      <c r="V79" s="204"/>
      <c r="W79" s="205"/>
      <c r="X79" s="467"/>
      <c r="Y79" s="206"/>
      <c r="Z79" s="207"/>
      <c r="AA79" s="490"/>
      <c r="AB79" s="208"/>
    </row>
    <row r="80" spans="21:28" x14ac:dyDescent="0.3">
      <c r="U80" s="203"/>
      <c r="V80" s="204"/>
      <c r="W80" s="205"/>
      <c r="X80" s="467"/>
      <c r="Y80" s="206"/>
      <c r="Z80" s="207"/>
      <c r="AA80" s="490"/>
      <c r="AB80" s="208"/>
    </row>
    <row r="81" spans="21:28" x14ac:dyDescent="0.3">
      <c r="U81" s="203"/>
      <c r="V81" s="204"/>
      <c r="W81" s="205"/>
      <c r="X81" s="467"/>
      <c r="Y81" s="206"/>
      <c r="Z81" s="207"/>
      <c r="AA81" s="490"/>
      <c r="AB81" s="208"/>
    </row>
    <row r="82" spans="21:28" x14ac:dyDescent="0.3">
      <c r="U82" s="203"/>
      <c r="V82" s="204"/>
      <c r="W82" s="205"/>
      <c r="X82" s="467"/>
      <c r="Y82" s="206"/>
      <c r="Z82" s="207"/>
      <c r="AA82" s="490"/>
      <c r="AB82" s="208"/>
    </row>
    <row r="83" spans="21:28" x14ac:dyDescent="0.3">
      <c r="U83" s="203"/>
      <c r="V83" s="204"/>
      <c r="W83" s="205"/>
      <c r="X83" s="467"/>
      <c r="Y83" s="206"/>
      <c r="Z83" s="207"/>
      <c r="AA83" s="490"/>
      <c r="AB83" s="208"/>
    </row>
    <row r="84" spans="21:28" x14ac:dyDescent="0.3">
      <c r="U84" s="203"/>
      <c r="V84" s="204"/>
      <c r="W84" s="205"/>
      <c r="X84" s="467"/>
      <c r="Y84" s="206"/>
      <c r="Z84" s="207"/>
      <c r="AA84" s="490"/>
      <c r="AB84" s="208"/>
    </row>
    <row r="85" spans="21:28" x14ac:dyDescent="0.3">
      <c r="U85" s="203"/>
      <c r="V85" s="204"/>
      <c r="W85" s="205"/>
      <c r="X85" s="467"/>
      <c r="Y85" s="206"/>
      <c r="Z85" s="207"/>
      <c r="AA85" s="490"/>
      <c r="AB85" s="208"/>
    </row>
    <row r="86" spans="21:28" x14ac:dyDescent="0.3">
      <c r="U86" s="203"/>
      <c r="V86" s="204"/>
      <c r="W86" s="205"/>
      <c r="X86" s="467"/>
      <c r="Y86" s="206"/>
      <c r="Z86" s="207"/>
      <c r="AA86" s="490"/>
      <c r="AB86" s="208"/>
    </row>
    <row r="87" spans="21:28" x14ac:dyDescent="0.3">
      <c r="U87" s="203"/>
      <c r="V87" s="204"/>
      <c r="W87" s="205"/>
      <c r="X87" s="467"/>
      <c r="Y87" s="206"/>
      <c r="Z87" s="207"/>
      <c r="AA87" s="490"/>
      <c r="AB87" s="208"/>
    </row>
    <row r="88" spans="21:28" x14ac:dyDescent="0.3">
      <c r="U88" s="203"/>
      <c r="V88" s="204"/>
      <c r="W88" s="205"/>
      <c r="X88" s="467"/>
      <c r="Y88" s="206"/>
      <c r="Z88" s="207"/>
      <c r="AA88" s="490"/>
      <c r="AB88" s="208"/>
    </row>
    <row r="89" spans="21:28" x14ac:dyDescent="0.3">
      <c r="U89" s="203"/>
      <c r="V89" s="204"/>
      <c r="W89" s="205"/>
      <c r="X89" s="467"/>
      <c r="Y89" s="206"/>
      <c r="Z89" s="207"/>
      <c r="AA89" s="490"/>
      <c r="AB89" s="208"/>
    </row>
    <row r="90" spans="21:28" x14ac:dyDescent="0.3">
      <c r="U90" s="203"/>
      <c r="V90" s="204"/>
      <c r="W90" s="205"/>
      <c r="X90" s="467"/>
      <c r="Y90" s="206"/>
      <c r="Z90" s="207"/>
      <c r="AA90" s="490"/>
      <c r="AB90" s="208"/>
    </row>
    <row r="91" spans="21:28" x14ac:dyDescent="0.3">
      <c r="U91" s="203"/>
      <c r="V91" s="204"/>
      <c r="W91" s="205"/>
      <c r="X91" s="467"/>
      <c r="Y91" s="206"/>
      <c r="Z91" s="207"/>
      <c r="AA91" s="490"/>
      <c r="AB91" s="208"/>
    </row>
    <row r="92" spans="21:28" x14ac:dyDescent="0.3">
      <c r="U92" s="203"/>
      <c r="V92" s="204"/>
      <c r="W92" s="205"/>
      <c r="X92" s="467"/>
      <c r="Y92" s="206"/>
      <c r="Z92" s="207"/>
      <c r="AA92" s="490"/>
      <c r="AB92" s="208"/>
    </row>
    <row r="93" spans="21:28" x14ac:dyDescent="0.3">
      <c r="U93" s="203"/>
      <c r="V93" s="204"/>
      <c r="W93" s="205"/>
      <c r="X93" s="467"/>
      <c r="Y93" s="206"/>
      <c r="Z93" s="207"/>
      <c r="AA93" s="490"/>
      <c r="AB93" s="208"/>
    </row>
    <row r="94" spans="21:28" x14ac:dyDescent="0.3">
      <c r="U94" s="203"/>
      <c r="V94" s="204"/>
      <c r="W94" s="205"/>
      <c r="X94" s="467"/>
      <c r="Y94" s="206"/>
      <c r="Z94" s="207"/>
      <c r="AA94" s="490"/>
      <c r="AB94" s="208"/>
    </row>
    <row r="95" spans="21:28" x14ac:dyDescent="0.3">
      <c r="U95" s="203"/>
      <c r="V95" s="204"/>
      <c r="W95" s="205"/>
      <c r="X95" s="467"/>
      <c r="Y95" s="206"/>
      <c r="Z95" s="207"/>
      <c r="AA95" s="490"/>
      <c r="AB95" s="208"/>
    </row>
    <row r="96" spans="21:28" x14ac:dyDescent="0.3">
      <c r="U96" s="203"/>
      <c r="V96" s="204"/>
      <c r="W96" s="205"/>
      <c r="X96" s="467"/>
      <c r="Y96" s="206"/>
      <c r="Z96" s="207"/>
      <c r="AA96" s="490"/>
      <c r="AB96" s="208"/>
    </row>
    <row r="97" spans="21:28" x14ac:dyDescent="0.3">
      <c r="U97" s="203"/>
      <c r="V97" s="204"/>
      <c r="W97" s="205"/>
      <c r="X97" s="467"/>
      <c r="Y97" s="206"/>
      <c r="Z97" s="207"/>
      <c r="AA97" s="490"/>
      <c r="AB97" s="208"/>
    </row>
    <row r="98" spans="21:28" x14ac:dyDescent="0.3">
      <c r="U98" s="203"/>
      <c r="V98" s="204"/>
      <c r="W98" s="205"/>
      <c r="X98" s="467"/>
      <c r="Y98" s="206"/>
      <c r="Z98" s="207"/>
      <c r="AA98" s="490"/>
      <c r="AB98" s="208"/>
    </row>
    <row r="99" spans="21:28" x14ac:dyDescent="0.3">
      <c r="U99" s="203"/>
      <c r="V99" s="204"/>
      <c r="W99" s="205"/>
      <c r="X99" s="467"/>
      <c r="Y99" s="206"/>
      <c r="Z99" s="207"/>
      <c r="AA99" s="490"/>
      <c r="AB99" s="208"/>
    </row>
    <row r="100" spans="21:28" x14ac:dyDescent="0.3">
      <c r="U100" s="203"/>
      <c r="V100" s="204"/>
      <c r="W100" s="205"/>
      <c r="X100" s="467"/>
      <c r="Y100" s="206"/>
      <c r="Z100" s="207"/>
      <c r="AA100" s="490"/>
      <c r="AB100" s="208"/>
    </row>
    <row r="101" spans="21:28" x14ac:dyDescent="0.3">
      <c r="U101" s="203"/>
      <c r="V101" s="204"/>
      <c r="W101" s="205"/>
      <c r="X101" s="467"/>
      <c r="Y101" s="206"/>
      <c r="Z101" s="207"/>
      <c r="AA101" s="490"/>
      <c r="AB101" s="208"/>
    </row>
    <row r="102" spans="21:28" x14ac:dyDescent="0.3">
      <c r="U102" s="203"/>
      <c r="V102" s="204"/>
      <c r="W102" s="205"/>
      <c r="X102" s="467"/>
      <c r="Y102" s="206"/>
      <c r="Z102" s="207"/>
      <c r="AA102" s="490"/>
      <c r="AB102" s="208"/>
    </row>
    <row r="103" spans="21:28" x14ac:dyDescent="0.3">
      <c r="U103" s="203"/>
      <c r="V103" s="204"/>
      <c r="W103" s="205"/>
      <c r="X103" s="467"/>
      <c r="Y103" s="206"/>
      <c r="Z103" s="207"/>
      <c r="AA103" s="490"/>
      <c r="AB103" s="208"/>
    </row>
    <row r="104" spans="21:28" x14ac:dyDescent="0.3">
      <c r="U104" s="203"/>
      <c r="V104" s="204"/>
      <c r="W104" s="205"/>
      <c r="X104" s="467"/>
      <c r="Y104" s="206"/>
      <c r="Z104" s="207"/>
      <c r="AA104" s="490"/>
      <c r="AB104" s="208"/>
    </row>
    <row r="105" spans="21:28" x14ac:dyDescent="0.3">
      <c r="U105" s="203"/>
      <c r="V105" s="204"/>
      <c r="W105" s="205"/>
      <c r="X105" s="467"/>
      <c r="Y105" s="206"/>
      <c r="Z105" s="207"/>
      <c r="AA105" s="490"/>
      <c r="AB105" s="208"/>
    </row>
    <row r="106" spans="21:28" x14ac:dyDescent="0.3">
      <c r="U106" s="203"/>
      <c r="V106" s="204"/>
      <c r="W106" s="205"/>
      <c r="X106" s="467"/>
      <c r="Y106" s="206"/>
      <c r="Z106" s="207"/>
      <c r="AA106" s="490"/>
      <c r="AB106" s="208"/>
    </row>
    <row r="107" spans="21:28" x14ac:dyDescent="0.3">
      <c r="U107" s="203"/>
      <c r="V107" s="204"/>
      <c r="W107" s="205"/>
      <c r="X107" s="467"/>
      <c r="Y107" s="206"/>
      <c r="Z107" s="207"/>
      <c r="AA107" s="490"/>
      <c r="AB107" s="208"/>
    </row>
    <row r="108" spans="21:28" x14ac:dyDescent="0.3">
      <c r="U108" s="203"/>
      <c r="V108" s="204"/>
      <c r="W108" s="205"/>
      <c r="X108" s="467"/>
      <c r="Y108" s="206"/>
      <c r="Z108" s="207"/>
      <c r="AA108" s="490"/>
      <c r="AB108" s="208"/>
    </row>
    <row r="109" spans="21:28" x14ac:dyDescent="0.3">
      <c r="U109" s="203"/>
      <c r="V109" s="204"/>
      <c r="W109" s="205"/>
      <c r="X109" s="467"/>
      <c r="Y109" s="206"/>
      <c r="Z109" s="207"/>
      <c r="AA109" s="490"/>
      <c r="AB109" s="208"/>
    </row>
    <row r="110" spans="21:28" x14ac:dyDescent="0.3">
      <c r="U110" s="203"/>
      <c r="V110" s="204"/>
      <c r="W110" s="205"/>
      <c r="X110" s="467"/>
      <c r="Y110" s="206"/>
      <c r="Z110" s="207"/>
      <c r="AA110" s="490"/>
      <c r="AB110" s="208"/>
    </row>
    <row r="111" spans="21:28" x14ac:dyDescent="0.3">
      <c r="U111" s="203"/>
      <c r="V111" s="204"/>
      <c r="W111" s="205"/>
      <c r="X111" s="467"/>
      <c r="Y111" s="206"/>
      <c r="Z111" s="207"/>
      <c r="AA111" s="490"/>
      <c r="AB111" s="208"/>
    </row>
    <row r="112" spans="21:28" x14ac:dyDescent="0.3">
      <c r="U112" s="203"/>
      <c r="V112" s="204"/>
      <c r="W112" s="205"/>
      <c r="X112" s="467"/>
      <c r="Y112" s="206"/>
      <c r="Z112" s="207"/>
      <c r="AA112" s="490"/>
      <c r="AB112" s="208"/>
    </row>
    <row r="113" spans="21:28" x14ac:dyDescent="0.3">
      <c r="U113" s="203"/>
      <c r="V113" s="204"/>
      <c r="W113" s="205"/>
      <c r="X113" s="467"/>
      <c r="Y113" s="206"/>
      <c r="Z113" s="207"/>
      <c r="AA113" s="490"/>
      <c r="AB113" s="208"/>
    </row>
    <row r="114" spans="21:28" x14ac:dyDescent="0.3">
      <c r="U114" s="203"/>
      <c r="V114" s="204"/>
      <c r="W114" s="205"/>
      <c r="X114" s="467"/>
      <c r="Y114" s="206"/>
      <c r="Z114" s="207"/>
      <c r="AA114" s="490"/>
      <c r="AB114" s="208"/>
    </row>
    <row r="115" spans="21:28" x14ac:dyDescent="0.3">
      <c r="U115" s="203"/>
      <c r="V115" s="204"/>
      <c r="W115" s="205"/>
      <c r="X115" s="467"/>
      <c r="Y115" s="206"/>
      <c r="Z115" s="207"/>
      <c r="AA115" s="490"/>
      <c r="AB115" s="208"/>
    </row>
    <row r="116" spans="21:28" x14ac:dyDescent="0.3">
      <c r="U116" s="203"/>
      <c r="V116" s="204"/>
      <c r="W116" s="205"/>
      <c r="X116" s="467"/>
      <c r="Y116" s="206"/>
      <c r="Z116" s="207"/>
      <c r="AA116" s="490"/>
      <c r="AB116" s="208"/>
    </row>
    <row r="117" spans="21:28" x14ac:dyDescent="0.3">
      <c r="U117" s="203"/>
      <c r="V117" s="204"/>
      <c r="W117" s="205"/>
      <c r="X117" s="467"/>
      <c r="Y117" s="206"/>
      <c r="Z117" s="207"/>
      <c r="AA117" s="490"/>
      <c r="AB117" s="208"/>
    </row>
    <row r="118" spans="21:28" x14ac:dyDescent="0.3">
      <c r="U118" s="203"/>
      <c r="V118" s="204"/>
      <c r="W118" s="205"/>
      <c r="X118" s="467"/>
      <c r="Y118" s="206"/>
      <c r="Z118" s="207"/>
      <c r="AA118" s="490"/>
      <c r="AB118" s="208"/>
    </row>
    <row r="119" spans="21:28" x14ac:dyDescent="0.3">
      <c r="U119" s="203"/>
      <c r="V119" s="204"/>
      <c r="W119" s="205"/>
      <c r="X119" s="467"/>
      <c r="Y119" s="206"/>
      <c r="Z119" s="207"/>
      <c r="AA119" s="490"/>
      <c r="AB119" s="208"/>
    </row>
    <row r="120" spans="21:28" x14ac:dyDescent="0.3">
      <c r="U120" s="203"/>
      <c r="V120" s="204"/>
      <c r="W120" s="205"/>
      <c r="X120" s="467"/>
      <c r="Y120" s="206"/>
      <c r="Z120" s="207"/>
      <c r="AA120" s="490"/>
      <c r="AB120" s="208"/>
    </row>
    <row r="121" spans="21:28" x14ac:dyDescent="0.3">
      <c r="U121" s="203"/>
      <c r="V121" s="204"/>
      <c r="W121" s="205"/>
      <c r="X121" s="467"/>
      <c r="Y121" s="206"/>
      <c r="Z121" s="207"/>
      <c r="AA121" s="490"/>
      <c r="AB121" s="208"/>
    </row>
    <row r="122" spans="21:28" x14ac:dyDescent="0.3">
      <c r="U122" s="203"/>
      <c r="V122" s="204"/>
      <c r="W122" s="205"/>
      <c r="X122" s="467"/>
      <c r="Y122" s="206"/>
      <c r="Z122" s="207"/>
      <c r="AA122" s="490"/>
      <c r="AB122" s="208"/>
    </row>
    <row r="123" spans="21:28" x14ac:dyDescent="0.3">
      <c r="U123" s="203"/>
      <c r="V123" s="204"/>
      <c r="W123" s="205"/>
      <c r="X123" s="467"/>
      <c r="Y123" s="206"/>
      <c r="Z123" s="207"/>
      <c r="AA123" s="490"/>
      <c r="AB123" s="208"/>
    </row>
    <row r="124" spans="21:28" x14ac:dyDescent="0.3">
      <c r="U124" s="203"/>
      <c r="V124" s="204"/>
      <c r="W124" s="205"/>
      <c r="X124" s="467"/>
      <c r="Y124" s="206"/>
      <c r="Z124" s="207"/>
      <c r="AA124" s="490"/>
      <c r="AB124" s="208"/>
    </row>
    <row r="125" spans="21:28" x14ac:dyDescent="0.3">
      <c r="U125" s="203"/>
      <c r="V125" s="204"/>
      <c r="W125" s="205"/>
      <c r="X125" s="467"/>
      <c r="Y125" s="206"/>
      <c r="Z125" s="207"/>
      <c r="AA125" s="490"/>
      <c r="AB125" s="208"/>
    </row>
    <row r="126" spans="21:28" x14ac:dyDescent="0.3">
      <c r="U126" s="203"/>
      <c r="V126" s="204"/>
      <c r="W126" s="205"/>
      <c r="X126" s="467"/>
      <c r="Y126" s="206"/>
      <c r="Z126" s="207"/>
      <c r="AA126" s="490"/>
      <c r="AB126" s="208"/>
    </row>
    <row r="1048573" spans="21:28" x14ac:dyDescent="0.3">
      <c r="U1048573" s="203"/>
      <c r="V1048573" s="204"/>
      <c r="W1048573" s="205"/>
      <c r="X1048573" s="467"/>
      <c r="Y1048573" s="206"/>
      <c r="Z1048573" s="207"/>
      <c r="AA1048573" s="490"/>
      <c r="AB1048573" s="208"/>
    </row>
  </sheetData>
  <sheetProtection algorithmName="SHA-512" hashValue="HSUrTjcUnYf6wkwkPEIRLdATw3VKpqu8N5mMmWeQhaNfVBferES+dS0wHR2csu0COqd1wrd0jNduWedJQf4F5A==" saltValue="ss1m/f7kvTAzzqe0gW5MSw==" spinCount="100000" sheet="1" objects="1" scenarios="1" formatColumns="0" formatRows="0"/>
  <conditionalFormatting sqref="A11:F1000">
    <cfRule type="expression" dxfId="65" priority="147">
      <formula>$A11&lt;&gt;""</formula>
    </cfRule>
    <cfRule type="expression" dxfId="64" priority="146">
      <formula>$A11=""</formula>
    </cfRule>
  </conditionalFormatting>
  <conditionalFormatting sqref="E2:E4 E7:E8 E10:E1048576">
    <cfRule type="expression" dxfId="63" priority="144">
      <formula>OR($E2="Tier 1", $E3="Tier 2",$E3="Tier 2 Grove")</formula>
    </cfRule>
  </conditionalFormatting>
  <conditionalFormatting sqref="E5">
    <cfRule type="expression" dxfId="62" priority="643">
      <formula>OR($E5="Tier 1", #REF!="Tier 2",#REF!="Tier 2 Grove")</formula>
    </cfRule>
  </conditionalFormatting>
  <conditionalFormatting sqref="G11:G10000">
    <cfRule type="expression" dxfId="61" priority="63">
      <formula>$A11&lt;&gt;""</formula>
    </cfRule>
    <cfRule type="expression" dxfId="58" priority="145">
      <formula>$A11=""</formula>
    </cfRule>
  </conditionalFormatting>
  <conditionalFormatting sqref="H11:H1000">
    <cfRule type="expression" dxfId="57" priority="65">
      <formula>OR($B11&lt;&gt;"",$C11&lt;&gt;"",$D11&lt;&gt;"",$E11&lt;&gt;"",$F11&lt;&gt;"")</formula>
    </cfRule>
    <cfRule type="expression" dxfId="56" priority="3">
      <formula>$H11=""</formula>
    </cfRule>
  </conditionalFormatting>
  <conditionalFormatting sqref="I8">
    <cfRule type="cellIs" dxfId="55" priority="163" operator="notEqual">
      <formula>""</formula>
    </cfRule>
  </conditionalFormatting>
  <conditionalFormatting sqref="I11:I1001">
    <cfRule type="expression" dxfId="54" priority="141">
      <formula>$I11&lt;&gt;""</formula>
    </cfRule>
    <cfRule type="expression" dxfId="53" priority="140">
      <formula>AND($I11="",$A11="")</formula>
    </cfRule>
    <cfRule type="expression" dxfId="52" priority="139">
      <formula>AND($I11="",$H11&lt;&gt;"")</formula>
    </cfRule>
  </conditionalFormatting>
  <conditionalFormatting sqref="J2 H5">
    <cfRule type="expression" dxfId="51" priority="578">
      <formula>$H$5&lt;&gt;""</formula>
    </cfRule>
  </conditionalFormatting>
  <conditionalFormatting sqref="J11:J1001">
    <cfRule type="expression" dxfId="50" priority="110">
      <formula>AND($J11="",$A11="")</formula>
    </cfRule>
    <cfRule type="expression" dxfId="49" priority="111">
      <formula>$J11&lt;&gt;""</formula>
    </cfRule>
    <cfRule type="expression" dxfId="48" priority="109">
      <formula>AND($J11="",$H11&lt;&gt;"")</formula>
    </cfRule>
  </conditionalFormatting>
  <conditionalFormatting sqref="K11:K1001">
    <cfRule type="expression" dxfId="47" priority="108">
      <formula>$K11&lt;&gt;""</formula>
    </cfRule>
    <cfRule type="expression" dxfId="46" priority="107">
      <formula>AND($K11="",$A11="")</formula>
    </cfRule>
    <cfRule type="expression" dxfId="45" priority="106">
      <formula>AND($K11="",$H11&lt;&gt;"")</formula>
    </cfRule>
  </conditionalFormatting>
  <conditionalFormatting sqref="L4">
    <cfRule type="expression" dxfId="44" priority="2">
      <formula>$M$4=""</formula>
    </cfRule>
  </conditionalFormatting>
  <conditionalFormatting sqref="L11:L1001">
    <cfRule type="expression" dxfId="43" priority="105">
      <formula>$L11&lt;&gt;""</formula>
    </cfRule>
    <cfRule type="expression" dxfId="42" priority="104">
      <formula>AND($L11="",$A11="")</formula>
    </cfRule>
    <cfRule type="expression" dxfId="41" priority="102">
      <formula>AND($L11="",$H11&lt;&gt;"")</formula>
    </cfRule>
  </conditionalFormatting>
  <conditionalFormatting sqref="M4">
    <cfRule type="expression" dxfId="40" priority="164">
      <formula>$M$4=""</formula>
    </cfRule>
  </conditionalFormatting>
  <conditionalFormatting sqref="M11:M1001">
    <cfRule type="expression" dxfId="39" priority="100">
      <formula>AND($M11="",$A11="")</formula>
    </cfRule>
    <cfRule type="expression" dxfId="38" priority="101">
      <formula>$M11&lt;&gt;""</formula>
    </cfRule>
    <cfRule type="expression" dxfId="37" priority="99">
      <formula>AND($M11="",$H11&lt;&gt;"")</formula>
    </cfRule>
  </conditionalFormatting>
  <conditionalFormatting sqref="O11:P997">
    <cfRule type="expression" dxfId="36" priority="59">
      <formula>$O11=""</formula>
    </cfRule>
    <cfRule type="expression" dxfId="35" priority="60">
      <formula>$O11&lt;&gt;""</formula>
    </cfRule>
  </conditionalFormatting>
  <conditionalFormatting sqref="Q11:S1000">
    <cfRule type="expression" dxfId="34" priority="40">
      <formula>$O11&lt;&gt;""</formula>
    </cfRule>
    <cfRule type="expression" dxfId="33" priority="39">
      <formula>$O11=""</formula>
    </cfRule>
  </conditionalFormatting>
  <conditionalFormatting sqref="R6">
    <cfRule type="expression" dxfId="32" priority="61">
      <formula>$D$2&lt;&gt;""</formula>
    </cfRule>
  </conditionalFormatting>
  <conditionalFormatting sqref="R5:S5">
    <cfRule type="expression" dxfId="31" priority="62">
      <formula>$D$2&lt;&gt;""</formula>
    </cfRule>
  </conditionalFormatting>
  <conditionalFormatting sqref="T11:T1000">
    <cfRule type="expression" dxfId="30" priority="38">
      <formula>$P11&lt;&gt;""</formula>
    </cfRule>
    <cfRule type="expression" dxfId="29" priority="37">
      <formula>$T11=""</formula>
    </cfRule>
  </conditionalFormatting>
  <conditionalFormatting sqref="U11:U1000">
    <cfRule type="expression" dxfId="28" priority="26">
      <formula>$U11=""</formula>
    </cfRule>
    <cfRule type="expression" dxfId="27" priority="28">
      <formula>AND($T11&lt;&gt;"",$U11&lt;&gt;"")</formula>
    </cfRule>
    <cfRule type="expression" dxfId="26" priority="12">
      <formula>AND($T11&lt;&gt;"", $U11="")</formula>
    </cfRule>
  </conditionalFormatting>
  <conditionalFormatting sqref="V11:V1000">
    <cfRule type="expression" dxfId="25" priority="32">
      <formula>$V11&lt;&gt;""</formula>
    </cfRule>
    <cfRule type="expression" dxfId="24" priority="25">
      <formula>$V11=""</formula>
    </cfRule>
    <cfRule type="expression" dxfId="23" priority="11">
      <formula>AND($T11&lt;&gt;"", $V11="")</formula>
    </cfRule>
  </conditionalFormatting>
  <conditionalFormatting sqref="W11:W1000">
    <cfRule type="expression" dxfId="22" priority="24">
      <formula>$W11&lt;&gt;""</formula>
    </cfRule>
    <cfRule type="expression" dxfId="21" priority="23">
      <formula>$W11=""</formula>
    </cfRule>
    <cfRule type="expression" dxfId="20" priority="10">
      <formula>AND($T11&lt;&gt;"", $W11="")</formula>
    </cfRule>
  </conditionalFormatting>
  <conditionalFormatting sqref="X11:X1000">
    <cfRule type="expression" dxfId="19" priority="1" stopIfTrue="1">
      <formula>AND(MOD(ROW()-11,4)=0, COUNTIF(OFFSET($T$11, FLOOR(ROW()-11,4), 0, 4, 1), "*Tree Code: Replacement Required*") = 0, COUNTIF(OFFSET($T$11, FLOOR(ROW()-11,4), 0, 4, 1), "*Street Tree*") = 0,$R11&lt;&gt;"", $S11&lt;&gt;"")</formula>
    </cfRule>
    <cfRule type="expression" dxfId="18" priority="22">
      <formula>$X11&lt;&gt;""</formula>
    </cfRule>
    <cfRule type="expression" dxfId="17" priority="21">
      <formula>$X11=""</formula>
    </cfRule>
    <cfRule type="expression" dxfId="16" priority="9">
      <formula>AND($T11&lt;&gt;"", $X11="")</formula>
    </cfRule>
  </conditionalFormatting>
  <conditionalFormatting sqref="Y11:Y1000">
    <cfRule type="expression" dxfId="15" priority="20">
      <formula>$Y11&lt;&gt;""</formula>
    </cfRule>
    <cfRule type="expression" dxfId="14" priority="19">
      <formula>$Y11=""</formula>
    </cfRule>
    <cfRule type="expression" dxfId="13" priority="8">
      <formula>AND($T11&lt;&gt;"", $Y11="")</formula>
    </cfRule>
  </conditionalFormatting>
  <conditionalFormatting sqref="Z11:Z1000">
    <cfRule type="expression" dxfId="12" priority="18">
      <formula>$Z11&lt;&gt;""</formula>
    </cfRule>
    <cfRule type="expression" dxfId="11" priority="17">
      <formula>$Z11=""</formula>
    </cfRule>
    <cfRule type="expression" dxfId="10" priority="7">
      <formula>AND($T11&lt;&gt;"", $Z11="")</formula>
    </cfRule>
  </conditionalFormatting>
  <conditionalFormatting sqref="AA11:AA1000">
    <cfRule type="expression" dxfId="9" priority="16">
      <formula>$AA11&lt;&gt;""</formula>
    </cfRule>
    <cfRule type="expression" dxfId="8" priority="15">
      <formula>$AA11=""</formula>
    </cfRule>
    <cfRule type="expression" dxfId="7" priority="5">
      <formula>AND($T11&lt;&gt;"", $AA11="")</formula>
    </cfRule>
  </conditionalFormatting>
  <conditionalFormatting sqref="AB11:AB1000">
    <cfRule type="expression" dxfId="6" priority="4">
      <formula>AND($T11&lt;&gt;"", $AB11="")</formula>
    </cfRule>
    <cfRule type="expression" dxfId="5" priority="14">
      <formula>$AB11&lt;&gt;""</formula>
    </cfRule>
    <cfRule type="expression" dxfId="4" priority="13">
      <formula>$AB11=""</formula>
    </cfRule>
  </conditionalFormatting>
  <dataValidations disablePrompts="1" count="2">
    <dataValidation allowBlank="1" showErrorMessage="1" prompt="Enter permit number here" sqref="H5" xr:uid="{DE6848BC-03AC-48A5-A698-DA1853806DAC}"/>
    <dataValidation type="decimal" showErrorMessage="1" prompt="Minimum Tree Points required for new dwelling unit in NR zone. " sqref="M4" xr:uid="{975759AF-F4F5-4F10-A974-4C16BB0FB29D}">
      <formula1>0</formula1>
      <formula2>100000</formula2>
    </dataValidation>
  </dataValidations>
  <printOptions horizontalCentered="1"/>
  <pageMargins left="0.2" right="0.2" top="0" bottom="0.25" header="0.05" footer="0.05"/>
  <pageSetup scale="45" fitToHeight="0" orientation="landscape" r:id="rId1"/>
  <colBreaks count="1" manualBreakCount="1">
    <brk id="13" max="1048575" man="1"/>
  </colBreaks>
  <extLst>
    <ext xmlns:x14="http://schemas.microsoft.com/office/spreadsheetml/2009/9/main" uri="{78C0D931-6437-407d-A8EE-F0AAD7539E65}">
      <x14:conditionalFormattings>
        <x14:conditionalFormatting xmlns:xm="http://schemas.microsoft.com/office/excel/2006/main">
          <x14:cfRule type="expression" priority="154" id="{F6C69701-B8D5-4DA6-BC0C-BC26C7CB033F}">
            <xm:f>AND($G11=Tables!$B$237,$A11&lt;&gt;"")</xm:f>
            <x14:dxf>
              <font>
                <b val="0"/>
                <i val="0"/>
                <color theme="6"/>
              </font>
              <border>
                <left style="thin">
                  <color auto="1"/>
                </left>
                <right style="thin">
                  <color auto="1"/>
                </right>
                <top style="thin">
                  <color auto="1"/>
                </top>
                <bottom style="thin">
                  <color auto="1"/>
                </bottom>
              </border>
            </x14:dxf>
          </x14:cfRule>
          <x14:cfRule type="expression" priority="153" id="{CF12AD16-722E-4C4A-8DD6-B9D973066C97}">
            <xm:f>AND($G11=Tables!$B$238,$A11&lt;&gt;"")</xm:f>
            <x14:dxf>
              <font>
                <b val="0"/>
                <i val="0"/>
                <color rgb="FFFF0000"/>
              </font>
              <border>
                <left style="thin">
                  <color auto="1"/>
                </left>
                <right style="thin">
                  <color auto="1"/>
                </right>
                <top style="thin">
                  <color auto="1"/>
                </top>
                <bottom style="thin">
                  <color auto="1"/>
                </bottom>
              </border>
            </x14:dxf>
          </x14:cfRule>
          <xm:sqref>G11:G10000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1E090-5A1E-4830-9A7F-BC4802C37440}">
  <sheetPr>
    <tabColor theme="1" tint="0.499984740745262"/>
  </sheetPr>
  <dimension ref="A1:L601"/>
  <sheetViews>
    <sheetView topLeftCell="M181" zoomScale="85" zoomScaleNormal="85" workbookViewId="0">
      <selection activeCell="A181" sqref="A1:L1048576"/>
    </sheetView>
  </sheetViews>
  <sheetFormatPr defaultRowHeight="14.4" x14ac:dyDescent="0.3"/>
  <cols>
    <col min="1" max="1" width="42.88671875" hidden="1" customWidth="1"/>
    <col min="2" max="2" width="33" hidden="1" customWidth="1"/>
    <col min="3" max="3" width="71.109375" hidden="1" customWidth="1"/>
    <col min="4" max="4" width="18.6640625" hidden="1" customWidth="1"/>
    <col min="5" max="5" width="13.6640625" hidden="1" customWidth="1"/>
    <col min="6" max="6" width="15" hidden="1" customWidth="1"/>
    <col min="7" max="7" width="16.6640625" hidden="1" customWidth="1"/>
    <col min="8" max="8" width="37" hidden="1" customWidth="1"/>
    <col min="9" max="9" width="24.33203125" hidden="1" customWidth="1"/>
    <col min="10" max="10" width="25.6640625" hidden="1" customWidth="1"/>
    <col min="11" max="12" width="9.109375" hidden="1" customWidth="1"/>
  </cols>
  <sheetData>
    <row r="1" spans="1:12" x14ac:dyDescent="0.3">
      <c r="A1" t="s">
        <v>1095</v>
      </c>
      <c r="B1" t="s">
        <v>1094</v>
      </c>
      <c r="C1" t="s">
        <v>1609</v>
      </c>
      <c r="D1" t="s">
        <v>1093</v>
      </c>
      <c r="E1" t="s">
        <v>1092</v>
      </c>
      <c r="F1" t="s">
        <v>1610</v>
      </c>
      <c r="G1" t="s">
        <v>1611</v>
      </c>
      <c r="H1" t="s">
        <v>1091</v>
      </c>
      <c r="I1" t="s">
        <v>1090</v>
      </c>
      <c r="J1" t="s">
        <v>1089</v>
      </c>
      <c r="K1" t="s">
        <v>1938</v>
      </c>
      <c r="L1" t="s">
        <v>1939</v>
      </c>
    </row>
    <row r="3" spans="1:12" x14ac:dyDescent="0.3">
      <c r="A3" s="258" t="s">
        <v>1088</v>
      </c>
      <c r="B3" s="72" t="s">
        <v>1087</v>
      </c>
      <c r="C3" s="72" t="s">
        <v>1201</v>
      </c>
      <c r="D3" s="72" t="s">
        <v>122</v>
      </c>
      <c r="E3" s="72"/>
      <c r="F3" s="72" t="s">
        <v>1615</v>
      </c>
      <c r="G3" s="72">
        <v>25</v>
      </c>
      <c r="H3" s="259"/>
      <c r="I3" s="260"/>
      <c r="J3" s="72"/>
      <c r="K3" s="260"/>
      <c r="L3" s="72"/>
    </row>
    <row r="4" spans="1:12" x14ac:dyDescent="0.3">
      <c r="A4" s="258" t="s">
        <v>1086</v>
      </c>
      <c r="B4" s="72" t="s">
        <v>1085</v>
      </c>
      <c r="C4" s="72" t="s">
        <v>1202</v>
      </c>
      <c r="D4" s="72" t="s">
        <v>122</v>
      </c>
      <c r="E4" s="72"/>
      <c r="F4" s="72" t="s">
        <v>1615</v>
      </c>
      <c r="G4" s="72">
        <v>25</v>
      </c>
      <c r="H4" s="259"/>
      <c r="I4" s="260"/>
      <c r="J4" s="72"/>
      <c r="K4" s="260"/>
      <c r="L4" s="72"/>
    </row>
    <row r="5" spans="1:12" x14ac:dyDescent="0.3">
      <c r="A5" s="258" t="s">
        <v>1084</v>
      </c>
      <c r="B5" s="72" t="s">
        <v>1083</v>
      </c>
      <c r="C5" s="72" t="s">
        <v>1203</v>
      </c>
      <c r="D5" s="72" t="s">
        <v>122</v>
      </c>
      <c r="E5" s="72"/>
      <c r="F5" s="72" t="s">
        <v>1614</v>
      </c>
      <c r="G5" s="72">
        <v>35</v>
      </c>
      <c r="H5" s="259"/>
      <c r="I5" s="260"/>
      <c r="J5" s="72"/>
      <c r="K5" s="260"/>
      <c r="L5" s="72"/>
    </row>
    <row r="6" spans="1:12" x14ac:dyDescent="0.3">
      <c r="A6" s="258" t="s">
        <v>1082</v>
      </c>
      <c r="B6" s="72" t="s">
        <v>1081</v>
      </c>
      <c r="C6" s="72" t="s">
        <v>1204</v>
      </c>
      <c r="D6" s="72" t="s">
        <v>122</v>
      </c>
      <c r="E6" s="72"/>
      <c r="F6" s="72" t="s">
        <v>1615</v>
      </c>
      <c r="G6" s="72">
        <v>25</v>
      </c>
      <c r="H6" s="259"/>
      <c r="I6" s="260"/>
      <c r="J6" s="72"/>
      <c r="K6" s="260"/>
      <c r="L6" s="72"/>
    </row>
    <row r="7" spans="1:12" x14ac:dyDescent="0.3">
      <c r="A7" s="258" t="s">
        <v>1670</v>
      </c>
      <c r="B7" s="72" t="s">
        <v>1080</v>
      </c>
      <c r="C7" s="72" t="s">
        <v>1671</v>
      </c>
      <c r="D7" s="72" t="s">
        <v>122</v>
      </c>
      <c r="E7" s="72"/>
      <c r="F7" s="72" t="s">
        <v>1617</v>
      </c>
      <c r="G7" s="72">
        <v>25</v>
      </c>
      <c r="H7" s="259"/>
      <c r="I7" s="260"/>
      <c r="J7" s="72"/>
      <c r="K7" s="260"/>
      <c r="L7" s="72"/>
    </row>
    <row r="8" spans="1:12" x14ac:dyDescent="0.3">
      <c r="A8" s="258" t="s">
        <v>1079</v>
      </c>
      <c r="B8" s="72" t="s">
        <v>1078</v>
      </c>
      <c r="C8" s="72" t="s">
        <v>1205</v>
      </c>
      <c r="D8" s="72" t="s">
        <v>122</v>
      </c>
      <c r="E8" s="72"/>
      <c r="F8" s="72" t="s">
        <v>1616</v>
      </c>
      <c r="G8" s="72">
        <v>15</v>
      </c>
      <c r="H8" s="259"/>
      <c r="I8" s="260"/>
      <c r="J8" s="72"/>
      <c r="K8" s="260"/>
      <c r="L8" s="72"/>
    </row>
    <row r="9" spans="1:12" x14ac:dyDescent="0.3">
      <c r="A9" s="258" t="s">
        <v>1077</v>
      </c>
      <c r="B9" s="72" t="s">
        <v>1076</v>
      </c>
      <c r="C9" s="72" t="s">
        <v>1206</v>
      </c>
      <c r="D9" s="72" t="s">
        <v>122</v>
      </c>
      <c r="E9" s="72"/>
      <c r="F9" s="72" t="s">
        <v>1614</v>
      </c>
      <c r="G9" s="72">
        <v>30</v>
      </c>
      <c r="H9" s="259"/>
      <c r="I9" s="260"/>
      <c r="J9" s="72"/>
      <c r="K9" s="260"/>
      <c r="L9" s="72"/>
    </row>
    <row r="10" spans="1:12" x14ac:dyDescent="0.3">
      <c r="A10" s="258" t="s">
        <v>1075</v>
      </c>
      <c r="B10" s="72" t="s">
        <v>1074</v>
      </c>
      <c r="C10" s="72" t="s">
        <v>1207</v>
      </c>
      <c r="D10" s="72" t="s">
        <v>122</v>
      </c>
      <c r="E10" s="72"/>
      <c r="F10" s="72" t="s">
        <v>1672</v>
      </c>
      <c r="G10" s="72" t="s">
        <v>1672</v>
      </c>
      <c r="H10" s="259" t="s">
        <v>65</v>
      </c>
      <c r="I10" s="260"/>
      <c r="J10" s="72"/>
      <c r="K10" s="260"/>
      <c r="L10" s="72"/>
    </row>
    <row r="11" spans="1:12" x14ac:dyDescent="0.3">
      <c r="A11" s="258" t="s">
        <v>1073</v>
      </c>
      <c r="B11" s="72" t="s">
        <v>1072</v>
      </c>
      <c r="C11" s="72" t="s">
        <v>1208</v>
      </c>
      <c r="D11" s="72" t="s">
        <v>122</v>
      </c>
      <c r="E11" s="72"/>
      <c r="F11" s="72" t="s">
        <v>1615</v>
      </c>
      <c r="G11" s="72">
        <v>25</v>
      </c>
      <c r="H11" s="259"/>
      <c r="I11" s="260"/>
      <c r="J11" s="72"/>
      <c r="K11" s="260"/>
      <c r="L11" s="72"/>
    </row>
    <row r="12" spans="1:12" x14ac:dyDescent="0.3">
      <c r="A12" s="258" t="s">
        <v>1071</v>
      </c>
      <c r="B12" s="72" t="s">
        <v>1070</v>
      </c>
      <c r="C12" s="72" t="s">
        <v>1128</v>
      </c>
      <c r="D12" s="72" t="s">
        <v>67</v>
      </c>
      <c r="E12" s="72"/>
      <c r="F12" s="72" t="s">
        <v>1617</v>
      </c>
      <c r="G12" s="72">
        <v>20</v>
      </c>
      <c r="H12" s="259"/>
      <c r="I12" s="260"/>
      <c r="J12" s="72"/>
      <c r="K12" s="260"/>
      <c r="L12" s="72"/>
    </row>
    <row r="13" spans="1:12" x14ac:dyDescent="0.3">
      <c r="A13" s="258" t="s">
        <v>1069</v>
      </c>
      <c r="B13" s="72" t="s">
        <v>1068</v>
      </c>
      <c r="C13" s="72" t="s">
        <v>1209</v>
      </c>
      <c r="D13" s="72" t="s">
        <v>67</v>
      </c>
      <c r="E13" s="72"/>
      <c r="F13" s="72" t="s">
        <v>1614</v>
      </c>
      <c r="G13" s="72">
        <v>30</v>
      </c>
      <c r="H13" s="259"/>
      <c r="I13" s="260"/>
      <c r="J13" s="72"/>
      <c r="K13" s="260"/>
      <c r="L13" s="72"/>
    </row>
    <row r="14" spans="1:12" x14ac:dyDescent="0.3">
      <c r="A14" s="258" t="s">
        <v>1067</v>
      </c>
      <c r="B14" s="72" t="s">
        <v>1066</v>
      </c>
      <c r="C14" s="72" t="s">
        <v>1210</v>
      </c>
      <c r="D14" s="72" t="s">
        <v>67</v>
      </c>
      <c r="E14" s="72"/>
      <c r="F14" s="72" t="s">
        <v>1617</v>
      </c>
      <c r="G14" s="72">
        <v>20</v>
      </c>
      <c r="H14" s="259"/>
      <c r="I14" s="260"/>
      <c r="J14" s="72"/>
      <c r="K14" s="260"/>
      <c r="L14" s="72"/>
    </row>
    <row r="15" spans="1:12" x14ac:dyDescent="0.3">
      <c r="A15" s="258" t="s">
        <v>1065</v>
      </c>
      <c r="B15" s="72" t="s">
        <v>1064</v>
      </c>
      <c r="C15" s="72" t="s">
        <v>1211</v>
      </c>
      <c r="D15" s="72" t="s">
        <v>67</v>
      </c>
      <c r="E15" s="72"/>
      <c r="F15" s="72" t="s">
        <v>1615</v>
      </c>
      <c r="G15" s="72">
        <v>25</v>
      </c>
      <c r="H15" s="259"/>
      <c r="I15" s="260"/>
      <c r="J15" s="72"/>
      <c r="K15" s="260"/>
      <c r="L15" s="72"/>
    </row>
    <row r="16" spans="1:12" x14ac:dyDescent="0.3">
      <c r="A16" s="258" t="s">
        <v>1063</v>
      </c>
      <c r="B16" s="72" t="s">
        <v>1062</v>
      </c>
      <c r="C16" s="72" t="s">
        <v>1129</v>
      </c>
      <c r="D16" s="72" t="s">
        <v>67</v>
      </c>
      <c r="E16" s="72"/>
      <c r="F16" s="72" t="s">
        <v>1616</v>
      </c>
      <c r="G16" s="72">
        <v>25</v>
      </c>
      <c r="H16" s="259"/>
      <c r="I16" s="260">
        <v>8</v>
      </c>
      <c r="J16" s="72"/>
      <c r="K16" s="260">
        <v>8</v>
      </c>
      <c r="L16" s="72"/>
    </row>
    <row r="17" spans="1:12" x14ac:dyDescent="0.3">
      <c r="A17" s="258" t="s">
        <v>1061</v>
      </c>
      <c r="B17" s="72" t="s">
        <v>1060</v>
      </c>
      <c r="C17" s="72" t="s">
        <v>1139</v>
      </c>
      <c r="D17" s="72" t="s">
        <v>67</v>
      </c>
      <c r="E17" s="72"/>
      <c r="F17" s="72" t="s">
        <v>1616</v>
      </c>
      <c r="G17" s="72">
        <v>15</v>
      </c>
      <c r="H17" s="259"/>
      <c r="I17" s="260">
        <v>8</v>
      </c>
      <c r="J17" s="72"/>
      <c r="K17" s="260">
        <v>8</v>
      </c>
      <c r="L17" s="72"/>
    </row>
    <row r="18" spans="1:12" x14ac:dyDescent="0.3">
      <c r="A18" s="258" t="s">
        <v>1059</v>
      </c>
      <c r="B18" s="72" t="s">
        <v>1058</v>
      </c>
      <c r="C18" s="72" t="s">
        <v>1212</v>
      </c>
      <c r="D18" s="72" t="s">
        <v>67</v>
      </c>
      <c r="E18" s="72"/>
      <c r="F18" s="72" t="s">
        <v>1617</v>
      </c>
      <c r="G18" s="72">
        <v>20</v>
      </c>
      <c r="H18" s="259"/>
      <c r="I18" s="260"/>
      <c r="J18" s="72"/>
      <c r="K18" s="260"/>
      <c r="L18" s="72"/>
    </row>
    <row r="19" spans="1:12" x14ac:dyDescent="0.3">
      <c r="A19" s="258" t="s">
        <v>1057</v>
      </c>
      <c r="B19" s="72" t="s">
        <v>1056</v>
      </c>
      <c r="C19" s="72" t="s">
        <v>1213</v>
      </c>
      <c r="D19" s="72" t="s">
        <v>67</v>
      </c>
      <c r="E19" s="72"/>
      <c r="F19" s="72" t="s">
        <v>1614</v>
      </c>
      <c r="G19" s="72">
        <v>30</v>
      </c>
      <c r="H19" s="259"/>
      <c r="I19" s="260"/>
      <c r="J19" s="72"/>
      <c r="K19" s="260"/>
      <c r="L19" s="72"/>
    </row>
    <row r="20" spans="1:12" x14ac:dyDescent="0.3">
      <c r="A20" s="258" t="s">
        <v>1055</v>
      </c>
      <c r="B20" s="72" t="s">
        <v>1054</v>
      </c>
      <c r="C20" s="72" t="s">
        <v>1214</v>
      </c>
      <c r="D20" s="72" t="s">
        <v>67</v>
      </c>
      <c r="E20" s="72"/>
      <c r="F20" s="72" t="s">
        <v>1614</v>
      </c>
      <c r="G20" s="72">
        <v>40</v>
      </c>
      <c r="H20" s="259"/>
      <c r="I20" s="260"/>
      <c r="J20" s="72"/>
      <c r="K20" s="260"/>
      <c r="L20" s="72"/>
    </row>
    <row r="21" spans="1:12" x14ac:dyDescent="0.3">
      <c r="A21" s="258" t="s">
        <v>1053</v>
      </c>
      <c r="B21" s="72" t="s">
        <v>1052</v>
      </c>
      <c r="C21" s="72" t="s">
        <v>1215</v>
      </c>
      <c r="D21" s="72" t="s">
        <v>67</v>
      </c>
      <c r="E21" s="72"/>
      <c r="F21" s="72" t="s">
        <v>1617</v>
      </c>
      <c r="G21" s="72">
        <v>20</v>
      </c>
      <c r="H21" s="259"/>
      <c r="I21" s="260"/>
      <c r="J21" s="72"/>
      <c r="K21" s="260"/>
      <c r="L21" s="72"/>
    </row>
    <row r="22" spans="1:12" x14ac:dyDescent="0.3">
      <c r="A22" s="258" t="s">
        <v>1051</v>
      </c>
      <c r="B22" s="72" t="s">
        <v>1050</v>
      </c>
      <c r="C22" s="72" t="s">
        <v>1140</v>
      </c>
      <c r="D22" s="72" t="s">
        <v>67</v>
      </c>
      <c r="E22" s="72"/>
      <c r="F22" s="72" t="s">
        <v>1616</v>
      </c>
      <c r="G22" s="72">
        <v>15</v>
      </c>
      <c r="H22" s="259"/>
      <c r="I22" s="260">
        <v>6</v>
      </c>
      <c r="J22" s="72"/>
      <c r="K22" s="260">
        <v>6</v>
      </c>
      <c r="L22" s="72"/>
    </row>
    <row r="23" spans="1:12" x14ac:dyDescent="0.3">
      <c r="A23" s="258" t="s">
        <v>1673</v>
      </c>
      <c r="B23" s="72" t="s">
        <v>1674</v>
      </c>
      <c r="C23" s="72" t="s">
        <v>1675</v>
      </c>
      <c r="D23" s="72" t="s">
        <v>67</v>
      </c>
      <c r="E23" s="72"/>
      <c r="F23" s="72" t="s">
        <v>1617</v>
      </c>
      <c r="G23" s="72">
        <v>20</v>
      </c>
      <c r="H23" s="259"/>
      <c r="I23" s="260">
        <v>6</v>
      </c>
      <c r="J23" s="72"/>
      <c r="K23" s="260">
        <v>6</v>
      </c>
      <c r="L23" s="72"/>
    </row>
    <row r="24" spans="1:12" x14ac:dyDescent="0.3">
      <c r="A24" s="258" t="s">
        <v>1049</v>
      </c>
      <c r="B24" s="72" t="s">
        <v>1048</v>
      </c>
      <c r="C24" s="72" t="s">
        <v>1216</v>
      </c>
      <c r="D24" s="72" t="s">
        <v>67</v>
      </c>
      <c r="E24" s="72"/>
      <c r="F24" s="72" t="s">
        <v>1615</v>
      </c>
      <c r="G24" s="72">
        <v>25</v>
      </c>
      <c r="H24" s="259"/>
      <c r="I24" s="260"/>
      <c r="J24" s="72"/>
      <c r="K24" s="260"/>
      <c r="L24" s="72"/>
    </row>
    <row r="25" spans="1:12" x14ac:dyDescent="0.3">
      <c r="A25" s="258" t="s">
        <v>1047</v>
      </c>
      <c r="B25" s="72" t="s">
        <v>1676</v>
      </c>
      <c r="C25" s="72" t="s">
        <v>1677</v>
      </c>
      <c r="D25" s="72" t="s">
        <v>67</v>
      </c>
      <c r="E25" s="72"/>
      <c r="F25" s="72" t="s">
        <v>1616</v>
      </c>
      <c r="G25" s="72">
        <v>15</v>
      </c>
      <c r="H25" s="259"/>
      <c r="I25" s="260"/>
      <c r="J25" s="72"/>
      <c r="K25" s="260"/>
      <c r="L25" s="72"/>
    </row>
    <row r="26" spans="1:12" x14ac:dyDescent="0.3">
      <c r="A26" s="258" t="s">
        <v>1046</v>
      </c>
      <c r="B26" s="72" t="s">
        <v>1045</v>
      </c>
      <c r="C26" s="72" t="s">
        <v>1141</v>
      </c>
      <c r="D26" s="72" t="s">
        <v>67</v>
      </c>
      <c r="E26" s="72"/>
      <c r="F26" s="72" t="s">
        <v>1616</v>
      </c>
      <c r="G26" s="72">
        <v>20</v>
      </c>
      <c r="H26" s="259"/>
      <c r="I26" s="260">
        <v>12</v>
      </c>
      <c r="J26" s="72"/>
      <c r="K26" s="260">
        <v>12</v>
      </c>
      <c r="L26" s="72"/>
    </row>
    <row r="27" spans="1:12" x14ac:dyDescent="0.3">
      <c r="A27" s="258" t="s">
        <v>1044</v>
      </c>
      <c r="B27" s="72" t="s">
        <v>1043</v>
      </c>
      <c r="C27" s="72" t="s">
        <v>1217</v>
      </c>
      <c r="D27" s="72" t="s">
        <v>67</v>
      </c>
      <c r="E27" s="72"/>
      <c r="F27" s="72" t="s">
        <v>1616</v>
      </c>
      <c r="G27" s="72">
        <v>10</v>
      </c>
      <c r="H27" s="259"/>
      <c r="I27" s="260"/>
      <c r="J27" s="72"/>
      <c r="K27" s="260"/>
      <c r="L27" s="72"/>
    </row>
    <row r="28" spans="1:12" x14ac:dyDescent="0.3">
      <c r="A28" s="258" t="s">
        <v>1042</v>
      </c>
      <c r="B28" s="72" t="s">
        <v>1041</v>
      </c>
      <c r="C28" s="72" t="s">
        <v>1218</v>
      </c>
      <c r="D28" s="72" t="s">
        <v>67</v>
      </c>
      <c r="E28" s="72"/>
      <c r="F28" s="72" t="s">
        <v>1614</v>
      </c>
      <c r="G28" s="72">
        <v>50</v>
      </c>
      <c r="H28" s="259"/>
      <c r="I28" s="260"/>
      <c r="J28" s="72"/>
      <c r="K28" s="260"/>
      <c r="L28" s="72"/>
    </row>
    <row r="29" spans="1:12" x14ac:dyDescent="0.3">
      <c r="A29" s="258" t="s">
        <v>1040</v>
      </c>
      <c r="B29" s="72" t="s">
        <v>1039</v>
      </c>
      <c r="C29" s="72" t="s">
        <v>1219</v>
      </c>
      <c r="D29" s="72" t="s">
        <v>67</v>
      </c>
      <c r="E29" s="72"/>
      <c r="F29" s="72" t="s">
        <v>1614</v>
      </c>
      <c r="G29" s="72">
        <v>30</v>
      </c>
      <c r="H29" s="259"/>
      <c r="I29" s="260"/>
      <c r="J29" s="72"/>
      <c r="K29" s="260"/>
      <c r="L29" s="72"/>
    </row>
    <row r="30" spans="1:12" x14ac:dyDescent="0.3">
      <c r="A30" s="258" t="s">
        <v>1038</v>
      </c>
      <c r="B30" s="72" t="s">
        <v>1037</v>
      </c>
      <c r="C30" s="72" t="s">
        <v>1220</v>
      </c>
      <c r="D30" s="72" t="s">
        <v>67</v>
      </c>
      <c r="E30" s="72"/>
      <c r="F30" s="72" t="s">
        <v>1617</v>
      </c>
      <c r="G30" s="72">
        <v>20</v>
      </c>
      <c r="H30" s="259"/>
      <c r="I30" s="260"/>
      <c r="J30" s="72"/>
      <c r="K30" s="260"/>
      <c r="L30" s="72"/>
    </row>
    <row r="31" spans="1:12" x14ac:dyDescent="0.3">
      <c r="A31" s="258" t="s">
        <v>1036</v>
      </c>
      <c r="B31" s="72" t="s">
        <v>1035</v>
      </c>
      <c r="C31" s="72" t="s">
        <v>1221</v>
      </c>
      <c r="D31" s="72" t="s">
        <v>67</v>
      </c>
      <c r="E31" s="72"/>
      <c r="F31" s="72" t="s">
        <v>1614</v>
      </c>
      <c r="G31" s="72">
        <v>50</v>
      </c>
      <c r="H31" s="259"/>
      <c r="I31" s="260"/>
      <c r="J31" s="72"/>
      <c r="K31" s="260"/>
      <c r="L31" s="72"/>
    </row>
    <row r="32" spans="1:12" x14ac:dyDescent="0.3">
      <c r="A32" s="258" t="s">
        <v>1034</v>
      </c>
      <c r="B32" s="72" t="s">
        <v>1033</v>
      </c>
      <c r="C32" s="72" t="s">
        <v>1222</v>
      </c>
      <c r="D32" s="72" t="s">
        <v>67</v>
      </c>
      <c r="E32" s="72"/>
      <c r="F32" s="72" t="s">
        <v>1614</v>
      </c>
      <c r="G32" s="72">
        <v>40</v>
      </c>
      <c r="H32" s="259"/>
      <c r="I32" s="260"/>
      <c r="J32" s="72"/>
      <c r="K32" s="260"/>
      <c r="L32" s="72"/>
    </row>
    <row r="33" spans="1:12" x14ac:dyDescent="0.3">
      <c r="A33" s="258" t="s">
        <v>1032</v>
      </c>
      <c r="B33" s="72" t="s">
        <v>1031</v>
      </c>
      <c r="C33" s="72" t="s">
        <v>1223</v>
      </c>
      <c r="D33" s="72" t="s">
        <v>67</v>
      </c>
      <c r="E33" s="72"/>
      <c r="F33" s="72" t="s">
        <v>1614</v>
      </c>
      <c r="G33" s="72">
        <v>30</v>
      </c>
      <c r="H33" s="259"/>
      <c r="I33" s="260"/>
      <c r="J33" s="72"/>
      <c r="K33" s="260"/>
      <c r="L33" s="72"/>
    </row>
    <row r="34" spans="1:12" x14ac:dyDescent="0.3">
      <c r="A34" s="258" t="s">
        <v>1030</v>
      </c>
      <c r="B34" s="72" t="s">
        <v>1029</v>
      </c>
      <c r="C34" s="72" t="s">
        <v>1142</v>
      </c>
      <c r="D34" s="72" t="s">
        <v>67</v>
      </c>
      <c r="E34" s="72"/>
      <c r="F34" s="72" t="s">
        <v>1614</v>
      </c>
      <c r="G34" s="72">
        <v>30</v>
      </c>
      <c r="H34" s="259"/>
      <c r="I34" s="260">
        <v>12</v>
      </c>
      <c r="J34" s="72"/>
      <c r="K34" s="260">
        <v>12</v>
      </c>
      <c r="L34" s="72"/>
    </row>
    <row r="35" spans="1:12" x14ac:dyDescent="0.3">
      <c r="A35" s="258" t="s">
        <v>1028</v>
      </c>
      <c r="B35" s="72" t="s">
        <v>1027</v>
      </c>
      <c r="C35" s="72" t="s">
        <v>1143</v>
      </c>
      <c r="D35" s="72" t="s">
        <v>67</v>
      </c>
      <c r="E35" s="72"/>
      <c r="F35" s="72" t="s">
        <v>1617</v>
      </c>
      <c r="G35" s="72">
        <v>20</v>
      </c>
      <c r="H35" s="259"/>
      <c r="I35" s="260">
        <v>12</v>
      </c>
      <c r="J35" s="72"/>
      <c r="K35" s="260">
        <v>12</v>
      </c>
      <c r="L35" s="72"/>
    </row>
    <row r="36" spans="1:12" x14ac:dyDescent="0.3">
      <c r="A36" s="258" t="s">
        <v>1026</v>
      </c>
      <c r="B36" s="72" t="s">
        <v>1025</v>
      </c>
      <c r="C36" s="72" t="s">
        <v>1144</v>
      </c>
      <c r="D36" s="72" t="s">
        <v>67</v>
      </c>
      <c r="E36" s="72"/>
      <c r="F36" s="72" t="s">
        <v>1617</v>
      </c>
      <c r="G36" s="72">
        <v>20</v>
      </c>
      <c r="H36" s="259"/>
      <c r="I36" s="260">
        <v>12</v>
      </c>
      <c r="J36" s="72"/>
      <c r="K36" s="260">
        <v>12</v>
      </c>
      <c r="L36" s="72"/>
    </row>
    <row r="37" spans="1:12" x14ac:dyDescent="0.3">
      <c r="A37" s="258" t="s">
        <v>1024</v>
      </c>
      <c r="B37" s="72" t="s">
        <v>1023</v>
      </c>
      <c r="C37" s="72" t="s">
        <v>1145</v>
      </c>
      <c r="D37" s="72" t="s">
        <v>67</v>
      </c>
      <c r="E37" s="72"/>
      <c r="F37" s="72" t="s">
        <v>1617</v>
      </c>
      <c r="G37" s="72">
        <v>20</v>
      </c>
      <c r="H37" s="259"/>
      <c r="I37" s="260">
        <v>12</v>
      </c>
      <c r="J37" s="72"/>
      <c r="K37" s="260">
        <v>12</v>
      </c>
      <c r="L37" s="72"/>
    </row>
    <row r="38" spans="1:12" x14ac:dyDescent="0.3">
      <c r="A38" s="258" t="s">
        <v>1022</v>
      </c>
      <c r="B38" s="72" t="s">
        <v>1021</v>
      </c>
      <c r="C38" s="72" t="s">
        <v>1146</v>
      </c>
      <c r="D38" s="72" t="s">
        <v>67</v>
      </c>
      <c r="E38" s="72"/>
      <c r="F38" s="72" t="s">
        <v>1616</v>
      </c>
      <c r="G38" s="72">
        <v>15</v>
      </c>
      <c r="H38" s="259"/>
      <c r="I38" s="260">
        <v>12</v>
      </c>
      <c r="J38" s="72"/>
      <c r="K38" s="260">
        <v>12</v>
      </c>
      <c r="L38" s="72"/>
    </row>
    <row r="39" spans="1:12" x14ac:dyDescent="0.3">
      <c r="A39" s="258" t="s">
        <v>1020</v>
      </c>
      <c r="B39" s="72" t="s">
        <v>1019</v>
      </c>
      <c r="C39" s="72" t="s">
        <v>1147</v>
      </c>
      <c r="D39" s="72" t="s">
        <v>67</v>
      </c>
      <c r="E39" s="72"/>
      <c r="F39" s="72" t="s">
        <v>1616</v>
      </c>
      <c r="G39" s="72">
        <v>12</v>
      </c>
      <c r="H39" s="259"/>
      <c r="I39" s="260">
        <v>12</v>
      </c>
      <c r="J39" s="72"/>
      <c r="K39" s="260">
        <v>12</v>
      </c>
      <c r="L39" s="72"/>
    </row>
    <row r="40" spans="1:12" x14ac:dyDescent="0.3">
      <c r="A40" s="258" t="s">
        <v>1018</v>
      </c>
      <c r="B40" s="72" t="s">
        <v>1678</v>
      </c>
      <c r="C40" s="72" t="s">
        <v>1679</v>
      </c>
      <c r="D40" s="72" t="s">
        <v>67</v>
      </c>
      <c r="E40" s="72"/>
      <c r="F40" s="72" t="s">
        <v>1617</v>
      </c>
      <c r="G40" s="72">
        <v>20</v>
      </c>
      <c r="H40" s="259"/>
      <c r="I40" s="260"/>
      <c r="J40" s="72"/>
      <c r="K40" s="260"/>
      <c r="L40" s="72"/>
    </row>
    <row r="41" spans="1:12" x14ac:dyDescent="0.3">
      <c r="A41" s="258" t="s">
        <v>1017</v>
      </c>
      <c r="B41" s="72" t="s">
        <v>1016</v>
      </c>
      <c r="C41" s="72" t="s">
        <v>1224</v>
      </c>
      <c r="D41" s="72" t="s">
        <v>67</v>
      </c>
      <c r="E41" s="72"/>
      <c r="F41" s="72" t="s">
        <v>1614</v>
      </c>
      <c r="G41" s="72">
        <v>50</v>
      </c>
      <c r="H41" s="259"/>
      <c r="I41" s="260"/>
      <c r="J41" s="72"/>
      <c r="K41" s="260"/>
      <c r="L41" s="72"/>
    </row>
    <row r="42" spans="1:12" x14ac:dyDescent="0.3">
      <c r="A42" s="258" t="s">
        <v>1015</v>
      </c>
      <c r="B42" s="72" t="s">
        <v>1014</v>
      </c>
      <c r="C42" s="72" t="s">
        <v>1225</v>
      </c>
      <c r="D42" s="72" t="s">
        <v>67</v>
      </c>
      <c r="E42" s="72"/>
      <c r="F42" s="72" t="s">
        <v>1614</v>
      </c>
      <c r="G42" s="72">
        <v>50</v>
      </c>
      <c r="H42" s="259"/>
      <c r="I42" s="260"/>
      <c r="J42" s="72"/>
      <c r="K42" s="260"/>
      <c r="L42" s="72"/>
    </row>
    <row r="43" spans="1:12" x14ac:dyDescent="0.3">
      <c r="A43" s="258" t="s">
        <v>1013</v>
      </c>
      <c r="B43" s="72" t="s">
        <v>1012</v>
      </c>
      <c r="C43" s="72" t="s">
        <v>1226</v>
      </c>
      <c r="D43" s="72" t="s">
        <v>67</v>
      </c>
      <c r="E43" s="72"/>
      <c r="F43" s="72" t="s">
        <v>1614</v>
      </c>
      <c r="G43" s="72">
        <v>50</v>
      </c>
      <c r="H43" s="259"/>
      <c r="I43" s="260"/>
      <c r="J43" s="72"/>
      <c r="K43" s="260"/>
      <c r="L43" s="72"/>
    </row>
    <row r="44" spans="1:12" x14ac:dyDescent="0.3">
      <c r="A44" s="258" t="s">
        <v>1011</v>
      </c>
      <c r="B44" s="72" t="s">
        <v>1010</v>
      </c>
      <c r="C44" s="72" t="s">
        <v>1227</v>
      </c>
      <c r="D44" s="72" t="s">
        <v>67</v>
      </c>
      <c r="E44" s="72"/>
      <c r="F44" s="72" t="s">
        <v>1614</v>
      </c>
      <c r="G44" s="72">
        <v>40</v>
      </c>
      <c r="H44" s="259"/>
      <c r="I44" s="260"/>
      <c r="J44" s="72"/>
      <c r="K44" s="260"/>
      <c r="L44" s="72"/>
    </row>
    <row r="45" spans="1:12" x14ac:dyDescent="0.3">
      <c r="A45" s="258" t="s">
        <v>1009</v>
      </c>
      <c r="B45" s="72" t="s">
        <v>1008</v>
      </c>
      <c r="C45" s="72" t="s">
        <v>1228</v>
      </c>
      <c r="D45" s="72" t="s">
        <v>67</v>
      </c>
      <c r="E45" s="72"/>
      <c r="F45" s="72" t="s">
        <v>1617</v>
      </c>
      <c r="G45" s="72">
        <v>20</v>
      </c>
      <c r="H45" s="259"/>
      <c r="I45" s="260"/>
      <c r="J45" s="72"/>
      <c r="K45" s="260"/>
      <c r="L45" s="72"/>
    </row>
    <row r="46" spans="1:12" x14ac:dyDescent="0.3">
      <c r="A46" s="258" t="s">
        <v>1007</v>
      </c>
      <c r="B46" s="72" t="s">
        <v>1006</v>
      </c>
      <c r="C46" s="72" t="s">
        <v>1229</v>
      </c>
      <c r="D46" s="72" t="s">
        <v>67</v>
      </c>
      <c r="E46" s="72"/>
      <c r="F46" s="72" t="s">
        <v>1617</v>
      </c>
      <c r="G46" s="72">
        <v>20</v>
      </c>
      <c r="H46" s="259"/>
      <c r="I46" s="260"/>
      <c r="J46" s="72"/>
      <c r="K46" s="260"/>
      <c r="L46" s="72"/>
    </row>
    <row r="47" spans="1:12" x14ac:dyDescent="0.3">
      <c r="A47" s="258" t="s">
        <v>1005</v>
      </c>
      <c r="B47" s="72" t="s">
        <v>1004</v>
      </c>
      <c r="C47" s="72" t="s">
        <v>1230</v>
      </c>
      <c r="D47" s="72" t="s">
        <v>67</v>
      </c>
      <c r="E47" s="72"/>
      <c r="F47" s="72" t="s">
        <v>1614</v>
      </c>
      <c r="G47" s="72">
        <v>80</v>
      </c>
      <c r="H47" s="259"/>
      <c r="I47" s="260"/>
      <c r="J47" s="72"/>
      <c r="K47" s="260"/>
      <c r="L47" s="72"/>
    </row>
    <row r="48" spans="1:12" x14ac:dyDescent="0.3">
      <c r="A48" s="258" t="s">
        <v>1003</v>
      </c>
      <c r="B48" s="72" t="s">
        <v>1002</v>
      </c>
      <c r="C48" s="72" t="s">
        <v>1231</v>
      </c>
      <c r="D48" s="72" t="s">
        <v>67</v>
      </c>
      <c r="E48" s="72"/>
      <c r="F48" s="72" t="s">
        <v>1614</v>
      </c>
      <c r="G48" s="72">
        <v>60</v>
      </c>
      <c r="H48" s="259"/>
      <c r="I48" s="260"/>
      <c r="J48" s="72"/>
      <c r="K48" s="260"/>
      <c r="L48" s="72"/>
    </row>
    <row r="49" spans="1:12" x14ac:dyDescent="0.3">
      <c r="A49" s="258" t="s">
        <v>1680</v>
      </c>
      <c r="B49" s="72" t="s">
        <v>1001</v>
      </c>
      <c r="C49" s="72" t="s">
        <v>1681</v>
      </c>
      <c r="D49" s="72" t="s">
        <v>67</v>
      </c>
      <c r="E49" s="72"/>
      <c r="F49" s="72" t="s">
        <v>1616</v>
      </c>
      <c r="G49" s="72">
        <v>8</v>
      </c>
      <c r="H49" s="259"/>
      <c r="I49" s="260"/>
      <c r="J49" s="72"/>
      <c r="K49" s="260"/>
      <c r="L49" s="72"/>
    </row>
    <row r="50" spans="1:12" x14ac:dyDescent="0.3">
      <c r="A50" s="258" t="s">
        <v>1000</v>
      </c>
      <c r="B50" s="72" t="s">
        <v>999</v>
      </c>
      <c r="C50" s="72" t="s">
        <v>1232</v>
      </c>
      <c r="D50" s="72" t="s">
        <v>67</v>
      </c>
      <c r="E50" s="72"/>
      <c r="F50" s="72" t="s">
        <v>1672</v>
      </c>
      <c r="G50" s="72" t="s">
        <v>1672</v>
      </c>
      <c r="H50" s="259" t="s">
        <v>65</v>
      </c>
      <c r="I50" s="260"/>
      <c r="J50" s="72"/>
      <c r="K50" s="260"/>
      <c r="L50" s="72"/>
    </row>
    <row r="51" spans="1:12" x14ac:dyDescent="0.3">
      <c r="A51" s="258" t="s">
        <v>998</v>
      </c>
      <c r="B51" s="72" t="s">
        <v>997</v>
      </c>
      <c r="C51" s="72" t="s">
        <v>1233</v>
      </c>
      <c r="D51" s="72" t="s">
        <v>67</v>
      </c>
      <c r="E51" s="72"/>
      <c r="F51" s="72" t="s">
        <v>1617</v>
      </c>
      <c r="G51" s="72">
        <v>20</v>
      </c>
      <c r="H51" s="259"/>
      <c r="I51" s="260"/>
      <c r="J51" s="72"/>
      <c r="K51" s="260"/>
      <c r="L51" s="72"/>
    </row>
    <row r="52" spans="1:12" x14ac:dyDescent="0.3">
      <c r="A52" s="258" t="s">
        <v>996</v>
      </c>
      <c r="B52" s="72" t="s">
        <v>995</v>
      </c>
      <c r="C52" s="72" t="s">
        <v>1234</v>
      </c>
      <c r="D52" s="72" t="s">
        <v>67</v>
      </c>
      <c r="E52" s="72"/>
      <c r="F52" s="72" t="s">
        <v>1617</v>
      </c>
      <c r="G52" s="72">
        <v>20</v>
      </c>
      <c r="H52" s="259"/>
      <c r="I52" s="260"/>
      <c r="J52" s="72"/>
      <c r="K52" s="260"/>
      <c r="L52" s="72"/>
    </row>
    <row r="53" spans="1:12" x14ac:dyDescent="0.3">
      <c r="A53" s="258" t="s">
        <v>994</v>
      </c>
      <c r="B53" s="72" t="s">
        <v>993</v>
      </c>
      <c r="C53" s="72" t="s">
        <v>1235</v>
      </c>
      <c r="D53" s="72" t="s">
        <v>67</v>
      </c>
      <c r="E53" s="72"/>
      <c r="F53" s="72" t="s">
        <v>1615</v>
      </c>
      <c r="G53" s="72">
        <v>25</v>
      </c>
      <c r="H53" s="259"/>
      <c r="I53" s="260"/>
      <c r="J53" s="72"/>
      <c r="K53" s="260"/>
      <c r="L53" s="72"/>
    </row>
    <row r="54" spans="1:12" x14ac:dyDescent="0.3">
      <c r="A54" s="258" t="s">
        <v>992</v>
      </c>
      <c r="B54" s="72" t="s">
        <v>2151</v>
      </c>
      <c r="C54" s="72" t="s">
        <v>2152</v>
      </c>
      <c r="D54" s="72" t="s">
        <v>67</v>
      </c>
      <c r="E54" s="72"/>
      <c r="F54" s="72" t="s">
        <v>1616</v>
      </c>
      <c r="G54" s="72">
        <v>10</v>
      </c>
      <c r="H54" s="259"/>
      <c r="I54" s="260"/>
      <c r="J54" s="72"/>
      <c r="K54" s="260"/>
      <c r="L54" s="72"/>
    </row>
    <row r="55" spans="1:12" x14ac:dyDescent="0.3">
      <c r="A55" s="258" t="s">
        <v>991</v>
      </c>
      <c r="B55" s="72" t="s">
        <v>990</v>
      </c>
      <c r="C55" s="72" t="s">
        <v>1236</v>
      </c>
      <c r="D55" s="72" t="s">
        <v>67</v>
      </c>
      <c r="E55" s="72"/>
      <c r="F55" s="72" t="s">
        <v>1614</v>
      </c>
      <c r="G55" s="72">
        <v>50</v>
      </c>
      <c r="H55" s="259"/>
      <c r="I55" s="260"/>
      <c r="J55" s="72"/>
      <c r="K55" s="260"/>
      <c r="L55" s="72"/>
    </row>
    <row r="56" spans="1:12" x14ac:dyDescent="0.3">
      <c r="A56" s="258" t="s">
        <v>989</v>
      </c>
      <c r="B56" s="72" t="s">
        <v>988</v>
      </c>
      <c r="C56" s="72" t="s">
        <v>1237</v>
      </c>
      <c r="D56" s="72" t="s">
        <v>67</v>
      </c>
      <c r="E56" s="72"/>
      <c r="F56" s="72" t="s">
        <v>1614</v>
      </c>
      <c r="G56" s="72">
        <v>30</v>
      </c>
      <c r="H56" s="259"/>
      <c r="I56" s="260"/>
      <c r="J56" s="72"/>
      <c r="K56" s="260"/>
      <c r="L56" s="72"/>
    </row>
    <row r="57" spans="1:12" x14ac:dyDescent="0.3">
      <c r="A57" s="258" t="s">
        <v>987</v>
      </c>
      <c r="B57" s="72" t="s">
        <v>986</v>
      </c>
      <c r="C57" s="72" t="s">
        <v>1238</v>
      </c>
      <c r="D57" s="72" t="s">
        <v>67</v>
      </c>
      <c r="E57" s="72"/>
      <c r="F57" s="72" t="s">
        <v>1614</v>
      </c>
      <c r="G57" s="72">
        <v>50</v>
      </c>
      <c r="H57" s="259"/>
      <c r="I57" s="260"/>
      <c r="J57" s="72"/>
      <c r="K57" s="260"/>
      <c r="L57" s="72"/>
    </row>
    <row r="58" spans="1:12" x14ac:dyDescent="0.3">
      <c r="A58" s="258" t="s">
        <v>985</v>
      </c>
      <c r="B58" s="72" t="s">
        <v>984</v>
      </c>
      <c r="C58" s="72" t="s">
        <v>1239</v>
      </c>
      <c r="D58" s="72" t="s">
        <v>67</v>
      </c>
      <c r="E58" s="72"/>
      <c r="F58" s="72" t="s">
        <v>1672</v>
      </c>
      <c r="G58" s="72" t="s">
        <v>1672</v>
      </c>
      <c r="H58" s="259" t="s">
        <v>65</v>
      </c>
      <c r="I58" s="260"/>
      <c r="J58" s="72"/>
      <c r="K58" s="260"/>
      <c r="L58" s="72"/>
    </row>
    <row r="59" spans="1:12" x14ac:dyDescent="0.3">
      <c r="A59" s="258" t="s">
        <v>983</v>
      </c>
      <c r="B59" s="72" t="s">
        <v>982</v>
      </c>
      <c r="C59" s="72" t="s">
        <v>1240</v>
      </c>
      <c r="D59" s="72" t="s">
        <v>67</v>
      </c>
      <c r="E59" s="72"/>
      <c r="F59" s="72" t="s">
        <v>1614</v>
      </c>
      <c r="G59" s="72">
        <v>30</v>
      </c>
      <c r="H59" s="259"/>
      <c r="I59" s="260"/>
      <c r="J59" s="72"/>
      <c r="K59" s="260"/>
      <c r="L59" s="72"/>
    </row>
    <row r="60" spans="1:12" x14ac:dyDescent="0.3">
      <c r="A60" s="258" t="s">
        <v>1682</v>
      </c>
      <c r="B60" s="72" t="s">
        <v>2124</v>
      </c>
      <c r="C60" s="72" t="s">
        <v>2127</v>
      </c>
      <c r="D60" s="72" t="s">
        <v>67</v>
      </c>
      <c r="E60" s="72"/>
      <c r="F60" s="72" t="s">
        <v>1615</v>
      </c>
      <c r="G60" s="72">
        <v>30</v>
      </c>
      <c r="H60" s="259"/>
      <c r="I60" s="260"/>
      <c r="J60" s="72"/>
      <c r="K60" s="260"/>
      <c r="L60" s="72"/>
    </row>
    <row r="61" spans="1:12" x14ac:dyDescent="0.3">
      <c r="A61" s="258" t="s">
        <v>981</v>
      </c>
      <c r="B61" s="72" t="s">
        <v>980</v>
      </c>
      <c r="C61" s="72" t="s">
        <v>1134</v>
      </c>
      <c r="D61" s="72" t="s">
        <v>67</v>
      </c>
      <c r="E61" s="72"/>
      <c r="F61" s="72" t="s">
        <v>1614</v>
      </c>
      <c r="G61" s="72">
        <v>50</v>
      </c>
      <c r="H61" s="259"/>
      <c r="I61" s="260"/>
      <c r="J61" s="72" t="b">
        <v>1</v>
      </c>
      <c r="K61" s="260"/>
      <c r="L61" s="72" t="b">
        <v>1</v>
      </c>
    </row>
    <row r="62" spans="1:12" x14ac:dyDescent="0.3">
      <c r="A62" s="258" t="s">
        <v>979</v>
      </c>
      <c r="B62" s="72" t="s">
        <v>978</v>
      </c>
      <c r="C62" s="72" t="s">
        <v>1241</v>
      </c>
      <c r="D62" s="72" t="s">
        <v>67</v>
      </c>
      <c r="E62" s="72"/>
      <c r="F62" s="72" t="s">
        <v>1614</v>
      </c>
      <c r="G62" s="72">
        <v>30</v>
      </c>
      <c r="H62" s="259"/>
      <c r="I62" s="260"/>
      <c r="J62" s="72"/>
      <c r="K62" s="260"/>
      <c r="L62" s="72"/>
    </row>
    <row r="63" spans="1:12" x14ac:dyDescent="0.3">
      <c r="A63" s="258" t="s">
        <v>977</v>
      </c>
      <c r="B63" s="72" t="s">
        <v>976</v>
      </c>
      <c r="C63" s="72" t="s">
        <v>1242</v>
      </c>
      <c r="D63" s="72" t="s">
        <v>67</v>
      </c>
      <c r="E63" s="72"/>
      <c r="F63" s="72" t="s">
        <v>1614</v>
      </c>
      <c r="G63" s="72">
        <v>40</v>
      </c>
      <c r="H63" s="259"/>
      <c r="I63" s="260"/>
      <c r="J63" s="72"/>
      <c r="K63" s="260"/>
      <c r="L63" s="72"/>
    </row>
    <row r="64" spans="1:12" x14ac:dyDescent="0.3">
      <c r="A64" s="258" t="s">
        <v>975</v>
      </c>
      <c r="B64" s="72" t="s">
        <v>974</v>
      </c>
      <c r="C64" s="72" t="s">
        <v>1243</v>
      </c>
      <c r="D64" s="72" t="s">
        <v>67</v>
      </c>
      <c r="E64" s="72"/>
      <c r="F64" s="72" t="s">
        <v>1614</v>
      </c>
      <c r="G64" s="72">
        <v>40</v>
      </c>
      <c r="H64" s="259"/>
      <c r="I64" s="260"/>
      <c r="J64" s="72"/>
      <c r="K64" s="260"/>
      <c r="L64" s="72"/>
    </row>
    <row r="65" spans="1:12" x14ac:dyDescent="0.3">
      <c r="A65" s="258" t="s">
        <v>973</v>
      </c>
      <c r="B65" s="72" t="s">
        <v>972</v>
      </c>
      <c r="C65" s="72" t="s">
        <v>1130</v>
      </c>
      <c r="D65" s="72" t="s">
        <v>67</v>
      </c>
      <c r="E65" s="72"/>
      <c r="F65" s="72" t="s">
        <v>1614</v>
      </c>
      <c r="G65" s="72">
        <v>40</v>
      </c>
      <c r="H65" s="259"/>
      <c r="I65" s="260"/>
      <c r="J65" s="72"/>
      <c r="K65" s="260"/>
      <c r="L65" s="72"/>
    </row>
    <row r="66" spans="1:12" x14ac:dyDescent="0.3">
      <c r="A66" s="258" t="s">
        <v>971</v>
      </c>
      <c r="B66" s="72" t="s">
        <v>970</v>
      </c>
      <c r="C66" s="72" t="s">
        <v>1148</v>
      </c>
      <c r="D66" s="72" t="s">
        <v>67</v>
      </c>
      <c r="E66" s="72"/>
      <c r="F66" s="72" t="s">
        <v>1616</v>
      </c>
      <c r="G66" s="72">
        <v>15</v>
      </c>
      <c r="H66" s="259"/>
      <c r="I66" s="260">
        <v>6</v>
      </c>
      <c r="J66" s="72"/>
      <c r="K66" s="260">
        <v>6</v>
      </c>
      <c r="L66" s="72"/>
    </row>
    <row r="67" spans="1:12" x14ac:dyDescent="0.3">
      <c r="A67" s="258" t="s">
        <v>969</v>
      </c>
      <c r="B67" s="72" t="s">
        <v>968</v>
      </c>
      <c r="C67" s="72" t="s">
        <v>1244</v>
      </c>
      <c r="D67" s="72" t="s">
        <v>67</v>
      </c>
      <c r="E67" s="72"/>
      <c r="F67" s="72" t="s">
        <v>1672</v>
      </c>
      <c r="G67" s="72" t="s">
        <v>1672</v>
      </c>
      <c r="H67" s="259" t="s">
        <v>65</v>
      </c>
      <c r="I67" s="260"/>
      <c r="J67" s="72"/>
      <c r="K67" s="260"/>
      <c r="L67" s="72"/>
    </row>
    <row r="68" spans="1:12" x14ac:dyDescent="0.3">
      <c r="A68" s="258" t="s">
        <v>967</v>
      </c>
      <c r="B68" s="72" t="s">
        <v>966</v>
      </c>
      <c r="C68" s="72" t="s">
        <v>1149</v>
      </c>
      <c r="D68" s="72" t="s">
        <v>67</v>
      </c>
      <c r="E68" s="72"/>
      <c r="F68" s="72" t="s">
        <v>1616</v>
      </c>
      <c r="G68" s="72">
        <v>15</v>
      </c>
      <c r="H68" s="259"/>
      <c r="I68" s="260">
        <v>6</v>
      </c>
      <c r="J68" s="72"/>
      <c r="K68" s="260">
        <v>6</v>
      </c>
      <c r="L68" s="72"/>
    </row>
    <row r="69" spans="1:12" x14ac:dyDescent="0.3">
      <c r="A69" s="258" t="s">
        <v>965</v>
      </c>
      <c r="B69" s="72" t="s">
        <v>964</v>
      </c>
      <c r="C69" s="72" t="s">
        <v>1245</v>
      </c>
      <c r="D69" s="72" t="s">
        <v>67</v>
      </c>
      <c r="E69" s="72"/>
      <c r="F69" s="72" t="s">
        <v>1616</v>
      </c>
      <c r="G69" s="72">
        <v>15</v>
      </c>
      <c r="H69" s="259"/>
      <c r="I69" s="260"/>
      <c r="J69" s="72"/>
      <c r="K69" s="260"/>
      <c r="L69" s="72"/>
    </row>
    <row r="70" spans="1:12" x14ac:dyDescent="0.3">
      <c r="A70" s="258" t="s">
        <v>963</v>
      </c>
      <c r="B70" s="72" t="s">
        <v>962</v>
      </c>
      <c r="C70" s="72" t="s">
        <v>1246</v>
      </c>
      <c r="D70" s="72" t="s">
        <v>67</v>
      </c>
      <c r="E70" s="72"/>
      <c r="F70" s="72" t="s">
        <v>1616</v>
      </c>
      <c r="G70" s="72">
        <v>15</v>
      </c>
      <c r="H70" s="259"/>
      <c r="I70" s="260"/>
      <c r="J70" s="72"/>
      <c r="K70" s="260"/>
      <c r="L70" s="72"/>
    </row>
    <row r="71" spans="1:12" x14ac:dyDescent="0.3">
      <c r="A71" s="258" t="s">
        <v>961</v>
      </c>
      <c r="B71" s="72" t="s">
        <v>960</v>
      </c>
      <c r="C71" s="72" t="s">
        <v>1247</v>
      </c>
      <c r="D71" s="72" t="s">
        <v>67</v>
      </c>
      <c r="E71" s="72"/>
      <c r="F71" s="72" t="s">
        <v>1672</v>
      </c>
      <c r="G71" s="72" t="s">
        <v>1672</v>
      </c>
      <c r="H71" s="259" t="s">
        <v>65</v>
      </c>
      <c r="I71" s="260"/>
      <c r="J71" s="72"/>
      <c r="K71" s="260"/>
      <c r="L71" s="72"/>
    </row>
    <row r="72" spans="1:12" x14ac:dyDescent="0.3">
      <c r="A72" s="258" t="s">
        <v>959</v>
      </c>
      <c r="B72" s="72" t="s">
        <v>958</v>
      </c>
      <c r="C72" s="72" t="s">
        <v>1248</v>
      </c>
      <c r="D72" s="72" t="s">
        <v>67</v>
      </c>
      <c r="E72" s="72"/>
      <c r="F72" s="72" t="s">
        <v>1616</v>
      </c>
      <c r="G72" s="72">
        <v>15</v>
      </c>
      <c r="H72" s="259"/>
      <c r="I72" s="260"/>
      <c r="J72" s="72"/>
      <c r="K72" s="260"/>
      <c r="L72" s="72"/>
    </row>
    <row r="73" spans="1:12" x14ac:dyDescent="0.3">
      <c r="A73" s="258" t="s">
        <v>957</v>
      </c>
      <c r="B73" s="72" t="s">
        <v>956</v>
      </c>
      <c r="C73" s="72" t="s">
        <v>1127</v>
      </c>
      <c r="D73" s="72" t="s">
        <v>67</v>
      </c>
      <c r="E73" s="72"/>
      <c r="F73" s="72" t="s">
        <v>1616</v>
      </c>
      <c r="G73" s="72">
        <v>15</v>
      </c>
      <c r="H73" s="259"/>
      <c r="I73" s="260"/>
      <c r="J73" s="72"/>
      <c r="K73" s="260"/>
      <c r="L73" s="72"/>
    </row>
    <row r="74" spans="1:12" x14ac:dyDescent="0.3">
      <c r="A74" s="258" t="s">
        <v>1683</v>
      </c>
      <c r="B74" s="72" t="s">
        <v>1684</v>
      </c>
      <c r="C74" s="72" t="s">
        <v>1685</v>
      </c>
      <c r="D74" s="72" t="s">
        <v>67</v>
      </c>
      <c r="E74" s="72"/>
      <c r="F74" s="72" t="s">
        <v>1616</v>
      </c>
      <c r="G74" s="72">
        <v>15</v>
      </c>
      <c r="H74" s="259"/>
      <c r="I74" s="260"/>
      <c r="J74" s="72"/>
      <c r="K74" s="260"/>
      <c r="L74" s="72"/>
    </row>
    <row r="75" spans="1:12" x14ac:dyDescent="0.3">
      <c r="A75" s="258" t="s">
        <v>955</v>
      </c>
      <c r="B75" s="72" t="s">
        <v>954</v>
      </c>
      <c r="C75" s="72" t="s">
        <v>1249</v>
      </c>
      <c r="D75" s="72" t="s">
        <v>67</v>
      </c>
      <c r="E75" s="72"/>
      <c r="F75" s="72" t="s">
        <v>1616</v>
      </c>
      <c r="G75" s="72">
        <v>15</v>
      </c>
      <c r="H75" s="259"/>
      <c r="I75" s="260"/>
      <c r="J75" s="72"/>
      <c r="K75" s="260"/>
      <c r="L75" s="72"/>
    </row>
    <row r="76" spans="1:12" x14ac:dyDescent="0.3">
      <c r="A76" s="258" t="s">
        <v>953</v>
      </c>
      <c r="B76" s="72" t="s">
        <v>952</v>
      </c>
      <c r="C76" s="72" t="s">
        <v>1250</v>
      </c>
      <c r="D76" s="72" t="s">
        <v>67</v>
      </c>
      <c r="E76" s="72"/>
      <c r="F76" s="72" t="s">
        <v>1616</v>
      </c>
      <c r="G76" s="72">
        <v>15</v>
      </c>
      <c r="H76" s="259"/>
      <c r="I76" s="260"/>
      <c r="J76" s="72"/>
      <c r="K76" s="260"/>
      <c r="L76" s="72"/>
    </row>
    <row r="77" spans="1:12" x14ac:dyDescent="0.3">
      <c r="A77" s="258" t="s">
        <v>951</v>
      </c>
      <c r="B77" s="72" t="s">
        <v>950</v>
      </c>
      <c r="C77" s="72" t="s">
        <v>1150</v>
      </c>
      <c r="D77" s="72" t="s">
        <v>122</v>
      </c>
      <c r="E77" s="72"/>
      <c r="F77" s="72" t="s">
        <v>1614</v>
      </c>
      <c r="G77" s="72">
        <v>30</v>
      </c>
      <c r="H77" s="259"/>
      <c r="I77" s="260">
        <v>22</v>
      </c>
      <c r="J77" s="72"/>
      <c r="K77" s="260">
        <v>22</v>
      </c>
      <c r="L77" s="72"/>
    </row>
    <row r="78" spans="1:12" x14ac:dyDescent="0.3">
      <c r="A78" s="258" t="s">
        <v>1686</v>
      </c>
      <c r="B78" s="72" t="s">
        <v>1687</v>
      </c>
      <c r="C78" s="72" t="s">
        <v>1688</v>
      </c>
      <c r="D78" s="72" t="s">
        <v>81</v>
      </c>
      <c r="E78" s="72"/>
      <c r="F78" s="72" t="s">
        <v>1616</v>
      </c>
      <c r="G78" s="72">
        <v>20</v>
      </c>
      <c r="H78" s="259"/>
      <c r="I78" s="260"/>
      <c r="J78" s="72"/>
      <c r="K78" s="260"/>
      <c r="L78" s="72"/>
    </row>
    <row r="79" spans="1:12" x14ac:dyDescent="0.3">
      <c r="A79" s="258" t="s">
        <v>949</v>
      </c>
      <c r="B79" s="72" t="s">
        <v>948</v>
      </c>
      <c r="C79" s="72" t="s">
        <v>1151</v>
      </c>
      <c r="D79" s="72" t="s">
        <v>81</v>
      </c>
      <c r="E79" s="72"/>
      <c r="F79" s="72" t="s">
        <v>1614</v>
      </c>
      <c r="G79" s="72">
        <v>30</v>
      </c>
      <c r="H79" s="259"/>
      <c r="I79" s="260">
        <v>6</v>
      </c>
      <c r="J79" s="72"/>
      <c r="K79" s="260">
        <v>6</v>
      </c>
      <c r="L79" s="72"/>
    </row>
    <row r="80" spans="1:12" x14ac:dyDescent="0.3">
      <c r="A80" s="258" t="s">
        <v>947</v>
      </c>
      <c r="B80" s="72" t="s">
        <v>944</v>
      </c>
      <c r="C80" s="72" t="s">
        <v>1251</v>
      </c>
      <c r="D80" s="72" t="s">
        <v>81</v>
      </c>
      <c r="E80" s="72"/>
      <c r="F80" s="72" t="s">
        <v>1672</v>
      </c>
      <c r="G80" s="72" t="s">
        <v>1672</v>
      </c>
      <c r="H80" s="259" t="s">
        <v>65</v>
      </c>
      <c r="I80" s="260"/>
      <c r="J80" s="72"/>
      <c r="K80" s="260"/>
      <c r="L80" s="72"/>
    </row>
    <row r="81" spans="1:12" x14ac:dyDescent="0.3">
      <c r="A81" s="258" t="s">
        <v>946</v>
      </c>
      <c r="B81" s="72" t="s">
        <v>945</v>
      </c>
      <c r="C81" s="72" t="s">
        <v>1252</v>
      </c>
      <c r="D81" s="72" t="s">
        <v>81</v>
      </c>
      <c r="E81" s="72"/>
      <c r="F81" s="72" t="s">
        <v>1617</v>
      </c>
      <c r="G81" s="72">
        <v>20</v>
      </c>
      <c r="H81" s="259"/>
      <c r="I81" s="260"/>
      <c r="J81" s="72"/>
      <c r="K81" s="260"/>
      <c r="L81" s="72"/>
    </row>
    <row r="82" spans="1:12" x14ac:dyDescent="0.3">
      <c r="A82" s="258" t="s">
        <v>943</v>
      </c>
      <c r="B82" s="72" t="s">
        <v>942</v>
      </c>
      <c r="C82" s="72" t="s">
        <v>1253</v>
      </c>
      <c r="D82" s="72" t="s">
        <v>67</v>
      </c>
      <c r="E82" s="72"/>
      <c r="F82" s="72" t="s">
        <v>1615</v>
      </c>
      <c r="G82" s="72">
        <v>25</v>
      </c>
      <c r="H82" s="259"/>
      <c r="I82" s="260"/>
      <c r="J82" s="72"/>
      <c r="K82" s="260"/>
      <c r="L82" s="72"/>
    </row>
    <row r="83" spans="1:12" x14ac:dyDescent="0.3">
      <c r="A83" s="258" t="s">
        <v>941</v>
      </c>
      <c r="B83" s="72" t="s">
        <v>940</v>
      </c>
      <c r="C83" s="72" t="s">
        <v>1254</v>
      </c>
      <c r="D83" s="72" t="s">
        <v>67</v>
      </c>
      <c r="E83" s="72"/>
      <c r="F83" s="72" t="s">
        <v>1614</v>
      </c>
      <c r="G83" s="72">
        <v>30</v>
      </c>
      <c r="H83" s="259"/>
      <c r="I83" s="260"/>
      <c r="J83" s="72"/>
      <c r="K83" s="260"/>
      <c r="L83" s="72"/>
    </row>
    <row r="84" spans="1:12" x14ac:dyDescent="0.3">
      <c r="A84" s="258" t="s">
        <v>939</v>
      </c>
      <c r="B84" s="72" t="s">
        <v>938</v>
      </c>
      <c r="C84" s="72" t="s">
        <v>1255</v>
      </c>
      <c r="D84" s="72" t="s">
        <v>67</v>
      </c>
      <c r="E84" s="72"/>
      <c r="F84" s="72" t="s">
        <v>1614</v>
      </c>
      <c r="G84" s="72">
        <v>30</v>
      </c>
      <c r="H84" s="259"/>
      <c r="I84" s="260"/>
      <c r="J84" s="72"/>
      <c r="K84" s="260"/>
      <c r="L84" s="72"/>
    </row>
    <row r="85" spans="1:12" x14ac:dyDescent="0.3">
      <c r="A85" s="258" t="s">
        <v>937</v>
      </c>
      <c r="B85" s="72" t="s">
        <v>936</v>
      </c>
      <c r="C85" s="72" t="s">
        <v>1256</v>
      </c>
      <c r="D85" s="72" t="s">
        <v>67</v>
      </c>
      <c r="E85" s="72"/>
      <c r="F85" s="72" t="s">
        <v>1614</v>
      </c>
      <c r="G85" s="72">
        <v>30</v>
      </c>
      <c r="H85" s="259"/>
      <c r="I85" s="260"/>
      <c r="J85" s="72"/>
      <c r="K85" s="260"/>
      <c r="L85" s="72"/>
    </row>
    <row r="86" spans="1:12" x14ac:dyDescent="0.3">
      <c r="A86" s="258" t="s">
        <v>935</v>
      </c>
      <c r="B86" s="72" t="s">
        <v>934</v>
      </c>
      <c r="C86" s="72" t="s">
        <v>1257</v>
      </c>
      <c r="D86" s="72" t="s">
        <v>67</v>
      </c>
      <c r="E86" s="72"/>
      <c r="F86" s="72" t="s">
        <v>1614</v>
      </c>
      <c r="G86" s="72">
        <v>40</v>
      </c>
      <c r="H86" s="259"/>
      <c r="I86" s="260"/>
      <c r="J86" s="72"/>
      <c r="K86" s="260"/>
      <c r="L86" s="72"/>
    </row>
    <row r="87" spans="1:12" x14ac:dyDescent="0.3">
      <c r="A87" s="258" t="s">
        <v>933</v>
      </c>
      <c r="B87" s="72" t="s">
        <v>932</v>
      </c>
      <c r="C87" s="72" t="s">
        <v>1258</v>
      </c>
      <c r="D87" s="72" t="s">
        <v>67</v>
      </c>
      <c r="E87" s="72"/>
      <c r="F87" s="72" t="s">
        <v>1614</v>
      </c>
      <c r="G87" s="72">
        <v>35</v>
      </c>
      <c r="H87" s="259"/>
      <c r="I87" s="260"/>
      <c r="J87" s="72"/>
      <c r="K87" s="260"/>
      <c r="L87" s="72"/>
    </row>
    <row r="88" spans="1:12" x14ac:dyDescent="0.3">
      <c r="A88" s="258" t="s">
        <v>1689</v>
      </c>
      <c r="B88" s="72" t="s">
        <v>1690</v>
      </c>
      <c r="C88" s="72" t="s">
        <v>1691</v>
      </c>
      <c r="D88" s="72" t="s">
        <v>67</v>
      </c>
      <c r="E88" s="72"/>
      <c r="F88" s="72" t="s">
        <v>1614</v>
      </c>
      <c r="G88" s="72">
        <v>35</v>
      </c>
      <c r="H88" s="259"/>
      <c r="I88" s="260"/>
      <c r="J88" s="72"/>
      <c r="K88" s="260"/>
      <c r="L88" s="72"/>
    </row>
    <row r="89" spans="1:12" x14ac:dyDescent="0.3">
      <c r="A89" s="258" t="s">
        <v>1692</v>
      </c>
      <c r="B89" s="72" t="s">
        <v>1693</v>
      </c>
      <c r="C89" s="72" t="s">
        <v>1694</v>
      </c>
      <c r="D89" s="72" t="s">
        <v>67</v>
      </c>
      <c r="E89" s="72"/>
      <c r="F89" s="72" t="s">
        <v>1615</v>
      </c>
      <c r="G89" s="72">
        <v>30</v>
      </c>
      <c r="H89" s="259"/>
      <c r="I89" s="260"/>
      <c r="J89" s="72"/>
      <c r="K89" s="260"/>
      <c r="L89" s="72"/>
    </row>
    <row r="90" spans="1:12" x14ac:dyDescent="0.3">
      <c r="A90" s="258" t="s">
        <v>1695</v>
      </c>
      <c r="B90" s="72" t="s">
        <v>1696</v>
      </c>
      <c r="C90" s="72" t="s">
        <v>1697</v>
      </c>
      <c r="D90" s="72" t="s">
        <v>67</v>
      </c>
      <c r="E90" s="72"/>
      <c r="F90" s="72" t="s">
        <v>1615</v>
      </c>
      <c r="G90" s="72">
        <v>30</v>
      </c>
      <c r="H90" s="259"/>
      <c r="I90" s="260"/>
      <c r="J90" s="72"/>
      <c r="K90" s="260"/>
      <c r="L90" s="72"/>
    </row>
    <row r="91" spans="1:12" x14ac:dyDescent="0.3">
      <c r="A91" s="258" t="s">
        <v>1698</v>
      </c>
      <c r="B91" s="72" t="s">
        <v>1699</v>
      </c>
      <c r="C91" s="72" t="s">
        <v>1700</v>
      </c>
      <c r="D91" s="72" t="s">
        <v>67</v>
      </c>
      <c r="E91" s="72"/>
      <c r="F91" s="72" t="s">
        <v>1615</v>
      </c>
      <c r="G91" s="72">
        <v>25</v>
      </c>
      <c r="H91" s="259"/>
      <c r="I91" s="260"/>
      <c r="J91" s="72"/>
      <c r="K91" s="260"/>
      <c r="L91" s="72"/>
    </row>
    <row r="92" spans="1:12" x14ac:dyDescent="0.3">
      <c r="A92" s="258" t="s">
        <v>931</v>
      </c>
      <c r="B92" s="72" t="s">
        <v>930</v>
      </c>
      <c r="C92" s="72" t="s">
        <v>1259</v>
      </c>
      <c r="D92" s="72" t="s">
        <v>67</v>
      </c>
      <c r="E92" s="72"/>
      <c r="F92" s="72" t="s">
        <v>1617</v>
      </c>
      <c r="G92" s="72">
        <v>20</v>
      </c>
      <c r="H92" s="259"/>
      <c r="I92" s="260"/>
      <c r="J92" s="72"/>
      <c r="K92" s="260"/>
      <c r="L92" s="72"/>
    </row>
    <row r="93" spans="1:12" x14ac:dyDescent="0.3">
      <c r="A93" s="258" t="s">
        <v>929</v>
      </c>
      <c r="B93" s="72" t="s">
        <v>928</v>
      </c>
      <c r="C93" s="72" t="s">
        <v>1152</v>
      </c>
      <c r="D93" s="72" t="s">
        <v>67</v>
      </c>
      <c r="E93" s="72"/>
      <c r="F93" s="72" t="s">
        <v>1614</v>
      </c>
      <c r="G93" s="72">
        <v>35</v>
      </c>
      <c r="H93" s="259"/>
      <c r="I93" s="260">
        <v>20</v>
      </c>
      <c r="J93" s="72"/>
      <c r="K93" s="260">
        <v>20</v>
      </c>
      <c r="L93" s="72"/>
    </row>
    <row r="94" spans="1:12" x14ac:dyDescent="0.3">
      <c r="A94" s="258" t="s">
        <v>927</v>
      </c>
      <c r="B94" s="72" t="s">
        <v>926</v>
      </c>
      <c r="C94" s="72" t="s">
        <v>1153</v>
      </c>
      <c r="D94" s="72" t="s">
        <v>67</v>
      </c>
      <c r="E94" s="72"/>
      <c r="F94" s="72" t="s">
        <v>1615</v>
      </c>
      <c r="G94" s="72">
        <v>25</v>
      </c>
      <c r="H94" s="259"/>
      <c r="I94" s="260">
        <v>20</v>
      </c>
      <c r="J94" s="72"/>
      <c r="K94" s="260">
        <v>20</v>
      </c>
      <c r="L94" s="72"/>
    </row>
    <row r="95" spans="1:12" x14ac:dyDescent="0.3">
      <c r="A95" s="258" t="s">
        <v>925</v>
      </c>
      <c r="B95" s="72" t="s">
        <v>924</v>
      </c>
      <c r="C95" s="72" t="s">
        <v>1260</v>
      </c>
      <c r="D95" s="72" t="s">
        <v>67</v>
      </c>
      <c r="E95" s="72"/>
      <c r="F95" s="72" t="s">
        <v>1614</v>
      </c>
      <c r="G95" s="72">
        <v>30</v>
      </c>
      <c r="H95" s="259"/>
      <c r="I95" s="260"/>
      <c r="J95" s="72"/>
      <c r="K95" s="260"/>
      <c r="L95" s="72"/>
    </row>
    <row r="96" spans="1:12" x14ac:dyDescent="0.3">
      <c r="A96" s="258" t="s">
        <v>923</v>
      </c>
      <c r="B96" s="72" t="s">
        <v>922</v>
      </c>
      <c r="C96" s="72" t="s">
        <v>1261</v>
      </c>
      <c r="D96" s="72" t="s">
        <v>67</v>
      </c>
      <c r="E96" s="72"/>
      <c r="F96" s="72" t="s">
        <v>1615</v>
      </c>
      <c r="G96" s="72">
        <v>25</v>
      </c>
      <c r="H96" s="259"/>
      <c r="I96" s="260"/>
      <c r="J96" s="72"/>
      <c r="K96" s="260"/>
      <c r="L96" s="72"/>
    </row>
    <row r="97" spans="1:12" x14ac:dyDescent="0.3">
      <c r="A97" s="258" t="s">
        <v>921</v>
      </c>
      <c r="B97" s="72" t="s">
        <v>920</v>
      </c>
      <c r="C97" s="72" t="s">
        <v>1262</v>
      </c>
      <c r="D97" s="72" t="s">
        <v>67</v>
      </c>
      <c r="E97" s="72"/>
      <c r="F97" s="72" t="s">
        <v>1617</v>
      </c>
      <c r="G97" s="72">
        <v>20</v>
      </c>
      <c r="H97" s="259"/>
      <c r="I97" s="260"/>
      <c r="J97" s="72"/>
      <c r="K97" s="260"/>
      <c r="L97" s="72"/>
    </row>
    <row r="98" spans="1:12" x14ac:dyDescent="0.3">
      <c r="A98" s="258" t="s">
        <v>919</v>
      </c>
      <c r="B98" s="72" t="s">
        <v>918</v>
      </c>
      <c r="C98" s="72" t="s">
        <v>1263</v>
      </c>
      <c r="D98" s="72" t="s">
        <v>67</v>
      </c>
      <c r="E98" s="72"/>
      <c r="F98" s="72" t="s">
        <v>1614</v>
      </c>
      <c r="G98" s="72">
        <v>30</v>
      </c>
      <c r="H98" s="259"/>
      <c r="I98" s="260"/>
      <c r="J98" s="72"/>
      <c r="K98" s="260"/>
      <c r="L98" s="72"/>
    </row>
    <row r="99" spans="1:12" x14ac:dyDescent="0.3">
      <c r="A99" s="258" t="s">
        <v>917</v>
      </c>
      <c r="B99" s="72" t="s">
        <v>916</v>
      </c>
      <c r="C99" s="72" t="s">
        <v>1264</v>
      </c>
      <c r="D99" s="72" t="s">
        <v>67</v>
      </c>
      <c r="E99" s="72"/>
      <c r="F99" s="72" t="s">
        <v>1672</v>
      </c>
      <c r="G99" s="72" t="s">
        <v>1672</v>
      </c>
      <c r="H99" s="259" t="s">
        <v>65</v>
      </c>
      <c r="I99" s="260"/>
      <c r="J99" s="72"/>
      <c r="K99" s="260"/>
      <c r="L99" s="72"/>
    </row>
    <row r="100" spans="1:12" x14ac:dyDescent="0.3">
      <c r="A100" s="258" t="s">
        <v>915</v>
      </c>
      <c r="B100" s="72" t="s">
        <v>914</v>
      </c>
      <c r="C100" s="72" t="s">
        <v>1265</v>
      </c>
      <c r="D100" s="72" t="s">
        <v>67</v>
      </c>
      <c r="E100" s="72"/>
      <c r="F100" s="72" t="s">
        <v>1615</v>
      </c>
      <c r="G100" s="72">
        <v>25</v>
      </c>
      <c r="H100" s="259"/>
      <c r="I100" s="260"/>
      <c r="J100" s="72"/>
      <c r="K100" s="260"/>
      <c r="L100" s="72"/>
    </row>
    <row r="101" spans="1:12" x14ac:dyDescent="0.3">
      <c r="A101" s="258" t="s">
        <v>1701</v>
      </c>
      <c r="B101" s="72" t="s">
        <v>852</v>
      </c>
      <c r="C101" s="72" t="s">
        <v>1702</v>
      </c>
      <c r="D101" s="72" t="s">
        <v>122</v>
      </c>
      <c r="E101" s="72"/>
      <c r="F101" s="72" t="s">
        <v>1614</v>
      </c>
      <c r="G101" s="72">
        <v>35</v>
      </c>
      <c r="H101" s="259"/>
      <c r="I101" s="260"/>
      <c r="J101" s="72"/>
      <c r="K101" s="260"/>
      <c r="L101" s="72"/>
    </row>
    <row r="102" spans="1:12" x14ac:dyDescent="0.3">
      <c r="A102" s="258" t="s">
        <v>1703</v>
      </c>
      <c r="B102" s="72" t="s">
        <v>779</v>
      </c>
      <c r="C102" s="72" t="s">
        <v>1704</v>
      </c>
      <c r="D102" s="72" t="s">
        <v>122</v>
      </c>
      <c r="E102" s="72"/>
      <c r="F102" s="72" t="s">
        <v>1616</v>
      </c>
      <c r="G102" s="72">
        <v>5</v>
      </c>
      <c r="H102" s="259"/>
      <c r="I102" s="260"/>
      <c r="J102" s="72"/>
      <c r="K102" s="260"/>
      <c r="L102" s="72"/>
    </row>
    <row r="103" spans="1:12" x14ac:dyDescent="0.3">
      <c r="A103" s="258" t="s">
        <v>1705</v>
      </c>
      <c r="B103" s="72" t="s">
        <v>1706</v>
      </c>
      <c r="C103" s="72" t="s">
        <v>1707</v>
      </c>
      <c r="D103" s="72" t="s">
        <v>122</v>
      </c>
      <c r="E103" s="72"/>
      <c r="F103" s="72" t="s">
        <v>1616</v>
      </c>
      <c r="G103" s="72">
        <v>15</v>
      </c>
      <c r="H103" s="259"/>
      <c r="I103" s="260"/>
      <c r="J103" s="72"/>
      <c r="K103" s="260"/>
      <c r="L103" s="72"/>
    </row>
    <row r="104" spans="1:12" x14ac:dyDescent="0.3">
      <c r="A104" s="258" t="s">
        <v>913</v>
      </c>
      <c r="B104" s="72" t="s">
        <v>912</v>
      </c>
      <c r="C104" s="72" t="s">
        <v>1266</v>
      </c>
      <c r="D104" s="72" t="s">
        <v>122</v>
      </c>
      <c r="E104" s="72"/>
      <c r="F104" s="72" t="s">
        <v>1614</v>
      </c>
      <c r="G104" s="72">
        <v>20</v>
      </c>
      <c r="H104" s="259"/>
      <c r="I104" s="260"/>
      <c r="J104" s="72"/>
      <c r="K104" s="260"/>
      <c r="L104" s="72"/>
    </row>
    <row r="105" spans="1:12" x14ac:dyDescent="0.3">
      <c r="A105" s="258" t="s">
        <v>911</v>
      </c>
      <c r="B105" s="72" t="s">
        <v>910</v>
      </c>
      <c r="C105" s="72" t="s">
        <v>1154</v>
      </c>
      <c r="D105" s="72" t="s">
        <v>67</v>
      </c>
      <c r="E105" s="72"/>
      <c r="F105" s="72" t="s">
        <v>1614</v>
      </c>
      <c r="G105" s="72">
        <v>35</v>
      </c>
      <c r="H105" s="259"/>
      <c r="I105" s="260">
        <v>16</v>
      </c>
      <c r="J105" s="72"/>
      <c r="K105" s="260">
        <v>16</v>
      </c>
      <c r="L105" s="72"/>
    </row>
    <row r="106" spans="1:12" x14ac:dyDescent="0.3">
      <c r="A106" s="258" t="s">
        <v>909</v>
      </c>
      <c r="B106" s="72" t="s">
        <v>908</v>
      </c>
      <c r="C106" s="72" t="s">
        <v>1155</v>
      </c>
      <c r="D106" s="72" t="s">
        <v>67</v>
      </c>
      <c r="E106" s="72"/>
      <c r="F106" s="72" t="s">
        <v>1617</v>
      </c>
      <c r="G106" s="72">
        <v>20</v>
      </c>
      <c r="H106" s="259"/>
      <c r="I106" s="260">
        <v>16</v>
      </c>
      <c r="J106" s="72"/>
      <c r="K106" s="260">
        <v>16</v>
      </c>
      <c r="L106" s="72"/>
    </row>
    <row r="107" spans="1:12" x14ac:dyDescent="0.3">
      <c r="A107" s="258" t="s">
        <v>1708</v>
      </c>
      <c r="B107" s="72" t="s">
        <v>1709</v>
      </c>
      <c r="C107" s="72" t="s">
        <v>1710</v>
      </c>
      <c r="D107" s="72" t="s">
        <v>67</v>
      </c>
      <c r="E107" s="72"/>
      <c r="F107" s="72" t="s">
        <v>1615</v>
      </c>
      <c r="G107" s="72">
        <v>30</v>
      </c>
      <c r="H107" s="259"/>
      <c r="I107" s="260">
        <v>16</v>
      </c>
      <c r="J107" s="72"/>
      <c r="K107" s="260">
        <v>16</v>
      </c>
      <c r="L107" s="72"/>
    </row>
    <row r="108" spans="1:12" x14ac:dyDescent="0.3">
      <c r="A108" s="258" t="s">
        <v>907</v>
      </c>
      <c r="B108" s="72" t="s">
        <v>906</v>
      </c>
      <c r="C108" s="72" t="s">
        <v>1267</v>
      </c>
      <c r="D108" s="72" t="s">
        <v>67</v>
      </c>
      <c r="E108" s="72"/>
      <c r="F108" s="72" t="s">
        <v>1616</v>
      </c>
      <c r="G108" s="72">
        <v>20</v>
      </c>
      <c r="H108" s="259"/>
      <c r="I108" s="260"/>
      <c r="J108" s="72"/>
      <c r="K108" s="260"/>
      <c r="L108" s="72"/>
    </row>
    <row r="109" spans="1:12" x14ac:dyDescent="0.3">
      <c r="A109" s="258" t="s">
        <v>1711</v>
      </c>
      <c r="B109" s="72" t="s">
        <v>1712</v>
      </c>
      <c r="C109" s="72" t="s">
        <v>1713</v>
      </c>
      <c r="D109" s="72" t="s">
        <v>67</v>
      </c>
      <c r="E109" s="72"/>
      <c r="F109" s="72" t="s">
        <v>1617</v>
      </c>
      <c r="G109" s="72">
        <v>20</v>
      </c>
      <c r="H109" s="259"/>
      <c r="I109" s="260"/>
      <c r="J109" s="72"/>
      <c r="K109" s="260"/>
      <c r="L109" s="72"/>
    </row>
    <row r="110" spans="1:12" x14ac:dyDescent="0.3">
      <c r="A110" s="258" t="s">
        <v>1714</v>
      </c>
      <c r="B110" s="72" t="s">
        <v>1715</v>
      </c>
      <c r="C110" s="72" t="s">
        <v>1716</v>
      </c>
      <c r="D110" s="72" t="s">
        <v>67</v>
      </c>
      <c r="E110" s="72"/>
      <c r="F110" s="72" t="s">
        <v>1616</v>
      </c>
      <c r="G110" s="72">
        <v>15</v>
      </c>
      <c r="H110" s="259"/>
      <c r="I110" s="260"/>
      <c r="J110" s="72"/>
      <c r="K110" s="260"/>
      <c r="L110" s="72"/>
    </row>
    <row r="111" spans="1:12" x14ac:dyDescent="0.3">
      <c r="A111" s="258" t="s">
        <v>905</v>
      </c>
      <c r="B111" s="72" t="s">
        <v>904</v>
      </c>
      <c r="C111" s="72" t="s">
        <v>1268</v>
      </c>
      <c r="D111" s="72" t="s">
        <v>67</v>
      </c>
      <c r="E111" s="72"/>
      <c r="F111" s="72" t="s">
        <v>1615</v>
      </c>
      <c r="G111" s="72">
        <v>25</v>
      </c>
      <c r="H111" s="259"/>
      <c r="I111" s="260"/>
      <c r="J111" s="72"/>
      <c r="K111" s="260"/>
      <c r="L111" s="72"/>
    </row>
    <row r="112" spans="1:12" x14ac:dyDescent="0.3">
      <c r="A112" s="258" t="s">
        <v>903</v>
      </c>
      <c r="B112" s="72" t="s">
        <v>902</v>
      </c>
      <c r="C112" s="72" t="s">
        <v>1269</v>
      </c>
      <c r="D112" s="72" t="s">
        <v>67</v>
      </c>
      <c r="E112" s="72"/>
      <c r="F112" s="72" t="s">
        <v>1672</v>
      </c>
      <c r="G112" s="72" t="s">
        <v>1672</v>
      </c>
      <c r="H112" s="259" t="s">
        <v>65</v>
      </c>
      <c r="I112" s="260"/>
      <c r="J112" s="72"/>
      <c r="K112" s="260"/>
      <c r="L112" s="72"/>
    </row>
    <row r="113" spans="1:12" x14ac:dyDescent="0.3">
      <c r="A113" s="258" t="s">
        <v>901</v>
      </c>
      <c r="B113" s="72" t="s">
        <v>900</v>
      </c>
      <c r="C113" s="72" t="s">
        <v>1270</v>
      </c>
      <c r="D113" s="72" t="s">
        <v>67</v>
      </c>
      <c r="E113" s="72"/>
      <c r="F113" s="72" t="s">
        <v>1614</v>
      </c>
      <c r="G113" s="72">
        <v>60</v>
      </c>
      <c r="H113" s="259"/>
      <c r="I113" s="260"/>
      <c r="J113" s="72"/>
      <c r="K113" s="260"/>
      <c r="L113" s="72"/>
    </row>
    <row r="114" spans="1:12" x14ac:dyDescent="0.3">
      <c r="A114" s="258" t="s">
        <v>899</v>
      </c>
      <c r="B114" s="72" t="s">
        <v>898</v>
      </c>
      <c r="C114" s="72" t="s">
        <v>1271</v>
      </c>
      <c r="D114" s="72" t="s">
        <v>67</v>
      </c>
      <c r="E114" s="72"/>
      <c r="F114" s="72" t="s">
        <v>1614</v>
      </c>
      <c r="G114" s="72">
        <v>50</v>
      </c>
      <c r="H114" s="259"/>
      <c r="I114" s="260"/>
      <c r="J114" s="72"/>
      <c r="K114" s="260"/>
      <c r="L114" s="72"/>
    </row>
    <row r="115" spans="1:12" x14ac:dyDescent="0.3">
      <c r="A115" s="258" t="s">
        <v>897</v>
      </c>
      <c r="B115" s="72" t="s">
        <v>896</v>
      </c>
      <c r="C115" s="72" t="s">
        <v>1272</v>
      </c>
      <c r="D115" s="72" t="s">
        <v>67</v>
      </c>
      <c r="E115" s="72"/>
      <c r="F115" s="72" t="s">
        <v>1614</v>
      </c>
      <c r="G115" s="72">
        <v>50</v>
      </c>
      <c r="H115" s="259"/>
      <c r="I115" s="260"/>
      <c r="J115" s="72"/>
      <c r="K115" s="260"/>
      <c r="L115" s="72"/>
    </row>
    <row r="116" spans="1:12" x14ac:dyDescent="0.3">
      <c r="A116" s="258" t="s">
        <v>895</v>
      </c>
      <c r="B116" s="72" t="s">
        <v>894</v>
      </c>
      <c r="C116" s="72" t="s">
        <v>1273</v>
      </c>
      <c r="D116" s="72" t="s">
        <v>67</v>
      </c>
      <c r="E116" s="72"/>
      <c r="F116" s="72" t="s">
        <v>1672</v>
      </c>
      <c r="G116" s="72" t="s">
        <v>1672</v>
      </c>
      <c r="H116" s="259" t="s">
        <v>65</v>
      </c>
      <c r="I116" s="260"/>
      <c r="J116" s="72"/>
      <c r="K116" s="260"/>
      <c r="L116" s="72"/>
    </row>
    <row r="117" spans="1:12" x14ac:dyDescent="0.3">
      <c r="A117" s="258" t="s">
        <v>893</v>
      </c>
      <c r="B117" s="72" t="s">
        <v>892</v>
      </c>
      <c r="C117" s="72" t="s">
        <v>1274</v>
      </c>
      <c r="D117" s="72" t="s">
        <v>67</v>
      </c>
      <c r="E117" s="72"/>
      <c r="F117" s="72" t="s">
        <v>1614</v>
      </c>
      <c r="G117" s="72">
        <v>40</v>
      </c>
      <c r="H117" s="259"/>
      <c r="I117" s="260"/>
      <c r="J117" s="72"/>
      <c r="K117" s="260"/>
      <c r="L117" s="72"/>
    </row>
    <row r="118" spans="1:12" x14ac:dyDescent="0.3">
      <c r="A118" s="258" t="s">
        <v>891</v>
      </c>
      <c r="B118" s="72" t="s">
        <v>886</v>
      </c>
      <c r="C118" s="72" t="s">
        <v>1275</v>
      </c>
      <c r="D118" s="72" t="s">
        <v>67</v>
      </c>
      <c r="E118" s="72"/>
      <c r="F118" s="72" t="s">
        <v>1672</v>
      </c>
      <c r="G118" s="72" t="s">
        <v>1672</v>
      </c>
      <c r="H118" s="259" t="s">
        <v>65</v>
      </c>
      <c r="I118" s="260"/>
      <c r="J118" s="72"/>
      <c r="K118" s="260"/>
      <c r="L118" s="72"/>
    </row>
    <row r="119" spans="1:12" x14ac:dyDescent="0.3">
      <c r="A119" s="258" t="s">
        <v>890</v>
      </c>
      <c r="B119" s="72" t="s">
        <v>889</v>
      </c>
      <c r="C119" s="72" t="s">
        <v>1276</v>
      </c>
      <c r="D119" s="72" t="s">
        <v>67</v>
      </c>
      <c r="E119" s="72"/>
      <c r="F119" s="72" t="s">
        <v>1614</v>
      </c>
      <c r="G119" s="72">
        <v>30</v>
      </c>
      <c r="H119" s="259"/>
      <c r="I119" s="260"/>
      <c r="J119" s="72"/>
      <c r="K119" s="260"/>
      <c r="L119" s="72"/>
    </row>
    <row r="120" spans="1:12" x14ac:dyDescent="0.3">
      <c r="A120" s="258" t="s">
        <v>1717</v>
      </c>
      <c r="B120" s="72" t="s">
        <v>1718</v>
      </c>
      <c r="C120" s="72" t="s">
        <v>1719</v>
      </c>
      <c r="D120" s="72" t="s">
        <v>67</v>
      </c>
      <c r="E120" s="72"/>
      <c r="F120" s="72" t="s">
        <v>1615</v>
      </c>
      <c r="G120" s="72">
        <v>25</v>
      </c>
      <c r="H120" s="259"/>
      <c r="I120" s="260"/>
      <c r="J120" s="72"/>
      <c r="K120" s="260"/>
      <c r="L120" s="72"/>
    </row>
    <row r="121" spans="1:12" x14ac:dyDescent="0.3">
      <c r="A121" s="258" t="s">
        <v>888</v>
      </c>
      <c r="B121" s="72" t="s">
        <v>887</v>
      </c>
      <c r="C121" s="72" t="s">
        <v>1277</v>
      </c>
      <c r="D121" s="72" t="s">
        <v>67</v>
      </c>
      <c r="E121" s="72"/>
      <c r="F121" s="72" t="s">
        <v>1614</v>
      </c>
      <c r="G121" s="72">
        <v>30</v>
      </c>
      <c r="H121" s="259"/>
      <c r="I121" s="260"/>
      <c r="J121" s="72"/>
      <c r="K121" s="260"/>
      <c r="L121" s="72"/>
    </row>
    <row r="122" spans="1:12" x14ac:dyDescent="0.3">
      <c r="A122" s="258" t="s">
        <v>885</v>
      </c>
      <c r="B122" s="72" t="s">
        <v>884</v>
      </c>
      <c r="C122" s="72" t="s">
        <v>1278</v>
      </c>
      <c r="D122" s="72" t="s">
        <v>122</v>
      </c>
      <c r="E122" s="72"/>
      <c r="F122" s="72" t="s">
        <v>1614</v>
      </c>
      <c r="G122" s="72">
        <v>40</v>
      </c>
      <c r="H122" s="259"/>
      <c r="I122" s="260"/>
      <c r="J122" s="72"/>
      <c r="K122" s="260"/>
      <c r="L122" s="72"/>
    </row>
    <row r="123" spans="1:12" x14ac:dyDescent="0.3">
      <c r="A123" s="258" t="s">
        <v>1720</v>
      </c>
      <c r="B123" s="72" t="s">
        <v>1721</v>
      </c>
      <c r="C123" s="72" t="s">
        <v>1722</v>
      </c>
      <c r="D123" s="72" t="s">
        <v>122</v>
      </c>
      <c r="E123" s="72"/>
      <c r="F123" s="72" t="s">
        <v>1614</v>
      </c>
      <c r="G123" s="72">
        <v>35</v>
      </c>
      <c r="H123" s="259"/>
      <c r="I123" s="260"/>
      <c r="J123" s="72"/>
      <c r="K123" s="260"/>
      <c r="L123" s="72"/>
    </row>
    <row r="124" spans="1:12" x14ac:dyDescent="0.3">
      <c r="A124" s="258" t="s">
        <v>883</v>
      </c>
      <c r="B124" s="72" t="s">
        <v>2132</v>
      </c>
      <c r="C124" s="72" t="s">
        <v>2133</v>
      </c>
      <c r="D124" s="72" t="s">
        <v>122</v>
      </c>
      <c r="E124" s="72"/>
      <c r="F124" s="72" t="s">
        <v>1614</v>
      </c>
      <c r="G124" s="72">
        <v>40</v>
      </c>
      <c r="H124" s="259"/>
      <c r="I124" s="260"/>
      <c r="J124" s="72"/>
      <c r="K124" s="260"/>
      <c r="L124" s="72"/>
    </row>
    <row r="125" spans="1:12" x14ac:dyDescent="0.3">
      <c r="A125" s="258" t="s">
        <v>882</v>
      </c>
      <c r="B125" s="72" t="s">
        <v>881</v>
      </c>
      <c r="C125" s="72" t="s">
        <v>1279</v>
      </c>
      <c r="D125" s="72" t="s">
        <v>122</v>
      </c>
      <c r="E125" s="72"/>
      <c r="F125" s="72" t="s">
        <v>1614</v>
      </c>
      <c r="G125" s="72">
        <v>50</v>
      </c>
      <c r="H125" s="259"/>
      <c r="I125" s="260"/>
      <c r="J125" s="72"/>
      <c r="K125" s="260"/>
      <c r="L125" s="72"/>
    </row>
    <row r="126" spans="1:12" x14ac:dyDescent="0.3">
      <c r="A126" s="258" t="s">
        <v>880</v>
      </c>
      <c r="B126" s="72" t="s">
        <v>879</v>
      </c>
      <c r="C126" s="72" t="s">
        <v>1280</v>
      </c>
      <c r="D126" s="72" t="s">
        <v>122</v>
      </c>
      <c r="E126" s="72"/>
      <c r="F126" s="72" t="s">
        <v>1672</v>
      </c>
      <c r="G126" s="72" t="s">
        <v>1672</v>
      </c>
      <c r="H126" s="259" t="s">
        <v>65</v>
      </c>
      <c r="I126" s="260"/>
      <c r="J126" s="72"/>
      <c r="K126" s="260"/>
      <c r="L126" s="72"/>
    </row>
    <row r="127" spans="1:12" x14ac:dyDescent="0.3">
      <c r="A127" s="258" t="s">
        <v>878</v>
      </c>
      <c r="B127" s="72" t="s">
        <v>877</v>
      </c>
      <c r="C127" s="72" t="s">
        <v>1281</v>
      </c>
      <c r="D127" s="72" t="s">
        <v>67</v>
      </c>
      <c r="E127" s="72"/>
      <c r="F127" s="72" t="s">
        <v>1614</v>
      </c>
      <c r="G127" s="72">
        <v>40</v>
      </c>
      <c r="H127" s="259"/>
      <c r="I127" s="260"/>
      <c r="J127" s="72"/>
      <c r="K127" s="260"/>
      <c r="L127" s="72"/>
    </row>
    <row r="128" spans="1:12" x14ac:dyDescent="0.3">
      <c r="A128" s="258" t="s">
        <v>876</v>
      </c>
      <c r="B128" s="72" t="s">
        <v>875</v>
      </c>
      <c r="C128" s="72" t="s">
        <v>1282</v>
      </c>
      <c r="D128" s="72" t="s">
        <v>67</v>
      </c>
      <c r="E128" s="72"/>
      <c r="F128" s="72" t="s">
        <v>1614</v>
      </c>
      <c r="G128" s="72">
        <v>30</v>
      </c>
      <c r="H128" s="259"/>
      <c r="I128" s="260"/>
      <c r="J128" s="72"/>
      <c r="K128" s="260"/>
      <c r="L128" s="72"/>
    </row>
    <row r="129" spans="1:12" x14ac:dyDescent="0.3">
      <c r="A129" s="258" t="s">
        <v>874</v>
      </c>
      <c r="B129" s="72" t="s">
        <v>873</v>
      </c>
      <c r="C129" s="72" t="s">
        <v>1283</v>
      </c>
      <c r="D129" s="72" t="s">
        <v>67</v>
      </c>
      <c r="E129" s="72"/>
      <c r="F129" s="72" t="s">
        <v>1614</v>
      </c>
      <c r="G129" s="72">
        <v>40</v>
      </c>
      <c r="H129" s="259"/>
      <c r="I129" s="260"/>
      <c r="J129" s="72"/>
      <c r="K129" s="260"/>
      <c r="L129" s="72"/>
    </row>
    <row r="130" spans="1:12" x14ac:dyDescent="0.3">
      <c r="A130" s="258" t="s">
        <v>872</v>
      </c>
      <c r="B130" s="72" t="s">
        <v>871</v>
      </c>
      <c r="C130" s="72" t="s">
        <v>1284</v>
      </c>
      <c r="D130" s="72" t="s">
        <v>67</v>
      </c>
      <c r="E130" s="72"/>
      <c r="F130" s="72" t="s">
        <v>1616</v>
      </c>
      <c r="G130" s="72">
        <v>15</v>
      </c>
      <c r="H130" s="259"/>
      <c r="I130" s="260"/>
      <c r="J130" s="72"/>
      <c r="K130" s="260"/>
      <c r="L130" s="72"/>
    </row>
    <row r="131" spans="1:12" x14ac:dyDescent="0.3">
      <c r="A131" s="258" t="s">
        <v>870</v>
      </c>
      <c r="B131" s="72" t="s">
        <v>869</v>
      </c>
      <c r="C131" s="72" t="s">
        <v>1285</v>
      </c>
      <c r="D131" s="72" t="s">
        <v>67</v>
      </c>
      <c r="E131" s="72"/>
      <c r="F131" s="72" t="s">
        <v>1616</v>
      </c>
      <c r="G131" s="72">
        <v>15</v>
      </c>
      <c r="H131" s="259"/>
      <c r="I131" s="260"/>
      <c r="J131" s="72"/>
      <c r="K131" s="260"/>
      <c r="L131" s="72"/>
    </row>
    <row r="132" spans="1:12" x14ac:dyDescent="0.3">
      <c r="A132" s="258" t="s">
        <v>868</v>
      </c>
      <c r="B132" s="72" t="s">
        <v>867</v>
      </c>
      <c r="C132" s="72" t="s">
        <v>1286</v>
      </c>
      <c r="D132" s="72" t="s">
        <v>67</v>
      </c>
      <c r="E132" s="72"/>
      <c r="F132" s="72" t="s">
        <v>1672</v>
      </c>
      <c r="G132" s="72" t="s">
        <v>1672</v>
      </c>
      <c r="H132" s="259" t="s">
        <v>65</v>
      </c>
      <c r="I132" s="260"/>
      <c r="J132" s="72"/>
      <c r="K132" s="260"/>
      <c r="L132" s="72"/>
    </row>
    <row r="133" spans="1:12" x14ac:dyDescent="0.3">
      <c r="A133" s="258" t="s">
        <v>866</v>
      </c>
      <c r="B133" s="72" t="s">
        <v>865</v>
      </c>
      <c r="C133" s="72" t="s">
        <v>1287</v>
      </c>
      <c r="D133" s="72" t="s">
        <v>67</v>
      </c>
      <c r="E133" s="72"/>
      <c r="F133" s="72" t="s">
        <v>1616</v>
      </c>
      <c r="G133" s="72">
        <v>30</v>
      </c>
      <c r="H133" s="259"/>
      <c r="I133" s="260"/>
      <c r="J133" s="72"/>
      <c r="K133" s="260"/>
      <c r="L133" s="72"/>
    </row>
    <row r="134" spans="1:12" x14ac:dyDescent="0.3">
      <c r="A134" s="258" t="s">
        <v>864</v>
      </c>
      <c r="B134" s="72" t="s">
        <v>863</v>
      </c>
      <c r="C134" s="72" t="s">
        <v>1288</v>
      </c>
      <c r="D134" s="72" t="s">
        <v>67</v>
      </c>
      <c r="E134" s="72"/>
      <c r="F134" s="72" t="s">
        <v>1616</v>
      </c>
      <c r="G134" s="72">
        <v>10</v>
      </c>
      <c r="H134" s="259"/>
      <c r="I134" s="260"/>
      <c r="J134" s="72"/>
      <c r="K134" s="260"/>
      <c r="L134" s="72"/>
    </row>
    <row r="135" spans="1:12" x14ac:dyDescent="0.3">
      <c r="A135" s="258" t="s">
        <v>862</v>
      </c>
      <c r="B135" s="72" t="s">
        <v>861</v>
      </c>
      <c r="C135" s="72" t="s">
        <v>1289</v>
      </c>
      <c r="D135" s="72" t="s">
        <v>67</v>
      </c>
      <c r="E135" s="72"/>
      <c r="F135" s="72" t="s">
        <v>1617</v>
      </c>
      <c r="G135" s="72">
        <v>20</v>
      </c>
      <c r="H135" s="259"/>
      <c r="I135" s="260"/>
      <c r="J135" s="72"/>
      <c r="K135" s="260"/>
      <c r="L135" s="72"/>
    </row>
    <row r="136" spans="1:12" x14ac:dyDescent="0.3">
      <c r="A136" s="258" t="s">
        <v>860</v>
      </c>
      <c r="B136" s="72" t="s">
        <v>859</v>
      </c>
      <c r="C136" s="72" t="s">
        <v>1290</v>
      </c>
      <c r="D136" s="72" t="s">
        <v>67</v>
      </c>
      <c r="E136" s="72"/>
      <c r="F136" s="72" t="s">
        <v>1617</v>
      </c>
      <c r="G136" s="72">
        <v>20</v>
      </c>
      <c r="H136" s="259"/>
      <c r="I136" s="260"/>
      <c r="J136" s="72"/>
      <c r="K136" s="260"/>
      <c r="L136" s="72"/>
    </row>
    <row r="137" spans="1:12" x14ac:dyDescent="0.3">
      <c r="A137" s="258" t="s">
        <v>858</v>
      </c>
      <c r="B137" s="72" t="s">
        <v>857</v>
      </c>
      <c r="C137" s="72" t="s">
        <v>1291</v>
      </c>
      <c r="D137" s="72" t="s">
        <v>67</v>
      </c>
      <c r="E137" s="72"/>
      <c r="F137" s="72" t="s">
        <v>1617</v>
      </c>
      <c r="G137" s="72">
        <v>20</v>
      </c>
      <c r="H137" s="259"/>
      <c r="I137" s="260"/>
      <c r="J137" s="72"/>
      <c r="K137" s="260"/>
      <c r="L137" s="72"/>
    </row>
    <row r="138" spans="1:12" x14ac:dyDescent="0.3">
      <c r="A138" s="258" t="s">
        <v>856</v>
      </c>
      <c r="B138" s="72" t="s">
        <v>855</v>
      </c>
      <c r="C138" s="72" t="s">
        <v>1292</v>
      </c>
      <c r="D138" s="72" t="s">
        <v>67</v>
      </c>
      <c r="E138" s="72"/>
      <c r="F138" s="72" t="s">
        <v>1672</v>
      </c>
      <c r="G138" s="72" t="s">
        <v>1672</v>
      </c>
      <c r="H138" s="259" t="s">
        <v>65</v>
      </c>
      <c r="I138" s="260"/>
      <c r="J138" s="72"/>
      <c r="K138" s="260"/>
      <c r="L138" s="72"/>
    </row>
    <row r="139" spans="1:12" x14ac:dyDescent="0.3">
      <c r="A139" s="258" t="s">
        <v>854</v>
      </c>
      <c r="B139" s="72" t="s">
        <v>853</v>
      </c>
      <c r="C139" s="72" t="s">
        <v>1293</v>
      </c>
      <c r="D139" s="72" t="s">
        <v>122</v>
      </c>
      <c r="E139" s="72"/>
      <c r="F139" s="72" t="s">
        <v>1614</v>
      </c>
      <c r="G139" s="72">
        <v>40</v>
      </c>
      <c r="H139" s="259"/>
      <c r="I139" s="260"/>
      <c r="J139" s="72"/>
      <c r="K139" s="260"/>
      <c r="L139" s="72"/>
    </row>
    <row r="140" spans="1:12" x14ac:dyDescent="0.3">
      <c r="A140" s="258" t="s">
        <v>1723</v>
      </c>
      <c r="B140" s="72" t="s">
        <v>1724</v>
      </c>
      <c r="C140" s="72" t="s">
        <v>1725</v>
      </c>
      <c r="D140" s="72" t="s">
        <v>122</v>
      </c>
      <c r="E140" s="72"/>
      <c r="F140" s="72" t="s">
        <v>1615</v>
      </c>
      <c r="G140" s="72">
        <v>20</v>
      </c>
      <c r="H140" s="259"/>
      <c r="I140" s="260"/>
      <c r="J140" s="72"/>
      <c r="K140" s="260"/>
      <c r="L140" s="72"/>
    </row>
    <row r="141" spans="1:12" x14ac:dyDescent="0.3">
      <c r="A141" s="258" t="s">
        <v>851</v>
      </c>
      <c r="B141" s="72" t="s">
        <v>2153</v>
      </c>
      <c r="C141" s="72" t="s">
        <v>2154</v>
      </c>
      <c r="D141" s="72" t="s">
        <v>122</v>
      </c>
      <c r="E141" s="72"/>
      <c r="F141" s="72" t="s">
        <v>1616</v>
      </c>
      <c r="G141" s="72">
        <v>15</v>
      </c>
      <c r="H141" s="259"/>
      <c r="I141" s="260"/>
      <c r="J141" s="72"/>
      <c r="K141" s="260"/>
      <c r="L141" s="72"/>
    </row>
    <row r="142" spans="1:12" x14ac:dyDescent="0.3">
      <c r="A142" s="258" t="s">
        <v>850</v>
      </c>
      <c r="B142" s="72" t="s">
        <v>849</v>
      </c>
      <c r="C142" s="72" t="s">
        <v>1294</v>
      </c>
      <c r="D142" s="72" t="s">
        <v>122</v>
      </c>
      <c r="E142" s="72"/>
      <c r="F142" s="72" t="s">
        <v>1616</v>
      </c>
      <c r="G142" s="72">
        <v>15</v>
      </c>
      <c r="H142" s="259"/>
      <c r="I142" s="260"/>
      <c r="J142" s="72"/>
      <c r="K142" s="260"/>
      <c r="L142" s="72"/>
    </row>
    <row r="143" spans="1:12" x14ac:dyDescent="0.3">
      <c r="A143" s="258" t="s">
        <v>848</v>
      </c>
      <c r="B143" s="72" t="s">
        <v>847</v>
      </c>
      <c r="C143" s="72" t="s">
        <v>1295</v>
      </c>
      <c r="D143" s="72" t="s">
        <v>122</v>
      </c>
      <c r="E143" s="72"/>
      <c r="F143" s="72" t="s">
        <v>1616</v>
      </c>
      <c r="G143" s="72">
        <v>10</v>
      </c>
      <c r="H143" s="259"/>
      <c r="I143" s="260"/>
      <c r="J143" s="72"/>
      <c r="K143" s="260"/>
      <c r="L143" s="72"/>
    </row>
    <row r="144" spans="1:12" x14ac:dyDescent="0.3">
      <c r="A144" s="258" t="s">
        <v>846</v>
      </c>
      <c r="B144" s="72" t="s">
        <v>845</v>
      </c>
      <c r="C144" s="72" t="s">
        <v>1296</v>
      </c>
      <c r="D144" s="72" t="s">
        <v>122</v>
      </c>
      <c r="E144" s="72"/>
      <c r="F144" s="72" t="s">
        <v>1614</v>
      </c>
      <c r="G144" s="72">
        <v>30</v>
      </c>
      <c r="H144" s="259"/>
      <c r="I144" s="260"/>
      <c r="J144" s="72"/>
      <c r="K144" s="260"/>
      <c r="L144" s="72"/>
    </row>
    <row r="145" spans="1:12" x14ac:dyDescent="0.3">
      <c r="A145" s="258" t="s">
        <v>844</v>
      </c>
      <c r="B145" s="72" t="s">
        <v>843</v>
      </c>
      <c r="C145" s="72" t="s">
        <v>1297</v>
      </c>
      <c r="D145" s="72" t="s">
        <v>122</v>
      </c>
      <c r="E145" s="72"/>
      <c r="F145" s="72" t="s">
        <v>1616</v>
      </c>
      <c r="G145" s="72">
        <v>8</v>
      </c>
      <c r="H145" s="259"/>
      <c r="I145" s="260"/>
      <c r="J145" s="72"/>
      <c r="K145" s="260"/>
      <c r="L145" s="72"/>
    </row>
    <row r="146" spans="1:12" x14ac:dyDescent="0.3">
      <c r="A146" s="258" t="s">
        <v>842</v>
      </c>
      <c r="B146" s="72" t="s">
        <v>1726</v>
      </c>
      <c r="C146" s="72" t="s">
        <v>1727</v>
      </c>
      <c r="D146" s="72" t="s">
        <v>122</v>
      </c>
      <c r="E146" s="72"/>
      <c r="F146" s="72" t="s">
        <v>1616</v>
      </c>
      <c r="G146" s="72">
        <v>10</v>
      </c>
      <c r="H146" s="259"/>
      <c r="I146" s="260"/>
      <c r="J146" s="72"/>
      <c r="K146" s="260"/>
      <c r="L146" s="72"/>
    </row>
    <row r="147" spans="1:12" x14ac:dyDescent="0.3">
      <c r="A147" s="258" t="s">
        <v>1728</v>
      </c>
      <c r="B147" s="72" t="s">
        <v>1729</v>
      </c>
      <c r="C147" s="72" t="s">
        <v>1730</v>
      </c>
      <c r="D147" s="72" t="s">
        <v>122</v>
      </c>
      <c r="E147" s="72"/>
      <c r="F147" s="72" t="s">
        <v>1616</v>
      </c>
      <c r="G147" s="72">
        <v>15</v>
      </c>
      <c r="H147" s="259"/>
      <c r="I147" s="260"/>
      <c r="J147" s="72"/>
      <c r="K147" s="260"/>
      <c r="L147" s="72"/>
    </row>
    <row r="148" spans="1:12" x14ac:dyDescent="0.3">
      <c r="A148" s="258" t="s">
        <v>841</v>
      </c>
      <c r="B148" s="72" t="s">
        <v>840</v>
      </c>
      <c r="C148" s="72" t="s">
        <v>1298</v>
      </c>
      <c r="D148" s="72" t="s">
        <v>122</v>
      </c>
      <c r="E148" s="72"/>
      <c r="F148" s="72" t="s">
        <v>1672</v>
      </c>
      <c r="G148" s="72" t="s">
        <v>1672</v>
      </c>
      <c r="H148" s="259" t="s">
        <v>65</v>
      </c>
      <c r="I148" s="260"/>
      <c r="J148" s="72"/>
      <c r="K148" s="260"/>
      <c r="L148" s="72"/>
    </row>
    <row r="149" spans="1:12" x14ac:dyDescent="0.3">
      <c r="A149" s="258" t="s">
        <v>839</v>
      </c>
      <c r="B149" s="72" t="s">
        <v>838</v>
      </c>
      <c r="C149" s="72" t="s">
        <v>1299</v>
      </c>
      <c r="D149" s="72" t="s">
        <v>67</v>
      </c>
      <c r="E149" s="72"/>
      <c r="F149" s="72" t="s">
        <v>1617</v>
      </c>
      <c r="G149" s="72">
        <v>20</v>
      </c>
      <c r="H149" s="259"/>
      <c r="I149" s="260"/>
      <c r="J149" s="72"/>
      <c r="K149" s="260"/>
      <c r="L149" s="72"/>
    </row>
    <row r="150" spans="1:12" x14ac:dyDescent="0.3">
      <c r="A150" s="258" t="s">
        <v>837</v>
      </c>
      <c r="B150" s="72" t="s">
        <v>836</v>
      </c>
      <c r="C150" s="72" t="s">
        <v>1300</v>
      </c>
      <c r="D150" s="72" t="s">
        <v>67</v>
      </c>
      <c r="E150" s="72"/>
      <c r="F150" s="72" t="s">
        <v>1615</v>
      </c>
      <c r="G150" s="72">
        <v>35</v>
      </c>
      <c r="H150" s="259"/>
      <c r="I150" s="260"/>
      <c r="J150" s="72"/>
      <c r="K150" s="260"/>
      <c r="L150" s="72"/>
    </row>
    <row r="151" spans="1:12" x14ac:dyDescent="0.3">
      <c r="A151" s="258" t="s">
        <v>1731</v>
      </c>
      <c r="B151" s="72" t="s">
        <v>1732</v>
      </c>
      <c r="C151" s="72" t="s">
        <v>1733</v>
      </c>
      <c r="D151" s="72" t="s">
        <v>67</v>
      </c>
      <c r="E151" s="72"/>
      <c r="F151" s="72" t="s">
        <v>1615</v>
      </c>
      <c r="G151" s="72">
        <v>30</v>
      </c>
      <c r="H151" s="259"/>
      <c r="I151" s="260"/>
      <c r="J151" s="72"/>
      <c r="K151" s="260"/>
      <c r="L151" s="72"/>
    </row>
    <row r="152" spans="1:12" x14ac:dyDescent="0.3">
      <c r="A152" s="258" t="s">
        <v>835</v>
      </c>
      <c r="B152" s="72" t="s">
        <v>834</v>
      </c>
      <c r="C152" s="72" t="s">
        <v>1301</v>
      </c>
      <c r="D152" s="72" t="s">
        <v>67</v>
      </c>
      <c r="E152" s="72"/>
      <c r="F152" s="72" t="s">
        <v>1616</v>
      </c>
      <c r="G152" s="72">
        <v>25</v>
      </c>
      <c r="H152" s="259"/>
      <c r="I152" s="260"/>
      <c r="J152" s="72"/>
      <c r="K152" s="260"/>
      <c r="L152" s="72"/>
    </row>
    <row r="153" spans="1:12" x14ac:dyDescent="0.3">
      <c r="A153" s="258" t="s">
        <v>833</v>
      </c>
      <c r="B153" s="72" t="s">
        <v>832</v>
      </c>
      <c r="C153" s="72" t="s">
        <v>1302</v>
      </c>
      <c r="D153" s="72" t="s">
        <v>67</v>
      </c>
      <c r="E153" s="72"/>
      <c r="F153" s="72" t="s">
        <v>1617</v>
      </c>
      <c r="G153" s="72">
        <v>20</v>
      </c>
      <c r="H153" s="259"/>
      <c r="I153" s="260"/>
      <c r="J153" s="72"/>
      <c r="K153" s="260"/>
      <c r="L153" s="72"/>
    </row>
    <row r="154" spans="1:12" x14ac:dyDescent="0.3">
      <c r="A154" s="258" t="s">
        <v>831</v>
      </c>
      <c r="B154" s="72" t="s">
        <v>830</v>
      </c>
      <c r="C154" s="72" t="s">
        <v>1156</v>
      </c>
      <c r="D154" s="72" t="s">
        <v>67</v>
      </c>
      <c r="E154" s="72"/>
      <c r="F154" s="72" t="s">
        <v>1617</v>
      </c>
      <c r="G154" s="72">
        <v>20</v>
      </c>
      <c r="H154" s="259"/>
      <c r="I154" s="260">
        <v>12</v>
      </c>
      <c r="J154" s="72"/>
      <c r="K154" s="260">
        <v>12</v>
      </c>
      <c r="L154" s="72"/>
    </row>
    <row r="155" spans="1:12" x14ac:dyDescent="0.3">
      <c r="A155" s="258" t="s">
        <v>829</v>
      </c>
      <c r="B155" s="72" t="s">
        <v>828</v>
      </c>
      <c r="C155" s="72" t="s">
        <v>1157</v>
      </c>
      <c r="D155" s="72" t="s">
        <v>67</v>
      </c>
      <c r="E155" s="72"/>
      <c r="F155" s="72" t="s">
        <v>1616</v>
      </c>
      <c r="G155" s="72">
        <v>20</v>
      </c>
      <c r="H155" s="259"/>
      <c r="I155" s="260">
        <v>12</v>
      </c>
      <c r="J155" s="72"/>
      <c r="K155" s="260">
        <v>12</v>
      </c>
      <c r="L155" s="72"/>
    </row>
    <row r="156" spans="1:12" x14ac:dyDescent="0.3">
      <c r="A156" s="258" t="s">
        <v>827</v>
      </c>
      <c r="B156" s="72" t="s">
        <v>826</v>
      </c>
      <c r="C156" s="72" t="s">
        <v>1158</v>
      </c>
      <c r="D156" s="72" t="s">
        <v>67</v>
      </c>
      <c r="E156" s="72"/>
      <c r="F156" s="72" t="s">
        <v>1617</v>
      </c>
      <c r="G156" s="72">
        <v>20</v>
      </c>
      <c r="H156" s="259"/>
      <c r="I156" s="260">
        <v>12</v>
      </c>
      <c r="J156" s="72"/>
      <c r="K156" s="260">
        <v>12</v>
      </c>
      <c r="L156" s="72"/>
    </row>
    <row r="157" spans="1:12" x14ac:dyDescent="0.3">
      <c r="A157" s="258" t="s">
        <v>825</v>
      </c>
      <c r="B157" s="72" t="s">
        <v>824</v>
      </c>
      <c r="C157" s="72" t="s">
        <v>1159</v>
      </c>
      <c r="D157" s="72" t="s">
        <v>67</v>
      </c>
      <c r="E157" s="72"/>
      <c r="F157" s="72" t="s">
        <v>1617</v>
      </c>
      <c r="G157" s="72">
        <v>20</v>
      </c>
      <c r="H157" s="259"/>
      <c r="I157" s="260">
        <v>12</v>
      </c>
      <c r="J157" s="72"/>
      <c r="K157" s="260">
        <v>12</v>
      </c>
      <c r="L157" s="72"/>
    </row>
    <row r="158" spans="1:12" x14ac:dyDescent="0.3">
      <c r="A158" s="258" t="s">
        <v>823</v>
      </c>
      <c r="B158" s="72" t="s">
        <v>822</v>
      </c>
      <c r="C158" s="72" t="s">
        <v>1303</v>
      </c>
      <c r="D158" s="72" t="s">
        <v>67</v>
      </c>
      <c r="E158" s="72"/>
      <c r="F158" s="72" t="s">
        <v>1617</v>
      </c>
      <c r="G158" s="72">
        <v>20</v>
      </c>
      <c r="H158" s="259"/>
      <c r="I158" s="260"/>
      <c r="J158" s="72"/>
      <c r="K158" s="260"/>
      <c r="L158" s="72"/>
    </row>
    <row r="159" spans="1:12" x14ac:dyDescent="0.3">
      <c r="A159" s="258" t="s">
        <v>1734</v>
      </c>
      <c r="B159" s="72" t="s">
        <v>1735</v>
      </c>
      <c r="C159" s="72" t="s">
        <v>1736</v>
      </c>
      <c r="D159" s="72" t="s">
        <v>67</v>
      </c>
      <c r="E159" s="72"/>
      <c r="F159" s="72" t="s">
        <v>1616</v>
      </c>
      <c r="G159" s="72">
        <v>18</v>
      </c>
      <c r="H159" s="259"/>
      <c r="I159" s="260">
        <v>12</v>
      </c>
      <c r="J159" s="72"/>
      <c r="K159" s="260">
        <v>12</v>
      </c>
      <c r="L159" s="72"/>
    </row>
    <row r="160" spans="1:12" x14ac:dyDescent="0.3">
      <c r="A160" s="258" t="s">
        <v>821</v>
      </c>
      <c r="B160" s="72" t="s">
        <v>820</v>
      </c>
      <c r="C160" s="72" t="s">
        <v>1160</v>
      </c>
      <c r="D160" s="72" t="s">
        <v>67</v>
      </c>
      <c r="E160" s="72"/>
      <c r="F160" s="72" t="s">
        <v>1615</v>
      </c>
      <c r="G160" s="72">
        <v>30</v>
      </c>
      <c r="H160" s="259"/>
      <c r="I160" s="260">
        <v>6</v>
      </c>
      <c r="J160" s="72"/>
      <c r="K160" s="260">
        <v>6</v>
      </c>
      <c r="L160" s="72"/>
    </row>
    <row r="161" spans="1:12" x14ac:dyDescent="0.3">
      <c r="A161" s="258" t="s">
        <v>819</v>
      </c>
      <c r="B161" s="72" t="s">
        <v>1737</v>
      </c>
      <c r="C161" s="72" t="s">
        <v>1738</v>
      </c>
      <c r="D161" s="72" t="s">
        <v>67</v>
      </c>
      <c r="E161" s="72"/>
      <c r="F161" s="72" t="s">
        <v>1616</v>
      </c>
      <c r="G161" s="72">
        <v>20</v>
      </c>
      <c r="H161" s="259"/>
      <c r="I161" s="260">
        <v>12</v>
      </c>
      <c r="J161" s="72"/>
      <c r="K161" s="260">
        <v>12</v>
      </c>
      <c r="L161" s="72"/>
    </row>
    <row r="162" spans="1:12" x14ac:dyDescent="0.3">
      <c r="A162" s="258" t="s">
        <v>818</v>
      </c>
      <c r="B162" s="72" t="s">
        <v>817</v>
      </c>
      <c r="C162" s="72" t="s">
        <v>1304</v>
      </c>
      <c r="D162" s="72" t="s">
        <v>67</v>
      </c>
      <c r="E162" s="72"/>
      <c r="F162" s="72" t="s">
        <v>1672</v>
      </c>
      <c r="G162" s="72" t="s">
        <v>1672</v>
      </c>
      <c r="H162" s="259" t="s">
        <v>65</v>
      </c>
      <c r="I162" s="260"/>
      <c r="J162" s="72"/>
      <c r="K162" s="260"/>
      <c r="L162" s="72"/>
    </row>
    <row r="163" spans="1:12" x14ac:dyDescent="0.3">
      <c r="A163" s="258" t="s">
        <v>816</v>
      </c>
      <c r="B163" s="72" t="s">
        <v>815</v>
      </c>
      <c r="C163" s="72" t="s">
        <v>1305</v>
      </c>
      <c r="D163" s="72" t="s">
        <v>67</v>
      </c>
      <c r="E163" s="72"/>
      <c r="F163" s="72" t="s">
        <v>1616</v>
      </c>
      <c r="G163" s="72">
        <v>10</v>
      </c>
      <c r="H163" s="259"/>
      <c r="I163" s="260"/>
      <c r="J163" s="72"/>
      <c r="K163" s="260"/>
      <c r="L163" s="72"/>
    </row>
    <row r="164" spans="1:12" x14ac:dyDescent="0.3">
      <c r="A164" s="258" t="s">
        <v>814</v>
      </c>
      <c r="B164" s="72" t="s">
        <v>1739</v>
      </c>
      <c r="C164" s="72" t="s">
        <v>1740</v>
      </c>
      <c r="D164" s="72" t="s">
        <v>67</v>
      </c>
      <c r="E164" s="72"/>
      <c r="F164" s="72" t="s">
        <v>1616</v>
      </c>
      <c r="G164" s="72">
        <v>10</v>
      </c>
      <c r="H164" s="259"/>
      <c r="I164" s="260"/>
      <c r="J164" s="72"/>
      <c r="K164" s="260"/>
      <c r="L164" s="72"/>
    </row>
    <row r="165" spans="1:12" x14ac:dyDescent="0.3">
      <c r="A165" s="258" t="s">
        <v>813</v>
      </c>
      <c r="B165" s="72" t="s">
        <v>812</v>
      </c>
      <c r="C165" s="72" t="s">
        <v>1306</v>
      </c>
      <c r="D165" s="72" t="s">
        <v>67</v>
      </c>
      <c r="E165" s="72"/>
      <c r="F165" s="72" t="s">
        <v>1614</v>
      </c>
      <c r="G165" s="72">
        <v>30</v>
      </c>
      <c r="H165" s="259"/>
      <c r="I165" s="260"/>
      <c r="J165" s="72"/>
      <c r="K165" s="260"/>
      <c r="L165" s="72"/>
    </row>
    <row r="166" spans="1:12" x14ac:dyDescent="0.3">
      <c r="A166" s="258" t="s">
        <v>811</v>
      </c>
      <c r="B166" s="72" t="s">
        <v>810</v>
      </c>
      <c r="C166" s="72" t="s">
        <v>1307</v>
      </c>
      <c r="D166" s="72" t="s">
        <v>67</v>
      </c>
      <c r="E166" s="72"/>
      <c r="F166" s="72" t="s">
        <v>1616</v>
      </c>
      <c r="G166" s="72">
        <v>10</v>
      </c>
      <c r="H166" s="259"/>
      <c r="I166" s="260"/>
      <c r="J166" s="72"/>
      <c r="K166" s="260"/>
      <c r="L166" s="72"/>
    </row>
    <row r="167" spans="1:12" x14ac:dyDescent="0.3">
      <c r="A167" s="258" t="s">
        <v>809</v>
      </c>
      <c r="B167" s="72" t="s">
        <v>808</v>
      </c>
      <c r="C167" s="72" t="s">
        <v>1308</v>
      </c>
      <c r="D167" s="72" t="s">
        <v>67</v>
      </c>
      <c r="E167" s="72"/>
      <c r="F167" s="72" t="s">
        <v>1672</v>
      </c>
      <c r="G167" s="72" t="s">
        <v>1672</v>
      </c>
      <c r="H167" s="259" t="s">
        <v>65</v>
      </c>
      <c r="I167" s="260"/>
      <c r="J167" s="72"/>
      <c r="K167" s="260"/>
      <c r="L167" s="72"/>
    </row>
    <row r="168" spans="1:12" x14ac:dyDescent="0.3">
      <c r="A168" s="258" t="s">
        <v>807</v>
      </c>
      <c r="B168" s="72" t="s">
        <v>806</v>
      </c>
      <c r="C168" s="72" t="s">
        <v>1309</v>
      </c>
      <c r="D168" s="72" t="s">
        <v>67</v>
      </c>
      <c r="E168" s="72"/>
      <c r="F168" s="72" t="s">
        <v>1616</v>
      </c>
      <c r="G168" s="72">
        <v>10</v>
      </c>
      <c r="H168" s="259"/>
      <c r="I168" s="260"/>
      <c r="J168" s="72"/>
      <c r="K168" s="260"/>
      <c r="L168" s="72"/>
    </row>
    <row r="169" spans="1:12" x14ac:dyDescent="0.3">
      <c r="A169" s="258" t="s">
        <v>805</v>
      </c>
      <c r="B169" s="72" t="s">
        <v>804</v>
      </c>
      <c r="C169" s="72" t="s">
        <v>1310</v>
      </c>
      <c r="D169" s="72" t="s">
        <v>67</v>
      </c>
      <c r="E169" s="72"/>
      <c r="F169" s="72" t="s">
        <v>1616</v>
      </c>
      <c r="G169" s="72">
        <v>10</v>
      </c>
      <c r="H169" s="259"/>
      <c r="I169" s="260"/>
      <c r="J169" s="72"/>
      <c r="K169" s="260"/>
      <c r="L169" s="72"/>
    </row>
    <row r="170" spans="1:12" x14ac:dyDescent="0.3">
      <c r="A170" s="258" t="s">
        <v>803</v>
      </c>
      <c r="B170" s="72" t="s">
        <v>802</v>
      </c>
      <c r="C170" s="72" t="s">
        <v>1311</v>
      </c>
      <c r="D170" s="72" t="s">
        <v>67</v>
      </c>
      <c r="E170" s="72"/>
      <c r="F170" s="72" t="s">
        <v>1672</v>
      </c>
      <c r="G170" s="72" t="s">
        <v>1672</v>
      </c>
      <c r="H170" s="259" t="s">
        <v>65</v>
      </c>
      <c r="I170" s="260"/>
      <c r="J170" s="72"/>
      <c r="K170" s="260"/>
      <c r="L170" s="72"/>
    </row>
    <row r="171" spans="1:12" x14ac:dyDescent="0.3">
      <c r="A171" s="258" t="s">
        <v>801</v>
      </c>
      <c r="B171" s="72" t="s">
        <v>800</v>
      </c>
      <c r="C171" s="72" t="s">
        <v>1312</v>
      </c>
      <c r="D171" s="72" t="s">
        <v>67</v>
      </c>
      <c r="E171" s="72"/>
      <c r="F171" s="72" t="s">
        <v>1614</v>
      </c>
      <c r="G171" s="72">
        <v>30</v>
      </c>
      <c r="H171" s="259"/>
      <c r="I171" s="260"/>
      <c r="J171" s="72"/>
      <c r="K171" s="260"/>
      <c r="L171" s="72"/>
    </row>
    <row r="172" spans="1:12" x14ac:dyDescent="0.3">
      <c r="A172" s="258" t="s">
        <v>799</v>
      </c>
      <c r="B172" s="72" t="s">
        <v>798</v>
      </c>
      <c r="C172" s="72" t="s">
        <v>1161</v>
      </c>
      <c r="D172" s="72" t="s">
        <v>67</v>
      </c>
      <c r="E172" s="72"/>
      <c r="F172" s="72" t="s">
        <v>1616</v>
      </c>
      <c r="G172" s="72">
        <v>25</v>
      </c>
      <c r="H172" s="259"/>
      <c r="I172" s="260">
        <v>6</v>
      </c>
      <c r="J172" s="72"/>
      <c r="K172" s="260">
        <v>6</v>
      </c>
      <c r="L172" s="72"/>
    </row>
    <row r="173" spans="1:12" x14ac:dyDescent="0.3">
      <c r="A173" s="258" t="s">
        <v>797</v>
      </c>
      <c r="B173" s="72" t="s">
        <v>796</v>
      </c>
      <c r="C173" s="72" t="s">
        <v>1313</v>
      </c>
      <c r="D173" s="72" t="s">
        <v>67</v>
      </c>
      <c r="E173" s="72"/>
      <c r="F173" s="72" t="s">
        <v>1617</v>
      </c>
      <c r="G173" s="72">
        <v>20</v>
      </c>
      <c r="H173" s="259"/>
      <c r="I173" s="260"/>
      <c r="J173" s="72"/>
      <c r="K173" s="260"/>
      <c r="L173" s="72"/>
    </row>
    <row r="174" spans="1:12" x14ac:dyDescent="0.3">
      <c r="A174" s="258" t="s">
        <v>795</v>
      </c>
      <c r="B174" s="72" t="s">
        <v>794</v>
      </c>
      <c r="C174" s="72" t="s">
        <v>1314</v>
      </c>
      <c r="D174" s="72" t="s">
        <v>67</v>
      </c>
      <c r="E174" s="72"/>
      <c r="F174" s="72" t="s">
        <v>1617</v>
      </c>
      <c r="G174" s="72">
        <v>20</v>
      </c>
      <c r="H174" s="259"/>
      <c r="I174" s="260"/>
      <c r="J174" s="72"/>
      <c r="K174" s="260"/>
      <c r="L174" s="72"/>
    </row>
    <row r="175" spans="1:12" x14ac:dyDescent="0.3">
      <c r="A175" s="258" t="s">
        <v>793</v>
      </c>
      <c r="B175" s="72" t="s">
        <v>792</v>
      </c>
      <c r="C175" s="72" t="s">
        <v>1315</v>
      </c>
      <c r="D175" s="72" t="s">
        <v>67</v>
      </c>
      <c r="E175" s="72"/>
      <c r="F175" s="72" t="s">
        <v>1614</v>
      </c>
      <c r="G175" s="72">
        <v>30</v>
      </c>
      <c r="H175" s="259"/>
      <c r="I175" s="260"/>
      <c r="J175" s="72"/>
      <c r="K175" s="260"/>
      <c r="L175" s="72"/>
    </row>
    <row r="176" spans="1:12" x14ac:dyDescent="0.3">
      <c r="A176" s="258" t="s">
        <v>791</v>
      </c>
      <c r="B176" s="72" t="s">
        <v>790</v>
      </c>
      <c r="C176" s="72" t="s">
        <v>1135</v>
      </c>
      <c r="D176" s="72" t="s">
        <v>67</v>
      </c>
      <c r="E176" s="72"/>
      <c r="F176" s="72" t="s">
        <v>1617</v>
      </c>
      <c r="G176" s="72">
        <v>20</v>
      </c>
      <c r="H176" s="259"/>
      <c r="I176" s="260"/>
      <c r="J176" s="72" t="b">
        <v>1</v>
      </c>
      <c r="K176" s="260"/>
      <c r="L176" s="72" t="b">
        <v>1</v>
      </c>
    </row>
    <row r="177" spans="1:12" x14ac:dyDescent="0.3">
      <c r="A177" s="258" t="s">
        <v>789</v>
      </c>
      <c r="B177" s="72" t="s">
        <v>788</v>
      </c>
      <c r="C177" s="72" t="s">
        <v>1162</v>
      </c>
      <c r="D177" s="72" t="s">
        <v>67</v>
      </c>
      <c r="E177" s="72"/>
      <c r="F177" s="72" t="s">
        <v>1617</v>
      </c>
      <c r="G177" s="72">
        <v>20</v>
      </c>
      <c r="H177" s="259"/>
      <c r="I177" s="260">
        <v>9</v>
      </c>
      <c r="J177" s="72"/>
      <c r="K177" s="260">
        <v>9</v>
      </c>
      <c r="L177" s="72"/>
    </row>
    <row r="178" spans="1:12" x14ac:dyDescent="0.3">
      <c r="A178" s="258" t="s">
        <v>787</v>
      </c>
      <c r="B178" s="72" t="s">
        <v>786</v>
      </c>
      <c r="C178" s="72" t="s">
        <v>1316</v>
      </c>
      <c r="D178" s="72" t="s">
        <v>67</v>
      </c>
      <c r="E178" s="72"/>
      <c r="F178" s="72" t="s">
        <v>1672</v>
      </c>
      <c r="G178" s="72" t="s">
        <v>1672</v>
      </c>
      <c r="H178" s="259" t="s">
        <v>65</v>
      </c>
      <c r="I178" s="260"/>
      <c r="J178" s="72"/>
      <c r="K178" s="260"/>
      <c r="L178" s="72"/>
    </row>
    <row r="179" spans="1:12" x14ac:dyDescent="0.3">
      <c r="A179" s="258" t="s">
        <v>785</v>
      </c>
      <c r="B179" s="72" t="s">
        <v>784</v>
      </c>
      <c r="C179" s="72" t="s">
        <v>1317</v>
      </c>
      <c r="D179" s="72" t="s">
        <v>67</v>
      </c>
      <c r="E179" s="72"/>
      <c r="F179" s="72" t="s">
        <v>1617</v>
      </c>
      <c r="G179" s="72">
        <v>2</v>
      </c>
      <c r="H179" s="259"/>
      <c r="I179" s="260"/>
      <c r="J179" s="72"/>
      <c r="K179" s="260"/>
      <c r="L179" s="72"/>
    </row>
    <row r="180" spans="1:12" x14ac:dyDescent="0.3">
      <c r="A180" s="258" t="s">
        <v>783</v>
      </c>
      <c r="B180" s="72" t="s">
        <v>782</v>
      </c>
      <c r="C180" s="72" t="s">
        <v>1318</v>
      </c>
      <c r="D180" s="72" t="s">
        <v>122</v>
      </c>
      <c r="E180" s="72"/>
      <c r="F180" s="72" t="s">
        <v>1615</v>
      </c>
      <c r="G180" s="72">
        <v>15</v>
      </c>
      <c r="H180" s="259"/>
      <c r="I180" s="260"/>
      <c r="J180" s="72"/>
      <c r="K180" s="260"/>
      <c r="L180" s="72"/>
    </row>
    <row r="181" spans="1:12" x14ac:dyDescent="0.3">
      <c r="A181" s="258" t="s">
        <v>1741</v>
      </c>
      <c r="B181" s="72" t="s">
        <v>1742</v>
      </c>
      <c r="C181" s="72" t="s">
        <v>1743</v>
      </c>
      <c r="D181" s="72" t="s">
        <v>122</v>
      </c>
      <c r="E181" s="72"/>
      <c r="F181" s="72" t="s">
        <v>1616</v>
      </c>
      <c r="G181" s="72">
        <v>15</v>
      </c>
      <c r="H181" s="259"/>
      <c r="I181" s="260"/>
      <c r="J181" s="72"/>
      <c r="K181" s="260"/>
      <c r="L181" s="72"/>
    </row>
    <row r="182" spans="1:12" x14ac:dyDescent="0.3">
      <c r="A182" s="258" t="s">
        <v>1744</v>
      </c>
      <c r="B182" s="72" t="s">
        <v>1745</v>
      </c>
      <c r="C182" s="72" t="s">
        <v>1746</v>
      </c>
      <c r="D182" s="72" t="s">
        <v>122</v>
      </c>
      <c r="E182" s="72"/>
      <c r="F182" s="72" t="s">
        <v>1616</v>
      </c>
      <c r="G182" s="72">
        <v>12</v>
      </c>
      <c r="H182" s="259"/>
      <c r="I182" s="260"/>
      <c r="J182" s="72"/>
      <c r="K182" s="260"/>
      <c r="L182" s="72"/>
    </row>
    <row r="183" spans="1:12" x14ac:dyDescent="0.3">
      <c r="A183" s="258" t="s">
        <v>781</v>
      </c>
      <c r="B183" s="72" t="s">
        <v>780</v>
      </c>
      <c r="C183" s="72" t="s">
        <v>1319</v>
      </c>
      <c r="D183" s="72" t="s">
        <v>122</v>
      </c>
      <c r="E183" s="72"/>
      <c r="F183" s="72" t="s">
        <v>1614</v>
      </c>
      <c r="G183" s="72">
        <v>30</v>
      </c>
      <c r="H183" s="259"/>
      <c r="I183" s="260"/>
      <c r="J183" s="72"/>
      <c r="K183" s="260"/>
      <c r="L183" s="72"/>
    </row>
    <row r="184" spans="1:12" x14ac:dyDescent="0.3">
      <c r="A184" s="258" t="s">
        <v>778</v>
      </c>
      <c r="B184" s="72" t="s">
        <v>777</v>
      </c>
      <c r="C184" s="72" t="s">
        <v>1320</v>
      </c>
      <c r="D184" s="72" t="s">
        <v>122</v>
      </c>
      <c r="E184" s="72"/>
      <c r="F184" s="72" t="s">
        <v>1616</v>
      </c>
      <c r="G184" s="72">
        <v>10</v>
      </c>
      <c r="H184" s="259"/>
      <c r="I184" s="260"/>
      <c r="J184" s="72"/>
      <c r="K184" s="260"/>
      <c r="L184" s="72"/>
    </row>
    <row r="185" spans="1:12" x14ac:dyDescent="0.3">
      <c r="A185" s="258" t="s">
        <v>776</v>
      </c>
      <c r="B185" s="72" t="s">
        <v>775</v>
      </c>
      <c r="C185" s="72" t="s">
        <v>1321</v>
      </c>
      <c r="D185" s="72" t="s">
        <v>122</v>
      </c>
      <c r="E185" s="72"/>
      <c r="F185" s="72" t="s">
        <v>1672</v>
      </c>
      <c r="G185" s="72" t="s">
        <v>1672</v>
      </c>
      <c r="H185" s="259" t="s">
        <v>65</v>
      </c>
      <c r="I185" s="260"/>
      <c r="J185" s="72"/>
      <c r="K185" s="260"/>
      <c r="L185" s="72"/>
    </row>
    <row r="186" spans="1:12" x14ac:dyDescent="0.3">
      <c r="A186" s="258" t="s">
        <v>774</v>
      </c>
      <c r="B186" s="72" t="s">
        <v>773</v>
      </c>
      <c r="C186" s="72" t="s">
        <v>1322</v>
      </c>
      <c r="D186" s="72" t="s">
        <v>122</v>
      </c>
      <c r="E186" s="72"/>
      <c r="F186" s="72" t="s">
        <v>1614</v>
      </c>
      <c r="G186" s="72">
        <v>40</v>
      </c>
      <c r="H186" s="259"/>
      <c r="I186" s="260"/>
      <c r="J186" s="72"/>
      <c r="K186" s="260"/>
      <c r="L186" s="72"/>
    </row>
    <row r="187" spans="1:12" x14ac:dyDescent="0.3">
      <c r="A187" s="258" t="s">
        <v>772</v>
      </c>
      <c r="B187" s="72" t="s">
        <v>771</v>
      </c>
      <c r="C187" s="72" t="s">
        <v>1323</v>
      </c>
      <c r="D187" s="72" t="s">
        <v>67</v>
      </c>
      <c r="E187" s="72"/>
      <c r="F187" s="72" t="s">
        <v>1616</v>
      </c>
      <c r="G187" s="72">
        <v>12</v>
      </c>
      <c r="H187" s="259"/>
      <c r="I187" s="260"/>
      <c r="J187" s="72"/>
      <c r="K187" s="260"/>
      <c r="L187" s="72"/>
    </row>
    <row r="188" spans="1:12" x14ac:dyDescent="0.3">
      <c r="A188" s="258" t="s">
        <v>770</v>
      </c>
      <c r="B188" s="72" t="s">
        <v>769</v>
      </c>
      <c r="C188" s="72" t="s">
        <v>1324</v>
      </c>
      <c r="D188" s="72" t="s">
        <v>67</v>
      </c>
      <c r="E188" s="72"/>
      <c r="F188" s="72" t="s">
        <v>1615</v>
      </c>
      <c r="G188" s="72">
        <v>30</v>
      </c>
      <c r="H188" s="259"/>
      <c r="I188" s="260"/>
      <c r="J188" s="72"/>
      <c r="K188" s="260"/>
      <c r="L188" s="72"/>
    </row>
    <row r="189" spans="1:12" x14ac:dyDescent="0.3">
      <c r="A189" s="258" t="s">
        <v>768</v>
      </c>
      <c r="B189" s="72" t="s">
        <v>767</v>
      </c>
      <c r="C189" s="72" t="s">
        <v>1325</v>
      </c>
      <c r="D189" s="72" t="s">
        <v>67</v>
      </c>
      <c r="E189" s="72"/>
      <c r="F189" s="72" t="s">
        <v>1616</v>
      </c>
      <c r="G189" s="72">
        <v>15</v>
      </c>
      <c r="H189" s="259"/>
      <c r="I189" s="260"/>
      <c r="J189" s="72"/>
      <c r="K189" s="260"/>
      <c r="L189" s="72"/>
    </row>
    <row r="190" spans="1:12" x14ac:dyDescent="0.3">
      <c r="A190" s="258" t="s">
        <v>766</v>
      </c>
      <c r="B190" s="72" t="s">
        <v>764</v>
      </c>
      <c r="C190" s="72" t="s">
        <v>1326</v>
      </c>
      <c r="D190" s="72" t="s">
        <v>67</v>
      </c>
      <c r="E190" s="72"/>
      <c r="F190" s="72" t="s">
        <v>1616</v>
      </c>
      <c r="G190" s="72">
        <v>15</v>
      </c>
      <c r="H190" s="259"/>
      <c r="I190" s="260"/>
      <c r="J190" s="72"/>
      <c r="K190" s="260"/>
      <c r="L190" s="72"/>
    </row>
    <row r="191" spans="1:12" x14ac:dyDescent="0.3">
      <c r="A191" s="258" t="s">
        <v>765</v>
      </c>
      <c r="B191" s="72" t="s">
        <v>1747</v>
      </c>
      <c r="C191" s="72" t="s">
        <v>1748</v>
      </c>
      <c r="D191" s="72" t="s">
        <v>67</v>
      </c>
      <c r="E191" s="72"/>
      <c r="F191" s="72" t="s">
        <v>1617</v>
      </c>
      <c r="G191" s="72">
        <v>20</v>
      </c>
      <c r="H191" s="259"/>
      <c r="I191" s="260"/>
      <c r="J191" s="72"/>
      <c r="K191" s="260"/>
      <c r="L191" s="72"/>
    </row>
    <row r="192" spans="1:12" x14ac:dyDescent="0.3">
      <c r="A192" s="258" t="s">
        <v>763</v>
      </c>
      <c r="B192" s="72" t="s">
        <v>762</v>
      </c>
      <c r="C192" s="72" t="s">
        <v>1327</v>
      </c>
      <c r="D192" s="72" t="s">
        <v>67</v>
      </c>
      <c r="E192" s="72"/>
      <c r="F192" s="72" t="s">
        <v>1616</v>
      </c>
      <c r="G192" s="72">
        <v>15</v>
      </c>
      <c r="H192" s="259"/>
      <c r="I192" s="260"/>
      <c r="J192" s="72"/>
      <c r="K192" s="260"/>
      <c r="L192" s="72"/>
    </row>
    <row r="193" spans="1:12" x14ac:dyDescent="0.3">
      <c r="A193" s="258" t="s">
        <v>761</v>
      </c>
      <c r="B193" s="72" t="s">
        <v>760</v>
      </c>
      <c r="C193" s="72" t="s">
        <v>1328</v>
      </c>
      <c r="D193" s="72" t="s">
        <v>67</v>
      </c>
      <c r="E193" s="72"/>
      <c r="F193" s="72" t="s">
        <v>1672</v>
      </c>
      <c r="G193" s="72" t="s">
        <v>1672</v>
      </c>
      <c r="H193" s="259" t="s">
        <v>65</v>
      </c>
      <c r="I193" s="260"/>
      <c r="J193" s="72"/>
      <c r="K193" s="260"/>
      <c r="L193" s="72"/>
    </row>
    <row r="194" spans="1:12" x14ac:dyDescent="0.3">
      <c r="A194" s="258" t="s">
        <v>759</v>
      </c>
      <c r="B194" s="72" t="s">
        <v>758</v>
      </c>
      <c r="C194" s="72" t="s">
        <v>1329</v>
      </c>
      <c r="D194" s="72" t="s">
        <v>81</v>
      </c>
      <c r="E194" s="72"/>
      <c r="F194" s="72" t="s">
        <v>1616</v>
      </c>
      <c r="G194" s="72">
        <v>15</v>
      </c>
      <c r="H194" s="259"/>
      <c r="I194" s="260"/>
      <c r="J194" s="72"/>
      <c r="K194" s="260"/>
      <c r="L194" s="72"/>
    </row>
    <row r="195" spans="1:12" x14ac:dyDescent="0.3">
      <c r="A195" s="258" t="s">
        <v>757</v>
      </c>
      <c r="B195" s="72" t="s">
        <v>756</v>
      </c>
      <c r="C195" s="72" t="s">
        <v>1330</v>
      </c>
      <c r="D195" s="72" t="s">
        <v>81</v>
      </c>
      <c r="E195" s="72"/>
      <c r="F195" s="72" t="s">
        <v>1616</v>
      </c>
      <c r="G195" s="72">
        <v>10</v>
      </c>
      <c r="H195" s="259"/>
      <c r="I195" s="260"/>
      <c r="J195" s="72"/>
      <c r="K195" s="260"/>
      <c r="L195" s="72"/>
    </row>
    <row r="196" spans="1:12" x14ac:dyDescent="0.3">
      <c r="A196" s="258" t="s">
        <v>755</v>
      </c>
      <c r="B196" s="72" t="s">
        <v>754</v>
      </c>
      <c r="C196" s="72" t="s">
        <v>1331</v>
      </c>
      <c r="D196" s="72" t="s">
        <v>81</v>
      </c>
      <c r="E196" s="72"/>
      <c r="F196" s="72" t="s">
        <v>1614</v>
      </c>
      <c r="G196" s="72">
        <v>50</v>
      </c>
      <c r="H196" s="259"/>
      <c r="I196" s="260"/>
      <c r="J196" s="72"/>
      <c r="K196" s="260"/>
      <c r="L196" s="72"/>
    </row>
    <row r="197" spans="1:12" x14ac:dyDescent="0.3">
      <c r="A197" s="258" t="s">
        <v>753</v>
      </c>
      <c r="B197" s="72" t="s">
        <v>752</v>
      </c>
      <c r="C197" s="72" t="s">
        <v>1332</v>
      </c>
      <c r="D197" s="72" t="s">
        <v>81</v>
      </c>
      <c r="E197" s="72"/>
      <c r="F197" s="72" t="s">
        <v>1614</v>
      </c>
      <c r="G197" s="72">
        <v>50</v>
      </c>
      <c r="H197" s="259"/>
      <c r="I197" s="260"/>
      <c r="J197" s="72"/>
      <c r="K197" s="260"/>
      <c r="L197" s="72"/>
    </row>
    <row r="198" spans="1:12" x14ac:dyDescent="0.3">
      <c r="A198" s="258" t="s">
        <v>751</v>
      </c>
      <c r="B198" s="72" t="s">
        <v>750</v>
      </c>
      <c r="C198" s="72" t="s">
        <v>1333</v>
      </c>
      <c r="D198" s="72" t="s">
        <v>81</v>
      </c>
      <c r="E198" s="72"/>
      <c r="F198" s="72" t="s">
        <v>1614</v>
      </c>
      <c r="G198" s="72">
        <v>50</v>
      </c>
      <c r="H198" s="259"/>
      <c r="I198" s="260"/>
      <c r="J198" s="72"/>
      <c r="K198" s="260"/>
      <c r="L198" s="72"/>
    </row>
    <row r="199" spans="1:12" x14ac:dyDescent="0.3">
      <c r="A199" s="258" t="s">
        <v>749</v>
      </c>
      <c r="B199" s="72" t="s">
        <v>1749</v>
      </c>
      <c r="C199" s="72" t="s">
        <v>1750</v>
      </c>
      <c r="D199" s="72" t="s">
        <v>81</v>
      </c>
      <c r="E199" s="72"/>
      <c r="F199" s="72" t="s">
        <v>1614</v>
      </c>
      <c r="G199" s="72">
        <v>50</v>
      </c>
      <c r="H199" s="259"/>
      <c r="I199" s="260"/>
      <c r="J199" s="72"/>
      <c r="K199" s="260"/>
      <c r="L199" s="72"/>
    </row>
    <row r="200" spans="1:12" x14ac:dyDescent="0.3">
      <c r="A200" s="258" t="s">
        <v>748</v>
      </c>
      <c r="B200" s="72" t="s">
        <v>747</v>
      </c>
      <c r="C200" s="72" t="s">
        <v>1334</v>
      </c>
      <c r="D200" s="72" t="s">
        <v>81</v>
      </c>
      <c r="E200" s="72"/>
      <c r="F200" s="72" t="s">
        <v>1614</v>
      </c>
      <c r="G200" s="72">
        <v>50</v>
      </c>
      <c r="H200" s="259"/>
      <c r="I200" s="260"/>
      <c r="J200" s="72"/>
      <c r="K200" s="260"/>
      <c r="L200" s="72"/>
    </row>
    <row r="201" spans="1:12" x14ac:dyDescent="0.3">
      <c r="A201" s="258" t="s">
        <v>746</v>
      </c>
      <c r="B201" s="72" t="s">
        <v>745</v>
      </c>
      <c r="C201" s="72" t="s">
        <v>1335</v>
      </c>
      <c r="D201" s="72" t="s">
        <v>81</v>
      </c>
      <c r="E201" s="72"/>
      <c r="F201" s="72" t="s">
        <v>1614</v>
      </c>
      <c r="G201" s="72">
        <v>50</v>
      </c>
      <c r="H201" s="259"/>
      <c r="I201" s="260"/>
      <c r="J201" s="72"/>
      <c r="K201" s="260"/>
      <c r="L201" s="72"/>
    </row>
    <row r="202" spans="1:12" x14ac:dyDescent="0.3">
      <c r="A202" s="258" t="s">
        <v>744</v>
      </c>
      <c r="B202" s="72" t="s">
        <v>743</v>
      </c>
      <c r="C202" s="72" t="s">
        <v>1336</v>
      </c>
      <c r="D202" s="72" t="s">
        <v>81</v>
      </c>
      <c r="E202" s="72"/>
      <c r="F202" s="72" t="s">
        <v>1672</v>
      </c>
      <c r="G202" s="72" t="s">
        <v>1672</v>
      </c>
      <c r="H202" s="259" t="s">
        <v>65</v>
      </c>
      <c r="I202" s="260"/>
      <c r="J202" s="72"/>
      <c r="K202" s="260"/>
      <c r="L202" s="72"/>
    </row>
    <row r="203" spans="1:12" x14ac:dyDescent="0.3">
      <c r="A203" s="258" t="s">
        <v>742</v>
      </c>
      <c r="B203" s="72" t="s">
        <v>741</v>
      </c>
      <c r="C203" s="72" t="s">
        <v>1337</v>
      </c>
      <c r="D203" s="72" t="s">
        <v>67</v>
      </c>
      <c r="E203" s="72"/>
      <c r="F203" s="72" t="s">
        <v>1614</v>
      </c>
      <c r="G203" s="72">
        <v>40</v>
      </c>
      <c r="H203" s="259"/>
      <c r="I203" s="260"/>
      <c r="J203" s="72"/>
      <c r="K203" s="260"/>
      <c r="L203" s="72"/>
    </row>
    <row r="204" spans="1:12" x14ac:dyDescent="0.3">
      <c r="A204" s="258" t="s">
        <v>739</v>
      </c>
      <c r="B204" s="72" t="s">
        <v>738</v>
      </c>
      <c r="C204" s="72" t="s">
        <v>1338</v>
      </c>
      <c r="D204" s="72" t="s">
        <v>67</v>
      </c>
      <c r="E204" s="72"/>
      <c r="F204" s="72" t="s">
        <v>1614</v>
      </c>
      <c r="G204" s="72">
        <v>40</v>
      </c>
      <c r="H204" s="259"/>
      <c r="I204" s="260"/>
      <c r="J204" s="72"/>
      <c r="K204" s="260"/>
      <c r="L204" s="72"/>
    </row>
    <row r="205" spans="1:12" x14ac:dyDescent="0.3">
      <c r="A205" s="258" t="s">
        <v>737</v>
      </c>
      <c r="B205" s="72" t="s">
        <v>736</v>
      </c>
      <c r="C205" s="72" t="s">
        <v>1339</v>
      </c>
      <c r="D205" s="72" t="s">
        <v>67</v>
      </c>
      <c r="E205" s="72"/>
      <c r="F205" s="72" t="s">
        <v>1672</v>
      </c>
      <c r="G205" s="72" t="s">
        <v>1672</v>
      </c>
      <c r="H205" s="259" t="s">
        <v>65</v>
      </c>
      <c r="I205" s="260"/>
      <c r="J205" s="72"/>
      <c r="K205" s="260"/>
      <c r="L205" s="72"/>
    </row>
    <row r="206" spans="1:12" x14ac:dyDescent="0.3">
      <c r="A206" s="258" t="s">
        <v>735</v>
      </c>
      <c r="B206" s="72" t="s">
        <v>734</v>
      </c>
      <c r="C206" s="72" t="s">
        <v>1340</v>
      </c>
      <c r="D206" s="72" t="s">
        <v>67</v>
      </c>
      <c r="E206" s="72"/>
      <c r="F206" s="72" t="s">
        <v>1614</v>
      </c>
      <c r="G206" s="72">
        <v>40</v>
      </c>
      <c r="H206" s="259"/>
      <c r="I206" s="260"/>
      <c r="J206" s="72"/>
      <c r="K206" s="260"/>
      <c r="L206" s="72"/>
    </row>
    <row r="207" spans="1:12" x14ac:dyDescent="0.3">
      <c r="A207" s="258" t="s">
        <v>733</v>
      </c>
      <c r="B207" s="72" t="s">
        <v>732</v>
      </c>
      <c r="C207" s="72" t="s">
        <v>1341</v>
      </c>
      <c r="D207" s="72" t="s">
        <v>67</v>
      </c>
      <c r="E207" s="72"/>
      <c r="F207" s="72" t="s">
        <v>1614</v>
      </c>
      <c r="G207" s="72">
        <v>40</v>
      </c>
      <c r="H207" s="259"/>
      <c r="I207" s="260"/>
      <c r="J207" s="72"/>
      <c r="K207" s="260"/>
      <c r="L207" s="72"/>
    </row>
    <row r="208" spans="1:12" x14ac:dyDescent="0.3">
      <c r="A208" s="258" t="s">
        <v>731</v>
      </c>
      <c r="B208" s="72" t="s">
        <v>730</v>
      </c>
      <c r="C208" s="72" t="s">
        <v>1342</v>
      </c>
      <c r="D208" s="72" t="s">
        <v>67</v>
      </c>
      <c r="E208" s="72"/>
      <c r="F208" s="72" t="s">
        <v>1616</v>
      </c>
      <c r="G208" s="72">
        <v>15</v>
      </c>
      <c r="H208" s="259"/>
      <c r="I208" s="260"/>
      <c r="J208" s="72"/>
      <c r="K208" s="260"/>
      <c r="L208" s="72"/>
    </row>
    <row r="209" spans="1:12" x14ac:dyDescent="0.3">
      <c r="A209" s="258" t="s">
        <v>729</v>
      </c>
      <c r="B209" s="72" t="s">
        <v>728</v>
      </c>
      <c r="C209" s="72" t="s">
        <v>1343</v>
      </c>
      <c r="D209" s="72" t="s">
        <v>67</v>
      </c>
      <c r="E209" s="72"/>
      <c r="F209" s="72" t="s">
        <v>1751</v>
      </c>
      <c r="G209" s="72">
        <v>20</v>
      </c>
      <c r="H209" s="259"/>
      <c r="I209" s="260"/>
      <c r="J209" s="72"/>
      <c r="K209" s="260"/>
      <c r="L209" s="72"/>
    </row>
    <row r="210" spans="1:12" x14ac:dyDescent="0.3">
      <c r="A210" s="258" t="s">
        <v>727</v>
      </c>
      <c r="B210" s="72" t="s">
        <v>726</v>
      </c>
      <c r="C210" s="72" t="s">
        <v>1344</v>
      </c>
      <c r="D210" s="72" t="s">
        <v>67</v>
      </c>
      <c r="E210" s="72"/>
      <c r="F210" s="72" t="s">
        <v>1672</v>
      </c>
      <c r="G210" s="72" t="s">
        <v>1672</v>
      </c>
      <c r="H210" s="259" t="s">
        <v>65</v>
      </c>
      <c r="I210" s="260"/>
      <c r="J210" s="72"/>
      <c r="K210" s="260"/>
      <c r="L210" s="72"/>
    </row>
    <row r="211" spans="1:12" x14ac:dyDescent="0.3">
      <c r="A211" s="258" t="s">
        <v>1752</v>
      </c>
      <c r="B211" s="72" t="s">
        <v>1753</v>
      </c>
      <c r="C211" s="72" t="s">
        <v>1754</v>
      </c>
      <c r="D211" s="72" t="s">
        <v>67</v>
      </c>
      <c r="E211" s="72"/>
      <c r="F211" s="72" t="s">
        <v>1616</v>
      </c>
      <c r="G211" s="72">
        <v>20</v>
      </c>
      <c r="H211" s="259"/>
      <c r="I211" s="260">
        <v>8</v>
      </c>
      <c r="J211" s="72"/>
      <c r="K211" s="260">
        <v>8</v>
      </c>
      <c r="L211" s="72"/>
    </row>
    <row r="212" spans="1:12" x14ac:dyDescent="0.3">
      <c r="A212" s="258" t="s">
        <v>725</v>
      </c>
      <c r="B212" s="72" t="s">
        <v>724</v>
      </c>
      <c r="C212" s="72" t="s">
        <v>1345</v>
      </c>
      <c r="D212" s="72" t="s">
        <v>67</v>
      </c>
      <c r="E212" s="72"/>
      <c r="F212" s="72" t="s">
        <v>1614</v>
      </c>
      <c r="G212" s="72">
        <v>50</v>
      </c>
      <c r="H212" s="259"/>
      <c r="I212" s="260"/>
      <c r="J212" s="72"/>
      <c r="K212" s="260"/>
      <c r="L212" s="72"/>
    </row>
    <row r="213" spans="1:12" x14ac:dyDescent="0.3">
      <c r="A213" s="258" t="s">
        <v>723</v>
      </c>
      <c r="B213" s="72" t="s">
        <v>722</v>
      </c>
      <c r="C213" s="72" t="s">
        <v>1346</v>
      </c>
      <c r="D213" s="72" t="s">
        <v>67</v>
      </c>
      <c r="E213" s="72"/>
      <c r="F213" s="72" t="s">
        <v>1617</v>
      </c>
      <c r="G213" s="72">
        <v>20</v>
      </c>
      <c r="H213" s="259"/>
      <c r="I213" s="260"/>
      <c r="J213" s="72"/>
      <c r="K213" s="260"/>
      <c r="L213" s="72"/>
    </row>
    <row r="214" spans="1:12" x14ac:dyDescent="0.3">
      <c r="A214" s="258" t="s">
        <v>721</v>
      </c>
      <c r="B214" s="72" t="s">
        <v>720</v>
      </c>
      <c r="C214" s="72" t="s">
        <v>1163</v>
      </c>
      <c r="D214" s="72" t="s">
        <v>67</v>
      </c>
      <c r="E214" s="72"/>
      <c r="F214" s="72" t="s">
        <v>1614</v>
      </c>
      <c r="G214" s="72">
        <v>30</v>
      </c>
      <c r="H214" s="259"/>
      <c r="I214" s="260">
        <v>22</v>
      </c>
      <c r="J214" s="72"/>
      <c r="K214" s="260">
        <v>22</v>
      </c>
      <c r="L214" s="72"/>
    </row>
    <row r="215" spans="1:12" x14ac:dyDescent="0.3">
      <c r="A215" s="258" t="s">
        <v>719</v>
      </c>
      <c r="B215" s="72" t="s">
        <v>718</v>
      </c>
      <c r="C215" s="72" t="s">
        <v>1347</v>
      </c>
      <c r="D215" s="72" t="s">
        <v>67</v>
      </c>
      <c r="E215" s="72"/>
      <c r="F215" s="72" t="s">
        <v>1614</v>
      </c>
      <c r="G215" s="72">
        <v>30</v>
      </c>
      <c r="H215" s="259"/>
      <c r="I215" s="260"/>
      <c r="J215" s="72"/>
      <c r="K215" s="260"/>
      <c r="L215" s="72"/>
    </row>
    <row r="216" spans="1:12" x14ac:dyDescent="0.3">
      <c r="A216" s="258" t="s">
        <v>717</v>
      </c>
      <c r="B216" s="72" t="s">
        <v>716</v>
      </c>
      <c r="C216" s="72" t="s">
        <v>1348</v>
      </c>
      <c r="D216" s="72" t="s">
        <v>67</v>
      </c>
      <c r="E216" s="72"/>
      <c r="F216" s="72" t="s">
        <v>1614</v>
      </c>
      <c r="G216" s="72">
        <v>30</v>
      </c>
      <c r="H216" s="259"/>
      <c r="I216" s="260"/>
      <c r="J216" s="72"/>
      <c r="K216" s="260"/>
      <c r="L216" s="72"/>
    </row>
    <row r="217" spans="1:12" x14ac:dyDescent="0.3">
      <c r="A217" s="258" t="s">
        <v>715</v>
      </c>
      <c r="B217" s="72" t="s">
        <v>714</v>
      </c>
      <c r="C217" s="72" t="s">
        <v>1349</v>
      </c>
      <c r="D217" s="72" t="s">
        <v>67</v>
      </c>
      <c r="E217" s="72"/>
      <c r="F217" s="72" t="s">
        <v>1614</v>
      </c>
      <c r="G217" s="72">
        <v>30</v>
      </c>
      <c r="H217" s="259"/>
      <c r="I217" s="260"/>
      <c r="J217" s="72"/>
      <c r="K217" s="260"/>
      <c r="L217" s="72"/>
    </row>
    <row r="218" spans="1:12" x14ac:dyDescent="0.3">
      <c r="A218" s="258" t="s">
        <v>713</v>
      </c>
      <c r="B218" s="72" t="s">
        <v>712</v>
      </c>
      <c r="C218" s="72" t="s">
        <v>1350</v>
      </c>
      <c r="D218" s="72" t="s">
        <v>67</v>
      </c>
      <c r="E218" s="72"/>
      <c r="F218" s="72" t="s">
        <v>1614</v>
      </c>
      <c r="G218" s="72">
        <v>40</v>
      </c>
      <c r="H218" s="259"/>
      <c r="I218" s="260"/>
      <c r="J218" s="72"/>
      <c r="K218" s="260"/>
      <c r="L218" s="72"/>
    </row>
    <row r="219" spans="1:12" x14ac:dyDescent="0.3">
      <c r="A219" s="258" t="s">
        <v>711</v>
      </c>
      <c r="B219" s="72" t="s">
        <v>710</v>
      </c>
      <c r="C219" s="72" t="s">
        <v>1351</v>
      </c>
      <c r="D219" s="72" t="s">
        <v>67</v>
      </c>
      <c r="E219" s="72"/>
      <c r="F219" s="72" t="s">
        <v>1672</v>
      </c>
      <c r="G219" s="72" t="s">
        <v>1672</v>
      </c>
      <c r="H219" s="259" t="s">
        <v>65</v>
      </c>
      <c r="I219" s="260"/>
      <c r="J219" s="72"/>
      <c r="K219" s="260"/>
      <c r="L219" s="72"/>
    </row>
    <row r="220" spans="1:12" x14ac:dyDescent="0.3">
      <c r="A220" s="258" t="s">
        <v>709</v>
      </c>
      <c r="B220" s="72" t="s">
        <v>708</v>
      </c>
      <c r="C220" s="72" t="s">
        <v>1352</v>
      </c>
      <c r="D220" s="72" t="s">
        <v>67</v>
      </c>
      <c r="E220" s="72"/>
      <c r="F220" s="72" t="s">
        <v>1614</v>
      </c>
      <c r="G220" s="72">
        <v>40</v>
      </c>
      <c r="H220" s="259"/>
      <c r="I220" s="260"/>
      <c r="J220" s="72"/>
      <c r="K220" s="260"/>
      <c r="L220" s="72"/>
    </row>
    <row r="221" spans="1:12" x14ac:dyDescent="0.3">
      <c r="A221" s="258" t="s">
        <v>707</v>
      </c>
      <c r="B221" s="72" t="s">
        <v>698</v>
      </c>
      <c r="C221" s="72" t="s">
        <v>1353</v>
      </c>
      <c r="D221" s="72" t="s">
        <v>67</v>
      </c>
      <c r="E221" s="72"/>
      <c r="F221" s="72" t="s">
        <v>1614</v>
      </c>
      <c r="G221" s="72">
        <v>40</v>
      </c>
      <c r="H221" s="259"/>
      <c r="I221" s="260"/>
      <c r="J221" s="72"/>
      <c r="K221" s="260"/>
      <c r="L221" s="72"/>
    </row>
    <row r="222" spans="1:12" x14ac:dyDescent="0.3">
      <c r="A222" s="258" t="s">
        <v>706</v>
      </c>
      <c r="B222" s="72" t="s">
        <v>705</v>
      </c>
      <c r="C222" s="72" t="s">
        <v>1354</v>
      </c>
      <c r="D222" s="72" t="s">
        <v>67</v>
      </c>
      <c r="E222" s="72"/>
      <c r="F222" s="72" t="s">
        <v>1614</v>
      </c>
      <c r="G222" s="72">
        <v>35</v>
      </c>
      <c r="H222" s="259"/>
      <c r="I222" s="260"/>
      <c r="J222" s="72"/>
      <c r="K222" s="260"/>
      <c r="L222" s="72"/>
    </row>
    <row r="223" spans="1:12" x14ac:dyDescent="0.3">
      <c r="A223" s="258" t="s">
        <v>704</v>
      </c>
      <c r="B223" s="72" t="s">
        <v>703</v>
      </c>
      <c r="C223" s="72" t="s">
        <v>1355</v>
      </c>
      <c r="D223" s="72" t="s">
        <v>67</v>
      </c>
      <c r="E223" s="72"/>
      <c r="F223" s="72" t="s">
        <v>1617</v>
      </c>
      <c r="G223" s="72">
        <v>20</v>
      </c>
      <c r="H223" s="259"/>
      <c r="I223" s="260"/>
      <c r="J223" s="72"/>
      <c r="K223" s="260"/>
      <c r="L223" s="72"/>
    </row>
    <row r="224" spans="1:12" x14ac:dyDescent="0.3">
      <c r="A224" s="258" t="s">
        <v>702</v>
      </c>
      <c r="B224" s="72" t="s">
        <v>701</v>
      </c>
      <c r="C224" s="72" t="s">
        <v>1356</v>
      </c>
      <c r="D224" s="72" t="s">
        <v>67</v>
      </c>
      <c r="E224" s="72"/>
      <c r="F224" s="72" t="s">
        <v>1615</v>
      </c>
      <c r="G224" s="72">
        <v>25</v>
      </c>
      <c r="H224" s="259"/>
      <c r="I224" s="260"/>
      <c r="J224" s="72"/>
      <c r="K224" s="260"/>
      <c r="L224" s="72"/>
    </row>
    <row r="225" spans="1:12" x14ac:dyDescent="0.3">
      <c r="A225" s="258" t="s">
        <v>700</v>
      </c>
      <c r="B225" s="72" t="s">
        <v>699</v>
      </c>
      <c r="C225" s="72" t="s">
        <v>1357</v>
      </c>
      <c r="D225" s="72" t="s">
        <v>67</v>
      </c>
      <c r="E225" s="72"/>
      <c r="F225" s="72" t="s">
        <v>1617</v>
      </c>
      <c r="G225" s="72">
        <v>15</v>
      </c>
      <c r="H225" s="259"/>
      <c r="I225" s="260"/>
      <c r="J225" s="72"/>
      <c r="K225" s="260"/>
      <c r="L225" s="72"/>
    </row>
    <row r="226" spans="1:12" x14ac:dyDescent="0.3">
      <c r="A226" s="258" t="s">
        <v>697</v>
      </c>
      <c r="B226" s="72" t="s">
        <v>696</v>
      </c>
      <c r="C226" s="72" t="s">
        <v>1164</v>
      </c>
      <c r="D226" s="72" t="s">
        <v>67</v>
      </c>
      <c r="E226" s="72"/>
      <c r="F226" s="72" t="s">
        <v>1614</v>
      </c>
      <c r="G226" s="72">
        <v>35</v>
      </c>
      <c r="H226" s="259"/>
      <c r="I226" s="260">
        <v>20</v>
      </c>
      <c r="J226" s="72"/>
      <c r="K226" s="260">
        <v>20</v>
      </c>
      <c r="L226" s="72"/>
    </row>
    <row r="227" spans="1:12" x14ac:dyDescent="0.3">
      <c r="A227" s="258" t="s">
        <v>695</v>
      </c>
      <c r="B227" s="72" t="s">
        <v>694</v>
      </c>
      <c r="C227" s="72" t="s">
        <v>1358</v>
      </c>
      <c r="D227" s="72" t="s">
        <v>67</v>
      </c>
      <c r="E227" s="72"/>
      <c r="F227" s="72" t="s">
        <v>1614</v>
      </c>
      <c r="G227" s="72">
        <v>35</v>
      </c>
      <c r="H227" s="259"/>
      <c r="I227" s="260"/>
      <c r="J227" s="72"/>
      <c r="K227" s="260"/>
      <c r="L227" s="72"/>
    </row>
    <row r="228" spans="1:12" x14ac:dyDescent="0.3">
      <c r="A228" s="258" t="s">
        <v>693</v>
      </c>
      <c r="B228" s="72" t="s">
        <v>692</v>
      </c>
      <c r="C228" s="72" t="s">
        <v>1359</v>
      </c>
      <c r="D228" s="72" t="s">
        <v>67</v>
      </c>
      <c r="E228" s="72"/>
      <c r="F228" s="72" t="s">
        <v>1614</v>
      </c>
      <c r="G228" s="72">
        <v>40</v>
      </c>
      <c r="H228" s="259"/>
      <c r="I228" s="260"/>
      <c r="J228" s="72"/>
      <c r="K228" s="260"/>
      <c r="L228" s="72"/>
    </row>
    <row r="229" spans="1:12" x14ac:dyDescent="0.3">
      <c r="A229" s="258" t="s">
        <v>1755</v>
      </c>
      <c r="B229" s="72" t="s">
        <v>1756</v>
      </c>
      <c r="C229" s="72" t="s">
        <v>1757</v>
      </c>
      <c r="D229" s="72" t="s">
        <v>67</v>
      </c>
      <c r="E229" s="72"/>
      <c r="F229" s="72" t="s">
        <v>1617</v>
      </c>
      <c r="G229" s="72">
        <v>18</v>
      </c>
      <c r="H229" s="259"/>
      <c r="I229" s="260"/>
      <c r="J229" s="72"/>
      <c r="K229" s="260"/>
      <c r="L229" s="72"/>
    </row>
    <row r="230" spans="1:12" x14ac:dyDescent="0.3">
      <c r="A230" s="258" t="s">
        <v>691</v>
      </c>
      <c r="B230" s="72" t="s">
        <v>2157</v>
      </c>
      <c r="C230" s="72" t="s">
        <v>2158</v>
      </c>
      <c r="D230" s="72" t="s">
        <v>67</v>
      </c>
      <c r="E230" s="72"/>
      <c r="F230" s="72" t="s">
        <v>1614</v>
      </c>
      <c r="G230" s="72">
        <v>25</v>
      </c>
      <c r="H230" s="259"/>
      <c r="I230" s="260"/>
      <c r="J230" s="72"/>
      <c r="K230" s="260"/>
      <c r="L230" s="72"/>
    </row>
    <row r="231" spans="1:12" x14ac:dyDescent="0.3">
      <c r="A231" s="258" t="s">
        <v>690</v>
      </c>
      <c r="B231" s="72" t="s">
        <v>689</v>
      </c>
      <c r="C231" s="72" t="s">
        <v>1361</v>
      </c>
      <c r="D231" s="72" t="s">
        <v>67</v>
      </c>
      <c r="E231" s="72"/>
      <c r="F231" s="72" t="s">
        <v>1617</v>
      </c>
      <c r="G231" s="72">
        <v>20</v>
      </c>
      <c r="H231" s="259"/>
      <c r="I231" s="260"/>
      <c r="J231" s="72"/>
      <c r="K231" s="260"/>
      <c r="L231" s="72"/>
    </row>
    <row r="232" spans="1:12" x14ac:dyDescent="0.3">
      <c r="A232" s="258" t="s">
        <v>688</v>
      </c>
      <c r="B232" s="72" t="s">
        <v>687</v>
      </c>
      <c r="C232" s="72" t="s">
        <v>1362</v>
      </c>
      <c r="D232" s="72" t="s">
        <v>67</v>
      </c>
      <c r="E232" s="72"/>
      <c r="F232" s="72" t="s">
        <v>1614</v>
      </c>
      <c r="G232" s="72">
        <v>25</v>
      </c>
      <c r="H232" s="259"/>
      <c r="I232" s="260"/>
      <c r="J232" s="72"/>
      <c r="K232" s="260"/>
      <c r="L232" s="72"/>
    </row>
    <row r="233" spans="1:12" x14ac:dyDescent="0.3">
      <c r="A233" s="258" t="s">
        <v>1758</v>
      </c>
      <c r="B233" s="72" t="s">
        <v>2135</v>
      </c>
      <c r="C233" s="72" t="s">
        <v>2136</v>
      </c>
      <c r="D233" s="72" t="s">
        <v>122</v>
      </c>
      <c r="E233" s="72"/>
      <c r="F233" s="72" t="s">
        <v>1614</v>
      </c>
      <c r="G233" s="72">
        <v>50</v>
      </c>
      <c r="H233" s="259"/>
      <c r="I233" s="260"/>
      <c r="J233" s="72"/>
      <c r="K233" s="260"/>
      <c r="L233" s="72"/>
    </row>
    <row r="234" spans="1:12" x14ac:dyDescent="0.3">
      <c r="A234" s="258" t="s">
        <v>686</v>
      </c>
      <c r="B234" s="72" t="s">
        <v>685</v>
      </c>
      <c r="C234" s="72" t="s">
        <v>1136</v>
      </c>
      <c r="D234" s="72" t="s">
        <v>81</v>
      </c>
      <c r="E234" s="72"/>
      <c r="F234" s="72" t="s">
        <v>1617</v>
      </c>
      <c r="G234" s="72">
        <v>20</v>
      </c>
      <c r="H234" s="259"/>
      <c r="I234" s="260"/>
      <c r="J234" s="72" t="b">
        <v>1</v>
      </c>
      <c r="K234" s="260"/>
      <c r="L234" s="72" t="b">
        <v>1</v>
      </c>
    </row>
    <row r="235" spans="1:12" x14ac:dyDescent="0.3">
      <c r="A235" s="258" t="s">
        <v>684</v>
      </c>
      <c r="B235" s="72" t="s">
        <v>683</v>
      </c>
      <c r="C235" s="72" t="s">
        <v>1363</v>
      </c>
      <c r="D235" s="72" t="s">
        <v>81</v>
      </c>
      <c r="E235" s="72"/>
      <c r="F235" s="72" t="s">
        <v>1617</v>
      </c>
      <c r="G235" s="72">
        <v>20</v>
      </c>
      <c r="H235" s="259"/>
      <c r="I235" s="260"/>
      <c r="J235" s="72"/>
      <c r="K235" s="260"/>
      <c r="L235" s="72"/>
    </row>
    <row r="236" spans="1:12" x14ac:dyDescent="0.3">
      <c r="A236" s="258" t="s">
        <v>682</v>
      </c>
      <c r="B236" s="72" t="s">
        <v>681</v>
      </c>
      <c r="C236" s="72" t="s">
        <v>1364</v>
      </c>
      <c r="D236" s="72" t="s">
        <v>81</v>
      </c>
      <c r="E236" s="72"/>
      <c r="F236" s="72" t="s">
        <v>1672</v>
      </c>
      <c r="G236" s="72" t="s">
        <v>1672</v>
      </c>
      <c r="H236" s="259" t="s">
        <v>65</v>
      </c>
      <c r="I236" s="260"/>
      <c r="J236" s="72"/>
      <c r="K236" s="260"/>
      <c r="L236" s="72"/>
    </row>
    <row r="237" spans="1:12" x14ac:dyDescent="0.3">
      <c r="A237" s="258" t="s">
        <v>680</v>
      </c>
      <c r="B237" s="72" t="s">
        <v>679</v>
      </c>
      <c r="C237" s="72" t="s">
        <v>1365</v>
      </c>
      <c r="D237" s="72" t="s">
        <v>81</v>
      </c>
      <c r="E237" s="72"/>
      <c r="F237" s="72" t="s">
        <v>1616</v>
      </c>
      <c r="G237" s="72">
        <v>15</v>
      </c>
      <c r="H237" s="259"/>
      <c r="I237" s="260"/>
      <c r="J237" s="72"/>
      <c r="K237" s="260"/>
      <c r="L237" s="72"/>
    </row>
    <row r="238" spans="1:12" x14ac:dyDescent="0.3">
      <c r="A238" s="258" t="s">
        <v>678</v>
      </c>
      <c r="B238" s="72" t="s">
        <v>677</v>
      </c>
      <c r="C238" s="72" t="s">
        <v>1366</v>
      </c>
      <c r="D238" s="72" t="s">
        <v>67</v>
      </c>
      <c r="E238" s="72"/>
      <c r="F238" s="72" t="s">
        <v>1614</v>
      </c>
      <c r="G238" s="72">
        <v>40</v>
      </c>
      <c r="H238" s="259"/>
      <c r="I238" s="260"/>
      <c r="J238" s="72"/>
      <c r="K238" s="260"/>
      <c r="L238" s="72"/>
    </row>
    <row r="239" spans="1:12" x14ac:dyDescent="0.3">
      <c r="A239" s="258" t="s">
        <v>676</v>
      </c>
      <c r="B239" s="72" t="s">
        <v>675</v>
      </c>
      <c r="C239" s="72" t="s">
        <v>1367</v>
      </c>
      <c r="D239" s="72" t="s">
        <v>67</v>
      </c>
      <c r="E239" s="72"/>
      <c r="F239" s="72" t="s">
        <v>1614</v>
      </c>
      <c r="G239" s="72">
        <v>30</v>
      </c>
      <c r="H239" s="259"/>
      <c r="I239" s="260"/>
      <c r="J239" s="72"/>
      <c r="K239" s="260"/>
      <c r="L239" s="72"/>
    </row>
    <row r="240" spans="1:12" x14ac:dyDescent="0.3">
      <c r="A240" s="258" t="s">
        <v>674</v>
      </c>
      <c r="B240" s="72" t="s">
        <v>673</v>
      </c>
      <c r="C240" s="72" t="s">
        <v>1368</v>
      </c>
      <c r="D240" s="72" t="s">
        <v>67</v>
      </c>
      <c r="E240" s="72"/>
      <c r="F240" s="72" t="s">
        <v>1614</v>
      </c>
      <c r="G240" s="72">
        <v>40</v>
      </c>
      <c r="H240" s="259"/>
      <c r="I240" s="260"/>
      <c r="J240" s="72"/>
      <c r="K240" s="260"/>
      <c r="L240" s="72"/>
    </row>
    <row r="241" spans="1:12" x14ac:dyDescent="0.3">
      <c r="A241" s="258" t="s">
        <v>672</v>
      </c>
      <c r="B241" s="72" t="s">
        <v>671</v>
      </c>
      <c r="C241" s="72" t="s">
        <v>1369</v>
      </c>
      <c r="D241" s="72" t="s">
        <v>67</v>
      </c>
      <c r="E241" s="72"/>
      <c r="F241" s="72" t="s">
        <v>1614</v>
      </c>
      <c r="G241" s="72">
        <v>50</v>
      </c>
      <c r="H241" s="259"/>
      <c r="I241" s="260"/>
      <c r="J241" s="72"/>
      <c r="K241" s="260"/>
      <c r="L241" s="72"/>
    </row>
    <row r="242" spans="1:12" x14ac:dyDescent="0.3">
      <c r="A242" s="258" t="s">
        <v>670</v>
      </c>
      <c r="B242" s="72" t="s">
        <v>669</v>
      </c>
      <c r="C242" s="72" t="s">
        <v>1370</v>
      </c>
      <c r="D242" s="72" t="s">
        <v>67</v>
      </c>
      <c r="E242" s="72"/>
      <c r="F242" s="72" t="s">
        <v>1614</v>
      </c>
      <c r="G242" s="72">
        <v>50</v>
      </c>
      <c r="H242" s="259"/>
      <c r="I242" s="260"/>
      <c r="J242" s="72"/>
      <c r="K242" s="260"/>
      <c r="L242" s="72"/>
    </row>
    <row r="243" spans="1:12" x14ac:dyDescent="0.3">
      <c r="A243" s="258" t="s">
        <v>668</v>
      </c>
      <c r="B243" s="72" t="s">
        <v>667</v>
      </c>
      <c r="C243" s="72" t="s">
        <v>1371</v>
      </c>
      <c r="D243" s="72" t="s">
        <v>122</v>
      </c>
      <c r="E243" s="72"/>
      <c r="F243" s="72" t="s">
        <v>1617</v>
      </c>
      <c r="G243" s="72">
        <v>20</v>
      </c>
      <c r="H243" s="259"/>
      <c r="I243" s="260"/>
      <c r="J243" s="72"/>
      <c r="K243" s="260"/>
      <c r="L243" s="72"/>
    </row>
    <row r="244" spans="1:12" x14ac:dyDescent="0.3">
      <c r="A244" s="258" t="s">
        <v>666</v>
      </c>
      <c r="B244" s="72" t="s">
        <v>1759</v>
      </c>
      <c r="C244" s="72" t="s">
        <v>1760</v>
      </c>
      <c r="D244" s="72" t="s">
        <v>122</v>
      </c>
      <c r="E244" s="72"/>
      <c r="F244" s="72" t="s">
        <v>1616</v>
      </c>
      <c r="G244" s="72">
        <v>10</v>
      </c>
      <c r="H244" s="259"/>
      <c r="I244" s="260"/>
      <c r="J244" s="72"/>
      <c r="K244" s="260"/>
      <c r="L244" s="72"/>
    </row>
    <row r="245" spans="1:12" x14ac:dyDescent="0.3">
      <c r="A245" s="258" t="s">
        <v>665</v>
      </c>
      <c r="B245" s="72" t="s">
        <v>664</v>
      </c>
      <c r="C245" s="72" t="s">
        <v>1372</v>
      </c>
      <c r="D245" s="72" t="s">
        <v>122</v>
      </c>
      <c r="E245" s="72"/>
      <c r="F245" s="72" t="s">
        <v>1617</v>
      </c>
      <c r="G245" s="72">
        <v>20</v>
      </c>
      <c r="H245" s="259"/>
      <c r="I245" s="260"/>
      <c r="J245" s="72"/>
      <c r="K245" s="260"/>
      <c r="L245" s="72"/>
    </row>
    <row r="246" spans="1:12" x14ac:dyDescent="0.3">
      <c r="A246" s="258" t="s">
        <v>663</v>
      </c>
      <c r="B246" s="72" t="s">
        <v>662</v>
      </c>
      <c r="C246" s="72" t="s">
        <v>1373</v>
      </c>
      <c r="D246" s="72" t="s">
        <v>122</v>
      </c>
      <c r="E246" s="72"/>
      <c r="F246" s="72" t="s">
        <v>1616</v>
      </c>
      <c r="G246" s="72">
        <v>15</v>
      </c>
      <c r="H246" s="259"/>
      <c r="I246" s="260"/>
      <c r="J246" s="72"/>
      <c r="K246" s="260"/>
      <c r="L246" s="72"/>
    </row>
    <row r="247" spans="1:12" x14ac:dyDescent="0.3">
      <c r="A247" s="258" t="s">
        <v>661</v>
      </c>
      <c r="B247" s="72" t="s">
        <v>660</v>
      </c>
      <c r="C247" s="72" t="s">
        <v>1374</v>
      </c>
      <c r="D247" s="72" t="s">
        <v>122</v>
      </c>
      <c r="E247" s="72"/>
      <c r="F247" s="72" t="s">
        <v>1672</v>
      </c>
      <c r="G247" s="72" t="s">
        <v>1672</v>
      </c>
      <c r="H247" s="259" t="s">
        <v>65</v>
      </c>
      <c r="I247" s="260"/>
      <c r="J247" s="72"/>
      <c r="K247" s="260"/>
      <c r="L247" s="72"/>
    </row>
    <row r="248" spans="1:12" x14ac:dyDescent="0.3">
      <c r="A248" s="258" t="s">
        <v>659</v>
      </c>
      <c r="B248" s="72" t="s">
        <v>2123</v>
      </c>
      <c r="C248" s="72" t="s">
        <v>2126</v>
      </c>
      <c r="D248" s="72" t="s">
        <v>122</v>
      </c>
      <c r="E248" s="72"/>
      <c r="F248" s="72" t="s">
        <v>1761</v>
      </c>
      <c r="G248" s="72">
        <v>4</v>
      </c>
      <c r="H248" s="259"/>
      <c r="I248" s="260"/>
      <c r="J248" s="72"/>
      <c r="K248" s="260"/>
      <c r="L248" s="72"/>
    </row>
    <row r="249" spans="1:12" x14ac:dyDescent="0.3">
      <c r="A249" s="258" t="s">
        <v>658</v>
      </c>
      <c r="B249" s="72" t="s">
        <v>657</v>
      </c>
      <c r="C249" s="72" t="s">
        <v>1375</v>
      </c>
      <c r="D249" s="72" t="s">
        <v>122</v>
      </c>
      <c r="E249" s="72"/>
      <c r="F249" s="72" t="s">
        <v>1617</v>
      </c>
      <c r="G249" s="72">
        <v>20</v>
      </c>
      <c r="H249" s="259"/>
      <c r="I249" s="260"/>
      <c r="J249" s="72"/>
      <c r="K249" s="260"/>
      <c r="L249" s="72"/>
    </row>
    <row r="250" spans="1:12" x14ac:dyDescent="0.3">
      <c r="A250" s="258" t="s">
        <v>656</v>
      </c>
      <c r="B250" s="72" t="s">
        <v>655</v>
      </c>
      <c r="C250" s="72" t="s">
        <v>1376</v>
      </c>
      <c r="D250" s="72" t="s">
        <v>67</v>
      </c>
      <c r="E250" s="72"/>
      <c r="F250" s="72" t="s">
        <v>1617</v>
      </c>
      <c r="G250" s="72">
        <v>20</v>
      </c>
      <c r="H250" s="259"/>
      <c r="I250" s="260"/>
      <c r="J250" s="72"/>
      <c r="K250" s="260"/>
      <c r="L250" s="72"/>
    </row>
    <row r="251" spans="1:12" x14ac:dyDescent="0.3">
      <c r="A251" s="258" t="s">
        <v>654</v>
      </c>
      <c r="B251" s="72" t="s">
        <v>653</v>
      </c>
      <c r="C251" s="72" t="s">
        <v>1377</v>
      </c>
      <c r="D251" s="72" t="s">
        <v>67</v>
      </c>
      <c r="E251" s="72"/>
      <c r="F251" s="72" t="s">
        <v>1615</v>
      </c>
      <c r="G251" s="72">
        <v>25</v>
      </c>
      <c r="H251" s="259"/>
      <c r="I251" s="260"/>
      <c r="J251" s="72"/>
      <c r="K251" s="260"/>
      <c r="L251" s="72"/>
    </row>
    <row r="252" spans="1:12" x14ac:dyDescent="0.3">
      <c r="A252" s="258" t="s">
        <v>652</v>
      </c>
      <c r="B252" s="72" t="s">
        <v>651</v>
      </c>
      <c r="C252" s="72" t="s">
        <v>1378</v>
      </c>
      <c r="D252" s="72" t="s">
        <v>67</v>
      </c>
      <c r="E252" s="72"/>
      <c r="F252" s="72" t="s">
        <v>1617</v>
      </c>
      <c r="G252" s="72">
        <v>20</v>
      </c>
      <c r="H252" s="259"/>
      <c r="I252" s="260"/>
      <c r="J252" s="72"/>
      <c r="K252" s="260"/>
      <c r="L252" s="72"/>
    </row>
    <row r="253" spans="1:12" x14ac:dyDescent="0.3">
      <c r="A253" s="258" t="s">
        <v>650</v>
      </c>
      <c r="B253" s="72" t="s">
        <v>649</v>
      </c>
      <c r="C253" s="72" t="s">
        <v>1379</v>
      </c>
      <c r="D253" s="72" t="s">
        <v>67</v>
      </c>
      <c r="E253" s="72"/>
      <c r="F253" s="72" t="s">
        <v>1672</v>
      </c>
      <c r="G253" s="72" t="s">
        <v>1672</v>
      </c>
      <c r="H253" s="259" t="s">
        <v>65</v>
      </c>
      <c r="I253" s="260"/>
      <c r="J253" s="72"/>
      <c r="K253" s="260"/>
      <c r="L253" s="72"/>
    </row>
    <row r="254" spans="1:12" x14ac:dyDescent="0.3">
      <c r="A254" s="258" t="s">
        <v>648</v>
      </c>
      <c r="B254" s="72" t="s">
        <v>647</v>
      </c>
      <c r="C254" s="72" t="s">
        <v>1380</v>
      </c>
      <c r="D254" s="72" t="s">
        <v>67</v>
      </c>
      <c r="E254" s="72"/>
      <c r="F254" s="72" t="s">
        <v>1616</v>
      </c>
      <c r="G254" s="72">
        <v>15</v>
      </c>
      <c r="H254" s="259"/>
      <c r="I254" s="260"/>
      <c r="J254" s="72"/>
      <c r="K254" s="260"/>
      <c r="L254" s="72"/>
    </row>
    <row r="255" spans="1:12" x14ac:dyDescent="0.3">
      <c r="A255" s="258" t="s">
        <v>646</v>
      </c>
      <c r="B255" s="72" t="s">
        <v>645</v>
      </c>
      <c r="C255" s="72" t="s">
        <v>1381</v>
      </c>
      <c r="D255" s="72" t="s">
        <v>67</v>
      </c>
      <c r="E255" s="72"/>
      <c r="F255" s="72" t="s">
        <v>1751</v>
      </c>
      <c r="G255" s="72">
        <v>20</v>
      </c>
      <c r="H255" s="259"/>
      <c r="I255" s="260"/>
      <c r="J255" s="72"/>
      <c r="K255" s="260"/>
      <c r="L255" s="72"/>
    </row>
    <row r="256" spans="1:12" x14ac:dyDescent="0.3">
      <c r="A256" s="258" t="s">
        <v>2121</v>
      </c>
      <c r="B256" s="72" t="s">
        <v>644</v>
      </c>
      <c r="C256" s="72" t="s">
        <v>2134</v>
      </c>
      <c r="D256" s="72" t="s">
        <v>67</v>
      </c>
      <c r="E256" s="72"/>
      <c r="F256" s="72" t="s">
        <v>1616</v>
      </c>
      <c r="G256" s="72">
        <v>15</v>
      </c>
      <c r="H256" s="259"/>
      <c r="I256" s="260"/>
      <c r="J256" s="72"/>
      <c r="K256" s="260"/>
      <c r="L256" s="72"/>
    </row>
    <row r="257" spans="1:12" x14ac:dyDescent="0.3">
      <c r="A257" s="258" t="s">
        <v>1762</v>
      </c>
      <c r="B257" s="72" t="s">
        <v>643</v>
      </c>
      <c r="C257" s="72" t="s">
        <v>1763</v>
      </c>
      <c r="D257" s="72" t="s">
        <v>67</v>
      </c>
      <c r="E257" s="72"/>
      <c r="F257" s="72" t="s">
        <v>1751</v>
      </c>
      <c r="G257" s="72">
        <v>20</v>
      </c>
      <c r="H257" s="259"/>
      <c r="I257" s="260"/>
      <c r="J257" s="72"/>
      <c r="K257" s="260"/>
      <c r="L257" s="72"/>
    </row>
    <row r="258" spans="1:12" x14ac:dyDescent="0.3">
      <c r="A258" s="258" t="s">
        <v>642</v>
      </c>
      <c r="B258" s="72" t="s">
        <v>641</v>
      </c>
      <c r="C258" s="72" t="s">
        <v>1382</v>
      </c>
      <c r="D258" s="72" t="s">
        <v>67</v>
      </c>
      <c r="E258" s="72"/>
      <c r="F258" s="72" t="s">
        <v>1672</v>
      </c>
      <c r="G258" s="72" t="s">
        <v>1672</v>
      </c>
      <c r="H258" s="259" t="s">
        <v>65</v>
      </c>
      <c r="I258" s="260"/>
      <c r="J258" s="72"/>
      <c r="K258" s="260"/>
      <c r="L258" s="72"/>
    </row>
    <row r="259" spans="1:12" x14ac:dyDescent="0.3">
      <c r="A259" s="258" t="s">
        <v>640</v>
      </c>
      <c r="B259" s="72" t="s">
        <v>639</v>
      </c>
      <c r="C259" s="72" t="s">
        <v>1383</v>
      </c>
      <c r="D259" s="72" t="s">
        <v>166</v>
      </c>
      <c r="E259" s="72"/>
      <c r="F259" s="72" t="s">
        <v>1614</v>
      </c>
      <c r="G259" s="72">
        <v>30</v>
      </c>
      <c r="H259" s="259"/>
      <c r="I259" s="260"/>
      <c r="J259" s="72"/>
      <c r="K259" s="260"/>
      <c r="L259" s="72"/>
    </row>
    <row r="260" spans="1:12" x14ac:dyDescent="0.3">
      <c r="A260" s="258" t="s">
        <v>638</v>
      </c>
      <c r="B260" s="72" t="s">
        <v>637</v>
      </c>
      <c r="C260" s="72" t="s">
        <v>1384</v>
      </c>
      <c r="D260" s="72" t="s">
        <v>166</v>
      </c>
      <c r="E260" s="72"/>
      <c r="F260" s="72" t="s">
        <v>1614</v>
      </c>
      <c r="G260" s="72">
        <v>30</v>
      </c>
      <c r="H260" s="259"/>
      <c r="I260" s="260"/>
      <c r="J260" s="72"/>
      <c r="K260" s="260"/>
      <c r="L260" s="72"/>
    </row>
    <row r="261" spans="1:12" x14ac:dyDescent="0.3">
      <c r="A261" s="258" t="s">
        <v>636</v>
      </c>
      <c r="B261" s="72" t="s">
        <v>635</v>
      </c>
      <c r="C261" s="72" t="s">
        <v>1385</v>
      </c>
      <c r="D261" s="72" t="s">
        <v>166</v>
      </c>
      <c r="E261" s="72"/>
      <c r="F261" s="72" t="s">
        <v>1751</v>
      </c>
      <c r="G261" s="72">
        <v>25</v>
      </c>
      <c r="H261" s="259"/>
      <c r="I261" s="260"/>
      <c r="J261" s="72"/>
      <c r="K261" s="260"/>
      <c r="L261" s="72"/>
    </row>
    <row r="262" spans="1:12" x14ac:dyDescent="0.3">
      <c r="A262" s="258" t="s">
        <v>634</v>
      </c>
      <c r="B262" s="72" t="s">
        <v>633</v>
      </c>
      <c r="C262" s="72" t="s">
        <v>1386</v>
      </c>
      <c r="D262" s="72" t="s">
        <v>166</v>
      </c>
      <c r="E262" s="72"/>
      <c r="F262" s="72" t="s">
        <v>1672</v>
      </c>
      <c r="G262" s="72" t="s">
        <v>1672</v>
      </c>
      <c r="H262" s="259" t="s">
        <v>65</v>
      </c>
      <c r="I262" s="260"/>
      <c r="J262" s="72"/>
      <c r="K262" s="260"/>
      <c r="L262" s="72"/>
    </row>
    <row r="263" spans="1:12" x14ac:dyDescent="0.3">
      <c r="A263" s="258" t="s">
        <v>1764</v>
      </c>
      <c r="B263" s="72" t="s">
        <v>1765</v>
      </c>
      <c r="C263" s="72" t="s">
        <v>1766</v>
      </c>
      <c r="D263" s="72" t="s">
        <v>166</v>
      </c>
      <c r="E263" s="72"/>
      <c r="F263" s="72" t="s">
        <v>1614</v>
      </c>
      <c r="G263" s="72">
        <v>35</v>
      </c>
      <c r="H263" s="259"/>
      <c r="I263" s="260"/>
      <c r="J263" s="72"/>
      <c r="K263" s="260"/>
      <c r="L263" s="72"/>
    </row>
    <row r="264" spans="1:12" x14ac:dyDescent="0.3">
      <c r="A264" s="258" t="s">
        <v>632</v>
      </c>
      <c r="B264" s="72" t="s">
        <v>82</v>
      </c>
      <c r="C264" s="72" t="s">
        <v>1767</v>
      </c>
      <c r="D264" s="72" t="s">
        <v>81</v>
      </c>
      <c r="E264" s="72"/>
      <c r="F264" s="72" t="s">
        <v>1751</v>
      </c>
      <c r="G264" s="72">
        <v>20</v>
      </c>
      <c r="H264" s="259"/>
      <c r="I264" s="260"/>
      <c r="J264" s="72"/>
      <c r="K264" s="260"/>
      <c r="L264" s="72"/>
    </row>
    <row r="265" spans="1:12" x14ac:dyDescent="0.3">
      <c r="A265" s="258" t="s">
        <v>631</v>
      </c>
      <c r="B265" s="72" t="s">
        <v>630</v>
      </c>
      <c r="C265" s="72" t="s">
        <v>1387</v>
      </c>
      <c r="D265" s="72" t="s">
        <v>67</v>
      </c>
      <c r="E265" s="72"/>
      <c r="F265" s="72" t="s">
        <v>1751</v>
      </c>
      <c r="G265" s="72">
        <v>20</v>
      </c>
      <c r="H265" s="259"/>
      <c r="I265" s="260"/>
      <c r="J265" s="72"/>
      <c r="K265" s="260"/>
      <c r="L265" s="72"/>
    </row>
    <row r="266" spans="1:12" x14ac:dyDescent="0.3">
      <c r="A266" s="258" t="s">
        <v>629</v>
      </c>
      <c r="B266" s="72" t="s">
        <v>1768</v>
      </c>
      <c r="C266" s="72" t="s">
        <v>1769</v>
      </c>
      <c r="D266" s="72" t="s">
        <v>67</v>
      </c>
      <c r="E266" s="72"/>
      <c r="F266" s="72" t="s">
        <v>1672</v>
      </c>
      <c r="G266" s="72" t="s">
        <v>1672</v>
      </c>
      <c r="H266" s="259" t="s">
        <v>65</v>
      </c>
      <c r="I266" s="260"/>
      <c r="J266" s="72"/>
      <c r="K266" s="260"/>
      <c r="L266" s="72"/>
    </row>
    <row r="267" spans="1:12" x14ac:dyDescent="0.3">
      <c r="A267" s="258" t="s">
        <v>628</v>
      </c>
      <c r="B267" s="72" t="s">
        <v>627</v>
      </c>
      <c r="C267" s="72" t="s">
        <v>1388</v>
      </c>
      <c r="D267" s="72" t="s">
        <v>67</v>
      </c>
      <c r="E267" s="72"/>
      <c r="F267" s="72" t="s">
        <v>1614</v>
      </c>
      <c r="G267" s="72">
        <v>40</v>
      </c>
      <c r="H267" s="259"/>
      <c r="I267" s="260"/>
      <c r="J267" s="72"/>
      <c r="K267" s="260"/>
      <c r="L267" s="72"/>
    </row>
    <row r="268" spans="1:12" x14ac:dyDescent="0.3">
      <c r="A268" s="258" t="s">
        <v>626</v>
      </c>
      <c r="B268" s="72" t="s">
        <v>2145</v>
      </c>
      <c r="C268" s="72" t="s">
        <v>2146</v>
      </c>
      <c r="D268" s="72" t="s">
        <v>67</v>
      </c>
      <c r="E268" s="72"/>
      <c r="F268" s="72" t="s">
        <v>1616</v>
      </c>
      <c r="G268" s="72">
        <v>8</v>
      </c>
      <c r="H268" s="259"/>
      <c r="I268" s="260"/>
      <c r="J268" s="72"/>
      <c r="K268" s="260"/>
      <c r="L268" s="72"/>
    </row>
    <row r="269" spans="1:12" x14ac:dyDescent="0.3">
      <c r="A269" s="258" t="s">
        <v>625</v>
      </c>
      <c r="B269" s="72" t="s">
        <v>624</v>
      </c>
      <c r="C269" s="72" t="s">
        <v>1389</v>
      </c>
      <c r="D269" s="72" t="s">
        <v>67</v>
      </c>
      <c r="E269" s="72"/>
      <c r="F269" s="72" t="s">
        <v>1614</v>
      </c>
      <c r="G269" s="72">
        <v>30</v>
      </c>
      <c r="H269" s="259"/>
      <c r="I269" s="260"/>
      <c r="J269" s="72"/>
      <c r="K269" s="260"/>
      <c r="L269" s="72"/>
    </row>
    <row r="270" spans="1:12" x14ac:dyDescent="0.3">
      <c r="A270" s="258" t="s">
        <v>623</v>
      </c>
      <c r="B270" s="72" t="s">
        <v>622</v>
      </c>
      <c r="C270" s="72" t="s">
        <v>1390</v>
      </c>
      <c r="D270" s="72" t="s">
        <v>67</v>
      </c>
      <c r="E270" s="72"/>
      <c r="F270" s="72" t="s">
        <v>1751</v>
      </c>
      <c r="G270" s="72">
        <v>25</v>
      </c>
      <c r="H270" s="259"/>
      <c r="I270" s="260"/>
      <c r="J270" s="72"/>
      <c r="K270" s="260"/>
      <c r="L270" s="72"/>
    </row>
    <row r="271" spans="1:12" x14ac:dyDescent="0.3">
      <c r="A271" s="258" t="s">
        <v>621</v>
      </c>
      <c r="B271" s="72" t="s">
        <v>620</v>
      </c>
      <c r="C271" s="72" t="s">
        <v>1391</v>
      </c>
      <c r="D271" s="72" t="s">
        <v>67</v>
      </c>
      <c r="E271" s="72"/>
      <c r="F271" s="72" t="s">
        <v>1617</v>
      </c>
      <c r="G271" s="72">
        <v>20</v>
      </c>
      <c r="H271" s="259"/>
      <c r="I271" s="260"/>
      <c r="J271" s="72"/>
      <c r="K271" s="260"/>
      <c r="L271" s="72"/>
    </row>
    <row r="272" spans="1:12" x14ac:dyDescent="0.3">
      <c r="A272" s="258" t="s">
        <v>618</v>
      </c>
      <c r="B272" s="72" t="s">
        <v>617</v>
      </c>
      <c r="C272" s="72" t="s">
        <v>1392</v>
      </c>
      <c r="D272" s="72" t="s">
        <v>67</v>
      </c>
      <c r="E272" s="72"/>
      <c r="F272" s="72" t="s">
        <v>1617</v>
      </c>
      <c r="G272" s="72">
        <v>25</v>
      </c>
      <c r="H272" s="259"/>
      <c r="I272" s="260"/>
      <c r="J272" s="72"/>
      <c r="K272" s="260"/>
      <c r="L272" s="72"/>
    </row>
    <row r="273" spans="1:12" x14ac:dyDescent="0.3">
      <c r="A273" s="258" t="s">
        <v>616</v>
      </c>
      <c r="B273" s="72" t="s">
        <v>615</v>
      </c>
      <c r="C273" s="72" t="s">
        <v>1393</v>
      </c>
      <c r="D273" s="72" t="s">
        <v>67</v>
      </c>
      <c r="E273" s="72"/>
      <c r="F273" s="72" t="s">
        <v>1617</v>
      </c>
      <c r="G273" s="72">
        <v>20</v>
      </c>
      <c r="H273" s="259"/>
      <c r="I273" s="260"/>
      <c r="J273" s="72"/>
      <c r="K273" s="260"/>
      <c r="L273" s="72"/>
    </row>
    <row r="274" spans="1:12" x14ac:dyDescent="0.3">
      <c r="A274" s="258" t="s">
        <v>614</v>
      </c>
      <c r="B274" s="72" t="s">
        <v>613</v>
      </c>
      <c r="C274" s="72" t="s">
        <v>1394</v>
      </c>
      <c r="D274" s="72" t="s">
        <v>67</v>
      </c>
      <c r="E274" s="72"/>
      <c r="F274" s="72" t="s">
        <v>1614</v>
      </c>
      <c r="G274" s="72">
        <v>30</v>
      </c>
      <c r="H274" s="259"/>
      <c r="I274" s="260"/>
      <c r="J274" s="72"/>
      <c r="K274" s="260"/>
      <c r="L274" s="72"/>
    </row>
    <row r="275" spans="1:12" x14ac:dyDescent="0.3">
      <c r="A275" s="258" t="s">
        <v>612</v>
      </c>
      <c r="B275" s="72" t="s">
        <v>611</v>
      </c>
      <c r="C275" s="72" t="s">
        <v>1395</v>
      </c>
      <c r="D275" s="72" t="s">
        <v>67</v>
      </c>
      <c r="E275" s="72"/>
      <c r="F275" s="72" t="s">
        <v>1616</v>
      </c>
      <c r="G275" s="72">
        <v>15</v>
      </c>
      <c r="H275" s="259"/>
      <c r="I275" s="260"/>
      <c r="J275" s="72"/>
      <c r="K275" s="260"/>
      <c r="L275" s="72"/>
    </row>
    <row r="276" spans="1:12" x14ac:dyDescent="0.3">
      <c r="A276" s="258" t="s">
        <v>610</v>
      </c>
      <c r="B276" s="72" t="s">
        <v>609</v>
      </c>
      <c r="C276" s="72" t="s">
        <v>1396</v>
      </c>
      <c r="D276" s="72" t="s">
        <v>67</v>
      </c>
      <c r="E276" s="72"/>
      <c r="F276" s="72" t="s">
        <v>1614</v>
      </c>
      <c r="G276" s="72">
        <v>40</v>
      </c>
      <c r="H276" s="259"/>
      <c r="I276" s="260"/>
      <c r="J276" s="72"/>
      <c r="K276" s="260"/>
      <c r="L276" s="72"/>
    </row>
    <row r="277" spans="1:12" x14ac:dyDescent="0.3">
      <c r="A277" s="258" t="s">
        <v>1770</v>
      </c>
      <c r="B277" s="72" t="s">
        <v>589</v>
      </c>
      <c r="C277" s="72" t="s">
        <v>1771</v>
      </c>
      <c r="D277" s="72" t="s">
        <v>67</v>
      </c>
      <c r="E277" s="72"/>
      <c r="F277" s="72" t="s">
        <v>1616</v>
      </c>
      <c r="G277" s="72">
        <v>20</v>
      </c>
      <c r="H277" s="259"/>
      <c r="I277" s="260"/>
      <c r="J277" s="72"/>
      <c r="K277" s="260"/>
      <c r="L277" s="72"/>
    </row>
    <row r="278" spans="1:12" x14ac:dyDescent="0.3">
      <c r="A278" s="258" t="s">
        <v>608</v>
      </c>
      <c r="B278" s="72" t="s">
        <v>607</v>
      </c>
      <c r="C278" s="72" t="s">
        <v>1397</v>
      </c>
      <c r="D278" s="72" t="s">
        <v>67</v>
      </c>
      <c r="E278" s="72"/>
      <c r="F278" s="72" t="s">
        <v>1617</v>
      </c>
      <c r="G278" s="72">
        <v>25</v>
      </c>
      <c r="H278" s="259"/>
      <c r="I278" s="260"/>
      <c r="J278" s="72"/>
      <c r="K278" s="260"/>
      <c r="L278" s="72"/>
    </row>
    <row r="279" spans="1:12" x14ac:dyDescent="0.3">
      <c r="A279" s="258" t="s">
        <v>606</v>
      </c>
      <c r="B279" s="72" t="s">
        <v>605</v>
      </c>
      <c r="C279" s="72" t="s">
        <v>1165</v>
      </c>
      <c r="D279" s="72" t="s">
        <v>81</v>
      </c>
      <c r="E279" s="72"/>
      <c r="F279" s="72" t="s">
        <v>1614</v>
      </c>
      <c r="G279" s="72">
        <v>30</v>
      </c>
      <c r="H279" s="259"/>
      <c r="I279" s="260">
        <v>16</v>
      </c>
      <c r="J279" s="72"/>
      <c r="K279" s="260">
        <v>16</v>
      </c>
      <c r="L279" s="72"/>
    </row>
    <row r="280" spans="1:12" x14ac:dyDescent="0.3">
      <c r="A280" s="258" t="s">
        <v>604</v>
      </c>
      <c r="B280" s="72" t="s">
        <v>603</v>
      </c>
      <c r="C280" s="72" t="s">
        <v>1166</v>
      </c>
      <c r="D280" s="72" t="s">
        <v>81</v>
      </c>
      <c r="E280" s="72"/>
      <c r="F280" s="72" t="s">
        <v>1616</v>
      </c>
      <c r="G280" s="72">
        <v>10</v>
      </c>
      <c r="H280" s="259"/>
      <c r="I280" s="260">
        <v>16</v>
      </c>
      <c r="J280" s="72"/>
      <c r="K280" s="260">
        <v>16</v>
      </c>
      <c r="L280" s="72"/>
    </row>
    <row r="281" spans="1:12" x14ac:dyDescent="0.3">
      <c r="A281" s="258" t="s">
        <v>602</v>
      </c>
      <c r="B281" s="72" t="s">
        <v>601</v>
      </c>
      <c r="C281" s="72" t="s">
        <v>1167</v>
      </c>
      <c r="D281" s="72" t="s">
        <v>81</v>
      </c>
      <c r="E281" s="72"/>
      <c r="F281" s="72" t="s">
        <v>1616</v>
      </c>
      <c r="G281" s="72">
        <v>20</v>
      </c>
      <c r="H281" s="259"/>
      <c r="I281" s="260">
        <v>16</v>
      </c>
      <c r="J281" s="72"/>
      <c r="K281" s="260">
        <v>16</v>
      </c>
      <c r="L281" s="72"/>
    </row>
    <row r="282" spans="1:12" x14ac:dyDescent="0.3">
      <c r="A282" s="258" t="s">
        <v>600</v>
      </c>
      <c r="B282" s="72" t="s">
        <v>599</v>
      </c>
      <c r="C282" s="72" t="s">
        <v>1398</v>
      </c>
      <c r="D282" s="72" t="s">
        <v>67</v>
      </c>
      <c r="E282" s="72"/>
      <c r="F282" s="72" t="s">
        <v>1617</v>
      </c>
      <c r="G282" s="72">
        <v>20</v>
      </c>
      <c r="H282" s="259"/>
      <c r="I282" s="260"/>
      <c r="J282" s="72"/>
      <c r="K282" s="260"/>
      <c r="L282" s="72"/>
    </row>
    <row r="283" spans="1:12" x14ac:dyDescent="0.3">
      <c r="A283" s="258" t="s">
        <v>598</v>
      </c>
      <c r="B283" s="72" t="s">
        <v>597</v>
      </c>
      <c r="C283" s="72" t="s">
        <v>1399</v>
      </c>
      <c r="D283" s="72" t="s">
        <v>67</v>
      </c>
      <c r="E283" s="72"/>
      <c r="F283" s="72" t="s">
        <v>1617</v>
      </c>
      <c r="G283" s="72">
        <v>25</v>
      </c>
      <c r="H283" s="259"/>
      <c r="I283" s="260"/>
      <c r="J283" s="72"/>
      <c r="K283" s="260"/>
      <c r="L283" s="72"/>
    </row>
    <row r="284" spans="1:12" x14ac:dyDescent="0.3">
      <c r="A284" s="258" t="s">
        <v>596</v>
      </c>
      <c r="B284" s="72" t="s">
        <v>595</v>
      </c>
      <c r="C284" s="72" t="s">
        <v>1400</v>
      </c>
      <c r="D284" s="72" t="s">
        <v>67</v>
      </c>
      <c r="E284" s="72"/>
      <c r="F284" s="72" t="s">
        <v>1614</v>
      </c>
      <c r="G284" s="72">
        <v>35</v>
      </c>
      <c r="H284" s="259"/>
      <c r="I284" s="260"/>
      <c r="J284" s="72"/>
      <c r="K284" s="260"/>
      <c r="L284" s="72"/>
    </row>
    <row r="285" spans="1:12" x14ac:dyDescent="0.3">
      <c r="A285" s="258" t="s">
        <v>594</v>
      </c>
      <c r="B285" s="72" t="s">
        <v>580</v>
      </c>
      <c r="C285" s="72" t="s">
        <v>1401</v>
      </c>
      <c r="D285" s="72" t="s">
        <v>1772</v>
      </c>
      <c r="E285" s="72"/>
      <c r="F285" s="72" t="s">
        <v>1672</v>
      </c>
      <c r="G285" s="72" t="s">
        <v>1672</v>
      </c>
      <c r="H285" s="259" t="s">
        <v>65</v>
      </c>
      <c r="I285" s="260"/>
      <c r="J285" s="72"/>
      <c r="K285" s="260"/>
      <c r="L285" s="72"/>
    </row>
    <row r="286" spans="1:12" x14ac:dyDescent="0.3">
      <c r="A286" s="258" t="s">
        <v>593</v>
      </c>
      <c r="B286" s="72" t="s">
        <v>592</v>
      </c>
      <c r="C286" s="72" t="s">
        <v>1402</v>
      </c>
      <c r="D286" s="72" t="s">
        <v>67</v>
      </c>
      <c r="E286" s="72"/>
      <c r="F286" s="72" t="s">
        <v>1616</v>
      </c>
      <c r="G286" s="72">
        <v>15</v>
      </c>
      <c r="H286" s="259"/>
      <c r="I286" s="260"/>
      <c r="J286" s="72"/>
      <c r="K286" s="260"/>
      <c r="L286" s="72"/>
    </row>
    <row r="287" spans="1:12" x14ac:dyDescent="0.3">
      <c r="A287" s="258" t="s">
        <v>591</v>
      </c>
      <c r="B287" s="72" t="s">
        <v>590</v>
      </c>
      <c r="C287" s="72" t="s">
        <v>1403</v>
      </c>
      <c r="D287" s="72" t="s">
        <v>67</v>
      </c>
      <c r="E287" s="72"/>
      <c r="F287" s="72" t="s">
        <v>1616</v>
      </c>
      <c r="G287" s="72">
        <v>20</v>
      </c>
      <c r="H287" s="259"/>
      <c r="I287" s="260"/>
      <c r="J287" s="72"/>
      <c r="K287" s="260"/>
      <c r="L287" s="72"/>
    </row>
    <row r="288" spans="1:12" x14ac:dyDescent="0.3">
      <c r="A288" s="258" t="s">
        <v>588</v>
      </c>
      <c r="B288" s="72" t="s">
        <v>587</v>
      </c>
      <c r="C288" s="72" t="s">
        <v>1404</v>
      </c>
      <c r="D288" s="72" t="s">
        <v>67</v>
      </c>
      <c r="E288" s="72"/>
      <c r="F288" s="72" t="s">
        <v>1616</v>
      </c>
      <c r="G288" s="72">
        <v>15</v>
      </c>
      <c r="H288" s="259"/>
      <c r="I288" s="260"/>
      <c r="J288" s="72"/>
      <c r="K288" s="260"/>
      <c r="L288" s="72"/>
    </row>
    <row r="289" spans="1:12" x14ac:dyDescent="0.3">
      <c r="A289" s="258" t="s">
        <v>586</v>
      </c>
      <c r="B289" s="72" t="s">
        <v>585</v>
      </c>
      <c r="C289" s="72" t="s">
        <v>1405</v>
      </c>
      <c r="D289" s="72" t="s">
        <v>67</v>
      </c>
      <c r="E289" s="72"/>
      <c r="F289" s="72" t="s">
        <v>1617</v>
      </c>
      <c r="G289" s="72">
        <v>18</v>
      </c>
      <c r="H289" s="259"/>
      <c r="I289" s="260"/>
      <c r="J289" s="72"/>
      <c r="K289" s="260"/>
      <c r="L289" s="72"/>
    </row>
    <row r="290" spans="1:12" x14ac:dyDescent="0.3">
      <c r="A290" s="258" t="s">
        <v>584</v>
      </c>
      <c r="B290" s="72" t="s">
        <v>583</v>
      </c>
      <c r="C290" s="72" t="s">
        <v>1406</v>
      </c>
      <c r="D290" s="72" t="s">
        <v>67</v>
      </c>
      <c r="E290" s="72"/>
      <c r="F290" s="72" t="s">
        <v>1614</v>
      </c>
      <c r="G290" s="72">
        <v>30</v>
      </c>
      <c r="H290" s="259"/>
      <c r="I290" s="260"/>
      <c r="J290" s="72"/>
      <c r="K290" s="260"/>
      <c r="L290" s="72"/>
    </row>
    <row r="291" spans="1:12" x14ac:dyDescent="0.3">
      <c r="A291" s="258" t="s">
        <v>582</v>
      </c>
      <c r="B291" s="72" t="s">
        <v>581</v>
      </c>
      <c r="C291" s="72" t="s">
        <v>1407</v>
      </c>
      <c r="D291" s="72" t="s">
        <v>67</v>
      </c>
      <c r="E291" s="72"/>
      <c r="F291" s="72" t="s">
        <v>1614</v>
      </c>
      <c r="G291" s="72">
        <v>30</v>
      </c>
      <c r="H291" s="259"/>
      <c r="I291" s="260"/>
      <c r="J291" s="72"/>
      <c r="K291" s="260"/>
      <c r="L291" s="72"/>
    </row>
    <row r="292" spans="1:12" x14ac:dyDescent="0.3">
      <c r="A292" s="258" t="s">
        <v>1773</v>
      </c>
      <c r="B292" s="72" t="s">
        <v>567</v>
      </c>
      <c r="C292" s="72" t="s">
        <v>1774</v>
      </c>
      <c r="D292" s="72" t="s">
        <v>67</v>
      </c>
      <c r="E292" s="72"/>
      <c r="F292" s="72" t="s">
        <v>1616</v>
      </c>
      <c r="G292" s="72">
        <v>25</v>
      </c>
      <c r="H292" s="259"/>
      <c r="I292" s="260">
        <v>20</v>
      </c>
      <c r="J292" s="72"/>
      <c r="K292" s="260">
        <v>20</v>
      </c>
      <c r="L292" s="72"/>
    </row>
    <row r="293" spans="1:12" x14ac:dyDescent="0.3">
      <c r="A293" s="258" t="s">
        <v>579</v>
      </c>
      <c r="B293" s="72" t="s">
        <v>578</v>
      </c>
      <c r="C293" s="72" t="s">
        <v>1168</v>
      </c>
      <c r="D293" s="72" t="s">
        <v>67</v>
      </c>
      <c r="E293" s="72"/>
      <c r="F293" s="72" t="s">
        <v>1614</v>
      </c>
      <c r="G293" s="72">
        <v>30</v>
      </c>
      <c r="H293" s="259"/>
      <c r="I293" s="260">
        <v>20</v>
      </c>
      <c r="J293" s="72"/>
      <c r="K293" s="260">
        <v>20</v>
      </c>
      <c r="L293" s="72"/>
    </row>
    <row r="294" spans="1:12" x14ac:dyDescent="0.3">
      <c r="A294" s="258" t="s">
        <v>577</v>
      </c>
      <c r="B294" s="72" t="s">
        <v>576</v>
      </c>
      <c r="C294" s="72" t="s">
        <v>1169</v>
      </c>
      <c r="D294" s="72" t="s">
        <v>67</v>
      </c>
      <c r="E294" s="72"/>
      <c r="F294" s="72" t="s">
        <v>1616</v>
      </c>
      <c r="G294" s="72">
        <v>15</v>
      </c>
      <c r="H294" s="259"/>
      <c r="I294" s="260">
        <v>20</v>
      </c>
      <c r="J294" s="72"/>
      <c r="K294" s="260">
        <v>20</v>
      </c>
      <c r="L294" s="72"/>
    </row>
    <row r="295" spans="1:12" x14ac:dyDescent="0.3">
      <c r="A295" s="258" t="s">
        <v>575</v>
      </c>
      <c r="B295" s="72" t="s">
        <v>1775</v>
      </c>
      <c r="C295" s="72" t="s">
        <v>1776</v>
      </c>
      <c r="D295" s="72" t="s">
        <v>67</v>
      </c>
      <c r="E295" s="72"/>
      <c r="F295" s="72" t="s">
        <v>1617</v>
      </c>
      <c r="G295" s="72">
        <v>20</v>
      </c>
      <c r="H295" s="259"/>
      <c r="I295" s="260">
        <v>20</v>
      </c>
      <c r="J295" s="72"/>
      <c r="K295" s="260">
        <v>20</v>
      </c>
      <c r="L295" s="72"/>
    </row>
    <row r="296" spans="1:12" x14ac:dyDescent="0.3">
      <c r="A296" s="258" t="s">
        <v>573</v>
      </c>
      <c r="B296" s="72" t="s">
        <v>572</v>
      </c>
      <c r="C296" s="72" t="s">
        <v>1170</v>
      </c>
      <c r="D296" s="72" t="s">
        <v>67</v>
      </c>
      <c r="E296" s="72"/>
      <c r="F296" s="72" t="s">
        <v>1617</v>
      </c>
      <c r="G296" s="72">
        <v>25</v>
      </c>
      <c r="H296" s="259"/>
      <c r="I296" s="260">
        <v>12</v>
      </c>
      <c r="J296" s="72"/>
      <c r="K296" s="260">
        <v>12</v>
      </c>
      <c r="L296" s="72"/>
    </row>
    <row r="297" spans="1:12" x14ac:dyDescent="0.3">
      <c r="A297" s="258" t="s">
        <v>571</v>
      </c>
      <c r="B297" s="72" t="s">
        <v>570</v>
      </c>
      <c r="C297" s="72" t="s">
        <v>1171</v>
      </c>
      <c r="D297" s="72" t="s">
        <v>67</v>
      </c>
      <c r="E297" s="72"/>
      <c r="F297" s="72" t="s">
        <v>1616</v>
      </c>
      <c r="G297" s="72">
        <v>10</v>
      </c>
      <c r="H297" s="259"/>
      <c r="I297" s="260">
        <v>20</v>
      </c>
      <c r="J297" s="72"/>
      <c r="K297" s="260">
        <v>20</v>
      </c>
      <c r="L297" s="72"/>
    </row>
    <row r="298" spans="1:12" x14ac:dyDescent="0.3">
      <c r="A298" s="258" t="s">
        <v>569</v>
      </c>
      <c r="B298" s="72" t="s">
        <v>568</v>
      </c>
      <c r="C298" s="72" t="s">
        <v>1172</v>
      </c>
      <c r="D298" s="72" t="s">
        <v>67</v>
      </c>
      <c r="E298" s="72"/>
      <c r="F298" s="72" t="s">
        <v>1616</v>
      </c>
      <c r="G298" s="72">
        <v>8</v>
      </c>
      <c r="H298" s="259"/>
      <c r="I298" s="260">
        <v>20</v>
      </c>
      <c r="J298" s="72"/>
      <c r="K298" s="260">
        <v>20</v>
      </c>
      <c r="L298" s="72"/>
    </row>
    <row r="299" spans="1:12" x14ac:dyDescent="0.3">
      <c r="A299" s="258" t="s">
        <v>566</v>
      </c>
      <c r="B299" s="72" t="s">
        <v>574</v>
      </c>
      <c r="C299" s="72" t="s">
        <v>1777</v>
      </c>
      <c r="D299" s="72" t="s">
        <v>67</v>
      </c>
      <c r="E299" s="72"/>
      <c r="F299" s="72" t="s">
        <v>1672</v>
      </c>
      <c r="G299" s="72" t="s">
        <v>1672</v>
      </c>
      <c r="H299" s="259" t="s">
        <v>65</v>
      </c>
      <c r="I299" s="260">
        <v>20</v>
      </c>
      <c r="J299" s="72"/>
      <c r="K299" s="260">
        <v>20</v>
      </c>
      <c r="L299" s="72"/>
    </row>
    <row r="300" spans="1:12" x14ac:dyDescent="0.3">
      <c r="A300" s="258" t="s">
        <v>565</v>
      </c>
      <c r="B300" s="72" t="s">
        <v>564</v>
      </c>
      <c r="C300" s="72" t="s">
        <v>1173</v>
      </c>
      <c r="D300" s="72" t="s">
        <v>67</v>
      </c>
      <c r="E300" s="72"/>
      <c r="F300" s="72" t="s">
        <v>1616</v>
      </c>
      <c r="G300" s="72">
        <v>15</v>
      </c>
      <c r="H300" s="259"/>
      <c r="I300" s="260">
        <v>20</v>
      </c>
      <c r="J300" s="72"/>
      <c r="K300" s="260">
        <v>20</v>
      </c>
      <c r="L300" s="72"/>
    </row>
    <row r="301" spans="1:12" x14ac:dyDescent="0.3">
      <c r="A301" s="258" t="s">
        <v>1778</v>
      </c>
      <c r="B301" s="72" t="s">
        <v>563</v>
      </c>
      <c r="C301" s="72" t="s">
        <v>1779</v>
      </c>
      <c r="D301" s="72" t="s">
        <v>67</v>
      </c>
      <c r="E301" s="72"/>
      <c r="F301" s="72" t="s">
        <v>1616</v>
      </c>
      <c r="G301" s="72">
        <v>15</v>
      </c>
      <c r="H301" s="259"/>
      <c r="I301" s="260">
        <v>20</v>
      </c>
      <c r="J301" s="72"/>
      <c r="K301" s="260">
        <v>20</v>
      </c>
      <c r="L301" s="72"/>
    </row>
    <row r="302" spans="1:12" x14ac:dyDescent="0.3">
      <c r="A302" s="258" t="s">
        <v>562</v>
      </c>
      <c r="B302" s="72" t="s">
        <v>561</v>
      </c>
      <c r="C302" s="72" t="s">
        <v>1174</v>
      </c>
      <c r="D302" s="72" t="s">
        <v>67</v>
      </c>
      <c r="E302" s="72"/>
      <c r="F302" s="72" t="s">
        <v>1616</v>
      </c>
      <c r="G302" s="72">
        <v>15</v>
      </c>
      <c r="H302" s="259"/>
      <c r="I302" s="260">
        <v>20</v>
      </c>
      <c r="J302" s="72"/>
      <c r="K302" s="260">
        <v>20</v>
      </c>
      <c r="L302" s="72"/>
    </row>
    <row r="303" spans="1:12" x14ac:dyDescent="0.3">
      <c r="A303" s="258" t="s">
        <v>560</v>
      </c>
      <c r="B303" s="72" t="s">
        <v>559</v>
      </c>
      <c r="C303" s="72" t="s">
        <v>1175</v>
      </c>
      <c r="D303" s="72" t="s">
        <v>67</v>
      </c>
      <c r="E303" s="72"/>
      <c r="F303" s="72" t="s">
        <v>1614</v>
      </c>
      <c r="G303" s="72">
        <v>30</v>
      </c>
      <c r="H303" s="259"/>
      <c r="I303" s="260">
        <v>20</v>
      </c>
      <c r="J303" s="72"/>
      <c r="K303" s="260">
        <v>20</v>
      </c>
      <c r="L303" s="72"/>
    </row>
    <row r="304" spans="1:12" x14ac:dyDescent="0.3">
      <c r="A304" s="258" t="s">
        <v>558</v>
      </c>
      <c r="B304" s="72" t="s">
        <v>557</v>
      </c>
      <c r="C304" s="72" t="s">
        <v>1176</v>
      </c>
      <c r="D304" s="72" t="s">
        <v>67</v>
      </c>
      <c r="E304" s="72"/>
      <c r="F304" s="72" t="s">
        <v>1751</v>
      </c>
      <c r="G304" s="72">
        <v>25</v>
      </c>
      <c r="H304" s="259"/>
      <c r="I304" s="260">
        <v>20</v>
      </c>
      <c r="J304" s="72"/>
      <c r="K304" s="260">
        <v>20</v>
      </c>
      <c r="L304" s="72"/>
    </row>
    <row r="305" spans="1:12" x14ac:dyDescent="0.3">
      <c r="A305" s="258" t="s">
        <v>1780</v>
      </c>
      <c r="B305" s="72" t="s">
        <v>556</v>
      </c>
      <c r="C305" s="72" t="s">
        <v>1781</v>
      </c>
      <c r="D305" s="72" t="s">
        <v>67</v>
      </c>
      <c r="E305" s="72"/>
      <c r="F305" s="72" t="s">
        <v>1617</v>
      </c>
      <c r="G305" s="72">
        <v>20</v>
      </c>
      <c r="H305" s="259"/>
      <c r="I305" s="260">
        <v>20</v>
      </c>
      <c r="J305" s="72"/>
      <c r="K305" s="260">
        <v>20</v>
      </c>
      <c r="L305" s="72"/>
    </row>
    <row r="306" spans="1:12" x14ac:dyDescent="0.3">
      <c r="A306" s="258" t="s">
        <v>1782</v>
      </c>
      <c r="B306" s="72" t="s">
        <v>1783</v>
      </c>
      <c r="C306" s="72" t="s">
        <v>1784</v>
      </c>
      <c r="D306" s="72" t="s">
        <v>67</v>
      </c>
      <c r="E306" s="72"/>
      <c r="F306" s="72" t="s">
        <v>1616</v>
      </c>
      <c r="G306" s="72">
        <v>25</v>
      </c>
      <c r="H306" s="259"/>
      <c r="I306" s="260">
        <v>20</v>
      </c>
      <c r="J306" s="72"/>
      <c r="K306" s="260">
        <v>20</v>
      </c>
      <c r="L306" s="72"/>
    </row>
    <row r="307" spans="1:12" x14ac:dyDescent="0.3">
      <c r="A307" s="258" t="s">
        <v>555</v>
      </c>
      <c r="B307" s="72" t="s">
        <v>554</v>
      </c>
      <c r="C307" s="72" t="s">
        <v>1177</v>
      </c>
      <c r="D307" s="72" t="s">
        <v>67</v>
      </c>
      <c r="E307" s="72"/>
      <c r="F307" s="72" t="s">
        <v>1617</v>
      </c>
      <c r="G307" s="72">
        <v>20</v>
      </c>
      <c r="H307" s="259"/>
      <c r="I307" s="260">
        <v>20</v>
      </c>
      <c r="J307" s="72"/>
      <c r="K307" s="260">
        <v>20</v>
      </c>
      <c r="L307" s="72"/>
    </row>
    <row r="308" spans="1:12" x14ac:dyDescent="0.3">
      <c r="A308" s="258" t="s">
        <v>1785</v>
      </c>
      <c r="B308" s="72" t="s">
        <v>1786</v>
      </c>
      <c r="C308" s="72" t="s">
        <v>1787</v>
      </c>
      <c r="D308" s="72" t="s">
        <v>67</v>
      </c>
      <c r="E308" s="72"/>
      <c r="F308" s="72" t="s">
        <v>1616</v>
      </c>
      <c r="G308" s="72">
        <v>20</v>
      </c>
      <c r="H308" s="259"/>
      <c r="I308" s="260">
        <v>20</v>
      </c>
      <c r="J308" s="72"/>
      <c r="K308" s="260">
        <v>20</v>
      </c>
      <c r="L308" s="72"/>
    </row>
    <row r="309" spans="1:12" x14ac:dyDescent="0.3">
      <c r="A309" s="258" t="s">
        <v>553</v>
      </c>
      <c r="B309" s="72" t="s">
        <v>552</v>
      </c>
      <c r="C309" s="72" t="s">
        <v>1408</v>
      </c>
      <c r="D309" s="72" t="s">
        <v>81</v>
      </c>
      <c r="E309" s="72"/>
      <c r="F309" s="72" t="s">
        <v>1614</v>
      </c>
      <c r="G309" s="72">
        <v>30</v>
      </c>
      <c r="H309" s="259"/>
      <c r="I309" s="260"/>
      <c r="J309" s="72"/>
      <c r="K309" s="260"/>
      <c r="L309" s="72"/>
    </row>
    <row r="310" spans="1:12" x14ac:dyDescent="0.3">
      <c r="A310" s="258" t="s">
        <v>551</v>
      </c>
      <c r="B310" s="72" t="s">
        <v>550</v>
      </c>
      <c r="C310" s="72" t="s">
        <v>1409</v>
      </c>
      <c r="D310" s="72" t="s">
        <v>67</v>
      </c>
      <c r="E310" s="72"/>
      <c r="F310" s="72" t="s">
        <v>1617</v>
      </c>
      <c r="G310" s="72">
        <v>20</v>
      </c>
      <c r="H310" s="259"/>
      <c r="I310" s="260"/>
      <c r="J310" s="72"/>
      <c r="K310" s="260"/>
      <c r="L310" s="72"/>
    </row>
    <row r="311" spans="1:12" x14ac:dyDescent="0.3">
      <c r="A311" s="258" t="s">
        <v>549</v>
      </c>
      <c r="B311" s="72" t="s">
        <v>548</v>
      </c>
      <c r="C311" s="72" t="s">
        <v>1410</v>
      </c>
      <c r="D311" s="72" t="s">
        <v>67</v>
      </c>
      <c r="E311" s="72"/>
      <c r="F311" s="72" t="s">
        <v>1616</v>
      </c>
      <c r="G311" s="72">
        <v>15</v>
      </c>
      <c r="H311" s="259"/>
      <c r="I311" s="260"/>
      <c r="J311" s="72"/>
      <c r="K311" s="260"/>
      <c r="L311" s="72"/>
    </row>
    <row r="312" spans="1:12" x14ac:dyDescent="0.3">
      <c r="A312" s="258" t="s">
        <v>547</v>
      </c>
      <c r="B312" s="72" t="s">
        <v>546</v>
      </c>
      <c r="C312" s="72" t="s">
        <v>1411</v>
      </c>
      <c r="D312" s="72" t="s">
        <v>166</v>
      </c>
      <c r="E312" s="72"/>
      <c r="F312" s="72" t="s">
        <v>1614</v>
      </c>
      <c r="G312" s="72">
        <v>35</v>
      </c>
      <c r="H312" s="259"/>
      <c r="I312" s="260"/>
      <c r="J312" s="72"/>
      <c r="K312" s="260"/>
      <c r="L312" s="72"/>
    </row>
    <row r="313" spans="1:12" x14ac:dyDescent="0.3">
      <c r="A313" s="258" t="s">
        <v>1788</v>
      </c>
      <c r="B313" s="72" t="s">
        <v>1789</v>
      </c>
      <c r="C313" s="72" t="s">
        <v>1790</v>
      </c>
      <c r="D313" s="72" t="s">
        <v>166</v>
      </c>
      <c r="E313" s="72"/>
      <c r="F313" s="72" t="s">
        <v>1614</v>
      </c>
      <c r="G313" s="72">
        <v>25</v>
      </c>
      <c r="H313" s="259"/>
      <c r="I313" s="260"/>
      <c r="J313" s="72"/>
      <c r="K313" s="260"/>
      <c r="L313" s="72"/>
    </row>
    <row r="314" spans="1:12" x14ac:dyDescent="0.3">
      <c r="A314" s="258" t="s">
        <v>1791</v>
      </c>
      <c r="B314" s="72" t="s">
        <v>1792</v>
      </c>
      <c r="C314" s="72" t="s">
        <v>1793</v>
      </c>
      <c r="D314" s="72" t="s">
        <v>166</v>
      </c>
      <c r="E314" s="72"/>
      <c r="F314" s="72" t="s">
        <v>1616</v>
      </c>
      <c r="G314" s="72">
        <v>20</v>
      </c>
      <c r="H314" s="259"/>
      <c r="I314" s="260"/>
      <c r="J314" s="72"/>
      <c r="K314" s="260"/>
      <c r="L314" s="72"/>
    </row>
    <row r="315" spans="1:12" x14ac:dyDescent="0.3">
      <c r="A315" s="258" t="s">
        <v>1794</v>
      </c>
      <c r="B315" s="72" t="s">
        <v>1795</v>
      </c>
      <c r="C315" s="72" t="s">
        <v>1796</v>
      </c>
      <c r="D315" s="72" t="s">
        <v>166</v>
      </c>
      <c r="E315" s="72"/>
      <c r="F315" s="72" t="s">
        <v>1616</v>
      </c>
      <c r="G315" s="72">
        <v>12</v>
      </c>
      <c r="H315" s="259"/>
      <c r="I315" s="260"/>
      <c r="J315" s="72"/>
      <c r="K315" s="260"/>
      <c r="L315" s="72"/>
    </row>
    <row r="316" spans="1:12" x14ac:dyDescent="0.3">
      <c r="A316" s="258" t="s">
        <v>545</v>
      </c>
      <c r="B316" s="72" t="s">
        <v>544</v>
      </c>
      <c r="C316" s="72" t="s">
        <v>1412</v>
      </c>
      <c r="D316" s="72" t="s">
        <v>67</v>
      </c>
      <c r="E316" s="72"/>
      <c r="F316" s="72" t="s">
        <v>1614</v>
      </c>
      <c r="G316" s="72">
        <v>50</v>
      </c>
      <c r="H316" s="259"/>
      <c r="I316" s="260"/>
      <c r="J316" s="72"/>
      <c r="K316" s="260"/>
      <c r="L316" s="72"/>
    </row>
    <row r="317" spans="1:12" x14ac:dyDescent="0.3">
      <c r="A317" s="258" t="s">
        <v>1797</v>
      </c>
      <c r="B317" s="72" t="s">
        <v>541</v>
      </c>
      <c r="C317" s="72" t="s">
        <v>1798</v>
      </c>
      <c r="D317" s="72" t="s">
        <v>67</v>
      </c>
      <c r="E317" s="72"/>
      <c r="F317" s="72" t="s">
        <v>1751</v>
      </c>
      <c r="G317" s="72">
        <v>25</v>
      </c>
      <c r="H317" s="259"/>
      <c r="I317" s="260"/>
      <c r="J317" s="72"/>
      <c r="K317" s="260"/>
      <c r="L317" s="72"/>
    </row>
    <row r="318" spans="1:12" x14ac:dyDescent="0.3">
      <c r="A318" s="258" t="s">
        <v>543</v>
      </c>
      <c r="B318" s="72" t="s">
        <v>542</v>
      </c>
      <c r="C318" s="72" t="s">
        <v>1413</v>
      </c>
      <c r="D318" s="72" t="s">
        <v>67</v>
      </c>
      <c r="E318" s="72"/>
      <c r="F318" s="72" t="s">
        <v>1751</v>
      </c>
      <c r="G318" s="72">
        <v>25</v>
      </c>
      <c r="H318" s="259"/>
      <c r="I318" s="260"/>
      <c r="J318" s="72"/>
      <c r="K318" s="260"/>
      <c r="L318" s="72"/>
    </row>
    <row r="319" spans="1:12" x14ac:dyDescent="0.3">
      <c r="A319" s="258" t="s">
        <v>540</v>
      </c>
      <c r="B319" s="72" t="s">
        <v>539</v>
      </c>
      <c r="C319" s="72" t="s">
        <v>1414</v>
      </c>
      <c r="D319" s="72" t="s">
        <v>67</v>
      </c>
      <c r="E319" s="72"/>
      <c r="F319" s="72" t="s">
        <v>1672</v>
      </c>
      <c r="G319" s="72" t="s">
        <v>1672</v>
      </c>
      <c r="H319" s="259" t="s">
        <v>65</v>
      </c>
      <c r="I319" s="260"/>
      <c r="J319" s="72"/>
      <c r="K319" s="260"/>
      <c r="L319" s="72"/>
    </row>
    <row r="320" spans="1:12" x14ac:dyDescent="0.3">
      <c r="A320" s="258" t="s">
        <v>1799</v>
      </c>
      <c r="B320" s="72" t="s">
        <v>619</v>
      </c>
      <c r="C320" s="72" t="s">
        <v>1800</v>
      </c>
      <c r="D320" s="72" t="s">
        <v>67</v>
      </c>
      <c r="E320" s="72"/>
      <c r="F320" s="72" t="s">
        <v>1614</v>
      </c>
      <c r="G320" s="72">
        <v>40</v>
      </c>
      <c r="H320" s="259"/>
      <c r="I320" s="260"/>
      <c r="J320" s="72"/>
      <c r="K320" s="260"/>
      <c r="L320" s="72"/>
    </row>
    <row r="321" spans="1:12" x14ac:dyDescent="0.3">
      <c r="A321" s="258" t="s">
        <v>538</v>
      </c>
      <c r="B321" s="72" t="s">
        <v>537</v>
      </c>
      <c r="C321" s="72" t="s">
        <v>1415</v>
      </c>
      <c r="D321" s="72" t="s">
        <v>67</v>
      </c>
      <c r="E321" s="72"/>
      <c r="F321" s="72" t="s">
        <v>1615</v>
      </c>
      <c r="G321" s="72">
        <v>25</v>
      </c>
      <c r="H321" s="259"/>
      <c r="I321" s="260"/>
      <c r="J321" s="72"/>
      <c r="K321" s="260"/>
      <c r="L321" s="72"/>
    </row>
    <row r="322" spans="1:12" x14ac:dyDescent="0.3">
      <c r="A322" s="258" t="s">
        <v>1801</v>
      </c>
      <c r="B322" s="72" t="s">
        <v>1802</v>
      </c>
      <c r="C322" s="72" t="s">
        <v>1803</v>
      </c>
      <c r="D322" s="72" t="s">
        <v>67</v>
      </c>
      <c r="E322" s="72"/>
      <c r="F322" s="72" t="s">
        <v>1617</v>
      </c>
      <c r="G322" s="72">
        <v>20</v>
      </c>
      <c r="H322" s="259"/>
      <c r="I322" s="260"/>
      <c r="J322" s="72"/>
      <c r="K322" s="260"/>
      <c r="L322" s="72"/>
    </row>
    <row r="323" spans="1:12" x14ac:dyDescent="0.3">
      <c r="A323" s="258" t="s">
        <v>536</v>
      </c>
      <c r="B323" s="72" t="s">
        <v>535</v>
      </c>
      <c r="C323" s="72" t="s">
        <v>1416</v>
      </c>
      <c r="D323" s="72" t="s">
        <v>67</v>
      </c>
      <c r="E323" s="72"/>
      <c r="F323" s="72" t="s">
        <v>1617</v>
      </c>
      <c r="G323" s="72">
        <v>17</v>
      </c>
      <c r="H323" s="259"/>
      <c r="I323" s="260"/>
      <c r="J323" s="72"/>
      <c r="K323" s="260"/>
      <c r="L323" s="72"/>
    </row>
    <row r="324" spans="1:12" x14ac:dyDescent="0.3">
      <c r="A324" s="258" t="s">
        <v>534</v>
      </c>
      <c r="B324" s="72" t="s">
        <v>533</v>
      </c>
      <c r="C324" s="72" t="s">
        <v>1417</v>
      </c>
      <c r="D324" s="72" t="s">
        <v>67</v>
      </c>
      <c r="E324" s="72"/>
      <c r="F324" s="72" t="s">
        <v>1617</v>
      </c>
      <c r="G324" s="72">
        <v>20</v>
      </c>
      <c r="H324" s="259"/>
      <c r="I324" s="260"/>
      <c r="J324" s="72"/>
      <c r="K324" s="260"/>
      <c r="L324" s="72"/>
    </row>
    <row r="325" spans="1:12" x14ac:dyDescent="0.3">
      <c r="A325" s="258" t="s">
        <v>1804</v>
      </c>
      <c r="B325" s="72" t="s">
        <v>1805</v>
      </c>
      <c r="C325" s="72" t="s">
        <v>1806</v>
      </c>
      <c r="D325" s="72" t="s">
        <v>67</v>
      </c>
      <c r="E325" s="72"/>
      <c r="F325" s="72" t="s">
        <v>1617</v>
      </c>
      <c r="G325" s="72">
        <v>20</v>
      </c>
      <c r="H325" s="259"/>
      <c r="I325" s="260"/>
      <c r="J325" s="72"/>
      <c r="K325" s="260"/>
      <c r="L325" s="72"/>
    </row>
    <row r="326" spans="1:12" x14ac:dyDescent="0.3">
      <c r="A326" s="258" t="s">
        <v>1807</v>
      </c>
      <c r="B326" s="72" t="s">
        <v>1808</v>
      </c>
      <c r="C326" s="72" t="s">
        <v>1809</v>
      </c>
      <c r="D326" s="72" t="s">
        <v>67</v>
      </c>
      <c r="E326" s="72"/>
      <c r="F326" s="72" t="s">
        <v>1616</v>
      </c>
      <c r="G326" s="72">
        <v>17</v>
      </c>
      <c r="H326" s="259"/>
      <c r="I326" s="260"/>
      <c r="J326" s="72"/>
      <c r="K326" s="260"/>
      <c r="L326" s="72"/>
    </row>
    <row r="327" spans="1:12" x14ac:dyDescent="0.3">
      <c r="A327" s="258" t="s">
        <v>1810</v>
      </c>
      <c r="B327" s="72" t="s">
        <v>1811</v>
      </c>
      <c r="C327" s="72" t="s">
        <v>1812</v>
      </c>
      <c r="D327" s="72" t="s">
        <v>67</v>
      </c>
      <c r="E327" s="72"/>
      <c r="F327" s="72" t="s">
        <v>1615</v>
      </c>
      <c r="G327" s="72">
        <v>25</v>
      </c>
      <c r="H327" s="259"/>
      <c r="I327" s="260"/>
      <c r="J327" s="72"/>
      <c r="K327" s="260"/>
      <c r="L327" s="72"/>
    </row>
    <row r="328" spans="1:12" x14ac:dyDescent="0.3">
      <c r="A328" s="258" t="s">
        <v>532</v>
      </c>
      <c r="B328" s="72" t="s">
        <v>531</v>
      </c>
      <c r="C328" s="72" t="s">
        <v>1418</v>
      </c>
      <c r="D328" s="72" t="s">
        <v>67</v>
      </c>
      <c r="E328" s="72"/>
      <c r="F328" s="72" t="s">
        <v>1615</v>
      </c>
      <c r="G328" s="72">
        <v>25</v>
      </c>
      <c r="H328" s="259"/>
      <c r="I328" s="260"/>
      <c r="J328" s="72"/>
      <c r="K328" s="260"/>
      <c r="L328" s="72"/>
    </row>
    <row r="329" spans="1:12" x14ac:dyDescent="0.3">
      <c r="A329" s="258" t="s">
        <v>530</v>
      </c>
      <c r="B329" s="72" t="s">
        <v>529</v>
      </c>
      <c r="C329" s="72" t="s">
        <v>1419</v>
      </c>
      <c r="D329" s="72" t="s">
        <v>81</v>
      </c>
      <c r="E329" s="72"/>
      <c r="F329" s="72" t="s">
        <v>1617</v>
      </c>
      <c r="G329" s="72">
        <v>20</v>
      </c>
      <c r="H329" s="259"/>
      <c r="I329" s="260"/>
      <c r="J329" s="72"/>
      <c r="K329" s="260"/>
      <c r="L329" s="72"/>
    </row>
    <row r="330" spans="1:12" x14ac:dyDescent="0.3">
      <c r="A330" s="258" t="s">
        <v>528</v>
      </c>
      <c r="B330" s="72" t="s">
        <v>527</v>
      </c>
      <c r="C330" s="72" t="s">
        <v>1420</v>
      </c>
      <c r="D330" s="72" t="s">
        <v>67</v>
      </c>
      <c r="E330" s="72"/>
      <c r="F330" s="72" t="s">
        <v>1617</v>
      </c>
      <c r="G330" s="72">
        <v>25</v>
      </c>
      <c r="H330" s="259"/>
      <c r="I330" s="260"/>
      <c r="J330" s="72"/>
      <c r="K330" s="260"/>
      <c r="L330" s="72"/>
    </row>
    <row r="331" spans="1:12" x14ac:dyDescent="0.3">
      <c r="A331" s="258" t="s">
        <v>526</v>
      </c>
      <c r="B331" s="72" t="s">
        <v>525</v>
      </c>
      <c r="C331" s="72" t="s">
        <v>1421</v>
      </c>
      <c r="D331" s="72" t="s">
        <v>67</v>
      </c>
      <c r="E331" s="72"/>
      <c r="F331" s="72" t="s">
        <v>1617</v>
      </c>
      <c r="G331" s="72">
        <v>15</v>
      </c>
      <c r="H331" s="259"/>
      <c r="I331" s="260"/>
      <c r="J331" s="72"/>
      <c r="K331" s="260"/>
      <c r="L331" s="72"/>
    </row>
    <row r="332" spans="1:12" x14ac:dyDescent="0.3">
      <c r="A332" s="258" t="s">
        <v>524</v>
      </c>
      <c r="B332" s="72" t="s">
        <v>523</v>
      </c>
      <c r="C332" s="72" t="s">
        <v>1422</v>
      </c>
      <c r="D332" s="72" t="s">
        <v>67</v>
      </c>
      <c r="E332" s="72"/>
      <c r="F332" s="72" t="s">
        <v>1617</v>
      </c>
      <c r="G332" s="72">
        <v>20</v>
      </c>
      <c r="H332" s="259"/>
      <c r="I332" s="260"/>
      <c r="J332" s="72"/>
      <c r="K332" s="260"/>
      <c r="L332" s="72"/>
    </row>
    <row r="333" spans="1:12" x14ac:dyDescent="0.3">
      <c r="A333" s="258" t="s">
        <v>1813</v>
      </c>
      <c r="B333" s="72" t="s">
        <v>1814</v>
      </c>
      <c r="C333" s="72" t="s">
        <v>1815</v>
      </c>
      <c r="D333" s="72" t="s">
        <v>67</v>
      </c>
      <c r="E333" s="72"/>
      <c r="F333" s="72" t="s">
        <v>1616</v>
      </c>
      <c r="G333" s="72">
        <v>12</v>
      </c>
      <c r="H333" s="259"/>
      <c r="I333" s="260"/>
      <c r="J333" s="72"/>
      <c r="K333" s="260"/>
      <c r="L333" s="72"/>
    </row>
    <row r="334" spans="1:12" x14ac:dyDescent="0.3">
      <c r="A334" s="258" t="s">
        <v>1816</v>
      </c>
      <c r="B334" s="72" t="s">
        <v>1817</v>
      </c>
      <c r="C334" s="72" t="s">
        <v>1818</v>
      </c>
      <c r="D334" s="72" t="s">
        <v>67</v>
      </c>
      <c r="E334" s="72"/>
      <c r="F334" s="72" t="s">
        <v>1616</v>
      </c>
      <c r="G334" s="72">
        <v>10</v>
      </c>
      <c r="H334" s="259"/>
      <c r="I334" s="260"/>
      <c r="J334" s="72"/>
      <c r="K334" s="260"/>
      <c r="L334" s="72"/>
    </row>
    <row r="335" spans="1:12" x14ac:dyDescent="0.3">
      <c r="A335" s="258" t="s">
        <v>522</v>
      </c>
      <c r="B335" s="72" t="s">
        <v>521</v>
      </c>
      <c r="C335" s="72" t="s">
        <v>1423</v>
      </c>
      <c r="D335" s="72" t="s">
        <v>67</v>
      </c>
      <c r="E335" s="72"/>
      <c r="F335" s="72" t="s">
        <v>1616</v>
      </c>
      <c r="G335" s="72">
        <v>16</v>
      </c>
      <c r="H335" s="259"/>
      <c r="I335" s="260"/>
      <c r="J335" s="72"/>
      <c r="K335" s="260"/>
      <c r="L335" s="72"/>
    </row>
    <row r="336" spans="1:12" x14ac:dyDescent="0.3">
      <c r="A336" s="258" t="s">
        <v>520</v>
      </c>
      <c r="B336" s="72" t="s">
        <v>519</v>
      </c>
      <c r="C336" s="72" t="s">
        <v>1424</v>
      </c>
      <c r="D336" s="72" t="s">
        <v>67</v>
      </c>
      <c r="E336" s="72"/>
      <c r="F336" s="72" t="s">
        <v>1617</v>
      </c>
      <c r="G336" s="72">
        <v>20</v>
      </c>
      <c r="H336" s="259"/>
      <c r="I336" s="260"/>
      <c r="J336" s="72"/>
      <c r="K336" s="260"/>
      <c r="L336" s="72"/>
    </row>
    <row r="337" spans="1:12" x14ac:dyDescent="0.3">
      <c r="A337" s="258" t="s">
        <v>518</v>
      </c>
      <c r="B337" s="72" t="s">
        <v>517</v>
      </c>
      <c r="C337" s="72" t="s">
        <v>1425</v>
      </c>
      <c r="D337" s="72" t="s">
        <v>67</v>
      </c>
      <c r="E337" s="72"/>
      <c r="F337" s="72" t="s">
        <v>1614</v>
      </c>
      <c r="G337" s="72">
        <v>40</v>
      </c>
      <c r="H337" s="259"/>
      <c r="I337" s="260"/>
      <c r="J337" s="72"/>
      <c r="K337" s="260"/>
      <c r="L337" s="72"/>
    </row>
    <row r="338" spans="1:12" x14ac:dyDescent="0.3">
      <c r="A338" s="258" t="s">
        <v>516</v>
      </c>
      <c r="B338" s="72" t="s">
        <v>515</v>
      </c>
      <c r="C338" s="72" t="s">
        <v>1426</v>
      </c>
      <c r="D338" s="72" t="s">
        <v>67</v>
      </c>
      <c r="E338" s="72"/>
      <c r="F338" s="72" t="s">
        <v>1614</v>
      </c>
      <c r="G338" s="72">
        <v>30</v>
      </c>
      <c r="H338" s="259"/>
      <c r="I338" s="260"/>
      <c r="J338" s="72"/>
      <c r="K338" s="260"/>
      <c r="L338" s="72"/>
    </row>
    <row r="339" spans="1:12" x14ac:dyDescent="0.3">
      <c r="A339" s="258" t="s">
        <v>514</v>
      </c>
      <c r="B339" s="72" t="s">
        <v>513</v>
      </c>
      <c r="C339" s="72" t="s">
        <v>1427</v>
      </c>
      <c r="D339" s="72" t="s">
        <v>67</v>
      </c>
      <c r="E339" s="72"/>
      <c r="F339" s="72" t="s">
        <v>1614</v>
      </c>
      <c r="G339" s="72">
        <v>40</v>
      </c>
      <c r="H339" s="259"/>
      <c r="I339" s="260"/>
      <c r="J339" s="72"/>
      <c r="K339" s="260"/>
      <c r="L339" s="72"/>
    </row>
    <row r="340" spans="1:12" x14ac:dyDescent="0.3">
      <c r="A340" s="258" t="s">
        <v>512</v>
      </c>
      <c r="B340" s="72" t="s">
        <v>511</v>
      </c>
      <c r="C340" s="72" t="s">
        <v>1428</v>
      </c>
      <c r="D340" s="72" t="s">
        <v>122</v>
      </c>
      <c r="E340" s="72"/>
      <c r="F340" s="72" t="s">
        <v>1614</v>
      </c>
      <c r="G340" s="72">
        <v>30</v>
      </c>
      <c r="H340" s="259"/>
      <c r="I340" s="260"/>
      <c r="J340" s="72"/>
      <c r="K340" s="260"/>
      <c r="L340" s="72"/>
    </row>
    <row r="341" spans="1:12" x14ac:dyDescent="0.3">
      <c r="A341" s="258" t="s">
        <v>2139</v>
      </c>
      <c r="B341" s="72" t="s">
        <v>510</v>
      </c>
      <c r="C341" s="72" t="s">
        <v>2140</v>
      </c>
      <c r="D341" s="72" t="s">
        <v>122</v>
      </c>
      <c r="E341" s="72"/>
      <c r="F341" s="72" t="s">
        <v>1616</v>
      </c>
      <c r="G341" s="72">
        <v>8</v>
      </c>
      <c r="H341" s="259"/>
      <c r="I341" s="260"/>
      <c r="J341" s="72"/>
      <c r="K341" s="260"/>
      <c r="L341" s="72"/>
    </row>
    <row r="342" spans="1:12" x14ac:dyDescent="0.3">
      <c r="A342" s="258" t="s">
        <v>509</v>
      </c>
      <c r="B342" s="72" t="s">
        <v>508</v>
      </c>
      <c r="C342" s="72" t="s">
        <v>1429</v>
      </c>
      <c r="D342" s="72" t="s">
        <v>122</v>
      </c>
      <c r="E342" s="72"/>
      <c r="F342" s="72" t="s">
        <v>1614</v>
      </c>
      <c r="G342" s="72">
        <v>30</v>
      </c>
      <c r="H342" s="259"/>
      <c r="I342" s="260"/>
      <c r="J342" s="72"/>
      <c r="K342" s="260"/>
      <c r="L342" s="72"/>
    </row>
    <row r="343" spans="1:12" x14ac:dyDescent="0.3">
      <c r="A343" s="258" t="s">
        <v>507</v>
      </c>
      <c r="B343" s="72" t="s">
        <v>506</v>
      </c>
      <c r="C343" s="72" t="s">
        <v>1430</v>
      </c>
      <c r="D343" s="72" t="s">
        <v>122</v>
      </c>
      <c r="E343" s="72"/>
      <c r="F343" s="72" t="s">
        <v>1617</v>
      </c>
      <c r="G343" s="72">
        <v>20</v>
      </c>
      <c r="H343" s="259"/>
      <c r="I343" s="260"/>
      <c r="J343" s="72"/>
      <c r="K343" s="260"/>
      <c r="L343" s="72"/>
    </row>
    <row r="344" spans="1:12" x14ac:dyDescent="0.3">
      <c r="A344" s="258" t="s">
        <v>505</v>
      </c>
      <c r="B344" s="72" t="s">
        <v>504</v>
      </c>
      <c r="C344" s="72" t="s">
        <v>1431</v>
      </c>
      <c r="D344" s="72" t="s">
        <v>122</v>
      </c>
      <c r="E344" s="72"/>
      <c r="F344" s="72" t="s">
        <v>1617</v>
      </c>
      <c r="G344" s="72">
        <v>10</v>
      </c>
      <c r="H344" s="259"/>
      <c r="I344" s="260"/>
      <c r="J344" s="72"/>
      <c r="K344" s="260"/>
      <c r="L344" s="72"/>
    </row>
    <row r="345" spans="1:12" x14ac:dyDescent="0.3">
      <c r="A345" s="258" t="s">
        <v>503</v>
      </c>
      <c r="B345" s="72" t="s">
        <v>502</v>
      </c>
      <c r="C345" s="72" t="s">
        <v>1432</v>
      </c>
      <c r="D345" s="72" t="s">
        <v>122</v>
      </c>
      <c r="E345" s="72"/>
      <c r="F345" s="72" t="s">
        <v>1616</v>
      </c>
      <c r="G345" s="72">
        <v>15</v>
      </c>
      <c r="H345" s="259"/>
      <c r="I345" s="260"/>
      <c r="J345" s="72"/>
      <c r="K345" s="260"/>
      <c r="L345" s="72"/>
    </row>
    <row r="346" spans="1:12" x14ac:dyDescent="0.3">
      <c r="A346" s="258" t="s">
        <v>501</v>
      </c>
      <c r="B346" s="72" t="s">
        <v>500</v>
      </c>
      <c r="C346" s="72" t="s">
        <v>1433</v>
      </c>
      <c r="D346" s="72" t="s">
        <v>122</v>
      </c>
      <c r="E346" s="72"/>
      <c r="F346" s="72" t="s">
        <v>1614</v>
      </c>
      <c r="G346" s="72">
        <v>25</v>
      </c>
      <c r="H346" s="259"/>
      <c r="I346" s="260"/>
      <c r="J346" s="72"/>
      <c r="K346" s="260"/>
      <c r="L346" s="72"/>
    </row>
    <row r="347" spans="1:12" x14ac:dyDescent="0.3">
      <c r="A347" s="258" t="s">
        <v>499</v>
      </c>
      <c r="B347" s="72" t="s">
        <v>498</v>
      </c>
      <c r="C347" s="72" t="s">
        <v>1434</v>
      </c>
      <c r="D347" s="72" t="s">
        <v>122</v>
      </c>
      <c r="E347" s="72"/>
      <c r="F347" s="72" t="s">
        <v>1751</v>
      </c>
      <c r="G347" s="72">
        <v>25</v>
      </c>
      <c r="H347" s="259"/>
      <c r="I347" s="260"/>
      <c r="J347" s="72"/>
      <c r="K347" s="260"/>
      <c r="L347" s="72"/>
    </row>
    <row r="348" spans="1:12" x14ac:dyDescent="0.3">
      <c r="A348" s="258" t="s">
        <v>497</v>
      </c>
      <c r="B348" s="72" t="s">
        <v>496</v>
      </c>
      <c r="C348" s="72" t="s">
        <v>1435</v>
      </c>
      <c r="D348" s="72" t="s">
        <v>122</v>
      </c>
      <c r="E348" s="72"/>
      <c r="F348" s="72" t="s">
        <v>1617</v>
      </c>
      <c r="G348" s="72">
        <v>20</v>
      </c>
      <c r="H348" s="259"/>
      <c r="I348" s="260"/>
      <c r="J348" s="72"/>
      <c r="K348" s="260"/>
      <c r="L348" s="72"/>
    </row>
    <row r="349" spans="1:12" x14ac:dyDescent="0.3">
      <c r="A349" s="258" t="s">
        <v>495</v>
      </c>
      <c r="B349" s="72" t="s">
        <v>494</v>
      </c>
      <c r="C349" s="72" t="s">
        <v>1178</v>
      </c>
      <c r="D349" s="72" t="s">
        <v>122</v>
      </c>
      <c r="E349" s="72"/>
      <c r="F349" s="72" t="s">
        <v>1614</v>
      </c>
      <c r="G349" s="72">
        <v>30</v>
      </c>
      <c r="H349" s="259"/>
      <c r="I349" s="260">
        <v>6</v>
      </c>
      <c r="J349" s="72"/>
      <c r="K349" s="260">
        <v>6</v>
      </c>
      <c r="L349" s="72"/>
    </row>
    <row r="350" spans="1:12" x14ac:dyDescent="0.3">
      <c r="A350" s="258" t="s">
        <v>493</v>
      </c>
      <c r="B350" s="72" t="s">
        <v>492</v>
      </c>
      <c r="C350" s="72" t="s">
        <v>1436</v>
      </c>
      <c r="D350" s="72" t="s">
        <v>122</v>
      </c>
      <c r="E350" s="72"/>
      <c r="F350" s="72" t="s">
        <v>1672</v>
      </c>
      <c r="G350" s="72" t="s">
        <v>1672</v>
      </c>
      <c r="H350" s="259" t="s">
        <v>65</v>
      </c>
      <c r="I350" s="260"/>
      <c r="J350" s="72"/>
      <c r="K350" s="260"/>
      <c r="L350" s="72"/>
    </row>
    <row r="351" spans="1:12" x14ac:dyDescent="0.3">
      <c r="A351" s="258" t="s">
        <v>491</v>
      </c>
      <c r="B351" s="72" t="s">
        <v>490</v>
      </c>
      <c r="C351" s="72" t="s">
        <v>1437</v>
      </c>
      <c r="D351" s="72" t="s">
        <v>122</v>
      </c>
      <c r="E351" s="72"/>
      <c r="F351" s="72" t="s">
        <v>1617</v>
      </c>
      <c r="G351" s="72">
        <v>20</v>
      </c>
      <c r="H351" s="259"/>
      <c r="I351" s="260"/>
      <c r="J351" s="72"/>
      <c r="K351" s="260"/>
      <c r="L351" s="72"/>
    </row>
    <row r="352" spans="1:12" x14ac:dyDescent="0.3">
      <c r="A352" s="258" t="s">
        <v>489</v>
      </c>
      <c r="B352" s="72" t="s">
        <v>488</v>
      </c>
      <c r="C352" s="72" t="s">
        <v>1438</v>
      </c>
      <c r="D352" s="72" t="s">
        <v>122</v>
      </c>
      <c r="E352" s="72"/>
      <c r="F352" s="72" t="s">
        <v>1616</v>
      </c>
      <c r="G352" s="72">
        <v>15</v>
      </c>
      <c r="H352" s="259"/>
      <c r="I352" s="260"/>
      <c r="J352" s="72"/>
      <c r="K352" s="260"/>
      <c r="L352" s="72"/>
    </row>
    <row r="353" spans="1:12" x14ac:dyDescent="0.3">
      <c r="A353" s="258" t="s">
        <v>487</v>
      </c>
      <c r="B353" s="72" t="s">
        <v>486</v>
      </c>
      <c r="C353" s="72" t="s">
        <v>1439</v>
      </c>
      <c r="D353" s="72" t="s">
        <v>122</v>
      </c>
      <c r="E353" s="72"/>
      <c r="F353" s="72" t="s">
        <v>1751</v>
      </c>
      <c r="G353" s="72">
        <v>25</v>
      </c>
      <c r="H353" s="259"/>
      <c r="I353" s="260"/>
      <c r="J353" s="72"/>
      <c r="K353" s="260"/>
      <c r="L353" s="72"/>
    </row>
    <row r="354" spans="1:12" x14ac:dyDescent="0.3">
      <c r="A354" s="258" t="s">
        <v>1819</v>
      </c>
      <c r="B354" s="72" t="s">
        <v>1820</v>
      </c>
      <c r="C354" s="72" t="s">
        <v>1821</v>
      </c>
      <c r="D354" s="72" t="s">
        <v>122</v>
      </c>
      <c r="E354" s="72"/>
      <c r="F354" s="72" t="s">
        <v>1614</v>
      </c>
      <c r="G354" s="72">
        <v>35</v>
      </c>
      <c r="H354" s="259"/>
      <c r="I354" s="260"/>
      <c r="J354" s="72"/>
      <c r="K354" s="260"/>
      <c r="L354" s="72"/>
    </row>
    <row r="355" spans="1:12" x14ac:dyDescent="0.3">
      <c r="A355" s="258" t="s">
        <v>485</v>
      </c>
      <c r="B355" s="72" t="s">
        <v>484</v>
      </c>
      <c r="C355" s="72" t="s">
        <v>1440</v>
      </c>
      <c r="D355" s="72" t="s">
        <v>122</v>
      </c>
      <c r="E355" s="72"/>
      <c r="F355" s="72" t="s">
        <v>1616</v>
      </c>
      <c r="G355" s="72">
        <v>15</v>
      </c>
      <c r="H355" s="259"/>
      <c r="I355" s="260"/>
      <c r="J355" s="72"/>
      <c r="K355" s="260"/>
      <c r="L355" s="72"/>
    </row>
    <row r="356" spans="1:12" x14ac:dyDescent="0.3">
      <c r="A356" s="258" t="s">
        <v>1822</v>
      </c>
      <c r="B356" s="72" t="s">
        <v>1823</v>
      </c>
      <c r="C356" s="72" t="s">
        <v>1824</v>
      </c>
      <c r="D356" s="72" t="s">
        <v>122</v>
      </c>
      <c r="E356" s="72"/>
      <c r="F356" s="72" t="s">
        <v>1751</v>
      </c>
      <c r="G356" s="72">
        <v>25</v>
      </c>
      <c r="H356" s="259"/>
      <c r="I356" s="260">
        <v>6</v>
      </c>
      <c r="J356" s="72"/>
      <c r="K356" s="260">
        <v>6</v>
      </c>
      <c r="L356" s="72"/>
    </row>
    <row r="357" spans="1:12" x14ac:dyDescent="0.3">
      <c r="A357" s="258" t="s">
        <v>2143</v>
      </c>
      <c r="B357" s="72" t="s">
        <v>1825</v>
      </c>
      <c r="C357" s="72" t="s">
        <v>2144</v>
      </c>
      <c r="D357" s="72" t="s">
        <v>122</v>
      </c>
      <c r="E357" s="72"/>
      <c r="F357" s="72" t="s">
        <v>1617</v>
      </c>
      <c r="G357" s="72">
        <v>20</v>
      </c>
      <c r="H357" s="259"/>
      <c r="I357" s="260">
        <v>6</v>
      </c>
      <c r="J357" s="72"/>
      <c r="K357" s="260">
        <v>6</v>
      </c>
      <c r="L357" s="72"/>
    </row>
    <row r="358" spans="1:12" x14ac:dyDescent="0.3">
      <c r="A358" s="258" t="s">
        <v>2141</v>
      </c>
      <c r="B358" s="72" t="s">
        <v>483</v>
      </c>
      <c r="C358" s="72" t="s">
        <v>2142</v>
      </c>
      <c r="D358" s="72" t="s">
        <v>122</v>
      </c>
      <c r="E358" s="72"/>
      <c r="F358" s="72" t="s">
        <v>1614</v>
      </c>
      <c r="G358" s="72">
        <v>30</v>
      </c>
      <c r="H358" s="259"/>
      <c r="I358" s="260">
        <v>12</v>
      </c>
      <c r="J358" s="72"/>
      <c r="K358" s="260">
        <v>12</v>
      </c>
      <c r="L358" s="72"/>
    </row>
    <row r="359" spans="1:12" x14ac:dyDescent="0.3">
      <c r="A359" s="258" t="s">
        <v>482</v>
      </c>
      <c r="B359" s="72" t="s">
        <v>481</v>
      </c>
      <c r="C359" s="72" t="s">
        <v>1441</v>
      </c>
      <c r="D359" s="72" t="s">
        <v>122</v>
      </c>
      <c r="E359" s="72"/>
      <c r="F359" s="72" t="s">
        <v>1614</v>
      </c>
      <c r="G359" s="72">
        <v>40</v>
      </c>
      <c r="H359" s="259"/>
      <c r="I359" s="260"/>
      <c r="J359" s="72"/>
      <c r="K359" s="260"/>
      <c r="L359" s="72"/>
    </row>
    <row r="360" spans="1:12" x14ac:dyDescent="0.3">
      <c r="A360" s="258" t="s">
        <v>480</v>
      </c>
      <c r="B360" s="72" t="s">
        <v>479</v>
      </c>
      <c r="C360" s="72" t="s">
        <v>1442</v>
      </c>
      <c r="D360" s="72" t="s">
        <v>122</v>
      </c>
      <c r="E360" s="72"/>
      <c r="F360" s="72" t="s">
        <v>1751</v>
      </c>
      <c r="G360" s="72">
        <v>25</v>
      </c>
      <c r="H360" s="259"/>
      <c r="I360" s="260"/>
      <c r="J360" s="72"/>
      <c r="K360" s="260"/>
      <c r="L360" s="72"/>
    </row>
    <row r="361" spans="1:12" x14ac:dyDescent="0.3">
      <c r="A361" s="258" t="s">
        <v>478</v>
      </c>
      <c r="B361" s="72" t="s">
        <v>477</v>
      </c>
      <c r="C361" s="72" t="s">
        <v>1443</v>
      </c>
      <c r="D361" s="72" t="s">
        <v>122</v>
      </c>
      <c r="E361" s="72"/>
      <c r="F361" s="72" t="s">
        <v>1617</v>
      </c>
      <c r="G361" s="72">
        <v>20</v>
      </c>
      <c r="H361" s="259"/>
      <c r="I361" s="260"/>
      <c r="J361" s="72"/>
      <c r="K361" s="260"/>
      <c r="L361" s="72"/>
    </row>
    <row r="362" spans="1:12" x14ac:dyDescent="0.3">
      <c r="A362" s="258" t="s">
        <v>476</v>
      </c>
      <c r="B362" s="72" t="s">
        <v>475</v>
      </c>
      <c r="C362" s="72" t="s">
        <v>1444</v>
      </c>
      <c r="D362" s="72" t="s">
        <v>122</v>
      </c>
      <c r="E362" s="72"/>
      <c r="F362" s="72" t="s">
        <v>1616</v>
      </c>
      <c r="G362" s="72">
        <v>15</v>
      </c>
      <c r="H362" s="259"/>
      <c r="I362" s="260"/>
      <c r="J362" s="72"/>
      <c r="K362" s="260"/>
      <c r="L362" s="72"/>
    </row>
    <row r="363" spans="1:12" x14ac:dyDescent="0.3">
      <c r="A363" s="258" t="s">
        <v>1826</v>
      </c>
      <c r="B363" s="72" t="s">
        <v>474</v>
      </c>
      <c r="C363" s="72" t="s">
        <v>1827</v>
      </c>
      <c r="D363" s="72" t="s">
        <v>122</v>
      </c>
      <c r="E363" s="72"/>
      <c r="F363" s="72" t="s">
        <v>1616</v>
      </c>
      <c r="G363" s="72">
        <v>15</v>
      </c>
      <c r="H363" s="259"/>
      <c r="I363" s="260"/>
      <c r="J363" s="72"/>
      <c r="K363" s="260"/>
      <c r="L363" s="72"/>
    </row>
    <row r="364" spans="1:12" x14ac:dyDescent="0.3">
      <c r="A364" s="258" t="s">
        <v>1828</v>
      </c>
      <c r="B364" s="72" t="s">
        <v>2147</v>
      </c>
      <c r="C364" s="72" t="s">
        <v>2148</v>
      </c>
      <c r="D364" s="72" t="s">
        <v>122</v>
      </c>
      <c r="E364" s="72"/>
      <c r="F364" s="72" t="s">
        <v>1614</v>
      </c>
      <c r="G364" s="72">
        <v>30</v>
      </c>
      <c r="H364" s="259"/>
      <c r="I364" s="260"/>
      <c r="J364" s="72"/>
      <c r="K364" s="260"/>
      <c r="L364" s="72"/>
    </row>
    <row r="365" spans="1:12" x14ac:dyDescent="0.3">
      <c r="A365" s="258" t="s">
        <v>473</v>
      </c>
      <c r="B365" s="72" t="s">
        <v>472</v>
      </c>
      <c r="C365" s="72" t="s">
        <v>1445</v>
      </c>
      <c r="D365" s="72" t="s">
        <v>122</v>
      </c>
      <c r="E365" s="72"/>
      <c r="F365" s="72" t="s">
        <v>1614</v>
      </c>
      <c r="G365" s="72">
        <v>40</v>
      </c>
      <c r="H365" s="259"/>
      <c r="I365" s="260"/>
      <c r="J365" s="72"/>
      <c r="K365" s="260"/>
      <c r="L365" s="72"/>
    </row>
    <row r="366" spans="1:12" x14ac:dyDescent="0.3">
      <c r="A366" s="258" t="s">
        <v>471</v>
      </c>
      <c r="B366" s="72" t="s">
        <v>470</v>
      </c>
      <c r="C366" s="72" t="s">
        <v>1446</v>
      </c>
      <c r="D366" s="72" t="s">
        <v>122</v>
      </c>
      <c r="E366" s="72"/>
      <c r="F366" s="72" t="s">
        <v>1614</v>
      </c>
      <c r="G366" s="72">
        <v>40</v>
      </c>
      <c r="H366" s="259"/>
      <c r="I366" s="260"/>
      <c r="J366" s="72"/>
      <c r="K366" s="260"/>
      <c r="L366" s="72"/>
    </row>
    <row r="367" spans="1:12" x14ac:dyDescent="0.3">
      <c r="A367" s="258" t="s">
        <v>469</v>
      </c>
      <c r="B367" s="72" t="s">
        <v>468</v>
      </c>
      <c r="C367" s="72" t="s">
        <v>1447</v>
      </c>
      <c r="D367" s="72" t="s">
        <v>122</v>
      </c>
      <c r="E367" s="72"/>
      <c r="F367" s="72" t="s">
        <v>1617</v>
      </c>
      <c r="G367" s="72">
        <v>20</v>
      </c>
      <c r="H367" s="259"/>
      <c r="I367" s="260"/>
      <c r="J367" s="72"/>
      <c r="K367" s="260"/>
      <c r="L367" s="72"/>
    </row>
    <row r="368" spans="1:12" x14ac:dyDescent="0.3">
      <c r="A368" s="258" t="s">
        <v>467</v>
      </c>
      <c r="B368" s="72" t="s">
        <v>466</v>
      </c>
      <c r="C368" s="72" t="s">
        <v>1448</v>
      </c>
      <c r="D368" s="72" t="s">
        <v>122</v>
      </c>
      <c r="E368" s="72"/>
      <c r="F368" s="72" t="s">
        <v>1614</v>
      </c>
      <c r="G368" s="72">
        <v>40</v>
      </c>
      <c r="H368" s="259"/>
      <c r="I368" s="260"/>
      <c r="J368" s="72"/>
      <c r="K368" s="260"/>
      <c r="L368" s="72"/>
    </row>
    <row r="369" spans="1:12" x14ac:dyDescent="0.3">
      <c r="A369" s="258" t="s">
        <v>465</v>
      </c>
      <c r="B369" s="72" t="s">
        <v>464</v>
      </c>
      <c r="C369" s="72" t="s">
        <v>1449</v>
      </c>
      <c r="D369" s="72" t="s">
        <v>122</v>
      </c>
      <c r="E369" s="72"/>
      <c r="F369" s="72" t="s">
        <v>1614</v>
      </c>
      <c r="G369" s="72">
        <v>40</v>
      </c>
      <c r="H369" s="259"/>
      <c r="I369" s="260"/>
      <c r="J369" s="72"/>
      <c r="K369" s="260"/>
      <c r="L369" s="72"/>
    </row>
    <row r="370" spans="1:12" x14ac:dyDescent="0.3">
      <c r="A370" s="258" t="s">
        <v>1829</v>
      </c>
      <c r="B370" s="72" t="s">
        <v>1830</v>
      </c>
      <c r="C370" s="72" t="s">
        <v>1831</v>
      </c>
      <c r="D370" s="72" t="s">
        <v>122</v>
      </c>
      <c r="E370" s="72"/>
      <c r="F370" s="72" t="s">
        <v>1617</v>
      </c>
      <c r="G370" s="72">
        <v>20</v>
      </c>
      <c r="H370" s="259"/>
      <c r="I370" s="260"/>
      <c r="J370" s="72"/>
      <c r="K370" s="260"/>
      <c r="L370" s="72"/>
    </row>
    <row r="371" spans="1:12" x14ac:dyDescent="0.3">
      <c r="A371" s="258" t="s">
        <v>463</v>
      </c>
      <c r="B371" s="72" t="s">
        <v>462</v>
      </c>
      <c r="C371" s="72" t="s">
        <v>1450</v>
      </c>
      <c r="D371" s="72" t="s">
        <v>122</v>
      </c>
      <c r="E371" s="72"/>
      <c r="F371" s="72" t="s">
        <v>1751</v>
      </c>
      <c r="G371" s="72">
        <v>25</v>
      </c>
      <c r="H371" s="259"/>
      <c r="I371" s="260"/>
      <c r="J371" s="72"/>
      <c r="K371" s="260"/>
      <c r="L371" s="72"/>
    </row>
    <row r="372" spans="1:12" x14ac:dyDescent="0.3">
      <c r="A372" s="258" t="s">
        <v>461</v>
      </c>
      <c r="B372" s="72" t="s">
        <v>460</v>
      </c>
      <c r="C372" s="72" t="s">
        <v>1451</v>
      </c>
      <c r="D372" s="72" t="s">
        <v>122</v>
      </c>
      <c r="E372" s="72"/>
      <c r="F372" s="72" t="s">
        <v>1614</v>
      </c>
      <c r="G372" s="72">
        <v>40</v>
      </c>
      <c r="H372" s="259"/>
      <c r="I372" s="260"/>
      <c r="J372" s="72"/>
      <c r="K372" s="260"/>
      <c r="L372" s="72"/>
    </row>
    <row r="373" spans="1:12" x14ac:dyDescent="0.3">
      <c r="A373" s="258" t="s">
        <v>459</v>
      </c>
      <c r="B373" s="72" t="s">
        <v>458</v>
      </c>
      <c r="C373" s="72" t="s">
        <v>1452</v>
      </c>
      <c r="D373" s="72" t="s">
        <v>122</v>
      </c>
      <c r="E373" s="72"/>
      <c r="F373" s="72" t="s">
        <v>1616</v>
      </c>
      <c r="G373" s="72">
        <v>15</v>
      </c>
      <c r="H373" s="259"/>
      <c r="I373" s="260"/>
      <c r="J373" s="72"/>
      <c r="K373" s="260"/>
      <c r="L373" s="72"/>
    </row>
    <row r="374" spans="1:12" x14ac:dyDescent="0.3">
      <c r="A374" s="258" t="s">
        <v>457</v>
      </c>
      <c r="B374" s="72" t="s">
        <v>456</v>
      </c>
      <c r="C374" s="72" t="s">
        <v>1453</v>
      </c>
      <c r="D374" s="72" t="s">
        <v>122</v>
      </c>
      <c r="E374" s="72"/>
      <c r="F374" s="72" t="s">
        <v>1614</v>
      </c>
      <c r="G374" s="72">
        <v>30</v>
      </c>
      <c r="H374" s="259"/>
      <c r="I374" s="260"/>
      <c r="J374" s="72"/>
      <c r="K374" s="260"/>
      <c r="L374" s="72"/>
    </row>
    <row r="375" spans="1:12" x14ac:dyDescent="0.3">
      <c r="A375" s="258" t="s">
        <v>455</v>
      </c>
      <c r="B375" s="72" t="s">
        <v>454</v>
      </c>
      <c r="C375" s="72" t="s">
        <v>1454</v>
      </c>
      <c r="D375" s="72" t="s">
        <v>122</v>
      </c>
      <c r="E375" s="72"/>
      <c r="F375" s="72" t="s">
        <v>1614</v>
      </c>
      <c r="G375" s="72">
        <v>35</v>
      </c>
      <c r="H375" s="259"/>
      <c r="I375" s="260"/>
      <c r="J375" s="72"/>
      <c r="K375" s="260"/>
      <c r="L375" s="72"/>
    </row>
    <row r="376" spans="1:12" x14ac:dyDescent="0.3">
      <c r="A376" s="258" t="s">
        <v>453</v>
      </c>
      <c r="B376" s="72" t="s">
        <v>452</v>
      </c>
      <c r="C376" s="72" t="s">
        <v>1455</v>
      </c>
      <c r="D376" s="72" t="s">
        <v>122</v>
      </c>
      <c r="E376" s="72"/>
      <c r="F376" s="72" t="s">
        <v>1614</v>
      </c>
      <c r="G376" s="72">
        <v>40</v>
      </c>
      <c r="H376" s="259"/>
      <c r="I376" s="260"/>
      <c r="J376" s="72"/>
      <c r="K376" s="260"/>
      <c r="L376" s="72"/>
    </row>
    <row r="377" spans="1:12" x14ac:dyDescent="0.3">
      <c r="A377" s="258" t="s">
        <v>451</v>
      </c>
      <c r="B377" s="72" t="s">
        <v>450</v>
      </c>
      <c r="C377" s="72" t="s">
        <v>1456</v>
      </c>
      <c r="D377" s="72" t="s">
        <v>122</v>
      </c>
      <c r="E377" s="72"/>
      <c r="F377" s="72" t="s">
        <v>1614</v>
      </c>
      <c r="G377" s="72">
        <v>30</v>
      </c>
      <c r="H377" s="259"/>
      <c r="I377" s="260"/>
      <c r="J377" s="72"/>
      <c r="K377" s="260"/>
      <c r="L377" s="72"/>
    </row>
    <row r="378" spans="1:12" x14ac:dyDescent="0.3">
      <c r="A378" s="258" t="s">
        <v>449</v>
      </c>
      <c r="B378" s="72" t="s">
        <v>448</v>
      </c>
      <c r="C378" s="72" t="s">
        <v>1457</v>
      </c>
      <c r="D378" s="72" t="s">
        <v>122</v>
      </c>
      <c r="E378" s="72"/>
      <c r="F378" s="72" t="s">
        <v>1614</v>
      </c>
      <c r="G378" s="72">
        <v>40</v>
      </c>
      <c r="H378" s="259"/>
      <c r="I378" s="260"/>
      <c r="J378" s="72"/>
      <c r="K378" s="260"/>
      <c r="L378" s="72"/>
    </row>
    <row r="379" spans="1:12" x14ac:dyDescent="0.3">
      <c r="A379" s="258" t="s">
        <v>447</v>
      </c>
      <c r="B379" s="72" t="s">
        <v>446</v>
      </c>
      <c r="C379" s="72" t="s">
        <v>1458</v>
      </c>
      <c r="D379" s="72" t="s">
        <v>122</v>
      </c>
      <c r="E379" s="72"/>
      <c r="F379" s="72" t="s">
        <v>1614</v>
      </c>
      <c r="G379" s="72">
        <v>30</v>
      </c>
      <c r="H379" s="259"/>
      <c r="I379" s="260"/>
      <c r="J379" s="72"/>
      <c r="K379" s="260"/>
      <c r="L379" s="72"/>
    </row>
    <row r="380" spans="1:12" x14ac:dyDescent="0.3">
      <c r="A380" s="258" t="s">
        <v>445</v>
      </c>
      <c r="B380" s="72" t="s">
        <v>444</v>
      </c>
      <c r="C380" s="72" t="s">
        <v>1459</v>
      </c>
      <c r="D380" s="72" t="s">
        <v>122</v>
      </c>
      <c r="E380" s="72"/>
      <c r="F380" s="72" t="s">
        <v>1751</v>
      </c>
      <c r="G380" s="72">
        <v>25</v>
      </c>
      <c r="H380" s="259"/>
      <c r="I380" s="260"/>
      <c r="J380" s="72"/>
      <c r="K380" s="260"/>
      <c r="L380" s="72"/>
    </row>
    <row r="381" spans="1:12" x14ac:dyDescent="0.3">
      <c r="A381" s="258" t="s">
        <v>443</v>
      </c>
      <c r="B381" s="72" t="s">
        <v>442</v>
      </c>
      <c r="C381" s="72" t="s">
        <v>1460</v>
      </c>
      <c r="D381" s="72" t="s">
        <v>122</v>
      </c>
      <c r="E381" s="72"/>
      <c r="F381" s="72" t="s">
        <v>1614</v>
      </c>
      <c r="G381" s="72">
        <v>35</v>
      </c>
      <c r="H381" s="259"/>
      <c r="I381" s="260"/>
      <c r="J381" s="72"/>
      <c r="K381" s="260"/>
      <c r="L381" s="72"/>
    </row>
    <row r="382" spans="1:12" x14ac:dyDescent="0.3">
      <c r="A382" s="258" t="s">
        <v>441</v>
      </c>
      <c r="B382" s="72" t="s">
        <v>440</v>
      </c>
      <c r="C382" s="72" t="s">
        <v>1461</v>
      </c>
      <c r="D382" s="72" t="s">
        <v>122</v>
      </c>
      <c r="E382" s="72"/>
      <c r="F382" s="72" t="s">
        <v>1672</v>
      </c>
      <c r="G382" s="72" t="s">
        <v>1672</v>
      </c>
      <c r="H382" s="259" t="s">
        <v>65</v>
      </c>
      <c r="I382" s="260"/>
      <c r="J382" s="72"/>
      <c r="K382" s="260"/>
      <c r="L382" s="72"/>
    </row>
    <row r="383" spans="1:12" x14ac:dyDescent="0.3">
      <c r="A383" s="258" t="s">
        <v>439</v>
      </c>
      <c r="B383" s="72" t="s">
        <v>438</v>
      </c>
      <c r="C383" s="72" t="s">
        <v>1462</v>
      </c>
      <c r="D383" s="72" t="s">
        <v>122</v>
      </c>
      <c r="E383" s="72"/>
      <c r="F383" s="72" t="s">
        <v>1614</v>
      </c>
      <c r="G383" s="72">
        <v>40</v>
      </c>
      <c r="H383" s="259"/>
      <c r="I383" s="260"/>
      <c r="J383" s="72"/>
      <c r="K383" s="260"/>
      <c r="L383" s="72"/>
    </row>
    <row r="384" spans="1:12" x14ac:dyDescent="0.3">
      <c r="A384" s="258" t="s">
        <v>437</v>
      </c>
      <c r="B384" s="72" t="s">
        <v>436</v>
      </c>
      <c r="C384" s="72" t="s">
        <v>1463</v>
      </c>
      <c r="D384" s="72" t="s">
        <v>122</v>
      </c>
      <c r="E384" s="72"/>
      <c r="F384" s="72" t="s">
        <v>1614</v>
      </c>
      <c r="G384" s="72">
        <v>40</v>
      </c>
      <c r="H384" s="259"/>
      <c r="I384" s="260"/>
      <c r="J384" s="72"/>
      <c r="K384" s="260"/>
      <c r="L384" s="72"/>
    </row>
    <row r="385" spans="1:12" x14ac:dyDescent="0.3">
      <c r="A385" s="258" t="s">
        <v>435</v>
      </c>
      <c r="B385" s="72" t="s">
        <v>434</v>
      </c>
      <c r="C385" s="72" t="s">
        <v>1464</v>
      </c>
      <c r="D385" s="72" t="s">
        <v>122</v>
      </c>
      <c r="E385" s="72"/>
      <c r="F385" s="72" t="s">
        <v>1617</v>
      </c>
      <c r="G385" s="72">
        <v>20</v>
      </c>
      <c r="H385" s="259"/>
      <c r="I385" s="260"/>
      <c r="J385" s="72"/>
      <c r="K385" s="260"/>
      <c r="L385" s="72"/>
    </row>
    <row r="386" spans="1:12" x14ac:dyDescent="0.3">
      <c r="A386" s="258" t="s">
        <v>433</v>
      </c>
      <c r="B386" s="72" t="s">
        <v>432</v>
      </c>
      <c r="C386" s="72" t="s">
        <v>1465</v>
      </c>
      <c r="D386" s="72" t="s">
        <v>122</v>
      </c>
      <c r="E386" s="72"/>
      <c r="F386" s="72" t="s">
        <v>1617</v>
      </c>
      <c r="G386" s="72">
        <v>20</v>
      </c>
      <c r="H386" s="259"/>
      <c r="I386" s="260"/>
      <c r="J386" s="72"/>
      <c r="K386" s="260"/>
      <c r="L386" s="72"/>
    </row>
    <row r="387" spans="1:12" x14ac:dyDescent="0.3">
      <c r="A387" s="258" t="s">
        <v>431</v>
      </c>
      <c r="B387" s="72" t="s">
        <v>430</v>
      </c>
      <c r="C387" s="72" t="s">
        <v>1466</v>
      </c>
      <c r="D387" s="72" t="s">
        <v>122</v>
      </c>
      <c r="E387" s="72"/>
      <c r="F387" s="72" t="s">
        <v>1614</v>
      </c>
      <c r="G387" s="72">
        <v>40</v>
      </c>
      <c r="H387" s="259"/>
      <c r="I387" s="260"/>
      <c r="J387" s="72"/>
      <c r="K387" s="260"/>
      <c r="L387" s="72"/>
    </row>
    <row r="388" spans="1:12" x14ac:dyDescent="0.3">
      <c r="A388" s="258" t="s">
        <v>429</v>
      </c>
      <c r="B388" s="72" t="s">
        <v>428</v>
      </c>
      <c r="C388" s="72" t="s">
        <v>1467</v>
      </c>
      <c r="D388" s="72" t="s">
        <v>67</v>
      </c>
      <c r="E388" s="72"/>
      <c r="F388" s="72" t="s">
        <v>1614</v>
      </c>
      <c r="G388" s="72">
        <v>35</v>
      </c>
      <c r="H388" s="259"/>
      <c r="I388" s="260"/>
      <c r="J388" s="72"/>
      <c r="K388" s="260"/>
      <c r="L388" s="72"/>
    </row>
    <row r="389" spans="1:12" x14ac:dyDescent="0.3">
      <c r="A389" s="258" t="s">
        <v>427</v>
      </c>
      <c r="B389" s="72" t="s">
        <v>426</v>
      </c>
      <c r="C389" s="72" t="s">
        <v>1468</v>
      </c>
      <c r="D389" s="72" t="s">
        <v>67</v>
      </c>
      <c r="E389" s="72"/>
      <c r="F389" s="72" t="s">
        <v>1614</v>
      </c>
      <c r="G389" s="72">
        <v>60</v>
      </c>
      <c r="H389" s="259"/>
      <c r="I389" s="260"/>
      <c r="J389" s="72"/>
      <c r="K389" s="260"/>
      <c r="L389" s="72"/>
    </row>
    <row r="390" spans="1:12" x14ac:dyDescent="0.3">
      <c r="A390" s="258" t="s">
        <v>425</v>
      </c>
      <c r="B390" s="72" t="s">
        <v>424</v>
      </c>
      <c r="C390" s="72" t="s">
        <v>1469</v>
      </c>
      <c r="D390" s="72" t="s">
        <v>67</v>
      </c>
      <c r="E390" s="72"/>
      <c r="F390" s="72" t="s">
        <v>1672</v>
      </c>
      <c r="G390" s="72" t="s">
        <v>1672</v>
      </c>
      <c r="H390" s="259" t="s">
        <v>65</v>
      </c>
      <c r="I390" s="260"/>
      <c r="J390" s="72"/>
      <c r="K390" s="260"/>
      <c r="L390" s="72"/>
    </row>
    <row r="391" spans="1:12" x14ac:dyDescent="0.3">
      <c r="A391" s="258" t="s">
        <v>423</v>
      </c>
      <c r="B391" s="72" t="s">
        <v>422</v>
      </c>
      <c r="C391" s="72" t="s">
        <v>1470</v>
      </c>
      <c r="D391" s="72" t="s">
        <v>67</v>
      </c>
      <c r="E391" s="72"/>
      <c r="F391" s="72" t="s">
        <v>1614</v>
      </c>
      <c r="G391" s="72">
        <v>60</v>
      </c>
      <c r="H391" s="259"/>
      <c r="I391" s="260"/>
      <c r="J391" s="72"/>
      <c r="K391" s="260"/>
      <c r="L391" s="72"/>
    </row>
    <row r="392" spans="1:12" x14ac:dyDescent="0.3">
      <c r="A392" s="258" t="s">
        <v>1832</v>
      </c>
      <c r="B392" s="72" t="s">
        <v>156</v>
      </c>
      <c r="C392" s="72" t="s">
        <v>1833</v>
      </c>
      <c r="D392" s="72" t="s">
        <v>122</v>
      </c>
      <c r="E392" s="72"/>
      <c r="F392" s="72" t="s">
        <v>1616</v>
      </c>
      <c r="G392" s="72">
        <v>15</v>
      </c>
      <c r="H392" s="259"/>
      <c r="I392" s="260"/>
      <c r="J392" s="72"/>
      <c r="K392" s="260"/>
      <c r="L392" s="72"/>
    </row>
    <row r="393" spans="1:12" x14ac:dyDescent="0.3">
      <c r="A393" s="258" t="s">
        <v>421</v>
      </c>
      <c r="B393" s="72" t="s">
        <v>420</v>
      </c>
      <c r="C393" s="72" t="s">
        <v>1471</v>
      </c>
      <c r="D393" s="72" t="s">
        <v>67</v>
      </c>
      <c r="E393" s="72"/>
      <c r="F393" s="72" t="s">
        <v>1614</v>
      </c>
      <c r="G393" s="72">
        <v>70</v>
      </c>
      <c r="H393" s="259"/>
      <c r="I393" s="260"/>
      <c r="J393" s="72"/>
      <c r="K393" s="260"/>
      <c r="L393" s="72"/>
    </row>
    <row r="394" spans="1:12" x14ac:dyDescent="0.3">
      <c r="A394" s="258" t="s">
        <v>419</v>
      </c>
      <c r="B394" s="72" t="s">
        <v>2122</v>
      </c>
      <c r="C394" s="72" t="s">
        <v>2125</v>
      </c>
      <c r="D394" s="72" t="s">
        <v>67</v>
      </c>
      <c r="E394" s="72"/>
      <c r="F394" s="72" t="s">
        <v>1614</v>
      </c>
      <c r="G394" s="72">
        <v>50</v>
      </c>
      <c r="H394" s="259"/>
      <c r="I394" s="260"/>
      <c r="J394" s="72"/>
      <c r="K394" s="260"/>
      <c r="L394" s="72"/>
    </row>
    <row r="395" spans="1:12" x14ac:dyDescent="0.3">
      <c r="A395" s="258" t="s">
        <v>418</v>
      </c>
      <c r="B395" s="72" t="s">
        <v>417</v>
      </c>
      <c r="C395" s="72" t="s">
        <v>1472</v>
      </c>
      <c r="D395" s="72" t="s">
        <v>67</v>
      </c>
      <c r="E395" s="72"/>
      <c r="F395" s="72" t="s">
        <v>1614</v>
      </c>
      <c r="G395" s="72">
        <v>60</v>
      </c>
      <c r="H395" s="259"/>
      <c r="I395" s="260"/>
      <c r="J395" s="72"/>
      <c r="K395" s="260"/>
      <c r="L395" s="72"/>
    </row>
    <row r="396" spans="1:12" x14ac:dyDescent="0.3">
      <c r="A396" s="258" t="s">
        <v>416</v>
      </c>
      <c r="B396" s="72" t="s">
        <v>415</v>
      </c>
      <c r="C396" s="72" t="s">
        <v>1473</v>
      </c>
      <c r="D396" s="72" t="s">
        <v>67</v>
      </c>
      <c r="E396" s="72"/>
      <c r="F396" s="72" t="s">
        <v>1614</v>
      </c>
      <c r="G396" s="72">
        <v>75</v>
      </c>
      <c r="H396" s="259"/>
      <c r="I396" s="260"/>
      <c r="J396" s="72"/>
      <c r="K396" s="260"/>
      <c r="L396" s="72"/>
    </row>
    <row r="397" spans="1:12" x14ac:dyDescent="0.3">
      <c r="A397" s="258" t="s">
        <v>414</v>
      </c>
      <c r="B397" s="72" t="s">
        <v>413</v>
      </c>
      <c r="C397" s="72" t="s">
        <v>1474</v>
      </c>
      <c r="D397" s="72" t="s">
        <v>67</v>
      </c>
      <c r="E397" s="72"/>
      <c r="F397" s="72" t="s">
        <v>1614</v>
      </c>
      <c r="G397" s="72">
        <v>50</v>
      </c>
      <c r="H397" s="259"/>
      <c r="I397" s="260"/>
      <c r="J397" s="72"/>
      <c r="K397" s="260"/>
      <c r="L397" s="72"/>
    </row>
    <row r="398" spans="1:12" x14ac:dyDescent="0.3">
      <c r="A398" s="258" t="s">
        <v>412</v>
      </c>
      <c r="B398" s="72" t="s">
        <v>411</v>
      </c>
      <c r="C398" s="72" t="s">
        <v>1475</v>
      </c>
      <c r="D398" s="72" t="s">
        <v>67</v>
      </c>
      <c r="E398" s="72"/>
      <c r="F398" s="72" t="s">
        <v>1614</v>
      </c>
      <c r="G398" s="72">
        <v>50</v>
      </c>
      <c r="H398" s="259"/>
      <c r="I398" s="260"/>
      <c r="J398" s="72"/>
      <c r="K398" s="260"/>
      <c r="L398" s="72"/>
    </row>
    <row r="399" spans="1:12" x14ac:dyDescent="0.3">
      <c r="A399" s="258" t="s">
        <v>410</v>
      </c>
      <c r="B399" s="72" t="s">
        <v>409</v>
      </c>
      <c r="C399" s="72" t="s">
        <v>1132</v>
      </c>
      <c r="D399" s="72" t="s">
        <v>67</v>
      </c>
      <c r="E399" s="72"/>
      <c r="F399" s="72" t="s">
        <v>1614</v>
      </c>
      <c r="G399" s="72">
        <v>30</v>
      </c>
      <c r="H399" s="259"/>
      <c r="I399" s="260"/>
      <c r="J399" s="72"/>
      <c r="K399" s="260"/>
      <c r="L399" s="72"/>
    </row>
    <row r="400" spans="1:12" x14ac:dyDescent="0.3">
      <c r="A400" s="258" t="s">
        <v>408</v>
      </c>
      <c r="B400" s="72" t="s">
        <v>407</v>
      </c>
      <c r="C400" s="72" t="s">
        <v>1476</v>
      </c>
      <c r="D400" s="72" t="s">
        <v>67</v>
      </c>
      <c r="E400" s="72"/>
      <c r="F400" s="72" t="s">
        <v>1617</v>
      </c>
      <c r="G400" s="72">
        <v>20</v>
      </c>
      <c r="H400" s="259"/>
      <c r="I400" s="260"/>
      <c r="J400" s="72"/>
      <c r="K400" s="260"/>
      <c r="L400" s="72"/>
    </row>
    <row r="401" spans="1:12" x14ac:dyDescent="0.3">
      <c r="A401" s="258" t="s">
        <v>406</v>
      </c>
      <c r="B401" s="72" t="s">
        <v>405</v>
      </c>
      <c r="C401" s="72" t="s">
        <v>1477</v>
      </c>
      <c r="D401" s="72" t="s">
        <v>67</v>
      </c>
      <c r="E401" s="72"/>
      <c r="F401" s="72" t="s">
        <v>1617</v>
      </c>
      <c r="G401" s="72">
        <v>20</v>
      </c>
      <c r="H401" s="259"/>
      <c r="I401" s="260"/>
      <c r="J401" s="72"/>
      <c r="K401" s="260"/>
      <c r="L401" s="72"/>
    </row>
    <row r="402" spans="1:12" x14ac:dyDescent="0.3">
      <c r="A402" s="258" t="s">
        <v>404</v>
      </c>
      <c r="B402" s="72" t="s">
        <v>403</v>
      </c>
      <c r="C402" s="72" t="s">
        <v>1478</v>
      </c>
      <c r="D402" s="72" t="s">
        <v>67</v>
      </c>
      <c r="E402" s="72"/>
      <c r="F402" s="72" t="s">
        <v>1672</v>
      </c>
      <c r="G402" s="72" t="s">
        <v>1672</v>
      </c>
      <c r="H402" s="259" t="s">
        <v>65</v>
      </c>
      <c r="I402" s="260"/>
      <c r="J402" s="72"/>
      <c r="K402" s="260"/>
      <c r="L402" s="72"/>
    </row>
    <row r="403" spans="1:12" x14ac:dyDescent="0.3">
      <c r="A403" s="258" t="s">
        <v>402</v>
      </c>
      <c r="B403" s="72" t="s">
        <v>401</v>
      </c>
      <c r="C403" s="72" t="s">
        <v>1479</v>
      </c>
      <c r="D403" s="72" t="s">
        <v>67</v>
      </c>
      <c r="E403" s="72"/>
      <c r="F403" s="72" t="s">
        <v>1616</v>
      </c>
      <c r="G403" s="72">
        <v>10</v>
      </c>
      <c r="H403" s="259"/>
      <c r="I403" s="260"/>
      <c r="J403" s="72"/>
      <c r="K403" s="260"/>
      <c r="L403" s="72"/>
    </row>
    <row r="404" spans="1:12" x14ac:dyDescent="0.3">
      <c r="A404" s="258" t="s">
        <v>400</v>
      </c>
      <c r="B404" s="72" t="s">
        <v>399</v>
      </c>
      <c r="C404" s="72" t="s">
        <v>1179</v>
      </c>
      <c r="D404" s="72" t="s">
        <v>67</v>
      </c>
      <c r="E404" s="72"/>
      <c r="F404" s="72" t="s">
        <v>1614</v>
      </c>
      <c r="G404" s="72">
        <v>30</v>
      </c>
      <c r="H404" s="259"/>
      <c r="I404" s="260">
        <v>12</v>
      </c>
      <c r="J404" s="72"/>
      <c r="K404" s="260">
        <v>12</v>
      </c>
      <c r="L404" s="72"/>
    </row>
    <row r="405" spans="1:12" x14ac:dyDescent="0.3">
      <c r="A405" s="258" t="s">
        <v>398</v>
      </c>
      <c r="B405" s="72" t="s">
        <v>397</v>
      </c>
      <c r="C405" s="72" t="s">
        <v>1131</v>
      </c>
      <c r="D405" s="72" t="s">
        <v>67</v>
      </c>
      <c r="E405" s="72"/>
      <c r="F405" s="72" t="s">
        <v>1614</v>
      </c>
      <c r="G405" s="72">
        <v>40</v>
      </c>
      <c r="H405" s="259"/>
      <c r="I405" s="260"/>
      <c r="J405" s="72"/>
      <c r="K405" s="260"/>
      <c r="L405" s="72"/>
    </row>
    <row r="406" spans="1:12" x14ac:dyDescent="0.3">
      <c r="A406" s="258" t="s">
        <v>396</v>
      </c>
      <c r="B406" s="72" t="s">
        <v>395</v>
      </c>
      <c r="C406" s="72" t="s">
        <v>1480</v>
      </c>
      <c r="D406" s="72" t="s">
        <v>67</v>
      </c>
      <c r="E406" s="72"/>
      <c r="F406" s="72" t="s">
        <v>1614</v>
      </c>
      <c r="G406" s="72">
        <v>30</v>
      </c>
      <c r="H406" s="259"/>
      <c r="I406" s="260"/>
      <c r="J406" s="72"/>
      <c r="K406" s="260"/>
      <c r="L406" s="72"/>
    </row>
    <row r="407" spans="1:12" x14ac:dyDescent="0.3">
      <c r="A407" s="258" t="s">
        <v>394</v>
      </c>
      <c r="B407" s="72" t="s">
        <v>393</v>
      </c>
      <c r="C407" s="72" t="s">
        <v>1481</v>
      </c>
      <c r="D407" s="72" t="s">
        <v>67</v>
      </c>
      <c r="E407" s="72"/>
      <c r="F407" s="72" t="s">
        <v>1614</v>
      </c>
      <c r="G407" s="72">
        <v>30</v>
      </c>
      <c r="H407" s="259"/>
      <c r="I407" s="260"/>
      <c r="J407" s="72"/>
      <c r="K407" s="260"/>
      <c r="L407" s="72"/>
    </row>
    <row r="408" spans="1:12" x14ac:dyDescent="0.3">
      <c r="A408" s="258" t="s">
        <v>392</v>
      </c>
      <c r="B408" s="72" t="s">
        <v>391</v>
      </c>
      <c r="C408" s="72" t="s">
        <v>1482</v>
      </c>
      <c r="D408" s="72" t="s">
        <v>67</v>
      </c>
      <c r="E408" s="72"/>
      <c r="F408" s="72" t="s">
        <v>1616</v>
      </c>
      <c r="G408" s="72">
        <v>8</v>
      </c>
      <c r="H408" s="259"/>
      <c r="I408" s="260"/>
      <c r="J408" s="72"/>
      <c r="K408" s="260"/>
      <c r="L408" s="72"/>
    </row>
    <row r="409" spans="1:12" x14ac:dyDescent="0.3">
      <c r="A409" s="258" t="s">
        <v>390</v>
      </c>
      <c r="B409" s="72" t="s">
        <v>389</v>
      </c>
      <c r="C409" s="72" t="s">
        <v>1483</v>
      </c>
      <c r="D409" s="72" t="s">
        <v>67</v>
      </c>
      <c r="E409" s="72"/>
      <c r="F409" s="72" t="s">
        <v>1751</v>
      </c>
      <c r="G409" s="72">
        <v>25</v>
      </c>
      <c r="H409" s="259"/>
      <c r="I409" s="260"/>
      <c r="J409" s="72"/>
      <c r="K409" s="260"/>
      <c r="L409" s="72"/>
    </row>
    <row r="410" spans="1:12" x14ac:dyDescent="0.3">
      <c r="A410" s="258" t="s">
        <v>388</v>
      </c>
      <c r="B410" s="72" t="s">
        <v>387</v>
      </c>
      <c r="C410" s="72" t="s">
        <v>1484</v>
      </c>
      <c r="D410" s="72" t="s">
        <v>67</v>
      </c>
      <c r="E410" s="72"/>
      <c r="F410" s="72" t="s">
        <v>1615</v>
      </c>
      <c r="G410" s="72">
        <v>25</v>
      </c>
      <c r="H410" s="259"/>
      <c r="I410" s="260"/>
      <c r="J410" s="72"/>
      <c r="K410" s="260"/>
      <c r="L410" s="72"/>
    </row>
    <row r="411" spans="1:12" x14ac:dyDescent="0.3">
      <c r="A411" s="258" t="s">
        <v>386</v>
      </c>
      <c r="B411" s="72" t="s">
        <v>385</v>
      </c>
      <c r="C411" s="72" t="s">
        <v>1137</v>
      </c>
      <c r="D411" s="72" t="s">
        <v>67</v>
      </c>
      <c r="E411" s="72"/>
      <c r="F411" s="72" t="s">
        <v>1614</v>
      </c>
      <c r="G411" s="72">
        <v>40</v>
      </c>
      <c r="H411" s="259"/>
      <c r="I411" s="260"/>
      <c r="J411" s="72" t="b">
        <v>1</v>
      </c>
      <c r="K411" s="260"/>
      <c r="L411" s="72" t="b">
        <v>1</v>
      </c>
    </row>
    <row r="412" spans="1:12" x14ac:dyDescent="0.3">
      <c r="A412" s="258" t="s">
        <v>384</v>
      </c>
      <c r="B412" s="72" t="s">
        <v>383</v>
      </c>
      <c r="C412" s="72" t="s">
        <v>1485</v>
      </c>
      <c r="D412" s="72" t="s">
        <v>81</v>
      </c>
      <c r="E412" s="72"/>
      <c r="F412" s="72" t="s">
        <v>1751</v>
      </c>
      <c r="G412" s="72">
        <v>25</v>
      </c>
      <c r="H412" s="259"/>
      <c r="I412" s="260"/>
      <c r="J412" s="72"/>
      <c r="K412" s="260"/>
      <c r="L412" s="72"/>
    </row>
    <row r="413" spans="1:12" x14ac:dyDescent="0.3">
      <c r="A413" s="258" t="s">
        <v>382</v>
      </c>
      <c r="B413" s="72" t="s">
        <v>381</v>
      </c>
      <c r="C413" s="72" t="s">
        <v>1180</v>
      </c>
      <c r="D413" s="72" t="s">
        <v>67</v>
      </c>
      <c r="E413" s="72"/>
      <c r="F413" s="72" t="s">
        <v>1751</v>
      </c>
      <c r="G413" s="72">
        <v>25</v>
      </c>
      <c r="H413" s="259"/>
      <c r="I413" s="260">
        <v>21</v>
      </c>
      <c r="J413" s="72"/>
      <c r="K413" s="260">
        <v>21</v>
      </c>
      <c r="L413" s="72"/>
    </row>
    <row r="414" spans="1:12" x14ac:dyDescent="0.3">
      <c r="A414" s="258" t="s">
        <v>380</v>
      </c>
      <c r="B414" s="72" t="s">
        <v>379</v>
      </c>
      <c r="C414" s="72" t="s">
        <v>1181</v>
      </c>
      <c r="D414" s="72" t="s">
        <v>67</v>
      </c>
      <c r="E414" s="72"/>
      <c r="F414" s="72" t="s">
        <v>1751</v>
      </c>
      <c r="G414" s="72">
        <v>25</v>
      </c>
      <c r="H414" s="259"/>
      <c r="I414" s="260">
        <v>21</v>
      </c>
      <c r="J414" s="72"/>
      <c r="K414" s="260">
        <v>21</v>
      </c>
      <c r="L414" s="72"/>
    </row>
    <row r="415" spans="1:12" x14ac:dyDescent="0.3">
      <c r="A415" s="258" t="s">
        <v>378</v>
      </c>
      <c r="B415" s="72" t="s">
        <v>377</v>
      </c>
      <c r="C415" s="72" t="s">
        <v>1486</v>
      </c>
      <c r="D415" s="72" t="s">
        <v>67</v>
      </c>
      <c r="E415" s="72"/>
      <c r="F415" s="72" t="s">
        <v>1616</v>
      </c>
      <c r="G415" s="72">
        <v>15</v>
      </c>
      <c r="H415" s="259"/>
      <c r="I415" s="260"/>
      <c r="J415" s="72"/>
      <c r="K415" s="260"/>
      <c r="L415" s="72"/>
    </row>
    <row r="416" spans="1:12" x14ac:dyDescent="0.3">
      <c r="A416" s="258" t="s">
        <v>376</v>
      </c>
      <c r="B416" s="72" t="s">
        <v>375</v>
      </c>
      <c r="C416" s="72" t="s">
        <v>1487</v>
      </c>
      <c r="D416" s="72" t="s">
        <v>67</v>
      </c>
      <c r="E416" s="72"/>
      <c r="F416" s="72" t="s">
        <v>1616</v>
      </c>
      <c r="G416" s="72">
        <v>15</v>
      </c>
      <c r="H416" s="259"/>
      <c r="I416" s="260"/>
      <c r="J416" s="72"/>
      <c r="K416" s="260"/>
      <c r="L416" s="72"/>
    </row>
    <row r="417" spans="1:12" x14ac:dyDescent="0.3">
      <c r="A417" s="258" t="s">
        <v>374</v>
      </c>
      <c r="B417" s="72" t="s">
        <v>373</v>
      </c>
      <c r="C417" s="72" t="s">
        <v>1133</v>
      </c>
      <c r="D417" s="72" t="s">
        <v>67</v>
      </c>
      <c r="E417" s="72"/>
      <c r="F417" s="72" t="s">
        <v>1751</v>
      </c>
      <c r="G417" s="72">
        <v>25</v>
      </c>
      <c r="H417" s="259"/>
      <c r="I417" s="260"/>
      <c r="J417" s="72"/>
      <c r="K417" s="260"/>
      <c r="L417" s="72"/>
    </row>
    <row r="418" spans="1:12" x14ac:dyDescent="0.3">
      <c r="A418" s="258" t="s">
        <v>372</v>
      </c>
      <c r="B418" s="72" t="s">
        <v>371</v>
      </c>
      <c r="C418" s="72" t="s">
        <v>1488</v>
      </c>
      <c r="D418" s="72" t="s">
        <v>81</v>
      </c>
      <c r="E418" s="72"/>
      <c r="F418" s="72" t="s">
        <v>1616</v>
      </c>
      <c r="G418" s="72">
        <v>15</v>
      </c>
      <c r="H418" s="259"/>
      <c r="I418" s="260"/>
      <c r="J418" s="72"/>
      <c r="K418" s="260"/>
      <c r="L418" s="72"/>
    </row>
    <row r="419" spans="1:12" x14ac:dyDescent="0.3">
      <c r="A419" s="258" t="s">
        <v>370</v>
      </c>
      <c r="B419" s="72" t="s">
        <v>369</v>
      </c>
      <c r="C419" s="72" t="s">
        <v>1489</v>
      </c>
      <c r="D419" s="72" t="s">
        <v>67</v>
      </c>
      <c r="E419" s="72"/>
      <c r="F419" s="72" t="s">
        <v>1617</v>
      </c>
      <c r="G419" s="72">
        <v>20</v>
      </c>
      <c r="H419" s="259"/>
      <c r="I419" s="260"/>
      <c r="J419" s="72"/>
      <c r="K419" s="260"/>
      <c r="L419" s="72"/>
    </row>
    <row r="420" spans="1:12" x14ac:dyDescent="0.3">
      <c r="A420" s="258" t="s">
        <v>368</v>
      </c>
      <c r="B420" s="72" t="s">
        <v>367</v>
      </c>
      <c r="C420" s="72" t="s">
        <v>1490</v>
      </c>
      <c r="D420" s="72" t="s">
        <v>67</v>
      </c>
      <c r="E420" s="72"/>
      <c r="F420" s="72" t="s">
        <v>1614</v>
      </c>
      <c r="G420" s="72">
        <v>40</v>
      </c>
      <c r="H420" s="259"/>
      <c r="I420" s="260"/>
      <c r="J420" s="72"/>
      <c r="K420" s="260"/>
      <c r="L420" s="72"/>
    </row>
    <row r="421" spans="1:12" x14ac:dyDescent="0.3">
      <c r="A421" s="258" t="s">
        <v>366</v>
      </c>
      <c r="B421" s="72" t="s">
        <v>365</v>
      </c>
      <c r="C421" s="72" t="s">
        <v>1491</v>
      </c>
      <c r="D421" s="72" t="s">
        <v>67</v>
      </c>
      <c r="E421" s="72"/>
      <c r="F421" s="72" t="s">
        <v>1616</v>
      </c>
      <c r="G421" s="72">
        <v>15</v>
      </c>
      <c r="H421" s="259"/>
      <c r="I421" s="260"/>
      <c r="J421" s="72"/>
      <c r="K421" s="260"/>
      <c r="L421" s="72"/>
    </row>
    <row r="422" spans="1:12" x14ac:dyDescent="0.3">
      <c r="A422" s="258" t="s">
        <v>364</v>
      </c>
      <c r="B422" s="72" t="s">
        <v>363</v>
      </c>
      <c r="C422" s="72" t="s">
        <v>1492</v>
      </c>
      <c r="D422" s="72" t="s">
        <v>67</v>
      </c>
      <c r="E422" s="72"/>
      <c r="F422" s="72" t="s">
        <v>1617</v>
      </c>
      <c r="G422" s="72">
        <v>20</v>
      </c>
      <c r="H422" s="259"/>
      <c r="I422" s="260"/>
      <c r="J422" s="72"/>
      <c r="K422" s="260"/>
      <c r="L422" s="72"/>
    </row>
    <row r="423" spans="1:12" x14ac:dyDescent="0.3">
      <c r="A423" s="258" t="s">
        <v>362</v>
      </c>
      <c r="B423" s="72" t="s">
        <v>361</v>
      </c>
      <c r="C423" s="72" t="s">
        <v>1182</v>
      </c>
      <c r="D423" s="72" t="s">
        <v>67</v>
      </c>
      <c r="E423" s="72"/>
      <c r="F423" s="72" t="s">
        <v>1614</v>
      </c>
      <c r="G423" s="72">
        <v>30</v>
      </c>
      <c r="H423" s="259"/>
      <c r="I423" s="260">
        <v>23</v>
      </c>
      <c r="J423" s="72"/>
      <c r="K423" s="260">
        <v>23</v>
      </c>
      <c r="L423" s="72"/>
    </row>
    <row r="424" spans="1:12" x14ac:dyDescent="0.3">
      <c r="A424" s="258" t="s">
        <v>1834</v>
      </c>
      <c r="B424" s="72" t="s">
        <v>1835</v>
      </c>
      <c r="C424" s="72" t="s">
        <v>1836</v>
      </c>
      <c r="D424" s="72" t="s">
        <v>67</v>
      </c>
      <c r="E424" s="72"/>
      <c r="F424" s="72" t="s">
        <v>1616</v>
      </c>
      <c r="G424" s="72">
        <v>15</v>
      </c>
      <c r="H424" s="259"/>
      <c r="I424" s="260">
        <v>23</v>
      </c>
      <c r="J424" s="72"/>
      <c r="K424" s="260">
        <v>23</v>
      </c>
      <c r="L424" s="72"/>
    </row>
    <row r="425" spans="1:12" x14ac:dyDescent="0.3">
      <c r="A425" s="258" t="s">
        <v>360</v>
      </c>
      <c r="B425" s="72" t="s">
        <v>359</v>
      </c>
      <c r="C425" s="72" t="s">
        <v>1493</v>
      </c>
      <c r="D425" s="72" t="s">
        <v>67</v>
      </c>
      <c r="E425" s="72"/>
      <c r="F425" s="72" t="s">
        <v>1614</v>
      </c>
      <c r="G425" s="72">
        <v>60</v>
      </c>
      <c r="H425" s="259"/>
      <c r="I425" s="260"/>
      <c r="J425" s="72"/>
      <c r="K425" s="260"/>
      <c r="L425" s="72"/>
    </row>
    <row r="426" spans="1:12" x14ac:dyDescent="0.3">
      <c r="A426" s="258" t="s">
        <v>358</v>
      </c>
      <c r="B426" s="72" t="s">
        <v>357</v>
      </c>
      <c r="C426" s="72" t="s">
        <v>1183</v>
      </c>
      <c r="D426" s="72" t="s">
        <v>67</v>
      </c>
      <c r="E426" s="72"/>
      <c r="F426" s="72" t="s">
        <v>1614</v>
      </c>
      <c r="G426" s="72">
        <v>30</v>
      </c>
      <c r="H426" s="259"/>
      <c r="I426" s="260">
        <v>23</v>
      </c>
      <c r="J426" s="72"/>
      <c r="K426" s="260">
        <v>23</v>
      </c>
      <c r="L426" s="72"/>
    </row>
    <row r="427" spans="1:12" x14ac:dyDescent="0.3">
      <c r="A427" s="258" t="s">
        <v>356</v>
      </c>
      <c r="B427" s="72" t="s">
        <v>355</v>
      </c>
      <c r="C427" s="72" t="s">
        <v>1184</v>
      </c>
      <c r="D427" s="72" t="s">
        <v>67</v>
      </c>
      <c r="E427" s="72"/>
      <c r="F427" s="72" t="s">
        <v>1751</v>
      </c>
      <c r="G427" s="72">
        <v>25</v>
      </c>
      <c r="H427" s="259"/>
      <c r="I427" s="260">
        <v>23</v>
      </c>
      <c r="J427" s="72"/>
      <c r="K427" s="260">
        <v>23</v>
      </c>
      <c r="L427" s="72"/>
    </row>
    <row r="428" spans="1:12" x14ac:dyDescent="0.3">
      <c r="A428" s="258" t="s">
        <v>354</v>
      </c>
      <c r="B428" s="72" t="s">
        <v>353</v>
      </c>
      <c r="C428" s="72" t="s">
        <v>1185</v>
      </c>
      <c r="D428" s="72" t="s">
        <v>67</v>
      </c>
      <c r="E428" s="72"/>
      <c r="F428" s="72" t="s">
        <v>1614</v>
      </c>
      <c r="G428" s="72">
        <v>30</v>
      </c>
      <c r="H428" s="259"/>
      <c r="I428" s="260">
        <v>23</v>
      </c>
      <c r="J428" s="72"/>
      <c r="K428" s="260">
        <v>23</v>
      </c>
      <c r="L428" s="72"/>
    </row>
    <row r="429" spans="1:12" x14ac:dyDescent="0.3">
      <c r="A429" s="258" t="s">
        <v>352</v>
      </c>
      <c r="B429" s="72" t="s">
        <v>351</v>
      </c>
      <c r="C429" s="72" t="s">
        <v>1494</v>
      </c>
      <c r="D429" s="72" t="s">
        <v>67</v>
      </c>
      <c r="E429" s="72"/>
      <c r="F429" s="72" t="s">
        <v>1672</v>
      </c>
      <c r="G429" s="72" t="s">
        <v>1672</v>
      </c>
      <c r="H429" s="259" t="s">
        <v>65</v>
      </c>
      <c r="I429" s="260"/>
      <c r="J429" s="72"/>
      <c r="K429" s="260"/>
      <c r="L429" s="72"/>
    </row>
    <row r="430" spans="1:12" x14ac:dyDescent="0.3">
      <c r="A430" s="258" t="s">
        <v>350</v>
      </c>
      <c r="B430" s="72" t="s">
        <v>349</v>
      </c>
      <c r="C430" s="72" t="s">
        <v>1495</v>
      </c>
      <c r="D430" s="72" t="s">
        <v>67</v>
      </c>
      <c r="E430" s="72"/>
      <c r="F430" s="72" t="s">
        <v>1616</v>
      </c>
      <c r="G430" s="72">
        <v>10</v>
      </c>
      <c r="H430" s="259"/>
      <c r="I430" s="260"/>
      <c r="J430" s="72"/>
      <c r="K430" s="260"/>
      <c r="L430" s="72"/>
    </row>
    <row r="431" spans="1:12" x14ac:dyDescent="0.3">
      <c r="A431" s="258" t="s">
        <v>348</v>
      </c>
      <c r="B431" s="72" t="s">
        <v>347</v>
      </c>
      <c r="C431" s="72" t="s">
        <v>1186</v>
      </c>
      <c r="D431" s="72" t="s">
        <v>67</v>
      </c>
      <c r="E431" s="72"/>
      <c r="F431" s="72" t="s">
        <v>1614</v>
      </c>
      <c r="G431" s="72">
        <v>30</v>
      </c>
      <c r="H431" s="259"/>
      <c r="I431" s="260">
        <v>23</v>
      </c>
      <c r="J431" s="72"/>
      <c r="K431" s="260">
        <v>23</v>
      </c>
      <c r="L431" s="72"/>
    </row>
    <row r="432" spans="1:12" x14ac:dyDescent="0.3">
      <c r="A432" s="258" t="s">
        <v>346</v>
      </c>
      <c r="B432" s="72" t="s">
        <v>1837</v>
      </c>
      <c r="C432" s="72" t="s">
        <v>1838</v>
      </c>
      <c r="D432" s="72" t="s">
        <v>67</v>
      </c>
      <c r="E432" s="72"/>
      <c r="F432" s="72" t="s">
        <v>1751</v>
      </c>
      <c r="G432" s="72">
        <v>25</v>
      </c>
      <c r="H432" s="259"/>
      <c r="I432" s="260"/>
      <c r="J432" s="72"/>
      <c r="K432" s="260"/>
      <c r="L432" s="72"/>
    </row>
    <row r="433" spans="1:12" x14ac:dyDescent="0.3">
      <c r="A433" s="258" t="s">
        <v>345</v>
      </c>
      <c r="B433" s="72" t="s">
        <v>344</v>
      </c>
      <c r="C433" s="72" t="s">
        <v>1496</v>
      </c>
      <c r="D433" s="72" t="s">
        <v>67</v>
      </c>
      <c r="E433" s="72"/>
      <c r="F433" s="72" t="s">
        <v>1617</v>
      </c>
      <c r="G433" s="72">
        <v>20</v>
      </c>
      <c r="H433" s="259"/>
      <c r="I433" s="260"/>
      <c r="J433" s="72"/>
      <c r="K433" s="260"/>
      <c r="L433" s="72"/>
    </row>
    <row r="434" spans="1:12" x14ac:dyDescent="0.3">
      <c r="A434" s="258" t="s">
        <v>343</v>
      </c>
      <c r="B434" s="72" t="s">
        <v>342</v>
      </c>
      <c r="C434" s="72" t="s">
        <v>1497</v>
      </c>
      <c r="D434" s="72" t="s">
        <v>67</v>
      </c>
      <c r="E434" s="72"/>
      <c r="F434" s="72" t="s">
        <v>1617</v>
      </c>
      <c r="G434" s="72">
        <v>20</v>
      </c>
      <c r="H434" s="259"/>
      <c r="I434" s="260"/>
      <c r="J434" s="72"/>
      <c r="K434" s="260"/>
      <c r="L434" s="72"/>
    </row>
    <row r="435" spans="1:12" x14ac:dyDescent="0.3">
      <c r="A435" s="258" t="s">
        <v>341</v>
      </c>
      <c r="B435" s="72" t="s">
        <v>1839</v>
      </c>
      <c r="C435" s="72" t="s">
        <v>1840</v>
      </c>
      <c r="D435" s="72" t="s">
        <v>67</v>
      </c>
      <c r="E435" s="72"/>
      <c r="F435" s="72" t="s">
        <v>1616</v>
      </c>
      <c r="G435" s="72">
        <v>8</v>
      </c>
      <c r="H435" s="259"/>
      <c r="I435" s="260"/>
      <c r="J435" s="72"/>
      <c r="K435" s="260"/>
      <c r="L435" s="72"/>
    </row>
    <row r="436" spans="1:12" x14ac:dyDescent="0.3">
      <c r="A436" s="258" t="s">
        <v>340</v>
      </c>
      <c r="B436" s="72" t="s">
        <v>339</v>
      </c>
      <c r="C436" s="72" t="s">
        <v>1498</v>
      </c>
      <c r="D436" s="72" t="s">
        <v>67</v>
      </c>
      <c r="E436" s="72"/>
      <c r="F436" s="72" t="s">
        <v>1617</v>
      </c>
      <c r="G436" s="72">
        <v>20</v>
      </c>
      <c r="H436" s="259"/>
      <c r="I436" s="260"/>
      <c r="J436" s="72"/>
      <c r="K436" s="260"/>
      <c r="L436" s="72"/>
    </row>
    <row r="437" spans="1:12" x14ac:dyDescent="0.3">
      <c r="A437" s="258" t="s">
        <v>1841</v>
      </c>
      <c r="B437" s="72" t="s">
        <v>1842</v>
      </c>
      <c r="C437" s="72" t="s">
        <v>1843</v>
      </c>
      <c r="D437" s="72" t="s">
        <v>67</v>
      </c>
      <c r="E437" s="72"/>
      <c r="F437" s="72" t="s">
        <v>1616</v>
      </c>
      <c r="G437" s="72">
        <v>12</v>
      </c>
      <c r="H437" s="259"/>
      <c r="I437" s="260"/>
      <c r="J437" s="72"/>
      <c r="K437" s="260"/>
      <c r="L437" s="72"/>
    </row>
    <row r="438" spans="1:12" x14ac:dyDescent="0.3">
      <c r="A438" s="258" t="s">
        <v>338</v>
      </c>
      <c r="B438" s="72" t="s">
        <v>1844</v>
      </c>
      <c r="C438" s="72" t="s">
        <v>1845</v>
      </c>
      <c r="D438" s="72" t="s">
        <v>67</v>
      </c>
      <c r="E438" s="72"/>
      <c r="F438" s="72" t="s">
        <v>1616</v>
      </c>
      <c r="G438" s="72">
        <v>15</v>
      </c>
      <c r="H438" s="259"/>
      <c r="I438" s="260"/>
      <c r="J438" s="72"/>
      <c r="K438" s="260"/>
      <c r="L438" s="72"/>
    </row>
    <row r="439" spans="1:12" x14ac:dyDescent="0.3">
      <c r="A439" s="258" t="s">
        <v>337</v>
      </c>
      <c r="B439" s="72" t="s">
        <v>336</v>
      </c>
      <c r="C439" s="72" t="s">
        <v>1187</v>
      </c>
      <c r="D439" s="72" t="s">
        <v>67</v>
      </c>
      <c r="E439" s="72"/>
      <c r="F439" s="72" t="s">
        <v>1614</v>
      </c>
      <c r="G439" s="72">
        <v>30</v>
      </c>
      <c r="H439" s="259"/>
      <c r="I439" s="260">
        <v>23</v>
      </c>
      <c r="J439" s="72"/>
      <c r="K439" s="260">
        <v>23</v>
      </c>
      <c r="L439" s="72"/>
    </row>
    <row r="440" spans="1:12" x14ac:dyDescent="0.3">
      <c r="A440" s="258" t="s">
        <v>335</v>
      </c>
      <c r="B440" s="72" t="s">
        <v>334</v>
      </c>
      <c r="C440" s="72" t="s">
        <v>1499</v>
      </c>
      <c r="D440" s="72" t="s">
        <v>166</v>
      </c>
      <c r="E440" s="72"/>
      <c r="F440" s="72" t="s">
        <v>1614</v>
      </c>
      <c r="G440" s="72">
        <v>30</v>
      </c>
      <c r="H440" s="259"/>
      <c r="I440" s="260"/>
      <c r="J440" s="72"/>
      <c r="K440" s="260"/>
      <c r="L440" s="72"/>
    </row>
    <row r="441" spans="1:12" x14ac:dyDescent="0.3">
      <c r="A441" s="258" t="s">
        <v>333</v>
      </c>
      <c r="B441" s="72" t="s">
        <v>332</v>
      </c>
      <c r="C441" s="72" t="s">
        <v>1500</v>
      </c>
      <c r="D441" s="72" t="s">
        <v>122</v>
      </c>
      <c r="E441" s="72"/>
      <c r="F441" s="72" t="s">
        <v>1614</v>
      </c>
      <c r="G441" s="72">
        <v>35</v>
      </c>
      <c r="H441" s="259"/>
      <c r="I441" s="260"/>
      <c r="J441" s="72"/>
      <c r="K441" s="260"/>
      <c r="L441" s="72"/>
    </row>
    <row r="442" spans="1:12" x14ac:dyDescent="0.3">
      <c r="A442" s="258" t="s">
        <v>331</v>
      </c>
      <c r="B442" s="72" t="s">
        <v>330</v>
      </c>
      <c r="C442" s="72" t="s">
        <v>1501</v>
      </c>
      <c r="D442" s="72" t="s">
        <v>67</v>
      </c>
      <c r="E442" s="72"/>
      <c r="F442" s="72" t="s">
        <v>1614</v>
      </c>
      <c r="G442" s="72">
        <v>70</v>
      </c>
      <c r="H442" s="259"/>
      <c r="I442" s="260"/>
      <c r="J442" s="72"/>
      <c r="K442" s="260"/>
      <c r="L442" s="72"/>
    </row>
    <row r="443" spans="1:12" x14ac:dyDescent="0.3">
      <c r="A443" s="258" t="s">
        <v>329</v>
      </c>
      <c r="B443" s="72" t="s">
        <v>328</v>
      </c>
      <c r="C443" s="72" t="s">
        <v>1502</v>
      </c>
      <c r="D443" s="72" t="s">
        <v>67</v>
      </c>
      <c r="E443" s="72"/>
      <c r="F443" s="72" t="s">
        <v>1615</v>
      </c>
      <c r="G443" s="72">
        <v>30</v>
      </c>
      <c r="H443" s="259"/>
      <c r="I443" s="260"/>
      <c r="J443" s="72"/>
      <c r="K443" s="260"/>
      <c r="L443" s="72"/>
    </row>
    <row r="444" spans="1:12" x14ac:dyDescent="0.3">
      <c r="A444" s="258" t="s">
        <v>327</v>
      </c>
      <c r="B444" s="72" t="s">
        <v>326</v>
      </c>
      <c r="C444" s="72" t="s">
        <v>1188</v>
      </c>
      <c r="D444" s="72" t="s">
        <v>67</v>
      </c>
      <c r="E444" s="72"/>
      <c r="F444" s="72" t="s">
        <v>1617</v>
      </c>
      <c r="G444" s="72">
        <v>20</v>
      </c>
      <c r="H444" s="259"/>
      <c r="I444" s="260">
        <v>13</v>
      </c>
      <c r="J444" s="72"/>
      <c r="K444" s="260">
        <v>13</v>
      </c>
      <c r="L444" s="72"/>
    </row>
    <row r="445" spans="1:12" x14ac:dyDescent="0.3">
      <c r="A445" s="258" t="s">
        <v>325</v>
      </c>
      <c r="B445" s="72" t="s">
        <v>324</v>
      </c>
      <c r="C445" s="72" t="s">
        <v>1189</v>
      </c>
      <c r="D445" s="72" t="s">
        <v>67</v>
      </c>
      <c r="E445" s="72"/>
      <c r="F445" s="72" t="s">
        <v>1614</v>
      </c>
      <c r="G445" s="72">
        <v>30</v>
      </c>
      <c r="H445" s="259"/>
      <c r="I445" s="260">
        <v>13</v>
      </c>
      <c r="J445" s="72"/>
      <c r="K445" s="260">
        <v>13</v>
      </c>
      <c r="L445" s="72"/>
    </row>
    <row r="446" spans="1:12" x14ac:dyDescent="0.3">
      <c r="A446" s="258" t="s">
        <v>323</v>
      </c>
      <c r="B446" s="72" t="s">
        <v>322</v>
      </c>
      <c r="C446" s="72" t="s">
        <v>1190</v>
      </c>
      <c r="D446" s="72" t="s">
        <v>67</v>
      </c>
      <c r="E446" s="72"/>
      <c r="F446" s="72" t="s">
        <v>1616</v>
      </c>
      <c r="G446" s="72">
        <v>12</v>
      </c>
      <c r="H446" s="259"/>
      <c r="I446" s="260">
        <v>13</v>
      </c>
      <c r="J446" s="72"/>
      <c r="K446" s="260">
        <v>13</v>
      </c>
      <c r="L446" s="72"/>
    </row>
    <row r="447" spans="1:12" x14ac:dyDescent="0.3">
      <c r="A447" s="258" t="s">
        <v>321</v>
      </c>
      <c r="B447" s="72" t="s">
        <v>320</v>
      </c>
      <c r="C447" s="72" t="s">
        <v>1191</v>
      </c>
      <c r="D447" s="72" t="s">
        <v>67</v>
      </c>
      <c r="E447" s="72"/>
      <c r="F447" s="72" t="s">
        <v>1616</v>
      </c>
      <c r="G447" s="72">
        <v>15</v>
      </c>
      <c r="H447" s="259"/>
      <c r="I447" s="260">
        <v>13</v>
      </c>
      <c r="J447" s="72"/>
      <c r="K447" s="260">
        <v>13</v>
      </c>
      <c r="L447" s="72"/>
    </row>
    <row r="448" spans="1:12" x14ac:dyDescent="0.3">
      <c r="A448" s="258" t="s">
        <v>319</v>
      </c>
      <c r="B448" s="72" t="s">
        <v>318</v>
      </c>
      <c r="C448" s="72" t="s">
        <v>1503</v>
      </c>
      <c r="D448" s="72" t="s">
        <v>67</v>
      </c>
      <c r="E448" s="72"/>
      <c r="F448" s="72" t="s">
        <v>1614</v>
      </c>
      <c r="G448" s="72">
        <v>30</v>
      </c>
      <c r="H448" s="259"/>
      <c r="I448" s="260"/>
      <c r="J448" s="72"/>
      <c r="K448" s="260"/>
      <c r="L448" s="72"/>
    </row>
    <row r="449" spans="1:12" x14ac:dyDescent="0.3">
      <c r="A449" s="258" t="s">
        <v>317</v>
      </c>
      <c r="B449" s="72" t="s">
        <v>316</v>
      </c>
      <c r="C449" s="72" t="s">
        <v>1504</v>
      </c>
      <c r="D449" s="72" t="s">
        <v>67</v>
      </c>
      <c r="E449" s="72"/>
      <c r="F449" s="72" t="s">
        <v>1751</v>
      </c>
      <c r="G449" s="72">
        <v>25</v>
      </c>
      <c r="H449" s="259"/>
      <c r="I449" s="260"/>
      <c r="J449" s="72"/>
      <c r="K449" s="260"/>
      <c r="L449" s="72"/>
    </row>
    <row r="450" spans="1:12" x14ac:dyDescent="0.3">
      <c r="A450" s="258" t="s">
        <v>315</v>
      </c>
      <c r="B450" s="72" t="s">
        <v>314</v>
      </c>
      <c r="C450" s="72" t="s">
        <v>1505</v>
      </c>
      <c r="D450" s="72" t="s">
        <v>67</v>
      </c>
      <c r="E450" s="72"/>
      <c r="F450" s="72" t="s">
        <v>1617</v>
      </c>
      <c r="G450" s="72">
        <v>20</v>
      </c>
      <c r="H450" s="259"/>
      <c r="I450" s="260"/>
      <c r="J450" s="72"/>
      <c r="K450" s="260"/>
      <c r="L450" s="72"/>
    </row>
    <row r="451" spans="1:12" x14ac:dyDescent="0.3">
      <c r="A451" s="258" t="s">
        <v>313</v>
      </c>
      <c r="B451" s="72" t="s">
        <v>312</v>
      </c>
      <c r="C451" s="72" t="s">
        <v>1506</v>
      </c>
      <c r="D451" s="72" t="s">
        <v>67</v>
      </c>
      <c r="E451" s="72"/>
      <c r="F451" s="72" t="s">
        <v>1751</v>
      </c>
      <c r="G451" s="72">
        <v>25</v>
      </c>
      <c r="H451" s="259"/>
      <c r="I451" s="260"/>
      <c r="J451" s="72"/>
      <c r="K451" s="260"/>
      <c r="L451" s="72"/>
    </row>
    <row r="452" spans="1:12" x14ac:dyDescent="0.3">
      <c r="A452" s="258" t="s">
        <v>311</v>
      </c>
      <c r="B452" s="72" t="s">
        <v>310</v>
      </c>
      <c r="C452" s="72" t="s">
        <v>1507</v>
      </c>
      <c r="D452" s="72" t="s">
        <v>67</v>
      </c>
      <c r="E452" s="72"/>
      <c r="F452" s="72" t="s">
        <v>1614</v>
      </c>
      <c r="G452" s="72">
        <v>50</v>
      </c>
      <c r="H452" s="259" t="s">
        <v>65</v>
      </c>
      <c r="I452" s="260"/>
      <c r="J452" s="72"/>
      <c r="K452" s="260"/>
      <c r="L452" s="72"/>
    </row>
    <row r="453" spans="1:12" x14ac:dyDescent="0.3">
      <c r="A453" s="258" t="s">
        <v>309</v>
      </c>
      <c r="B453" s="72" t="s">
        <v>308</v>
      </c>
      <c r="C453" s="72" t="s">
        <v>1508</v>
      </c>
      <c r="D453" s="72" t="s">
        <v>67</v>
      </c>
      <c r="E453" s="72"/>
      <c r="F453" s="72" t="s">
        <v>1614</v>
      </c>
      <c r="G453" s="72">
        <v>80</v>
      </c>
      <c r="H453" s="259"/>
      <c r="I453" s="260"/>
      <c r="J453" s="72"/>
      <c r="K453" s="260"/>
      <c r="L453" s="72"/>
    </row>
    <row r="454" spans="1:12" x14ac:dyDescent="0.3">
      <c r="A454" s="258" t="s">
        <v>307</v>
      </c>
      <c r="B454" s="72" t="s">
        <v>306</v>
      </c>
      <c r="C454" s="72" t="s">
        <v>1509</v>
      </c>
      <c r="D454" s="72" t="s">
        <v>81</v>
      </c>
      <c r="E454" s="72"/>
      <c r="F454" s="72" t="s">
        <v>1614</v>
      </c>
      <c r="G454" s="72">
        <v>70</v>
      </c>
      <c r="H454" s="259"/>
      <c r="I454" s="260"/>
      <c r="J454" s="72"/>
      <c r="K454" s="260"/>
      <c r="L454" s="72"/>
    </row>
    <row r="455" spans="1:12" x14ac:dyDescent="0.3">
      <c r="A455" s="258" t="s">
        <v>305</v>
      </c>
      <c r="B455" s="72" t="s">
        <v>304</v>
      </c>
      <c r="C455" s="72" t="s">
        <v>1510</v>
      </c>
      <c r="D455" s="72" t="s">
        <v>67</v>
      </c>
      <c r="E455" s="72"/>
      <c r="F455" s="72" t="s">
        <v>1614</v>
      </c>
      <c r="G455" s="72">
        <v>60</v>
      </c>
      <c r="H455" s="259"/>
      <c r="I455" s="260"/>
      <c r="J455" s="72"/>
      <c r="K455" s="260"/>
      <c r="L455" s="72"/>
    </row>
    <row r="456" spans="1:12" x14ac:dyDescent="0.3">
      <c r="A456" s="258" t="s">
        <v>303</v>
      </c>
      <c r="B456" s="72" t="s">
        <v>302</v>
      </c>
      <c r="C456" s="72" t="s">
        <v>1511</v>
      </c>
      <c r="D456" s="72" t="s">
        <v>67</v>
      </c>
      <c r="E456" s="72"/>
      <c r="F456" s="72" t="s">
        <v>1614</v>
      </c>
      <c r="G456" s="72">
        <v>45</v>
      </c>
      <c r="H456" s="259"/>
      <c r="I456" s="260"/>
      <c r="J456" s="72"/>
      <c r="K456" s="260"/>
      <c r="L456" s="72"/>
    </row>
    <row r="457" spans="1:12" x14ac:dyDescent="0.3">
      <c r="A457" s="258" t="s">
        <v>301</v>
      </c>
      <c r="B457" s="72" t="s">
        <v>300</v>
      </c>
      <c r="C457" s="72" t="s">
        <v>1512</v>
      </c>
      <c r="D457" s="72" t="s">
        <v>67</v>
      </c>
      <c r="E457" s="72"/>
      <c r="F457" s="72" t="s">
        <v>1614</v>
      </c>
      <c r="G457" s="72">
        <v>40</v>
      </c>
      <c r="H457" s="259"/>
      <c r="I457" s="260"/>
      <c r="J457" s="72"/>
      <c r="K457" s="260"/>
      <c r="L457" s="72"/>
    </row>
    <row r="458" spans="1:12" x14ac:dyDescent="0.3">
      <c r="A458" s="258" t="s">
        <v>299</v>
      </c>
      <c r="B458" s="72" t="s">
        <v>298</v>
      </c>
      <c r="C458" s="72" t="s">
        <v>1513</v>
      </c>
      <c r="D458" s="72" t="s">
        <v>81</v>
      </c>
      <c r="E458" s="72"/>
      <c r="F458" s="72" t="s">
        <v>1614</v>
      </c>
      <c r="G458" s="72">
        <v>50</v>
      </c>
      <c r="H458" s="259"/>
      <c r="I458" s="260"/>
      <c r="J458" s="72"/>
      <c r="K458" s="260"/>
      <c r="L458" s="72"/>
    </row>
    <row r="459" spans="1:12" x14ac:dyDescent="0.3">
      <c r="A459" s="258" t="s">
        <v>297</v>
      </c>
      <c r="B459" s="72" t="s">
        <v>296</v>
      </c>
      <c r="C459" s="72" t="s">
        <v>1514</v>
      </c>
      <c r="D459" s="72" t="s">
        <v>67</v>
      </c>
      <c r="E459" s="72"/>
      <c r="F459" s="72" t="s">
        <v>1614</v>
      </c>
      <c r="G459" s="72">
        <v>45</v>
      </c>
      <c r="H459" s="259"/>
      <c r="I459" s="260"/>
      <c r="J459" s="72"/>
      <c r="K459" s="260"/>
      <c r="L459" s="72"/>
    </row>
    <row r="460" spans="1:12" x14ac:dyDescent="0.3">
      <c r="A460" s="258" t="s">
        <v>295</v>
      </c>
      <c r="B460" s="72" t="s">
        <v>294</v>
      </c>
      <c r="C460" s="72" t="s">
        <v>1515</v>
      </c>
      <c r="D460" s="72" t="s">
        <v>67</v>
      </c>
      <c r="E460" s="72"/>
      <c r="F460" s="72" t="s">
        <v>1614</v>
      </c>
      <c r="G460" s="72">
        <v>40</v>
      </c>
      <c r="H460" s="259"/>
      <c r="I460" s="260"/>
      <c r="J460" s="72"/>
      <c r="K460" s="260"/>
      <c r="L460" s="72"/>
    </row>
    <row r="461" spans="1:12" x14ac:dyDescent="0.3">
      <c r="A461" s="258" t="s">
        <v>293</v>
      </c>
      <c r="B461" s="72" t="s">
        <v>2137</v>
      </c>
      <c r="C461" s="72" t="s">
        <v>2138</v>
      </c>
      <c r="D461" s="72" t="s">
        <v>67</v>
      </c>
      <c r="E461" s="72"/>
      <c r="F461" s="72" t="s">
        <v>1614</v>
      </c>
      <c r="G461" s="72">
        <v>40</v>
      </c>
      <c r="H461" s="259"/>
      <c r="I461" s="260">
        <v>6</v>
      </c>
      <c r="J461" s="72"/>
      <c r="K461" s="260">
        <v>6</v>
      </c>
      <c r="L461" s="72"/>
    </row>
    <row r="462" spans="1:12" x14ac:dyDescent="0.3">
      <c r="A462" s="258" t="s">
        <v>1846</v>
      </c>
      <c r="B462" s="72" t="s">
        <v>292</v>
      </c>
      <c r="C462" s="72" t="s">
        <v>1847</v>
      </c>
      <c r="D462" s="72" t="s">
        <v>81</v>
      </c>
      <c r="E462" s="72"/>
      <c r="F462" s="72" t="s">
        <v>1751</v>
      </c>
      <c r="G462" s="72">
        <v>25</v>
      </c>
      <c r="H462" s="259"/>
      <c r="I462" s="260"/>
      <c r="J462" s="72"/>
      <c r="K462" s="260"/>
      <c r="L462" s="72"/>
    </row>
    <row r="463" spans="1:12" x14ac:dyDescent="0.3">
      <c r="A463" s="258" t="s">
        <v>291</v>
      </c>
      <c r="B463" s="72" t="s">
        <v>290</v>
      </c>
      <c r="C463" s="72" t="s">
        <v>1516</v>
      </c>
      <c r="D463" s="72" t="s">
        <v>81</v>
      </c>
      <c r="E463" s="72"/>
      <c r="F463" s="72" t="s">
        <v>1614</v>
      </c>
      <c r="G463" s="72">
        <v>30</v>
      </c>
      <c r="H463" s="259"/>
      <c r="I463" s="260"/>
      <c r="J463" s="72"/>
      <c r="K463" s="260"/>
      <c r="L463" s="72"/>
    </row>
    <row r="464" spans="1:12" x14ac:dyDescent="0.3">
      <c r="A464" s="258" t="s">
        <v>289</v>
      </c>
      <c r="B464" s="72" t="s">
        <v>288</v>
      </c>
      <c r="C464" s="72" t="s">
        <v>1517</v>
      </c>
      <c r="D464" s="72" t="s">
        <v>67</v>
      </c>
      <c r="E464" s="72"/>
      <c r="F464" s="72" t="s">
        <v>1614</v>
      </c>
      <c r="G464" s="72">
        <v>45</v>
      </c>
      <c r="H464" s="259"/>
      <c r="I464" s="260"/>
      <c r="J464" s="72"/>
      <c r="K464" s="260"/>
      <c r="L464" s="72"/>
    </row>
    <row r="465" spans="1:12" x14ac:dyDescent="0.3">
      <c r="A465" s="258" t="s">
        <v>1848</v>
      </c>
      <c r="B465" s="72" t="s">
        <v>1849</v>
      </c>
      <c r="C465" s="72" t="s">
        <v>1850</v>
      </c>
      <c r="D465" s="72" t="s">
        <v>67</v>
      </c>
      <c r="E465" s="72"/>
      <c r="F465" s="72" t="s">
        <v>1614</v>
      </c>
      <c r="G465" s="72">
        <v>50</v>
      </c>
      <c r="H465" s="259"/>
      <c r="I465" s="260"/>
      <c r="J465" s="72"/>
      <c r="K465" s="260"/>
      <c r="L465" s="72"/>
    </row>
    <row r="466" spans="1:12" x14ac:dyDescent="0.3">
      <c r="A466" s="258" t="s">
        <v>287</v>
      </c>
      <c r="B466" s="72" t="s">
        <v>1851</v>
      </c>
      <c r="C466" s="72" t="s">
        <v>1852</v>
      </c>
      <c r="D466" s="72" t="s">
        <v>67</v>
      </c>
      <c r="E466" s="72"/>
      <c r="F466" s="72" t="s">
        <v>1614</v>
      </c>
      <c r="G466" s="72">
        <v>80</v>
      </c>
      <c r="H466" s="259"/>
      <c r="I466" s="260"/>
      <c r="J466" s="72"/>
      <c r="K466" s="260"/>
      <c r="L466" s="72"/>
    </row>
    <row r="467" spans="1:12" x14ac:dyDescent="0.3">
      <c r="A467" s="258" t="s">
        <v>286</v>
      </c>
      <c r="B467" s="72" t="s">
        <v>285</v>
      </c>
      <c r="C467" s="72" t="s">
        <v>1518</v>
      </c>
      <c r="D467" s="72" t="s">
        <v>67</v>
      </c>
      <c r="E467" s="72"/>
      <c r="F467" s="72" t="s">
        <v>1614</v>
      </c>
      <c r="G467" s="72">
        <v>60</v>
      </c>
      <c r="H467" s="259"/>
      <c r="I467" s="260"/>
      <c r="J467" s="72"/>
      <c r="K467" s="260"/>
      <c r="L467" s="72"/>
    </row>
    <row r="468" spans="1:12" x14ac:dyDescent="0.3">
      <c r="A468" s="258" t="s">
        <v>284</v>
      </c>
      <c r="B468" s="72" t="s">
        <v>283</v>
      </c>
      <c r="C468" s="72" t="s">
        <v>1519</v>
      </c>
      <c r="D468" s="72" t="s">
        <v>67</v>
      </c>
      <c r="E468" s="72"/>
      <c r="F468" s="72" t="s">
        <v>1614</v>
      </c>
      <c r="G468" s="72">
        <v>45</v>
      </c>
      <c r="H468" s="259"/>
      <c r="I468" s="260"/>
      <c r="J468" s="72"/>
      <c r="K468" s="260"/>
      <c r="L468" s="72"/>
    </row>
    <row r="469" spans="1:12" x14ac:dyDescent="0.3">
      <c r="A469" s="258" t="s">
        <v>282</v>
      </c>
      <c r="B469" s="72" t="s">
        <v>281</v>
      </c>
      <c r="C469" s="72" t="s">
        <v>1520</v>
      </c>
      <c r="D469" s="72" t="s">
        <v>81</v>
      </c>
      <c r="E469" s="72"/>
      <c r="F469" s="72" t="s">
        <v>1617</v>
      </c>
      <c r="G469" s="72">
        <v>20</v>
      </c>
      <c r="H469" s="259"/>
      <c r="I469" s="260"/>
      <c r="J469" s="72"/>
      <c r="K469" s="260"/>
      <c r="L469" s="72"/>
    </row>
    <row r="470" spans="1:12" x14ac:dyDescent="0.3">
      <c r="A470" s="258" t="s">
        <v>280</v>
      </c>
      <c r="B470" s="72" t="s">
        <v>279</v>
      </c>
      <c r="C470" s="72" t="s">
        <v>1521</v>
      </c>
      <c r="D470" s="72" t="s">
        <v>67</v>
      </c>
      <c r="E470" s="72"/>
      <c r="F470" s="72" t="s">
        <v>1614</v>
      </c>
      <c r="G470" s="72">
        <v>60</v>
      </c>
      <c r="H470" s="259"/>
      <c r="I470" s="260"/>
      <c r="J470" s="72"/>
      <c r="K470" s="260"/>
      <c r="L470" s="72"/>
    </row>
    <row r="471" spans="1:12" x14ac:dyDescent="0.3">
      <c r="A471" s="258" t="s">
        <v>278</v>
      </c>
      <c r="B471" s="72" t="s">
        <v>277</v>
      </c>
      <c r="C471" s="72" t="s">
        <v>1522</v>
      </c>
      <c r="D471" s="72" t="s">
        <v>67</v>
      </c>
      <c r="E471" s="72"/>
      <c r="F471" s="72" t="s">
        <v>1614</v>
      </c>
      <c r="G471" s="72">
        <v>60</v>
      </c>
      <c r="H471" s="259"/>
      <c r="I471" s="260"/>
      <c r="J471" s="72"/>
      <c r="K471" s="260"/>
      <c r="L471" s="72"/>
    </row>
    <row r="472" spans="1:12" x14ac:dyDescent="0.3">
      <c r="A472" s="258" t="s">
        <v>276</v>
      </c>
      <c r="B472" s="72" t="s">
        <v>275</v>
      </c>
      <c r="C472" s="72" t="s">
        <v>1523</v>
      </c>
      <c r="D472" s="72" t="s">
        <v>67</v>
      </c>
      <c r="E472" s="72"/>
      <c r="F472" s="72" t="s">
        <v>1614</v>
      </c>
      <c r="G472" s="72">
        <v>80</v>
      </c>
      <c r="H472" s="259"/>
      <c r="I472" s="260"/>
      <c r="J472" s="72"/>
      <c r="K472" s="260"/>
      <c r="L472" s="72"/>
    </row>
    <row r="473" spans="1:12" x14ac:dyDescent="0.3">
      <c r="A473" s="258" t="s">
        <v>274</v>
      </c>
      <c r="B473" s="72" t="s">
        <v>273</v>
      </c>
      <c r="C473" s="72" t="s">
        <v>1524</v>
      </c>
      <c r="D473" s="72" t="s">
        <v>67</v>
      </c>
      <c r="E473" s="72"/>
      <c r="F473" s="72" t="s">
        <v>1614</v>
      </c>
      <c r="G473" s="72">
        <v>50</v>
      </c>
      <c r="H473" s="259"/>
      <c r="I473" s="260"/>
      <c r="J473" s="72"/>
      <c r="K473" s="260"/>
      <c r="L473" s="72"/>
    </row>
    <row r="474" spans="1:12" x14ac:dyDescent="0.3">
      <c r="A474" s="258" t="s">
        <v>272</v>
      </c>
      <c r="B474" s="72" t="s">
        <v>271</v>
      </c>
      <c r="C474" s="72" t="s">
        <v>1525</v>
      </c>
      <c r="D474" s="72" t="s">
        <v>67</v>
      </c>
      <c r="E474" s="72"/>
      <c r="F474" s="72" t="s">
        <v>1614</v>
      </c>
      <c r="G474" s="72">
        <v>70</v>
      </c>
      <c r="H474" s="259"/>
      <c r="I474" s="260"/>
      <c r="J474" s="72"/>
      <c r="K474" s="260"/>
      <c r="L474" s="72"/>
    </row>
    <row r="475" spans="1:12" x14ac:dyDescent="0.3">
      <c r="A475" s="258" t="s">
        <v>270</v>
      </c>
      <c r="B475" s="72" t="s">
        <v>269</v>
      </c>
      <c r="C475" s="72" t="s">
        <v>1526</v>
      </c>
      <c r="D475" s="72" t="s">
        <v>67</v>
      </c>
      <c r="E475" s="72"/>
      <c r="F475" s="72" t="s">
        <v>1614</v>
      </c>
      <c r="G475" s="72">
        <v>70</v>
      </c>
      <c r="H475" s="259"/>
      <c r="I475" s="260"/>
      <c r="J475" s="72"/>
      <c r="K475" s="260"/>
      <c r="L475" s="72"/>
    </row>
    <row r="476" spans="1:12" x14ac:dyDescent="0.3">
      <c r="A476" s="258" t="s">
        <v>1853</v>
      </c>
      <c r="B476" s="72" t="s">
        <v>2130</v>
      </c>
      <c r="C476" s="72" t="s">
        <v>2131</v>
      </c>
      <c r="D476" s="72" t="s">
        <v>67</v>
      </c>
      <c r="E476" s="72"/>
      <c r="F476" s="72" t="s">
        <v>1617</v>
      </c>
      <c r="G476" s="72">
        <v>15</v>
      </c>
      <c r="H476" s="259"/>
      <c r="I476" s="260"/>
      <c r="J476" s="72"/>
      <c r="K476" s="260"/>
      <c r="L476" s="72"/>
    </row>
    <row r="477" spans="1:12" x14ac:dyDescent="0.3">
      <c r="A477" s="258" t="s">
        <v>268</v>
      </c>
      <c r="B477" s="72" t="s">
        <v>267</v>
      </c>
      <c r="C477" s="72" t="s">
        <v>1527</v>
      </c>
      <c r="D477" s="72" t="s">
        <v>67</v>
      </c>
      <c r="E477" s="72"/>
      <c r="F477" s="72" t="s">
        <v>1614</v>
      </c>
      <c r="G477" s="72">
        <v>45</v>
      </c>
      <c r="H477" s="259"/>
      <c r="I477" s="260"/>
      <c r="J477" s="72"/>
      <c r="K477" s="260"/>
      <c r="L477" s="72"/>
    </row>
    <row r="478" spans="1:12" x14ac:dyDescent="0.3">
      <c r="A478" s="258" t="s">
        <v>266</v>
      </c>
      <c r="B478" s="72" t="s">
        <v>265</v>
      </c>
      <c r="C478" s="72" t="s">
        <v>1528</v>
      </c>
      <c r="D478" s="72" t="s">
        <v>67</v>
      </c>
      <c r="E478" s="72"/>
      <c r="F478" s="72" t="s">
        <v>1614</v>
      </c>
      <c r="G478" s="72">
        <v>60</v>
      </c>
      <c r="H478" s="259"/>
      <c r="I478" s="260"/>
      <c r="J478" s="72"/>
      <c r="K478" s="260"/>
      <c r="L478" s="72"/>
    </row>
    <row r="479" spans="1:12" x14ac:dyDescent="0.3">
      <c r="A479" s="258" t="s">
        <v>264</v>
      </c>
      <c r="B479" s="72" t="s">
        <v>263</v>
      </c>
      <c r="C479" s="72" t="s">
        <v>1529</v>
      </c>
      <c r="D479" s="72" t="s">
        <v>1772</v>
      </c>
      <c r="E479" s="72"/>
      <c r="F479" s="72" t="s">
        <v>1672</v>
      </c>
      <c r="G479" s="72" t="s">
        <v>1672</v>
      </c>
      <c r="H479" s="259" t="s">
        <v>65</v>
      </c>
      <c r="I479" s="260"/>
      <c r="J479" s="72"/>
      <c r="K479" s="260"/>
      <c r="L479" s="72"/>
    </row>
    <row r="480" spans="1:12" x14ac:dyDescent="0.3">
      <c r="A480" s="258" t="s">
        <v>262</v>
      </c>
      <c r="B480" s="72" t="s">
        <v>261</v>
      </c>
      <c r="C480" s="72" t="s">
        <v>1530</v>
      </c>
      <c r="D480" s="72" t="s">
        <v>81</v>
      </c>
      <c r="E480" s="72"/>
      <c r="F480" s="72" t="s">
        <v>1614</v>
      </c>
      <c r="G480" s="72">
        <v>60</v>
      </c>
      <c r="H480" s="259"/>
      <c r="I480" s="260"/>
      <c r="J480" s="72"/>
      <c r="K480" s="260"/>
      <c r="L480" s="72"/>
    </row>
    <row r="481" spans="1:12" x14ac:dyDescent="0.3">
      <c r="A481" s="258" t="s">
        <v>260</v>
      </c>
      <c r="B481" s="72" t="s">
        <v>259</v>
      </c>
      <c r="C481" s="72" t="s">
        <v>1531</v>
      </c>
      <c r="D481" s="72" t="s">
        <v>67</v>
      </c>
      <c r="E481" s="72"/>
      <c r="F481" s="72" t="s">
        <v>1614</v>
      </c>
      <c r="G481" s="72">
        <v>45</v>
      </c>
      <c r="H481" s="259"/>
      <c r="I481" s="260"/>
      <c r="J481" s="72"/>
      <c r="K481" s="260"/>
      <c r="L481" s="72"/>
    </row>
    <row r="482" spans="1:12" x14ac:dyDescent="0.3">
      <c r="A482" s="258" t="s">
        <v>1854</v>
      </c>
      <c r="B482" s="72" t="s">
        <v>1855</v>
      </c>
      <c r="C482" s="72" t="s">
        <v>1856</v>
      </c>
      <c r="D482" s="72" t="s">
        <v>67</v>
      </c>
      <c r="E482" s="72"/>
      <c r="F482" s="72" t="s">
        <v>1617</v>
      </c>
      <c r="G482" s="72">
        <v>15</v>
      </c>
      <c r="H482" s="259"/>
      <c r="I482" s="260"/>
      <c r="J482" s="72"/>
      <c r="K482" s="260"/>
      <c r="L482" s="72"/>
    </row>
    <row r="483" spans="1:12" x14ac:dyDescent="0.3">
      <c r="A483" s="258" t="s">
        <v>258</v>
      </c>
      <c r="B483" s="72" t="s">
        <v>257</v>
      </c>
      <c r="C483" s="72" t="s">
        <v>1532</v>
      </c>
      <c r="D483" s="72" t="s">
        <v>67</v>
      </c>
      <c r="E483" s="72"/>
      <c r="F483" s="72" t="s">
        <v>1751</v>
      </c>
      <c r="G483" s="72">
        <v>25</v>
      </c>
      <c r="H483" s="259"/>
      <c r="I483" s="260"/>
      <c r="J483" s="72"/>
      <c r="K483" s="260"/>
      <c r="L483" s="72"/>
    </row>
    <row r="484" spans="1:12" x14ac:dyDescent="0.3">
      <c r="A484" s="258" t="s">
        <v>256</v>
      </c>
      <c r="B484" s="72" t="s">
        <v>255</v>
      </c>
      <c r="C484" s="72" t="s">
        <v>1533</v>
      </c>
      <c r="D484" s="72" t="s">
        <v>67</v>
      </c>
      <c r="E484" s="72"/>
      <c r="F484" s="72" t="s">
        <v>1751</v>
      </c>
      <c r="G484" s="72">
        <v>25</v>
      </c>
      <c r="H484" s="259"/>
      <c r="I484" s="260"/>
      <c r="J484" s="72"/>
      <c r="K484" s="260"/>
      <c r="L484" s="72"/>
    </row>
    <row r="485" spans="1:12" x14ac:dyDescent="0.3">
      <c r="A485" s="258" t="s">
        <v>252</v>
      </c>
      <c r="B485" s="72" t="s">
        <v>251</v>
      </c>
      <c r="C485" s="72" t="s">
        <v>1534</v>
      </c>
      <c r="D485" s="72" t="s">
        <v>67</v>
      </c>
      <c r="E485" s="72"/>
      <c r="F485" s="72" t="s">
        <v>1614</v>
      </c>
      <c r="G485" s="72">
        <v>40</v>
      </c>
      <c r="H485" s="259"/>
      <c r="I485" s="260"/>
      <c r="J485" s="72"/>
      <c r="K485" s="260"/>
      <c r="L485" s="72"/>
    </row>
    <row r="486" spans="1:12" x14ac:dyDescent="0.3">
      <c r="A486" s="258" t="s">
        <v>250</v>
      </c>
      <c r="B486" s="72" t="s">
        <v>249</v>
      </c>
      <c r="C486" s="72" t="s">
        <v>1535</v>
      </c>
      <c r="D486" s="72" t="s">
        <v>67</v>
      </c>
      <c r="E486" s="72"/>
      <c r="F486" s="72" t="s">
        <v>1672</v>
      </c>
      <c r="G486" s="72" t="s">
        <v>1672</v>
      </c>
      <c r="H486" s="259" t="s">
        <v>65</v>
      </c>
      <c r="I486" s="260"/>
      <c r="J486" s="72"/>
      <c r="K486" s="260"/>
      <c r="L486" s="72"/>
    </row>
    <row r="487" spans="1:12" x14ac:dyDescent="0.3">
      <c r="A487" s="258" t="s">
        <v>248</v>
      </c>
      <c r="B487" s="72" t="s">
        <v>247</v>
      </c>
      <c r="C487" s="72" t="s">
        <v>1536</v>
      </c>
      <c r="D487" s="72" t="s">
        <v>67</v>
      </c>
      <c r="E487" s="72"/>
      <c r="F487" s="72" t="s">
        <v>1614</v>
      </c>
      <c r="G487" s="72">
        <v>30</v>
      </c>
      <c r="H487" s="259"/>
      <c r="I487" s="260"/>
      <c r="J487" s="72"/>
      <c r="K487" s="260"/>
      <c r="L487" s="72"/>
    </row>
    <row r="488" spans="1:12" x14ac:dyDescent="0.3">
      <c r="A488" s="258" t="s">
        <v>246</v>
      </c>
      <c r="B488" s="72" t="s">
        <v>245</v>
      </c>
      <c r="C488" s="72" t="s">
        <v>1537</v>
      </c>
      <c r="D488" s="72" t="s">
        <v>67</v>
      </c>
      <c r="E488" s="72"/>
      <c r="F488" s="72" t="s">
        <v>1614</v>
      </c>
      <c r="G488" s="72">
        <v>30</v>
      </c>
      <c r="H488" s="259"/>
      <c r="I488" s="260"/>
      <c r="J488" s="72"/>
      <c r="K488" s="260"/>
      <c r="L488" s="72"/>
    </row>
    <row r="489" spans="1:12" x14ac:dyDescent="0.3">
      <c r="A489" s="258" t="s">
        <v>244</v>
      </c>
      <c r="B489" s="72" t="s">
        <v>243</v>
      </c>
      <c r="C489" s="72" t="s">
        <v>1538</v>
      </c>
      <c r="D489" s="72" t="s">
        <v>67</v>
      </c>
      <c r="E489" s="72"/>
      <c r="F489" s="72" t="s">
        <v>1614</v>
      </c>
      <c r="G489" s="72">
        <v>70</v>
      </c>
      <c r="H489" s="259"/>
      <c r="I489" s="260"/>
      <c r="J489" s="72"/>
      <c r="K489" s="260"/>
      <c r="L489" s="72"/>
    </row>
    <row r="490" spans="1:12" x14ac:dyDescent="0.3">
      <c r="A490" s="258" t="s">
        <v>242</v>
      </c>
      <c r="B490" s="72" t="s">
        <v>241</v>
      </c>
      <c r="C490" s="72" t="s">
        <v>1539</v>
      </c>
      <c r="D490" s="72" t="s">
        <v>67</v>
      </c>
      <c r="E490" s="72"/>
      <c r="F490" s="72" t="s">
        <v>1614</v>
      </c>
      <c r="G490" s="72">
        <v>50</v>
      </c>
      <c r="H490" s="259"/>
      <c r="I490" s="260"/>
      <c r="J490" s="72"/>
      <c r="K490" s="260"/>
      <c r="L490" s="72"/>
    </row>
    <row r="491" spans="1:12" x14ac:dyDescent="0.3">
      <c r="A491" s="258" t="s">
        <v>240</v>
      </c>
      <c r="B491" s="72" t="s">
        <v>239</v>
      </c>
      <c r="C491" s="72" t="s">
        <v>1192</v>
      </c>
      <c r="D491" s="72" t="s">
        <v>67</v>
      </c>
      <c r="E491" s="72"/>
      <c r="F491" s="72" t="s">
        <v>1617</v>
      </c>
      <c r="G491" s="72">
        <v>20</v>
      </c>
      <c r="H491" s="259"/>
      <c r="I491" s="260">
        <v>8</v>
      </c>
      <c r="J491" s="72"/>
      <c r="K491" s="260">
        <v>8</v>
      </c>
      <c r="L491" s="72"/>
    </row>
    <row r="492" spans="1:12" x14ac:dyDescent="0.3">
      <c r="A492" s="258" t="s">
        <v>238</v>
      </c>
      <c r="B492" s="72" t="s">
        <v>237</v>
      </c>
      <c r="C492" s="72" t="s">
        <v>1193</v>
      </c>
      <c r="D492" s="72" t="s">
        <v>67</v>
      </c>
      <c r="E492" s="72"/>
      <c r="F492" s="72" t="s">
        <v>1616</v>
      </c>
      <c r="G492" s="72">
        <v>15</v>
      </c>
      <c r="H492" s="259"/>
      <c r="I492" s="260">
        <v>8</v>
      </c>
      <c r="J492" s="72"/>
      <c r="K492" s="260">
        <v>8</v>
      </c>
      <c r="L492" s="72"/>
    </row>
    <row r="493" spans="1:12" x14ac:dyDescent="0.3">
      <c r="A493" s="258" t="s">
        <v>236</v>
      </c>
      <c r="B493" s="72" t="s">
        <v>235</v>
      </c>
      <c r="C493" s="72" t="s">
        <v>1194</v>
      </c>
      <c r="D493" s="72" t="s">
        <v>67</v>
      </c>
      <c r="E493" s="72"/>
      <c r="F493" s="72" t="s">
        <v>1617</v>
      </c>
      <c r="G493" s="72">
        <v>20</v>
      </c>
      <c r="H493" s="259"/>
      <c r="I493" s="260">
        <v>8</v>
      </c>
      <c r="J493" s="72"/>
      <c r="K493" s="260">
        <v>8</v>
      </c>
      <c r="L493" s="72"/>
    </row>
    <row r="494" spans="1:12" x14ac:dyDescent="0.3">
      <c r="A494" s="258" t="s">
        <v>234</v>
      </c>
      <c r="B494" s="72" t="s">
        <v>233</v>
      </c>
      <c r="C494" s="72" t="s">
        <v>1540</v>
      </c>
      <c r="D494" s="72" t="s">
        <v>67</v>
      </c>
      <c r="E494" s="72"/>
      <c r="F494" s="72" t="s">
        <v>1614</v>
      </c>
      <c r="G494" s="72">
        <v>30</v>
      </c>
      <c r="H494" s="259"/>
      <c r="I494" s="260"/>
      <c r="J494" s="72"/>
      <c r="K494" s="260"/>
      <c r="L494" s="72"/>
    </row>
    <row r="495" spans="1:12" x14ac:dyDescent="0.3">
      <c r="A495" s="258" t="s">
        <v>232</v>
      </c>
      <c r="B495" s="72" t="s">
        <v>231</v>
      </c>
      <c r="C495" s="72" t="s">
        <v>1195</v>
      </c>
      <c r="D495" s="72" t="s">
        <v>67</v>
      </c>
      <c r="E495" s="72"/>
      <c r="F495" s="72" t="s">
        <v>1614</v>
      </c>
      <c r="G495" s="72">
        <v>30</v>
      </c>
      <c r="H495" s="259"/>
      <c r="I495" s="260">
        <v>8</v>
      </c>
      <c r="J495" s="72"/>
      <c r="K495" s="260">
        <v>8</v>
      </c>
      <c r="L495" s="72"/>
    </row>
    <row r="496" spans="1:12" x14ac:dyDescent="0.3">
      <c r="A496" s="258" t="s">
        <v>230</v>
      </c>
      <c r="B496" s="72" t="s">
        <v>229</v>
      </c>
      <c r="C496" s="72" t="s">
        <v>1541</v>
      </c>
      <c r="D496" s="72" t="s">
        <v>67</v>
      </c>
      <c r="E496" s="72"/>
      <c r="F496" s="72" t="s">
        <v>1751</v>
      </c>
      <c r="G496" s="72">
        <v>25</v>
      </c>
      <c r="H496" s="259"/>
      <c r="I496" s="260"/>
      <c r="J496" s="72"/>
      <c r="K496" s="260"/>
      <c r="L496" s="72"/>
    </row>
    <row r="497" spans="1:12" x14ac:dyDescent="0.3">
      <c r="A497" s="258" t="s">
        <v>228</v>
      </c>
      <c r="B497" s="72" t="s">
        <v>227</v>
      </c>
      <c r="C497" s="72" t="s">
        <v>1542</v>
      </c>
      <c r="D497" s="72" t="s">
        <v>67</v>
      </c>
      <c r="E497" s="72"/>
      <c r="F497" s="72" t="s">
        <v>1614</v>
      </c>
      <c r="G497" s="72">
        <v>50</v>
      </c>
      <c r="H497" s="259"/>
      <c r="I497" s="260"/>
      <c r="J497" s="72"/>
      <c r="K497" s="260"/>
      <c r="L497" s="72"/>
    </row>
    <row r="498" spans="1:12" x14ac:dyDescent="0.3">
      <c r="A498" s="258" t="s">
        <v>226</v>
      </c>
      <c r="B498" s="72" t="s">
        <v>225</v>
      </c>
      <c r="C498" s="72" t="s">
        <v>1543</v>
      </c>
      <c r="D498" s="72" t="s">
        <v>67</v>
      </c>
      <c r="E498" s="72"/>
      <c r="F498" s="72" t="s">
        <v>1616</v>
      </c>
      <c r="G498" s="72">
        <v>14</v>
      </c>
      <c r="H498" s="259"/>
      <c r="I498" s="260"/>
      <c r="J498" s="72"/>
      <c r="K498" s="260"/>
      <c r="L498" s="72"/>
    </row>
    <row r="499" spans="1:12" x14ac:dyDescent="0.3">
      <c r="A499" s="258" t="s">
        <v>224</v>
      </c>
      <c r="B499" s="72" t="s">
        <v>223</v>
      </c>
      <c r="C499" s="72" t="s">
        <v>1544</v>
      </c>
      <c r="D499" s="72" t="s">
        <v>67</v>
      </c>
      <c r="E499" s="72"/>
      <c r="F499" s="72" t="s">
        <v>1614</v>
      </c>
      <c r="G499" s="72">
        <v>35</v>
      </c>
      <c r="H499" s="259"/>
      <c r="I499" s="260"/>
      <c r="J499" s="72"/>
      <c r="K499" s="260"/>
      <c r="L499" s="72"/>
    </row>
    <row r="500" spans="1:12" x14ac:dyDescent="0.3">
      <c r="A500" s="258" t="s">
        <v>222</v>
      </c>
      <c r="B500" s="72" t="s">
        <v>221</v>
      </c>
      <c r="C500" s="72" t="s">
        <v>1196</v>
      </c>
      <c r="D500" s="72" t="s">
        <v>67</v>
      </c>
      <c r="E500" s="72"/>
      <c r="F500" s="72" t="s">
        <v>1751</v>
      </c>
      <c r="G500" s="72">
        <v>25</v>
      </c>
      <c r="H500" s="259"/>
      <c r="I500" s="260">
        <v>8</v>
      </c>
      <c r="J500" s="72"/>
      <c r="K500" s="260">
        <v>8</v>
      </c>
      <c r="L500" s="72"/>
    </row>
    <row r="501" spans="1:12" x14ac:dyDescent="0.3">
      <c r="A501" s="258" t="s">
        <v>220</v>
      </c>
      <c r="B501" s="72" t="s">
        <v>219</v>
      </c>
      <c r="C501" s="72" t="s">
        <v>1197</v>
      </c>
      <c r="D501" s="72" t="s">
        <v>67</v>
      </c>
      <c r="E501" s="72"/>
      <c r="F501" s="72" t="s">
        <v>1751</v>
      </c>
      <c r="G501" s="72">
        <v>25</v>
      </c>
      <c r="H501" s="259"/>
      <c r="I501" s="260">
        <v>8</v>
      </c>
      <c r="J501" s="72"/>
      <c r="K501" s="260">
        <v>8</v>
      </c>
      <c r="L501" s="72"/>
    </row>
    <row r="502" spans="1:12" x14ac:dyDescent="0.3">
      <c r="A502" s="258" t="s">
        <v>218</v>
      </c>
      <c r="B502" s="72" t="s">
        <v>217</v>
      </c>
      <c r="C502" s="72" t="s">
        <v>1198</v>
      </c>
      <c r="D502" s="72" t="s">
        <v>67</v>
      </c>
      <c r="E502" s="72"/>
      <c r="F502" s="72" t="s">
        <v>1672</v>
      </c>
      <c r="G502" s="72" t="s">
        <v>1672</v>
      </c>
      <c r="H502" s="259" t="s">
        <v>65</v>
      </c>
      <c r="I502" s="260">
        <v>8</v>
      </c>
      <c r="J502" s="72"/>
      <c r="K502" s="260">
        <v>8</v>
      </c>
      <c r="L502" s="72"/>
    </row>
    <row r="503" spans="1:12" x14ac:dyDescent="0.3">
      <c r="A503" s="258" t="s">
        <v>216</v>
      </c>
      <c r="B503" s="72" t="s">
        <v>215</v>
      </c>
      <c r="C503" s="72" t="s">
        <v>1545</v>
      </c>
      <c r="D503" s="72" t="s">
        <v>67</v>
      </c>
      <c r="E503" s="72"/>
      <c r="F503" s="72" t="s">
        <v>1614</v>
      </c>
      <c r="G503" s="72">
        <v>40</v>
      </c>
      <c r="H503" s="259"/>
      <c r="I503" s="260"/>
      <c r="J503" s="72"/>
      <c r="K503" s="260"/>
      <c r="L503" s="72"/>
    </row>
    <row r="504" spans="1:12" x14ac:dyDescent="0.3">
      <c r="A504" s="258" t="s">
        <v>214</v>
      </c>
      <c r="B504" s="72" t="s">
        <v>1857</v>
      </c>
      <c r="C504" s="72" t="s">
        <v>1858</v>
      </c>
      <c r="D504" s="72" t="s">
        <v>122</v>
      </c>
      <c r="E504" s="72"/>
      <c r="F504" s="72" t="s">
        <v>1616</v>
      </c>
      <c r="G504" s="72">
        <v>10</v>
      </c>
      <c r="H504" s="259"/>
      <c r="I504" s="260"/>
      <c r="J504" s="72"/>
      <c r="K504" s="260"/>
      <c r="L504" s="72"/>
    </row>
    <row r="505" spans="1:12" x14ac:dyDescent="0.3">
      <c r="A505" s="258" t="s">
        <v>213</v>
      </c>
      <c r="B505" s="72" t="s">
        <v>212</v>
      </c>
      <c r="C505" s="72" t="s">
        <v>1546</v>
      </c>
      <c r="D505" s="72" t="s">
        <v>122</v>
      </c>
      <c r="E505" s="72"/>
      <c r="F505" s="72" t="s">
        <v>1614</v>
      </c>
      <c r="G505" s="72">
        <v>40</v>
      </c>
      <c r="H505" s="259"/>
      <c r="I505" s="260"/>
      <c r="J505" s="72"/>
      <c r="K505" s="260"/>
      <c r="L505" s="72"/>
    </row>
    <row r="506" spans="1:12" x14ac:dyDescent="0.3">
      <c r="A506" s="258" t="s">
        <v>211</v>
      </c>
      <c r="B506" s="72" t="s">
        <v>210</v>
      </c>
      <c r="C506" s="72" t="s">
        <v>1547</v>
      </c>
      <c r="D506" s="72" t="s">
        <v>122</v>
      </c>
      <c r="E506" s="72"/>
      <c r="F506" s="72" t="s">
        <v>1614</v>
      </c>
      <c r="G506" s="72">
        <v>65</v>
      </c>
      <c r="H506" s="259"/>
      <c r="I506" s="260"/>
      <c r="J506" s="72"/>
      <c r="K506" s="260"/>
      <c r="L506" s="72"/>
    </row>
    <row r="507" spans="1:12" x14ac:dyDescent="0.3">
      <c r="A507" s="258" t="s">
        <v>209</v>
      </c>
      <c r="B507" s="72" t="s">
        <v>208</v>
      </c>
      <c r="C507" s="72" t="s">
        <v>1548</v>
      </c>
      <c r="D507" s="72" t="s">
        <v>67</v>
      </c>
      <c r="E507" s="72"/>
      <c r="F507" s="72" t="s">
        <v>1751</v>
      </c>
      <c r="G507" s="72">
        <v>25</v>
      </c>
      <c r="H507" s="259"/>
      <c r="I507" s="260"/>
      <c r="J507" s="72"/>
      <c r="K507" s="260"/>
      <c r="L507" s="72"/>
    </row>
    <row r="508" spans="1:12" x14ac:dyDescent="0.3">
      <c r="A508" s="258" t="s">
        <v>207</v>
      </c>
      <c r="B508" s="72" t="s">
        <v>206</v>
      </c>
      <c r="C508" s="72" t="s">
        <v>1549</v>
      </c>
      <c r="D508" s="72" t="s">
        <v>67</v>
      </c>
      <c r="E508" s="72"/>
      <c r="F508" s="72" t="s">
        <v>1751</v>
      </c>
      <c r="G508" s="72">
        <v>25</v>
      </c>
      <c r="H508" s="259"/>
      <c r="I508" s="260"/>
      <c r="J508" s="72"/>
      <c r="K508" s="260"/>
      <c r="L508" s="72"/>
    </row>
    <row r="509" spans="1:12" x14ac:dyDescent="0.3">
      <c r="A509" s="258" t="s">
        <v>205</v>
      </c>
      <c r="B509" s="72" t="s">
        <v>204</v>
      </c>
      <c r="C509" s="72" t="s">
        <v>1550</v>
      </c>
      <c r="D509" s="72" t="s">
        <v>67</v>
      </c>
      <c r="E509" s="72"/>
      <c r="F509" s="72" t="s">
        <v>1751</v>
      </c>
      <c r="G509" s="72">
        <v>25</v>
      </c>
      <c r="H509" s="259"/>
      <c r="I509" s="260"/>
      <c r="J509" s="72"/>
      <c r="K509" s="260"/>
      <c r="L509" s="72"/>
    </row>
    <row r="510" spans="1:12" x14ac:dyDescent="0.3">
      <c r="A510" s="258" t="s">
        <v>203</v>
      </c>
      <c r="B510" s="72" t="s">
        <v>202</v>
      </c>
      <c r="C510" s="72" t="s">
        <v>1138</v>
      </c>
      <c r="D510" s="72" t="s">
        <v>67</v>
      </c>
      <c r="E510" s="72"/>
      <c r="F510" s="72" t="s">
        <v>1751</v>
      </c>
      <c r="G510" s="72">
        <v>25</v>
      </c>
      <c r="H510" s="259"/>
      <c r="I510" s="260"/>
      <c r="J510" s="72" t="b">
        <v>1</v>
      </c>
      <c r="K510" s="260"/>
      <c r="L510" s="72" t="b">
        <v>1</v>
      </c>
    </row>
    <row r="511" spans="1:12" x14ac:dyDescent="0.3">
      <c r="A511" s="258" t="s">
        <v>201</v>
      </c>
      <c r="B511" s="72" t="s">
        <v>1859</v>
      </c>
      <c r="C511" s="72" t="s">
        <v>1860</v>
      </c>
      <c r="D511" s="72" t="s">
        <v>67</v>
      </c>
      <c r="E511" s="72"/>
      <c r="F511" s="72" t="s">
        <v>1617</v>
      </c>
      <c r="G511" s="72">
        <v>20</v>
      </c>
      <c r="H511" s="259"/>
      <c r="I511" s="260"/>
      <c r="J511" s="72" t="b">
        <v>1</v>
      </c>
      <c r="K511" s="260"/>
      <c r="L511" s="72" t="b">
        <v>1</v>
      </c>
    </row>
    <row r="512" spans="1:12" x14ac:dyDescent="0.3">
      <c r="A512" s="258" t="s">
        <v>200</v>
      </c>
      <c r="B512" s="72" t="s">
        <v>1861</v>
      </c>
      <c r="C512" s="72" t="s">
        <v>1862</v>
      </c>
      <c r="D512" s="72" t="s">
        <v>67</v>
      </c>
      <c r="E512" s="72"/>
      <c r="F512" s="72" t="s">
        <v>1614</v>
      </c>
      <c r="G512" s="72">
        <v>50</v>
      </c>
      <c r="H512" s="259"/>
      <c r="I512" s="260"/>
      <c r="J512" s="72"/>
      <c r="K512" s="260"/>
      <c r="L512" s="72"/>
    </row>
    <row r="513" spans="1:12" x14ac:dyDescent="0.3">
      <c r="A513" s="258" t="s">
        <v>199</v>
      </c>
      <c r="B513" s="72" t="s">
        <v>198</v>
      </c>
      <c r="C513" s="72" t="s">
        <v>1551</v>
      </c>
      <c r="D513" s="72" t="s">
        <v>67</v>
      </c>
      <c r="E513" s="72"/>
      <c r="F513" s="72" t="s">
        <v>1614</v>
      </c>
      <c r="G513" s="72">
        <v>30</v>
      </c>
      <c r="H513" s="259"/>
      <c r="I513" s="260"/>
      <c r="J513" s="72"/>
      <c r="K513" s="260"/>
      <c r="L513" s="72"/>
    </row>
    <row r="514" spans="1:12" x14ac:dyDescent="0.3">
      <c r="A514" s="258" t="s">
        <v>197</v>
      </c>
      <c r="B514" s="72" t="s">
        <v>196</v>
      </c>
      <c r="C514" s="72" t="s">
        <v>1552</v>
      </c>
      <c r="D514" s="72" t="s">
        <v>67</v>
      </c>
      <c r="E514" s="72"/>
      <c r="F514" s="72" t="s">
        <v>1672</v>
      </c>
      <c r="G514" s="72" t="s">
        <v>1672</v>
      </c>
      <c r="H514" s="259" t="s">
        <v>65</v>
      </c>
      <c r="I514" s="260"/>
      <c r="J514" s="72"/>
      <c r="K514" s="260"/>
      <c r="L514" s="72"/>
    </row>
    <row r="515" spans="1:12" x14ac:dyDescent="0.3">
      <c r="A515" s="258" t="s">
        <v>195</v>
      </c>
      <c r="B515" s="72" t="s">
        <v>194</v>
      </c>
      <c r="C515" s="72" t="s">
        <v>1553</v>
      </c>
      <c r="D515" s="72" t="s">
        <v>67</v>
      </c>
      <c r="E515" s="72"/>
      <c r="F515" s="72" t="s">
        <v>1616</v>
      </c>
      <c r="G515" s="72">
        <v>12</v>
      </c>
      <c r="H515" s="259"/>
      <c r="I515" s="260"/>
      <c r="J515" s="72"/>
      <c r="K515" s="260"/>
      <c r="L515" s="72"/>
    </row>
    <row r="516" spans="1:12" x14ac:dyDescent="0.3">
      <c r="A516" s="258" t="s">
        <v>193</v>
      </c>
      <c r="B516" s="72" t="s">
        <v>192</v>
      </c>
      <c r="C516" s="72" t="s">
        <v>1554</v>
      </c>
      <c r="D516" s="72" t="s">
        <v>67</v>
      </c>
      <c r="E516" s="72"/>
      <c r="F516" s="72" t="s">
        <v>1751</v>
      </c>
      <c r="G516" s="72">
        <v>25</v>
      </c>
      <c r="H516" s="259"/>
      <c r="I516" s="260"/>
      <c r="J516" s="72"/>
      <c r="K516" s="260"/>
      <c r="L516" s="72"/>
    </row>
    <row r="517" spans="1:12" x14ac:dyDescent="0.3">
      <c r="A517" s="258" t="s">
        <v>191</v>
      </c>
      <c r="B517" s="72" t="s">
        <v>1863</v>
      </c>
      <c r="C517" s="72" t="s">
        <v>1864</v>
      </c>
      <c r="D517" s="72" t="s">
        <v>67</v>
      </c>
      <c r="E517" s="72"/>
      <c r="F517" s="72" t="s">
        <v>1751</v>
      </c>
      <c r="G517" s="72">
        <v>25</v>
      </c>
      <c r="H517" s="259"/>
      <c r="I517" s="260"/>
      <c r="J517" s="72"/>
      <c r="K517" s="260"/>
      <c r="L517" s="72"/>
    </row>
    <row r="518" spans="1:12" x14ac:dyDescent="0.3">
      <c r="A518" s="258" t="s">
        <v>2149</v>
      </c>
      <c r="B518" s="72" t="s">
        <v>1865</v>
      </c>
      <c r="C518" s="72" t="s">
        <v>2150</v>
      </c>
      <c r="D518" s="72" t="s">
        <v>67</v>
      </c>
      <c r="E518" s="72"/>
      <c r="F518" s="72" t="s">
        <v>1617</v>
      </c>
      <c r="G518" s="72">
        <v>20</v>
      </c>
      <c r="H518" s="259"/>
      <c r="I518" s="260"/>
      <c r="J518" s="72"/>
      <c r="K518" s="260"/>
      <c r="L518" s="72"/>
    </row>
    <row r="519" spans="1:12" x14ac:dyDescent="0.3">
      <c r="A519" s="258" t="s">
        <v>190</v>
      </c>
      <c r="B519" s="72" t="s">
        <v>189</v>
      </c>
      <c r="C519" s="72" t="s">
        <v>1555</v>
      </c>
      <c r="D519" s="72" t="s">
        <v>67</v>
      </c>
      <c r="E519" s="72"/>
      <c r="F519" s="72" t="s">
        <v>1616</v>
      </c>
      <c r="G519" s="72">
        <v>15</v>
      </c>
      <c r="H519" s="259"/>
      <c r="I519" s="260"/>
      <c r="J519" s="72"/>
      <c r="K519" s="260"/>
      <c r="L519" s="72"/>
    </row>
    <row r="520" spans="1:12" x14ac:dyDescent="0.3">
      <c r="A520" s="258" t="s">
        <v>188</v>
      </c>
      <c r="B520" s="72" t="s">
        <v>187</v>
      </c>
      <c r="C520" s="72" t="s">
        <v>1556</v>
      </c>
      <c r="D520" s="72" t="s">
        <v>67</v>
      </c>
      <c r="E520" s="72"/>
      <c r="F520" s="72" t="s">
        <v>1616</v>
      </c>
      <c r="G520" s="72">
        <v>15</v>
      </c>
      <c r="H520" s="259"/>
      <c r="I520" s="260"/>
      <c r="J520" s="72"/>
      <c r="K520" s="260"/>
      <c r="L520" s="72"/>
    </row>
    <row r="521" spans="1:12" x14ac:dyDescent="0.3">
      <c r="A521" s="258" t="s">
        <v>186</v>
      </c>
      <c r="B521" s="72" t="s">
        <v>185</v>
      </c>
      <c r="C521" s="72" t="s">
        <v>1557</v>
      </c>
      <c r="D521" s="72" t="s">
        <v>67</v>
      </c>
      <c r="E521" s="72"/>
      <c r="F521" s="72" t="s">
        <v>1672</v>
      </c>
      <c r="G521" s="72" t="s">
        <v>1672</v>
      </c>
      <c r="H521" s="259" t="s">
        <v>65</v>
      </c>
      <c r="I521" s="260"/>
      <c r="J521" s="72"/>
      <c r="K521" s="260"/>
      <c r="L521" s="72"/>
    </row>
    <row r="522" spans="1:12" x14ac:dyDescent="0.3">
      <c r="A522" s="258" t="s">
        <v>184</v>
      </c>
      <c r="B522" s="72" t="s">
        <v>1866</v>
      </c>
      <c r="C522" s="72" t="s">
        <v>1867</v>
      </c>
      <c r="D522" s="72" t="s">
        <v>67</v>
      </c>
      <c r="E522" s="72"/>
      <c r="F522" s="72" t="s">
        <v>1614</v>
      </c>
      <c r="G522" s="72">
        <v>50</v>
      </c>
      <c r="H522" s="259"/>
      <c r="I522" s="260"/>
      <c r="J522" s="72"/>
      <c r="K522" s="260"/>
      <c r="L522" s="72"/>
    </row>
    <row r="523" spans="1:12" x14ac:dyDescent="0.3">
      <c r="A523" s="258" t="s">
        <v>183</v>
      </c>
      <c r="B523" s="72" t="s">
        <v>182</v>
      </c>
      <c r="C523" s="72" t="s">
        <v>1558</v>
      </c>
      <c r="D523" s="72" t="s">
        <v>67</v>
      </c>
      <c r="E523" s="72"/>
      <c r="F523" s="72" t="s">
        <v>1616</v>
      </c>
      <c r="G523" s="72">
        <v>10</v>
      </c>
      <c r="H523" s="259"/>
      <c r="I523" s="260"/>
      <c r="J523" s="72"/>
      <c r="K523" s="260"/>
      <c r="L523" s="72"/>
    </row>
    <row r="524" spans="1:12" x14ac:dyDescent="0.3">
      <c r="A524" s="258" t="s">
        <v>181</v>
      </c>
      <c r="B524" s="72" t="s">
        <v>180</v>
      </c>
      <c r="C524" s="72" t="s">
        <v>1199</v>
      </c>
      <c r="D524" s="72" t="s">
        <v>67</v>
      </c>
      <c r="E524" s="72"/>
      <c r="F524" s="72" t="s">
        <v>1616</v>
      </c>
      <c r="G524" s="72">
        <v>20</v>
      </c>
      <c r="H524" s="259"/>
      <c r="I524" s="260">
        <v>12</v>
      </c>
      <c r="J524" s="72"/>
      <c r="K524" s="260">
        <v>12</v>
      </c>
      <c r="L524" s="72"/>
    </row>
    <row r="525" spans="1:12" x14ac:dyDescent="0.3">
      <c r="A525" s="258" t="s">
        <v>179</v>
      </c>
      <c r="B525" s="72" t="s">
        <v>178</v>
      </c>
      <c r="C525" s="72" t="s">
        <v>1559</v>
      </c>
      <c r="D525" s="72" t="s">
        <v>67</v>
      </c>
      <c r="E525" s="72"/>
      <c r="F525" s="72" t="s">
        <v>1616</v>
      </c>
      <c r="G525" s="72">
        <v>20</v>
      </c>
      <c r="H525" s="259"/>
      <c r="I525" s="260"/>
      <c r="J525" s="72"/>
      <c r="K525" s="260"/>
      <c r="L525" s="72"/>
    </row>
    <row r="526" spans="1:12" x14ac:dyDescent="0.3">
      <c r="A526" s="258" t="s">
        <v>177</v>
      </c>
      <c r="B526" s="72" t="s">
        <v>176</v>
      </c>
      <c r="C526" s="72" t="s">
        <v>1560</v>
      </c>
      <c r="D526" s="72" t="s">
        <v>67</v>
      </c>
      <c r="E526" s="72"/>
      <c r="F526" s="72" t="s">
        <v>1672</v>
      </c>
      <c r="G526" s="72" t="s">
        <v>1672</v>
      </c>
      <c r="H526" s="259" t="s">
        <v>65</v>
      </c>
      <c r="I526" s="260"/>
      <c r="J526" s="72"/>
      <c r="K526" s="260"/>
      <c r="L526" s="72"/>
    </row>
    <row r="527" spans="1:12" x14ac:dyDescent="0.3">
      <c r="A527" s="258" t="s">
        <v>175</v>
      </c>
      <c r="B527" s="72" t="s">
        <v>174</v>
      </c>
      <c r="C527" s="72" t="s">
        <v>1561</v>
      </c>
      <c r="D527" s="72" t="s">
        <v>67</v>
      </c>
      <c r="E527" s="72"/>
      <c r="F527" s="72" t="s">
        <v>1617</v>
      </c>
      <c r="G527" s="72">
        <v>20</v>
      </c>
      <c r="H527" s="259"/>
      <c r="I527" s="260"/>
      <c r="J527" s="72"/>
      <c r="K527" s="260"/>
      <c r="L527" s="72"/>
    </row>
    <row r="528" spans="1:12" x14ac:dyDescent="0.3">
      <c r="A528" s="258" t="s">
        <v>173</v>
      </c>
      <c r="B528" s="72" t="s">
        <v>172</v>
      </c>
      <c r="C528" s="72" t="s">
        <v>1562</v>
      </c>
      <c r="D528" s="72" t="s">
        <v>67</v>
      </c>
      <c r="E528" s="72"/>
      <c r="F528" s="72" t="s">
        <v>1751</v>
      </c>
      <c r="G528" s="72">
        <v>25</v>
      </c>
      <c r="H528" s="259"/>
      <c r="I528" s="260"/>
      <c r="J528" s="72"/>
      <c r="K528" s="260"/>
      <c r="L528" s="72"/>
    </row>
    <row r="529" spans="1:12" x14ac:dyDescent="0.3">
      <c r="A529" s="258" t="s">
        <v>171</v>
      </c>
      <c r="B529" s="72" t="s">
        <v>170</v>
      </c>
      <c r="C529" s="72" t="s">
        <v>1563</v>
      </c>
      <c r="D529" s="72" t="s">
        <v>67</v>
      </c>
      <c r="E529" s="72"/>
      <c r="F529" s="72" t="s">
        <v>1672</v>
      </c>
      <c r="G529" s="72" t="s">
        <v>1672</v>
      </c>
      <c r="H529" s="259" t="s">
        <v>65</v>
      </c>
      <c r="I529" s="260"/>
      <c r="J529" s="72"/>
      <c r="K529" s="260"/>
      <c r="L529" s="72"/>
    </row>
    <row r="530" spans="1:12" x14ac:dyDescent="0.3">
      <c r="A530" s="258" t="s">
        <v>168</v>
      </c>
      <c r="B530" s="72" t="s">
        <v>167</v>
      </c>
      <c r="C530" s="72" t="s">
        <v>1564</v>
      </c>
      <c r="D530" s="72" t="s">
        <v>166</v>
      </c>
      <c r="E530" s="72"/>
      <c r="F530" s="72" t="s">
        <v>1614</v>
      </c>
      <c r="G530" s="72">
        <v>40</v>
      </c>
      <c r="H530" s="259"/>
      <c r="I530" s="260"/>
      <c r="J530" s="72"/>
      <c r="K530" s="260"/>
      <c r="L530" s="72"/>
    </row>
    <row r="531" spans="1:12" x14ac:dyDescent="0.3">
      <c r="A531" s="258" t="s">
        <v>1868</v>
      </c>
      <c r="B531" s="72" t="s">
        <v>1869</v>
      </c>
      <c r="C531" s="72" t="s">
        <v>1870</v>
      </c>
      <c r="D531" s="72" t="s">
        <v>166</v>
      </c>
      <c r="E531" s="72"/>
      <c r="F531" s="72" t="s">
        <v>1614</v>
      </c>
      <c r="G531" s="72">
        <v>20</v>
      </c>
      <c r="H531" s="259"/>
      <c r="I531" s="260"/>
      <c r="J531" s="72"/>
      <c r="K531" s="260"/>
      <c r="L531" s="72"/>
    </row>
    <row r="532" spans="1:12" x14ac:dyDescent="0.3">
      <c r="A532" s="258" t="s">
        <v>165</v>
      </c>
      <c r="B532" s="72" t="s">
        <v>164</v>
      </c>
      <c r="C532" s="72" t="s">
        <v>1565</v>
      </c>
      <c r="D532" s="72" t="s">
        <v>122</v>
      </c>
      <c r="E532" s="72"/>
      <c r="F532" s="72" t="s">
        <v>1751</v>
      </c>
      <c r="G532" s="72">
        <v>25</v>
      </c>
      <c r="H532" s="259"/>
      <c r="I532" s="260"/>
      <c r="J532" s="72"/>
      <c r="K532" s="260"/>
      <c r="L532" s="72"/>
    </row>
    <row r="533" spans="1:12" x14ac:dyDescent="0.3">
      <c r="A533" s="258" t="s">
        <v>1871</v>
      </c>
      <c r="B533" s="72" t="s">
        <v>163</v>
      </c>
      <c r="C533" s="72" t="s">
        <v>1872</v>
      </c>
      <c r="D533" s="72" t="s">
        <v>122</v>
      </c>
      <c r="E533" s="72"/>
      <c r="F533" s="72" t="s">
        <v>1616</v>
      </c>
      <c r="G533" s="72">
        <v>8</v>
      </c>
      <c r="H533" s="259"/>
      <c r="I533" s="260"/>
      <c r="J533" s="72"/>
      <c r="K533" s="260"/>
      <c r="L533" s="72"/>
    </row>
    <row r="534" spans="1:12" x14ac:dyDescent="0.3">
      <c r="A534" s="258" t="s">
        <v>162</v>
      </c>
      <c r="B534" s="72" t="s">
        <v>161</v>
      </c>
      <c r="C534" s="72" t="s">
        <v>1200</v>
      </c>
      <c r="D534" s="72" t="s">
        <v>122</v>
      </c>
      <c r="E534" s="72"/>
      <c r="F534" s="72" t="s">
        <v>1617</v>
      </c>
      <c r="G534" s="72">
        <v>20</v>
      </c>
      <c r="H534" s="259"/>
      <c r="I534" s="260">
        <v>6</v>
      </c>
      <c r="J534" s="72"/>
      <c r="K534" s="260">
        <v>6</v>
      </c>
      <c r="L534" s="72"/>
    </row>
    <row r="535" spans="1:12" x14ac:dyDescent="0.3">
      <c r="A535" s="258" t="s">
        <v>160</v>
      </c>
      <c r="B535" s="72" t="s">
        <v>159</v>
      </c>
      <c r="C535" s="72" t="s">
        <v>1566</v>
      </c>
      <c r="D535" s="72" t="s">
        <v>122</v>
      </c>
      <c r="E535" s="72"/>
      <c r="F535" s="72" t="s">
        <v>1616</v>
      </c>
      <c r="G535" s="72">
        <v>15</v>
      </c>
      <c r="H535" s="259" t="s">
        <v>65</v>
      </c>
      <c r="I535" s="260"/>
      <c r="J535" s="72"/>
      <c r="K535" s="260"/>
      <c r="L535" s="72"/>
    </row>
    <row r="536" spans="1:12" x14ac:dyDescent="0.3">
      <c r="A536" s="258" t="s">
        <v>1873</v>
      </c>
      <c r="B536" s="72" t="s">
        <v>740</v>
      </c>
      <c r="C536" s="72" t="s">
        <v>1874</v>
      </c>
      <c r="D536" s="72" t="s">
        <v>67</v>
      </c>
      <c r="E536" s="72"/>
      <c r="F536" s="72" t="s">
        <v>1617</v>
      </c>
      <c r="G536" s="72">
        <v>20</v>
      </c>
      <c r="H536" s="259"/>
      <c r="I536" s="260"/>
      <c r="J536" s="72"/>
      <c r="K536" s="260"/>
      <c r="L536" s="72"/>
    </row>
    <row r="537" spans="1:12" x14ac:dyDescent="0.3">
      <c r="A537" s="258" t="s">
        <v>158</v>
      </c>
      <c r="B537" s="72" t="s">
        <v>157</v>
      </c>
      <c r="C537" s="72" t="s">
        <v>1567</v>
      </c>
      <c r="D537" s="72" t="s">
        <v>122</v>
      </c>
      <c r="E537" s="72"/>
      <c r="F537" s="72" t="s">
        <v>1616</v>
      </c>
      <c r="G537" s="72">
        <v>15</v>
      </c>
      <c r="H537" s="259"/>
      <c r="I537" s="260"/>
      <c r="J537" s="72"/>
      <c r="K537" s="260"/>
      <c r="L537" s="72"/>
    </row>
    <row r="538" spans="1:12" x14ac:dyDescent="0.3">
      <c r="A538" s="258" t="s">
        <v>155</v>
      </c>
      <c r="B538" s="72" t="s">
        <v>154</v>
      </c>
      <c r="C538" s="72" t="s">
        <v>1568</v>
      </c>
      <c r="D538" s="72" t="s">
        <v>122</v>
      </c>
      <c r="E538" s="72"/>
      <c r="F538" s="72" t="s">
        <v>1614</v>
      </c>
      <c r="G538" s="72">
        <v>40</v>
      </c>
      <c r="H538" s="259"/>
      <c r="I538" s="260"/>
      <c r="J538" s="72"/>
      <c r="K538" s="260"/>
      <c r="L538" s="72"/>
    </row>
    <row r="539" spans="1:12" x14ac:dyDescent="0.3">
      <c r="A539" s="258" t="s">
        <v>153</v>
      </c>
      <c r="B539" s="72" t="s">
        <v>1875</v>
      </c>
      <c r="C539" s="72" t="s">
        <v>1876</v>
      </c>
      <c r="D539" s="72" t="s">
        <v>122</v>
      </c>
      <c r="E539" s="72"/>
      <c r="F539" s="72" t="s">
        <v>1615</v>
      </c>
      <c r="G539" s="72">
        <v>20</v>
      </c>
      <c r="H539" s="259"/>
      <c r="I539" s="260"/>
      <c r="J539" s="72"/>
      <c r="K539" s="260"/>
      <c r="L539" s="72"/>
    </row>
    <row r="540" spans="1:12" x14ac:dyDescent="0.3">
      <c r="A540" s="258" t="s">
        <v>1877</v>
      </c>
      <c r="B540" s="72" t="s">
        <v>1878</v>
      </c>
      <c r="C540" s="72" t="s">
        <v>1879</v>
      </c>
      <c r="D540" s="72" t="s">
        <v>122</v>
      </c>
      <c r="E540" s="72"/>
      <c r="F540" s="72" t="s">
        <v>1615</v>
      </c>
      <c r="G540" s="72">
        <v>20</v>
      </c>
      <c r="H540" s="259"/>
      <c r="I540" s="260"/>
      <c r="J540" s="72"/>
      <c r="K540" s="260"/>
      <c r="L540" s="72"/>
    </row>
    <row r="541" spans="1:12" x14ac:dyDescent="0.3">
      <c r="A541" s="258" t="s">
        <v>1880</v>
      </c>
      <c r="B541" s="72" t="s">
        <v>1881</v>
      </c>
      <c r="C541" s="72" t="s">
        <v>1882</v>
      </c>
      <c r="D541" s="72" t="s">
        <v>122</v>
      </c>
      <c r="E541" s="72"/>
      <c r="F541" s="72" t="s">
        <v>1614</v>
      </c>
      <c r="G541" s="72">
        <v>30</v>
      </c>
      <c r="H541" s="259"/>
      <c r="I541" s="260"/>
      <c r="J541" s="72"/>
      <c r="K541" s="260"/>
      <c r="L541" s="72"/>
    </row>
    <row r="542" spans="1:12" x14ac:dyDescent="0.3">
      <c r="A542" s="258" t="s">
        <v>152</v>
      </c>
      <c r="B542" s="72" t="s">
        <v>151</v>
      </c>
      <c r="C542" s="72" t="s">
        <v>1569</v>
      </c>
      <c r="D542" s="72" t="s">
        <v>122</v>
      </c>
      <c r="E542" s="72"/>
      <c r="F542" s="72" t="s">
        <v>1617</v>
      </c>
      <c r="G542" s="72">
        <v>20</v>
      </c>
      <c r="H542" s="259"/>
      <c r="I542" s="260"/>
      <c r="J542" s="72"/>
      <c r="K542" s="260"/>
      <c r="L542" s="72"/>
    </row>
    <row r="543" spans="1:12" x14ac:dyDescent="0.3">
      <c r="A543" s="258" t="s">
        <v>1883</v>
      </c>
      <c r="B543" s="72" t="s">
        <v>1884</v>
      </c>
      <c r="C543" s="72" t="s">
        <v>1885</v>
      </c>
      <c r="D543" s="72" t="s">
        <v>122</v>
      </c>
      <c r="E543" s="72"/>
      <c r="F543" s="72" t="s">
        <v>1615</v>
      </c>
      <c r="G543" s="72">
        <v>20</v>
      </c>
      <c r="H543" s="259"/>
      <c r="I543" s="260"/>
      <c r="J543" s="72"/>
      <c r="K543" s="260"/>
      <c r="L543" s="72"/>
    </row>
    <row r="544" spans="1:12" x14ac:dyDescent="0.3">
      <c r="A544" s="258" t="s">
        <v>1886</v>
      </c>
      <c r="B544" s="72" t="s">
        <v>150</v>
      </c>
      <c r="C544" s="72" t="s">
        <v>1887</v>
      </c>
      <c r="D544" s="72" t="s">
        <v>122</v>
      </c>
      <c r="E544" s="72"/>
      <c r="F544" s="72" t="s">
        <v>1751</v>
      </c>
      <c r="G544" s="72">
        <v>25</v>
      </c>
      <c r="H544" s="259"/>
      <c r="I544" s="260"/>
      <c r="J544" s="72"/>
      <c r="K544" s="260"/>
      <c r="L544" s="72"/>
    </row>
    <row r="545" spans="1:12" x14ac:dyDescent="0.3">
      <c r="A545" s="258" t="s">
        <v>149</v>
      </c>
      <c r="B545" s="72" t="s">
        <v>148</v>
      </c>
      <c r="C545" s="72" t="s">
        <v>1570</v>
      </c>
      <c r="D545" s="72" t="s">
        <v>67</v>
      </c>
      <c r="E545" s="72"/>
      <c r="F545" s="72" t="s">
        <v>1614</v>
      </c>
      <c r="G545" s="72">
        <v>30</v>
      </c>
      <c r="H545" s="259"/>
      <c r="I545" s="260"/>
      <c r="J545" s="72"/>
      <c r="K545" s="260"/>
      <c r="L545" s="72"/>
    </row>
    <row r="546" spans="1:12" x14ac:dyDescent="0.3">
      <c r="A546" s="258" t="s">
        <v>1888</v>
      </c>
      <c r="B546" s="72" t="s">
        <v>1889</v>
      </c>
      <c r="C546" s="72" t="s">
        <v>1890</v>
      </c>
      <c r="D546" s="72" t="s">
        <v>67</v>
      </c>
      <c r="E546" s="72"/>
      <c r="F546" s="72" t="s">
        <v>1617</v>
      </c>
      <c r="G546" s="72">
        <v>25</v>
      </c>
      <c r="H546" s="259"/>
      <c r="I546" s="260"/>
      <c r="J546" s="72"/>
      <c r="K546" s="260"/>
      <c r="L546" s="72"/>
    </row>
    <row r="547" spans="1:12" x14ac:dyDescent="0.3">
      <c r="A547" s="258" t="s">
        <v>1891</v>
      </c>
      <c r="B547" s="72" t="s">
        <v>1892</v>
      </c>
      <c r="C547" s="72" t="s">
        <v>1893</v>
      </c>
      <c r="D547" s="72" t="s">
        <v>67</v>
      </c>
      <c r="E547" s="72"/>
      <c r="F547" s="72" t="s">
        <v>1615</v>
      </c>
      <c r="G547" s="72">
        <v>30</v>
      </c>
      <c r="H547" s="259"/>
      <c r="I547" s="260"/>
      <c r="J547" s="72"/>
      <c r="K547" s="260"/>
      <c r="L547" s="72"/>
    </row>
    <row r="548" spans="1:12" x14ac:dyDescent="0.3">
      <c r="A548" s="258" t="s">
        <v>1894</v>
      </c>
      <c r="B548" s="72" t="s">
        <v>1895</v>
      </c>
      <c r="C548" s="72" t="s">
        <v>1896</v>
      </c>
      <c r="D548" s="72" t="s">
        <v>67</v>
      </c>
      <c r="E548" s="72"/>
      <c r="F548" s="72" t="s">
        <v>1615</v>
      </c>
      <c r="G548" s="72">
        <v>30</v>
      </c>
      <c r="H548" s="259"/>
      <c r="I548" s="260"/>
      <c r="J548" s="72"/>
      <c r="K548" s="260"/>
      <c r="L548" s="72"/>
    </row>
    <row r="549" spans="1:12" x14ac:dyDescent="0.3">
      <c r="A549" s="258" t="s">
        <v>147</v>
      </c>
      <c r="B549" s="72" t="s">
        <v>146</v>
      </c>
      <c r="C549" s="72" t="s">
        <v>1571</v>
      </c>
      <c r="D549" s="72" t="s">
        <v>67</v>
      </c>
      <c r="E549" s="72"/>
      <c r="F549" s="72" t="s">
        <v>1614</v>
      </c>
      <c r="G549" s="72">
        <v>50</v>
      </c>
      <c r="H549" s="259"/>
      <c r="I549" s="260"/>
      <c r="J549" s="72"/>
      <c r="K549" s="260"/>
      <c r="L549" s="72"/>
    </row>
    <row r="550" spans="1:12" x14ac:dyDescent="0.3">
      <c r="A550" s="258" t="s">
        <v>1897</v>
      </c>
      <c r="B550" s="72" t="s">
        <v>1898</v>
      </c>
      <c r="C550" s="72" t="s">
        <v>1899</v>
      </c>
      <c r="D550" s="72" t="s">
        <v>67</v>
      </c>
      <c r="E550" s="72"/>
      <c r="F550" s="72" t="s">
        <v>1615</v>
      </c>
      <c r="G550" s="72">
        <v>30</v>
      </c>
      <c r="H550" s="259"/>
      <c r="I550" s="260"/>
      <c r="J550" s="72"/>
      <c r="K550" s="260"/>
      <c r="L550" s="72"/>
    </row>
    <row r="551" spans="1:12" x14ac:dyDescent="0.3">
      <c r="A551" s="258" t="s">
        <v>1900</v>
      </c>
      <c r="B551" s="72" t="s">
        <v>2128</v>
      </c>
      <c r="C551" s="72" t="s">
        <v>2129</v>
      </c>
      <c r="D551" s="72" t="s">
        <v>67</v>
      </c>
      <c r="E551" s="72"/>
      <c r="F551" s="72" t="s">
        <v>1617</v>
      </c>
      <c r="G551" s="72">
        <v>20</v>
      </c>
      <c r="H551" s="259"/>
      <c r="I551" s="260"/>
      <c r="J551" s="72"/>
      <c r="K551" s="260"/>
      <c r="L551" s="72"/>
    </row>
    <row r="552" spans="1:12" x14ac:dyDescent="0.3">
      <c r="A552" s="258" t="s">
        <v>1901</v>
      </c>
      <c r="B552" s="72" t="s">
        <v>1902</v>
      </c>
      <c r="C552" s="72" t="s">
        <v>1903</v>
      </c>
      <c r="D552" s="72" t="s">
        <v>67</v>
      </c>
      <c r="E552" s="72"/>
      <c r="F552" s="72" t="s">
        <v>1616</v>
      </c>
      <c r="G552" s="72">
        <v>15</v>
      </c>
      <c r="H552" s="259"/>
      <c r="I552" s="260"/>
      <c r="J552" s="72"/>
      <c r="K552" s="260"/>
      <c r="L552" s="72"/>
    </row>
    <row r="553" spans="1:12" x14ac:dyDescent="0.3">
      <c r="A553" s="258" t="s">
        <v>1904</v>
      </c>
      <c r="B553" s="72" t="s">
        <v>1905</v>
      </c>
      <c r="C553" s="72" t="s">
        <v>1906</v>
      </c>
      <c r="D553" s="72" t="s">
        <v>67</v>
      </c>
      <c r="E553" s="72"/>
      <c r="F553" s="72" t="s">
        <v>1617</v>
      </c>
      <c r="G553" s="72">
        <v>20</v>
      </c>
      <c r="H553" s="259"/>
      <c r="I553" s="260"/>
      <c r="J553" s="72"/>
      <c r="K553" s="260"/>
      <c r="L553" s="72"/>
    </row>
    <row r="554" spans="1:12" x14ac:dyDescent="0.3">
      <c r="A554" s="258" t="s">
        <v>1907</v>
      </c>
      <c r="B554" s="72" t="s">
        <v>1908</v>
      </c>
      <c r="C554" s="72" t="s">
        <v>1909</v>
      </c>
      <c r="D554" s="72" t="s">
        <v>67</v>
      </c>
      <c r="E554" s="72"/>
      <c r="F554" s="72" t="s">
        <v>1615</v>
      </c>
      <c r="G554" s="72">
        <v>30</v>
      </c>
      <c r="H554" s="259"/>
      <c r="I554" s="260"/>
      <c r="J554" s="72"/>
      <c r="K554" s="260"/>
      <c r="L554" s="72"/>
    </row>
    <row r="555" spans="1:12" x14ac:dyDescent="0.3">
      <c r="A555" s="258" t="s">
        <v>1910</v>
      </c>
      <c r="B555" s="72" t="s">
        <v>1911</v>
      </c>
      <c r="C555" s="72" t="s">
        <v>1912</v>
      </c>
      <c r="D555" s="72" t="s">
        <v>67</v>
      </c>
      <c r="E555" s="72"/>
      <c r="F555" s="72" t="s">
        <v>1616</v>
      </c>
      <c r="G555" s="72">
        <v>14</v>
      </c>
      <c r="H555" s="259"/>
      <c r="I555" s="260"/>
      <c r="J555" s="72"/>
      <c r="K555" s="260"/>
      <c r="L555" s="72"/>
    </row>
    <row r="556" spans="1:12" x14ac:dyDescent="0.3">
      <c r="A556" s="258" t="s">
        <v>1913</v>
      </c>
      <c r="B556" s="72" t="s">
        <v>1914</v>
      </c>
      <c r="C556" s="72" t="s">
        <v>1915</v>
      </c>
      <c r="D556" s="72" t="s">
        <v>67</v>
      </c>
      <c r="E556" s="72"/>
      <c r="F556" s="72" t="s">
        <v>1615</v>
      </c>
      <c r="G556" s="72">
        <v>30</v>
      </c>
      <c r="H556" s="259"/>
      <c r="I556" s="260"/>
      <c r="J556" s="72"/>
      <c r="K556" s="260"/>
      <c r="L556" s="72"/>
    </row>
    <row r="557" spans="1:12" x14ac:dyDescent="0.3">
      <c r="A557" s="258" t="s">
        <v>145</v>
      </c>
      <c r="B557" s="72" t="s">
        <v>144</v>
      </c>
      <c r="C557" s="72" t="s">
        <v>1572</v>
      </c>
      <c r="D557" s="72" t="s">
        <v>67</v>
      </c>
      <c r="E557" s="72"/>
      <c r="F557" s="72" t="s">
        <v>1614</v>
      </c>
      <c r="G557" s="72">
        <v>60</v>
      </c>
      <c r="H557" s="259"/>
      <c r="I557" s="260"/>
      <c r="J557" s="72"/>
      <c r="K557" s="260"/>
      <c r="L557" s="72"/>
    </row>
    <row r="558" spans="1:12" x14ac:dyDescent="0.3">
      <c r="A558" s="258" t="s">
        <v>143</v>
      </c>
      <c r="B558" s="72" t="s">
        <v>142</v>
      </c>
      <c r="C558" s="72" t="s">
        <v>1573</v>
      </c>
      <c r="D558" s="72" t="s">
        <v>67</v>
      </c>
      <c r="E558" s="72"/>
      <c r="F558" s="72" t="s">
        <v>1751</v>
      </c>
      <c r="G558" s="72">
        <v>25</v>
      </c>
      <c r="H558" s="259"/>
      <c r="I558" s="260"/>
      <c r="J558" s="72"/>
      <c r="K558" s="260"/>
      <c r="L558" s="72"/>
    </row>
    <row r="559" spans="1:12" x14ac:dyDescent="0.3">
      <c r="A559" s="258" t="s">
        <v>141</v>
      </c>
      <c r="B559" s="72" t="s">
        <v>140</v>
      </c>
      <c r="C559" s="72" t="s">
        <v>1574</v>
      </c>
      <c r="D559" s="72" t="s">
        <v>67</v>
      </c>
      <c r="E559" s="72"/>
      <c r="F559" s="72" t="s">
        <v>1614</v>
      </c>
      <c r="G559" s="72">
        <v>50</v>
      </c>
      <c r="H559" s="259"/>
      <c r="I559" s="260"/>
      <c r="J559" s="72"/>
      <c r="K559" s="260"/>
      <c r="L559" s="72"/>
    </row>
    <row r="560" spans="1:12" x14ac:dyDescent="0.3">
      <c r="A560" s="258" t="s">
        <v>139</v>
      </c>
      <c r="B560" s="72" t="s">
        <v>138</v>
      </c>
      <c r="C560" s="72" t="s">
        <v>1575</v>
      </c>
      <c r="D560" s="72" t="s">
        <v>67</v>
      </c>
      <c r="E560" s="72"/>
      <c r="F560" s="72" t="s">
        <v>1672</v>
      </c>
      <c r="G560" s="72" t="s">
        <v>1672</v>
      </c>
      <c r="H560" s="259" t="s">
        <v>65</v>
      </c>
      <c r="I560" s="260"/>
      <c r="J560" s="72"/>
      <c r="K560" s="260"/>
      <c r="L560" s="72"/>
    </row>
    <row r="561" spans="1:12" x14ac:dyDescent="0.3">
      <c r="A561" s="258" t="s">
        <v>137</v>
      </c>
      <c r="B561" s="72" t="s">
        <v>136</v>
      </c>
      <c r="C561" s="72" t="s">
        <v>1576</v>
      </c>
      <c r="D561" s="72" t="s">
        <v>67</v>
      </c>
      <c r="E561" s="72"/>
      <c r="F561" s="72" t="s">
        <v>1614</v>
      </c>
      <c r="G561" s="72">
        <v>50</v>
      </c>
      <c r="H561" s="259"/>
      <c r="I561" s="260"/>
      <c r="J561" s="72"/>
      <c r="K561" s="260"/>
      <c r="L561" s="72"/>
    </row>
    <row r="562" spans="1:12" x14ac:dyDescent="0.3">
      <c r="A562" s="258" t="s">
        <v>1916</v>
      </c>
      <c r="B562" s="72" t="s">
        <v>1917</v>
      </c>
      <c r="C562" s="72" t="s">
        <v>1918</v>
      </c>
      <c r="D562" s="72" t="s">
        <v>67</v>
      </c>
      <c r="E562" s="72"/>
      <c r="F562" s="72" t="s">
        <v>1614</v>
      </c>
      <c r="G562" s="72">
        <v>35</v>
      </c>
      <c r="H562" s="259"/>
      <c r="I562" s="260"/>
      <c r="J562" s="72"/>
      <c r="K562" s="260"/>
      <c r="L562" s="72"/>
    </row>
    <row r="563" spans="1:12" x14ac:dyDescent="0.3">
      <c r="A563" s="258" t="s">
        <v>1919</v>
      </c>
      <c r="B563" s="72" t="s">
        <v>1920</v>
      </c>
      <c r="C563" s="72" t="s">
        <v>1921</v>
      </c>
      <c r="D563" s="72" t="s">
        <v>67</v>
      </c>
      <c r="E563" s="72"/>
      <c r="F563" s="72" t="s">
        <v>1614</v>
      </c>
      <c r="G563" s="72">
        <v>35</v>
      </c>
      <c r="H563" s="259"/>
      <c r="I563" s="260"/>
      <c r="J563" s="72"/>
      <c r="K563" s="260"/>
      <c r="L563" s="72"/>
    </row>
    <row r="564" spans="1:12" x14ac:dyDescent="0.3">
      <c r="A564" s="258" t="s">
        <v>135</v>
      </c>
      <c r="B564" s="72" t="s">
        <v>134</v>
      </c>
      <c r="C564" s="72" t="s">
        <v>1577</v>
      </c>
      <c r="D564" s="72" t="s">
        <v>67</v>
      </c>
      <c r="E564" s="72"/>
      <c r="F564" s="72" t="s">
        <v>1614</v>
      </c>
      <c r="G564" s="72">
        <v>30</v>
      </c>
      <c r="H564" s="259"/>
      <c r="I564" s="260"/>
      <c r="J564" s="72"/>
      <c r="K564" s="260"/>
      <c r="L564" s="72"/>
    </row>
    <row r="565" spans="1:12" x14ac:dyDescent="0.3">
      <c r="A565" s="258" t="s">
        <v>1922</v>
      </c>
      <c r="B565" s="72" t="s">
        <v>1923</v>
      </c>
      <c r="C565" s="72" t="s">
        <v>1924</v>
      </c>
      <c r="D565" s="72" t="s">
        <v>67</v>
      </c>
      <c r="E565" s="72"/>
      <c r="F565" s="72" t="s">
        <v>1615</v>
      </c>
      <c r="G565" s="72">
        <v>30</v>
      </c>
      <c r="H565" s="259"/>
      <c r="I565" s="260"/>
      <c r="J565" s="72"/>
      <c r="K565" s="260"/>
      <c r="L565" s="72"/>
    </row>
    <row r="566" spans="1:12" x14ac:dyDescent="0.3">
      <c r="A566" s="258" t="s">
        <v>133</v>
      </c>
      <c r="B566" s="72" t="s">
        <v>132</v>
      </c>
      <c r="C566" s="72" t="s">
        <v>1578</v>
      </c>
      <c r="D566" s="72" t="s">
        <v>122</v>
      </c>
      <c r="E566" s="72"/>
      <c r="F566" s="72" t="s">
        <v>1614</v>
      </c>
      <c r="G566" s="72">
        <v>30</v>
      </c>
      <c r="H566" s="259"/>
      <c r="I566" s="260"/>
      <c r="J566" s="72"/>
      <c r="K566" s="260"/>
      <c r="L566" s="72"/>
    </row>
    <row r="567" spans="1:12" x14ac:dyDescent="0.3">
      <c r="A567" s="258" t="s">
        <v>1925</v>
      </c>
      <c r="B567" s="72" t="s">
        <v>131</v>
      </c>
      <c r="C567" s="72" t="s">
        <v>1926</v>
      </c>
      <c r="D567" s="72" t="s">
        <v>81</v>
      </c>
      <c r="E567" s="72"/>
      <c r="F567" s="72" t="s">
        <v>1616</v>
      </c>
      <c r="G567" s="72">
        <v>15</v>
      </c>
      <c r="H567" s="259"/>
      <c r="I567" s="260"/>
      <c r="J567" s="72"/>
      <c r="K567" s="260"/>
      <c r="L567" s="72"/>
    </row>
    <row r="568" spans="1:12" x14ac:dyDescent="0.3">
      <c r="A568" s="258" t="s">
        <v>130</v>
      </c>
      <c r="B568" s="72" t="s">
        <v>129</v>
      </c>
      <c r="C568" s="72" t="s">
        <v>1579</v>
      </c>
      <c r="D568" s="72" t="s">
        <v>122</v>
      </c>
      <c r="E568" s="72"/>
      <c r="F568" s="72" t="s">
        <v>1751</v>
      </c>
      <c r="G568" s="72">
        <v>25</v>
      </c>
      <c r="H568" s="259"/>
      <c r="I568" s="260"/>
      <c r="J568" s="72"/>
      <c r="K568" s="260"/>
      <c r="L568" s="72"/>
    </row>
    <row r="569" spans="1:12" x14ac:dyDescent="0.3">
      <c r="A569" s="258" t="s">
        <v>128</v>
      </c>
      <c r="B569" s="72" t="s">
        <v>127</v>
      </c>
      <c r="C569" s="72" t="s">
        <v>1580</v>
      </c>
      <c r="D569" s="72" t="s">
        <v>122</v>
      </c>
      <c r="E569" s="72"/>
      <c r="F569" s="72" t="s">
        <v>1614</v>
      </c>
      <c r="G569" s="72">
        <v>30</v>
      </c>
      <c r="H569" s="259"/>
      <c r="I569" s="260"/>
      <c r="J569" s="72"/>
      <c r="K569" s="260"/>
      <c r="L569" s="72"/>
    </row>
    <row r="570" spans="1:12" x14ac:dyDescent="0.3">
      <c r="A570" s="258" t="s">
        <v>126</v>
      </c>
      <c r="B570" s="72" t="s">
        <v>125</v>
      </c>
      <c r="C570" s="72" t="s">
        <v>1581</v>
      </c>
      <c r="D570" s="72" t="s">
        <v>122</v>
      </c>
      <c r="E570" s="72"/>
      <c r="F570" s="72" t="s">
        <v>1617</v>
      </c>
      <c r="G570" s="72">
        <v>8</v>
      </c>
      <c r="H570" s="259"/>
      <c r="I570" s="260"/>
      <c r="J570" s="72"/>
      <c r="K570" s="260"/>
      <c r="L570" s="72"/>
    </row>
    <row r="571" spans="1:12" x14ac:dyDescent="0.3">
      <c r="A571" s="258" t="s">
        <v>124</v>
      </c>
      <c r="B571" s="72" t="s">
        <v>123</v>
      </c>
      <c r="C571" s="72" t="s">
        <v>1582</v>
      </c>
      <c r="D571" s="72" t="s">
        <v>122</v>
      </c>
      <c r="E571" s="72"/>
      <c r="F571" s="72" t="s">
        <v>1672</v>
      </c>
      <c r="G571" s="72" t="s">
        <v>1672</v>
      </c>
      <c r="H571" s="259" t="s">
        <v>65</v>
      </c>
      <c r="I571" s="260"/>
      <c r="J571" s="72"/>
      <c r="K571" s="260"/>
      <c r="L571" s="72"/>
    </row>
    <row r="572" spans="1:12" x14ac:dyDescent="0.3">
      <c r="A572" s="258" t="s">
        <v>121</v>
      </c>
      <c r="B572" s="72" t="s">
        <v>120</v>
      </c>
      <c r="C572" s="72" t="s">
        <v>1583</v>
      </c>
      <c r="D572" s="72" t="s">
        <v>67</v>
      </c>
      <c r="E572" s="72"/>
      <c r="F572" s="72" t="s">
        <v>1614</v>
      </c>
      <c r="G572" s="72">
        <v>70</v>
      </c>
      <c r="H572" s="259"/>
      <c r="I572" s="260"/>
      <c r="J572" s="72"/>
      <c r="K572" s="260"/>
      <c r="L572" s="72"/>
    </row>
    <row r="573" spans="1:12" x14ac:dyDescent="0.3">
      <c r="A573" s="258" t="s">
        <v>119</v>
      </c>
      <c r="B573" s="72" t="s">
        <v>118</v>
      </c>
      <c r="C573" s="72" t="s">
        <v>1584</v>
      </c>
      <c r="D573" s="72" t="s">
        <v>67</v>
      </c>
      <c r="E573" s="72"/>
      <c r="F573" s="72" t="s">
        <v>1614</v>
      </c>
      <c r="G573" s="72">
        <v>50</v>
      </c>
      <c r="H573" s="259"/>
      <c r="I573" s="260"/>
      <c r="J573" s="72"/>
      <c r="K573" s="260"/>
      <c r="L573" s="72"/>
    </row>
    <row r="574" spans="1:12" x14ac:dyDescent="0.3">
      <c r="A574" s="258" t="s">
        <v>117</v>
      </c>
      <c r="B574" s="72" t="s">
        <v>116</v>
      </c>
      <c r="C574" s="72" t="s">
        <v>1585</v>
      </c>
      <c r="D574" s="72" t="s">
        <v>67</v>
      </c>
      <c r="E574" s="72"/>
      <c r="F574" s="72" t="s">
        <v>1614</v>
      </c>
      <c r="G574" s="72">
        <v>30</v>
      </c>
      <c r="H574" s="259"/>
      <c r="I574" s="260"/>
      <c r="J574" s="72"/>
      <c r="K574" s="260"/>
      <c r="L574" s="72"/>
    </row>
    <row r="575" spans="1:12" x14ac:dyDescent="0.3">
      <c r="A575" s="258" t="s">
        <v>1927</v>
      </c>
      <c r="B575" s="72" t="s">
        <v>115</v>
      </c>
      <c r="C575" s="72" t="s">
        <v>1928</v>
      </c>
      <c r="D575" s="72" t="s">
        <v>67</v>
      </c>
      <c r="E575" s="72"/>
      <c r="F575" s="72" t="s">
        <v>1615</v>
      </c>
      <c r="G575" s="72">
        <v>30</v>
      </c>
      <c r="H575" s="259"/>
      <c r="I575" s="260"/>
      <c r="J575" s="72"/>
      <c r="K575" s="260"/>
      <c r="L575" s="72"/>
    </row>
    <row r="576" spans="1:12" x14ac:dyDescent="0.3">
      <c r="A576" s="258" t="s">
        <v>114</v>
      </c>
      <c r="B576" s="72" t="s">
        <v>113</v>
      </c>
      <c r="C576" s="72" t="s">
        <v>1586</v>
      </c>
      <c r="D576" s="72" t="s">
        <v>67</v>
      </c>
      <c r="E576" s="72"/>
      <c r="F576" s="72" t="s">
        <v>1614</v>
      </c>
      <c r="G576" s="72">
        <v>70</v>
      </c>
      <c r="H576" s="259"/>
      <c r="I576" s="260"/>
      <c r="J576" s="72"/>
      <c r="K576" s="260"/>
      <c r="L576" s="72"/>
    </row>
    <row r="577" spans="1:12" x14ac:dyDescent="0.3">
      <c r="A577" s="258" t="s">
        <v>112</v>
      </c>
      <c r="B577" s="72" t="s">
        <v>111</v>
      </c>
      <c r="C577" s="72" t="s">
        <v>1587</v>
      </c>
      <c r="D577" s="72" t="s">
        <v>67</v>
      </c>
      <c r="E577" s="72"/>
      <c r="F577" s="72" t="s">
        <v>1614</v>
      </c>
      <c r="G577" s="72">
        <v>65</v>
      </c>
      <c r="H577" s="259"/>
      <c r="I577" s="260"/>
      <c r="J577" s="72"/>
      <c r="K577" s="260"/>
      <c r="L577" s="72"/>
    </row>
    <row r="578" spans="1:12" x14ac:dyDescent="0.3">
      <c r="A578" s="258" t="s">
        <v>110</v>
      </c>
      <c r="B578" s="72" t="s">
        <v>109</v>
      </c>
      <c r="C578" s="72" t="s">
        <v>1588</v>
      </c>
      <c r="D578" s="72" t="s">
        <v>67</v>
      </c>
      <c r="E578" s="72"/>
      <c r="F578" s="72" t="s">
        <v>1614</v>
      </c>
      <c r="G578" s="72">
        <v>80</v>
      </c>
      <c r="H578" s="259"/>
      <c r="I578" s="260"/>
      <c r="J578" s="72"/>
      <c r="K578" s="260"/>
      <c r="L578" s="72"/>
    </row>
    <row r="579" spans="1:12" x14ac:dyDescent="0.3">
      <c r="A579" s="258" t="s">
        <v>108</v>
      </c>
      <c r="B579" s="72" t="s">
        <v>107</v>
      </c>
      <c r="C579" s="72" t="s">
        <v>1589</v>
      </c>
      <c r="D579" s="72" t="s">
        <v>67</v>
      </c>
      <c r="E579" s="72"/>
      <c r="F579" s="72" t="s">
        <v>1614</v>
      </c>
      <c r="G579" s="72">
        <v>40</v>
      </c>
      <c r="H579" s="259"/>
      <c r="I579" s="260"/>
      <c r="J579" s="72"/>
      <c r="K579" s="260"/>
      <c r="L579" s="72"/>
    </row>
    <row r="580" spans="1:12" x14ac:dyDescent="0.3">
      <c r="A580" s="258" t="s">
        <v>106</v>
      </c>
      <c r="B580" s="72" t="s">
        <v>105</v>
      </c>
      <c r="C580" s="72" t="s">
        <v>1590</v>
      </c>
      <c r="D580" s="72" t="s">
        <v>67</v>
      </c>
      <c r="E580" s="72"/>
      <c r="F580" s="72" t="s">
        <v>1614</v>
      </c>
      <c r="G580" s="72">
        <v>40</v>
      </c>
      <c r="H580" s="259"/>
      <c r="I580" s="260"/>
      <c r="J580" s="72"/>
      <c r="K580" s="260"/>
      <c r="L580" s="72"/>
    </row>
    <row r="581" spans="1:12" x14ac:dyDescent="0.3">
      <c r="A581" s="258" t="s">
        <v>104</v>
      </c>
      <c r="B581" s="72" t="s">
        <v>103</v>
      </c>
      <c r="C581" s="72" t="s">
        <v>1591</v>
      </c>
      <c r="D581" s="72" t="s">
        <v>67</v>
      </c>
      <c r="E581" s="72"/>
      <c r="F581" s="72" t="s">
        <v>1614</v>
      </c>
      <c r="G581" s="72">
        <v>30</v>
      </c>
      <c r="H581" s="259"/>
      <c r="I581" s="260"/>
      <c r="J581" s="72"/>
      <c r="K581" s="260"/>
      <c r="L581" s="72"/>
    </row>
    <row r="582" spans="1:12" x14ac:dyDescent="0.3">
      <c r="A582" s="258" t="s">
        <v>102</v>
      </c>
      <c r="B582" s="72" t="s">
        <v>101</v>
      </c>
      <c r="C582" s="72" t="s">
        <v>1592</v>
      </c>
      <c r="D582" s="72" t="s">
        <v>67</v>
      </c>
      <c r="E582" s="72"/>
      <c r="F582" s="72" t="s">
        <v>1614</v>
      </c>
      <c r="G582" s="72">
        <v>70</v>
      </c>
      <c r="H582" s="259"/>
      <c r="I582" s="260"/>
      <c r="J582" s="72"/>
      <c r="K582" s="260"/>
      <c r="L582" s="72"/>
    </row>
    <row r="583" spans="1:12" x14ac:dyDescent="0.3">
      <c r="A583" s="258" t="s">
        <v>100</v>
      </c>
      <c r="B583" s="72" t="s">
        <v>99</v>
      </c>
      <c r="C583" s="72" t="s">
        <v>1593</v>
      </c>
      <c r="D583" s="72" t="s">
        <v>67</v>
      </c>
      <c r="E583" s="72"/>
      <c r="F583" s="72" t="s">
        <v>1615</v>
      </c>
      <c r="G583" s="72">
        <v>25</v>
      </c>
      <c r="H583" s="259"/>
      <c r="I583" s="260"/>
      <c r="J583" s="72"/>
      <c r="K583" s="260"/>
      <c r="L583" s="72"/>
    </row>
    <row r="584" spans="1:12" x14ac:dyDescent="0.3">
      <c r="A584" s="258" t="s">
        <v>98</v>
      </c>
      <c r="B584" s="72" t="s">
        <v>97</v>
      </c>
      <c r="C584" s="72" t="s">
        <v>1594</v>
      </c>
      <c r="D584" s="72" t="s">
        <v>67</v>
      </c>
      <c r="E584" s="72"/>
      <c r="F584" s="72" t="s">
        <v>1614</v>
      </c>
      <c r="G584" s="72">
        <v>50</v>
      </c>
      <c r="H584" s="259"/>
      <c r="I584" s="260"/>
      <c r="J584" s="72"/>
      <c r="K584" s="260"/>
      <c r="L584" s="72"/>
    </row>
    <row r="585" spans="1:12" x14ac:dyDescent="0.3">
      <c r="A585" s="258" t="s">
        <v>96</v>
      </c>
      <c r="B585" s="72" t="s">
        <v>95</v>
      </c>
      <c r="C585" s="72" t="s">
        <v>1595</v>
      </c>
      <c r="D585" s="72" t="s">
        <v>67</v>
      </c>
      <c r="E585" s="72"/>
      <c r="F585" s="72" t="s">
        <v>1614</v>
      </c>
      <c r="G585" s="72">
        <v>50</v>
      </c>
      <c r="H585" s="259"/>
      <c r="I585" s="260"/>
      <c r="J585" s="72"/>
      <c r="K585" s="260"/>
      <c r="L585" s="72"/>
    </row>
    <row r="586" spans="1:12" x14ac:dyDescent="0.3">
      <c r="A586" s="258" t="s">
        <v>94</v>
      </c>
      <c r="B586" s="72" t="s">
        <v>93</v>
      </c>
      <c r="C586" s="72" t="s">
        <v>1596</v>
      </c>
      <c r="D586" s="72" t="s">
        <v>67</v>
      </c>
      <c r="E586" s="72"/>
      <c r="F586" s="72" t="s">
        <v>1614</v>
      </c>
      <c r="G586" s="72">
        <v>45</v>
      </c>
      <c r="H586" s="259" t="s">
        <v>65</v>
      </c>
      <c r="I586" s="260"/>
      <c r="J586" s="72"/>
      <c r="K586" s="260"/>
      <c r="L586" s="72"/>
    </row>
    <row r="587" spans="1:12" x14ac:dyDescent="0.3">
      <c r="A587" s="258" t="s">
        <v>92</v>
      </c>
      <c r="B587" s="72" t="s">
        <v>91</v>
      </c>
      <c r="C587" s="72" t="s">
        <v>1597</v>
      </c>
      <c r="D587" s="72" t="s">
        <v>67</v>
      </c>
      <c r="E587" s="72"/>
      <c r="F587" s="72" t="s">
        <v>1614</v>
      </c>
      <c r="G587" s="72">
        <v>40</v>
      </c>
      <c r="H587" s="259"/>
      <c r="I587" s="260"/>
      <c r="J587" s="72"/>
      <c r="K587" s="260"/>
      <c r="L587" s="72"/>
    </row>
    <row r="588" spans="1:12" x14ac:dyDescent="0.3">
      <c r="A588" s="258" t="s">
        <v>90</v>
      </c>
      <c r="B588" s="72" t="s">
        <v>89</v>
      </c>
      <c r="C588" s="72" t="s">
        <v>1598</v>
      </c>
      <c r="D588" s="72" t="s">
        <v>67</v>
      </c>
      <c r="E588" s="72"/>
      <c r="F588" s="72" t="s">
        <v>1614</v>
      </c>
      <c r="G588" s="72">
        <v>50</v>
      </c>
      <c r="H588" s="259"/>
      <c r="I588" s="260"/>
      <c r="J588" s="72"/>
      <c r="K588" s="260"/>
      <c r="L588" s="72"/>
    </row>
    <row r="589" spans="1:12" x14ac:dyDescent="0.3">
      <c r="A589" s="258" t="s">
        <v>1929</v>
      </c>
      <c r="B589" s="72" t="s">
        <v>1930</v>
      </c>
      <c r="C589" s="72" t="s">
        <v>1931</v>
      </c>
      <c r="D589" s="72" t="s">
        <v>67</v>
      </c>
      <c r="E589" s="72"/>
      <c r="F589" s="72" t="s">
        <v>1614</v>
      </c>
      <c r="G589" s="72">
        <v>50</v>
      </c>
      <c r="H589" s="259"/>
      <c r="I589" s="260"/>
      <c r="J589" s="72"/>
      <c r="K589" s="260"/>
      <c r="L589" s="72"/>
    </row>
    <row r="590" spans="1:12" x14ac:dyDescent="0.3">
      <c r="A590" s="258" t="s">
        <v>88</v>
      </c>
      <c r="B590" s="72" t="s">
        <v>87</v>
      </c>
      <c r="C590" s="72" t="s">
        <v>1599</v>
      </c>
      <c r="D590" s="72" t="s">
        <v>67</v>
      </c>
      <c r="E590" s="72"/>
      <c r="F590" s="72" t="s">
        <v>1614</v>
      </c>
      <c r="G590" s="72">
        <v>45</v>
      </c>
      <c r="H590" s="259"/>
      <c r="I590" s="260"/>
      <c r="J590" s="72"/>
      <c r="K590" s="260"/>
      <c r="L590" s="72"/>
    </row>
    <row r="591" spans="1:12" x14ac:dyDescent="0.3">
      <c r="A591" s="258" t="s">
        <v>86</v>
      </c>
      <c r="B591" s="72" t="s">
        <v>85</v>
      </c>
      <c r="C591" s="72" t="s">
        <v>1600</v>
      </c>
      <c r="D591" s="72" t="s">
        <v>67</v>
      </c>
      <c r="E591" s="72"/>
      <c r="F591" s="72" t="s">
        <v>1614</v>
      </c>
      <c r="G591" s="72">
        <v>40</v>
      </c>
      <c r="H591" s="259"/>
      <c r="I591" s="260"/>
      <c r="J591" s="72"/>
      <c r="K591" s="260"/>
      <c r="L591" s="72"/>
    </row>
    <row r="592" spans="1:12" x14ac:dyDescent="0.3">
      <c r="A592" s="258" t="s">
        <v>84</v>
      </c>
      <c r="B592" s="72" t="s">
        <v>83</v>
      </c>
      <c r="C592" s="72" t="s">
        <v>1601</v>
      </c>
      <c r="D592" s="72" t="s">
        <v>81</v>
      </c>
      <c r="E592" s="72"/>
      <c r="F592" s="72" t="s">
        <v>1617</v>
      </c>
      <c r="G592" s="72">
        <v>20</v>
      </c>
      <c r="H592" s="259"/>
      <c r="I592" s="260"/>
      <c r="J592" s="72"/>
      <c r="K592" s="260"/>
      <c r="L592" s="72"/>
    </row>
    <row r="593" spans="1:12" x14ac:dyDescent="0.3">
      <c r="A593" s="258" t="s">
        <v>80</v>
      </c>
      <c r="B593" s="72" t="s">
        <v>79</v>
      </c>
      <c r="C593" s="72" t="s">
        <v>1602</v>
      </c>
      <c r="D593" s="72" t="s">
        <v>67</v>
      </c>
      <c r="E593" s="72"/>
      <c r="F593" s="72" t="s">
        <v>1614</v>
      </c>
      <c r="G593" s="72">
        <v>50</v>
      </c>
      <c r="H593" s="259"/>
      <c r="I593" s="260"/>
      <c r="J593" s="72"/>
      <c r="K593" s="260"/>
      <c r="L593" s="72"/>
    </row>
    <row r="594" spans="1:12" x14ac:dyDescent="0.3">
      <c r="A594" s="258" t="s">
        <v>78</v>
      </c>
      <c r="B594" s="72" t="s">
        <v>77</v>
      </c>
      <c r="C594" s="72" t="s">
        <v>1603</v>
      </c>
      <c r="D594" s="72" t="s">
        <v>67</v>
      </c>
      <c r="E594" s="72"/>
      <c r="F594" s="72" t="s">
        <v>1614</v>
      </c>
      <c r="G594" s="72">
        <v>40</v>
      </c>
      <c r="H594" s="259"/>
      <c r="I594" s="260"/>
      <c r="J594" s="72"/>
      <c r="K594" s="260"/>
      <c r="L594" s="72"/>
    </row>
    <row r="595" spans="1:12" x14ac:dyDescent="0.3">
      <c r="A595" s="258" t="s">
        <v>76</v>
      </c>
      <c r="B595" s="72" t="s">
        <v>75</v>
      </c>
      <c r="C595" s="72" t="s">
        <v>1604</v>
      </c>
      <c r="D595" s="72" t="s">
        <v>67</v>
      </c>
      <c r="E595" s="72"/>
      <c r="F595" s="72" t="s">
        <v>1614</v>
      </c>
      <c r="G595" s="72">
        <v>35</v>
      </c>
      <c r="H595" s="259"/>
      <c r="I595" s="260"/>
      <c r="J595" s="72"/>
      <c r="K595" s="260"/>
      <c r="L595" s="72"/>
    </row>
    <row r="596" spans="1:12" x14ac:dyDescent="0.3">
      <c r="A596" s="258" t="s">
        <v>1932</v>
      </c>
      <c r="B596" s="72" t="s">
        <v>1933</v>
      </c>
      <c r="C596" s="72" t="s">
        <v>1934</v>
      </c>
      <c r="D596" s="72" t="s">
        <v>67</v>
      </c>
      <c r="E596" s="72"/>
      <c r="F596" s="72" t="s">
        <v>1617</v>
      </c>
      <c r="G596" s="72">
        <v>25</v>
      </c>
      <c r="H596" s="259"/>
      <c r="I596" s="260"/>
      <c r="J596" s="72"/>
      <c r="K596" s="260"/>
      <c r="L596" s="72"/>
    </row>
    <row r="597" spans="1:12" x14ac:dyDescent="0.3">
      <c r="A597" s="258" t="s">
        <v>1935</v>
      </c>
      <c r="B597" s="72" t="s">
        <v>1936</v>
      </c>
      <c r="C597" s="72" t="s">
        <v>1937</v>
      </c>
      <c r="D597" s="72" t="s">
        <v>67</v>
      </c>
      <c r="E597" s="72"/>
      <c r="F597" s="72" t="s">
        <v>1616</v>
      </c>
      <c r="G597" s="72">
        <v>18</v>
      </c>
      <c r="H597" s="259"/>
      <c r="I597" s="260"/>
      <c r="J597" s="72"/>
      <c r="K597" s="260"/>
      <c r="L597" s="72"/>
    </row>
    <row r="598" spans="1:12" x14ac:dyDescent="0.3">
      <c r="A598" s="258" t="s">
        <v>74</v>
      </c>
      <c r="B598" s="72" t="s">
        <v>73</v>
      </c>
      <c r="C598" s="72" t="s">
        <v>1605</v>
      </c>
      <c r="D598" s="72" t="s">
        <v>67</v>
      </c>
      <c r="E598" s="72"/>
      <c r="F598" s="72" t="s">
        <v>1617</v>
      </c>
      <c r="G598" s="72">
        <v>15</v>
      </c>
      <c r="H598" s="259"/>
      <c r="I598" s="260"/>
      <c r="J598" s="72"/>
      <c r="K598" s="260"/>
      <c r="L598" s="72"/>
    </row>
    <row r="599" spans="1:12" x14ac:dyDescent="0.3">
      <c r="A599" s="258" t="s">
        <v>72</v>
      </c>
      <c r="B599" s="72" t="s">
        <v>71</v>
      </c>
      <c r="C599" s="72" t="s">
        <v>1606</v>
      </c>
      <c r="D599" s="72" t="s">
        <v>67</v>
      </c>
      <c r="E599" s="72"/>
      <c r="F599" s="72" t="s">
        <v>1617</v>
      </c>
      <c r="G599" s="72">
        <v>25</v>
      </c>
      <c r="H599" s="259"/>
      <c r="I599" s="260"/>
      <c r="J599" s="72"/>
      <c r="K599" s="260"/>
      <c r="L599" s="72"/>
    </row>
    <row r="600" spans="1:12" x14ac:dyDescent="0.3">
      <c r="A600" s="258" t="s">
        <v>70</v>
      </c>
      <c r="B600" s="72" t="s">
        <v>69</v>
      </c>
      <c r="C600" s="72" t="s">
        <v>1607</v>
      </c>
      <c r="D600" s="72" t="s">
        <v>67</v>
      </c>
      <c r="E600" s="72"/>
      <c r="F600" s="72" t="s">
        <v>1615</v>
      </c>
      <c r="G600" s="72">
        <v>35</v>
      </c>
      <c r="H600" s="259"/>
      <c r="I600" s="260"/>
      <c r="J600" s="72"/>
      <c r="K600" s="260"/>
      <c r="L600" s="72"/>
    </row>
    <row r="601" spans="1:12" x14ac:dyDescent="0.3">
      <c r="A601" s="258" t="s">
        <v>68</v>
      </c>
      <c r="B601" s="72" t="s">
        <v>66</v>
      </c>
      <c r="C601" s="72" t="s">
        <v>1608</v>
      </c>
      <c r="D601" s="72" t="s">
        <v>67</v>
      </c>
      <c r="E601" s="72"/>
      <c r="F601" s="72" t="s">
        <v>1672</v>
      </c>
      <c r="G601" s="72" t="s">
        <v>1672</v>
      </c>
      <c r="H601" s="259" t="s">
        <v>65</v>
      </c>
      <c r="I601" s="260"/>
      <c r="J601" s="72"/>
      <c r="K601" s="260"/>
      <c r="L601" s="72"/>
    </row>
  </sheetData>
  <sheetProtection algorithmName="SHA-512" hashValue="GGBRis8rh0RhQejBqgcAGCDl65FF15BhLimVeq72JqM6S5PTw8FXa4GfiKBsNP2AQB8vqehsSMqJ1khsyTps9w==" saltValue="fulpA5w1hmaJrK40+EdV6Q==" spinCount="100000" sheet="1" objects="1" scenarios="1" selectLockedCells="1" selectUnlockedCells="1"/>
  <phoneticPr fontId="5" type="noConversion"/>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B80C8-8AE1-45B2-9D21-738EAEE0247A}">
  <sheetPr>
    <tabColor theme="1" tint="0.499984740745262"/>
  </sheetPr>
  <dimension ref="A1:A576"/>
  <sheetViews>
    <sheetView topLeftCell="B54" workbookViewId="0">
      <selection activeCell="A54" sqref="A1:A1048576"/>
    </sheetView>
  </sheetViews>
  <sheetFormatPr defaultRowHeight="14.4" x14ac:dyDescent="0.3"/>
  <cols>
    <col min="1" max="1" width="71.109375" hidden="1" customWidth="1"/>
  </cols>
  <sheetData>
    <row r="1" spans="1:1" x14ac:dyDescent="0.3">
      <c r="A1" t="s">
        <v>1984</v>
      </c>
    </row>
    <row r="3" spans="1:1" x14ac:dyDescent="0.3">
      <c r="A3" t="s">
        <v>1201</v>
      </c>
    </row>
    <row r="4" spans="1:1" x14ac:dyDescent="0.3">
      <c r="A4" t="s">
        <v>1202</v>
      </c>
    </row>
    <row r="5" spans="1:1" x14ac:dyDescent="0.3">
      <c r="A5" t="s">
        <v>1203</v>
      </c>
    </row>
    <row r="6" spans="1:1" x14ac:dyDescent="0.3">
      <c r="A6" t="s">
        <v>1204</v>
      </c>
    </row>
    <row r="7" spans="1:1" x14ac:dyDescent="0.3">
      <c r="A7" t="s">
        <v>1671</v>
      </c>
    </row>
    <row r="8" spans="1:1" x14ac:dyDescent="0.3">
      <c r="A8" t="s">
        <v>1205</v>
      </c>
    </row>
    <row r="9" spans="1:1" x14ac:dyDescent="0.3">
      <c r="A9" t="s">
        <v>1206</v>
      </c>
    </row>
    <row r="10" spans="1:1" x14ac:dyDescent="0.3">
      <c r="A10" t="s">
        <v>1207</v>
      </c>
    </row>
    <row r="11" spans="1:1" x14ac:dyDescent="0.3">
      <c r="A11" t="s">
        <v>1208</v>
      </c>
    </row>
    <row r="12" spans="1:1" x14ac:dyDescent="0.3">
      <c r="A12" t="s">
        <v>1128</v>
      </c>
    </row>
    <row r="13" spans="1:1" x14ac:dyDescent="0.3">
      <c r="A13" t="s">
        <v>1209</v>
      </c>
    </row>
    <row r="14" spans="1:1" x14ac:dyDescent="0.3">
      <c r="A14" t="s">
        <v>1210</v>
      </c>
    </row>
    <row r="15" spans="1:1" x14ac:dyDescent="0.3">
      <c r="A15" t="s">
        <v>1211</v>
      </c>
    </row>
    <row r="16" spans="1:1" x14ac:dyDescent="0.3">
      <c r="A16" t="s">
        <v>1129</v>
      </c>
    </row>
    <row r="17" spans="1:1" x14ac:dyDescent="0.3">
      <c r="A17" t="s">
        <v>1139</v>
      </c>
    </row>
    <row r="18" spans="1:1" x14ac:dyDescent="0.3">
      <c r="A18" t="s">
        <v>1212</v>
      </c>
    </row>
    <row r="19" spans="1:1" x14ac:dyDescent="0.3">
      <c r="A19" t="s">
        <v>1213</v>
      </c>
    </row>
    <row r="20" spans="1:1" x14ac:dyDescent="0.3">
      <c r="A20" t="s">
        <v>1214</v>
      </c>
    </row>
    <row r="21" spans="1:1" x14ac:dyDescent="0.3">
      <c r="A21" t="s">
        <v>1215</v>
      </c>
    </row>
    <row r="22" spans="1:1" x14ac:dyDescent="0.3">
      <c r="A22" t="s">
        <v>1140</v>
      </c>
    </row>
    <row r="23" spans="1:1" x14ac:dyDescent="0.3">
      <c r="A23" t="s">
        <v>1675</v>
      </c>
    </row>
    <row r="24" spans="1:1" x14ac:dyDescent="0.3">
      <c r="A24" t="s">
        <v>1216</v>
      </c>
    </row>
    <row r="25" spans="1:1" x14ac:dyDescent="0.3">
      <c r="A25" t="s">
        <v>1677</v>
      </c>
    </row>
    <row r="26" spans="1:1" x14ac:dyDescent="0.3">
      <c r="A26" t="s">
        <v>1141</v>
      </c>
    </row>
    <row r="27" spans="1:1" x14ac:dyDescent="0.3">
      <c r="A27" t="s">
        <v>1217</v>
      </c>
    </row>
    <row r="28" spans="1:1" x14ac:dyDescent="0.3">
      <c r="A28" t="s">
        <v>1218</v>
      </c>
    </row>
    <row r="29" spans="1:1" x14ac:dyDescent="0.3">
      <c r="A29" t="s">
        <v>1219</v>
      </c>
    </row>
    <row r="30" spans="1:1" x14ac:dyDescent="0.3">
      <c r="A30" t="s">
        <v>1220</v>
      </c>
    </row>
    <row r="31" spans="1:1" x14ac:dyDescent="0.3">
      <c r="A31" t="s">
        <v>1221</v>
      </c>
    </row>
    <row r="32" spans="1:1" x14ac:dyDescent="0.3">
      <c r="A32" t="s">
        <v>1222</v>
      </c>
    </row>
    <row r="33" spans="1:1" x14ac:dyDescent="0.3">
      <c r="A33" t="s">
        <v>1223</v>
      </c>
    </row>
    <row r="34" spans="1:1" x14ac:dyDescent="0.3">
      <c r="A34" t="s">
        <v>1142</v>
      </c>
    </row>
    <row r="35" spans="1:1" x14ac:dyDescent="0.3">
      <c r="A35" t="s">
        <v>1143</v>
      </c>
    </row>
    <row r="36" spans="1:1" x14ac:dyDescent="0.3">
      <c r="A36" t="s">
        <v>1144</v>
      </c>
    </row>
    <row r="37" spans="1:1" x14ac:dyDescent="0.3">
      <c r="A37" t="s">
        <v>1145</v>
      </c>
    </row>
    <row r="38" spans="1:1" x14ac:dyDescent="0.3">
      <c r="A38" t="s">
        <v>1146</v>
      </c>
    </row>
    <row r="39" spans="1:1" x14ac:dyDescent="0.3">
      <c r="A39" t="s">
        <v>1147</v>
      </c>
    </row>
    <row r="40" spans="1:1" x14ac:dyDescent="0.3">
      <c r="A40" t="s">
        <v>1679</v>
      </c>
    </row>
    <row r="41" spans="1:1" x14ac:dyDescent="0.3">
      <c r="A41" t="s">
        <v>1224</v>
      </c>
    </row>
    <row r="42" spans="1:1" x14ac:dyDescent="0.3">
      <c r="A42" t="s">
        <v>1225</v>
      </c>
    </row>
    <row r="43" spans="1:1" x14ac:dyDescent="0.3">
      <c r="A43" t="s">
        <v>1226</v>
      </c>
    </row>
    <row r="44" spans="1:1" x14ac:dyDescent="0.3">
      <c r="A44" t="s">
        <v>1227</v>
      </c>
    </row>
    <row r="45" spans="1:1" x14ac:dyDescent="0.3">
      <c r="A45" t="s">
        <v>1228</v>
      </c>
    </row>
    <row r="46" spans="1:1" x14ac:dyDescent="0.3">
      <c r="A46" t="s">
        <v>1229</v>
      </c>
    </row>
    <row r="47" spans="1:1" x14ac:dyDescent="0.3">
      <c r="A47" t="s">
        <v>1230</v>
      </c>
    </row>
    <row r="48" spans="1:1" x14ac:dyDescent="0.3">
      <c r="A48" t="s">
        <v>1231</v>
      </c>
    </row>
    <row r="49" spans="1:1" x14ac:dyDescent="0.3">
      <c r="A49" t="s">
        <v>1681</v>
      </c>
    </row>
    <row r="50" spans="1:1" x14ac:dyDescent="0.3">
      <c r="A50" t="s">
        <v>1232</v>
      </c>
    </row>
    <row r="51" spans="1:1" x14ac:dyDescent="0.3">
      <c r="A51" t="s">
        <v>1233</v>
      </c>
    </row>
    <row r="52" spans="1:1" x14ac:dyDescent="0.3">
      <c r="A52" t="s">
        <v>1234</v>
      </c>
    </row>
    <row r="53" spans="1:1" x14ac:dyDescent="0.3">
      <c r="A53" t="s">
        <v>1235</v>
      </c>
    </row>
    <row r="54" spans="1:1" x14ac:dyDescent="0.3">
      <c r="A54" t="s">
        <v>2152</v>
      </c>
    </row>
    <row r="55" spans="1:1" x14ac:dyDescent="0.3">
      <c r="A55" t="s">
        <v>1236</v>
      </c>
    </row>
    <row r="56" spans="1:1" x14ac:dyDescent="0.3">
      <c r="A56" t="s">
        <v>1237</v>
      </c>
    </row>
    <row r="57" spans="1:1" x14ac:dyDescent="0.3">
      <c r="A57" t="s">
        <v>1238</v>
      </c>
    </row>
    <row r="58" spans="1:1" x14ac:dyDescent="0.3">
      <c r="A58" t="s">
        <v>1239</v>
      </c>
    </row>
    <row r="59" spans="1:1" x14ac:dyDescent="0.3">
      <c r="A59" t="s">
        <v>1240</v>
      </c>
    </row>
    <row r="60" spans="1:1" x14ac:dyDescent="0.3">
      <c r="A60" t="s">
        <v>2127</v>
      </c>
    </row>
    <row r="61" spans="1:1" x14ac:dyDescent="0.3">
      <c r="A61" t="s">
        <v>1241</v>
      </c>
    </row>
    <row r="62" spans="1:1" x14ac:dyDescent="0.3">
      <c r="A62" t="s">
        <v>1242</v>
      </c>
    </row>
    <row r="63" spans="1:1" x14ac:dyDescent="0.3">
      <c r="A63" t="s">
        <v>1243</v>
      </c>
    </row>
    <row r="64" spans="1:1" x14ac:dyDescent="0.3">
      <c r="A64" t="s">
        <v>1130</v>
      </c>
    </row>
    <row r="65" spans="1:1" x14ac:dyDescent="0.3">
      <c r="A65" t="s">
        <v>1148</v>
      </c>
    </row>
    <row r="66" spans="1:1" x14ac:dyDescent="0.3">
      <c r="A66" t="s">
        <v>1244</v>
      </c>
    </row>
    <row r="67" spans="1:1" x14ac:dyDescent="0.3">
      <c r="A67" t="s">
        <v>1149</v>
      </c>
    </row>
    <row r="68" spans="1:1" x14ac:dyDescent="0.3">
      <c r="A68" t="s">
        <v>1245</v>
      </c>
    </row>
    <row r="69" spans="1:1" x14ac:dyDescent="0.3">
      <c r="A69" t="s">
        <v>1246</v>
      </c>
    </row>
    <row r="70" spans="1:1" x14ac:dyDescent="0.3">
      <c r="A70" t="s">
        <v>1247</v>
      </c>
    </row>
    <row r="71" spans="1:1" x14ac:dyDescent="0.3">
      <c r="A71" t="s">
        <v>1248</v>
      </c>
    </row>
    <row r="72" spans="1:1" x14ac:dyDescent="0.3">
      <c r="A72" t="s">
        <v>1127</v>
      </c>
    </row>
    <row r="73" spans="1:1" x14ac:dyDescent="0.3">
      <c r="A73" t="s">
        <v>1685</v>
      </c>
    </row>
    <row r="74" spans="1:1" x14ac:dyDescent="0.3">
      <c r="A74" t="s">
        <v>1249</v>
      </c>
    </row>
    <row r="75" spans="1:1" x14ac:dyDescent="0.3">
      <c r="A75" t="s">
        <v>1250</v>
      </c>
    </row>
    <row r="76" spans="1:1" x14ac:dyDescent="0.3">
      <c r="A76" t="s">
        <v>1150</v>
      </c>
    </row>
    <row r="77" spans="1:1" x14ac:dyDescent="0.3">
      <c r="A77" t="s">
        <v>1688</v>
      </c>
    </row>
    <row r="78" spans="1:1" x14ac:dyDescent="0.3">
      <c r="A78" t="s">
        <v>1151</v>
      </c>
    </row>
    <row r="79" spans="1:1" x14ac:dyDescent="0.3">
      <c r="A79" t="s">
        <v>1251</v>
      </c>
    </row>
    <row r="80" spans="1:1" x14ac:dyDescent="0.3">
      <c r="A80" t="s">
        <v>1252</v>
      </c>
    </row>
    <row r="81" spans="1:1" x14ac:dyDescent="0.3">
      <c r="A81" t="s">
        <v>1253</v>
      </c>
    </row>
    <row r="82" spans="1:1" x14ac:dyDescent="0.3">
      <c r="A82" t="s">
        <v>1258</v>
      </c>
    </row>
    <row r="83" spans="1:1" x14ac:dyDescent="0.3">
      <c r="A83" t="s">
        <v>1691</v>
      </c>
    </row>
    <row r="84" spans="1:1" x14ac:dyDescent="0.3">
      <c r="A84" t="s">
        <v>1694</v>
      </c>
    </row>
    <row r="85" spans="1:1" x14ac:dyDescent="0.3">
      <c r="A85" t="s">
        <v>1697</v>
      </c>
    </row>
    <row r="86" spans="1:1" x14ac:dyDescent="0.3">
      <c r="A86" t="s">
        <v>1700</v>
      </c>
    </row>
    <row r="87" spans="1:1" x14ac:dyDescent="0.3">
      <c r="A87" t="s">
        <v>1259</v>
      </c>
    </row>
    <row r="88" spans="1:1" x14ac:dyDescent="0.3">
      <c r="A88" t="s">
        <v>1153</v>
      </c>
    </row>
    <row r="89" spans="1:1" x14ac:dyDescent="0.3">
      <c r="A89" t="s">
        <v>1264</v>
      </c>
    </row>
    <row r="90" spans="1:1" x14ac:dyDescent="0.3">
      <c r="A90" t="s">
        <v>1702</v>
      </c>
    </row>
    <row r="91" spans="1:1" x14ac:dyDescent="0.3">
      <c r="A91" t="s">
        <v>1704</v>
      </c>
    </row>
    <row r="92" spans="1:1" x14ac:dyDescent="0.3">
      <c r="A92" t="s">
        <v>1707</v>
      </c>
    </row>
    <row r="93" spans="1:1" x14ac:dyDescent="0.3">
      <c r="A93" t="s">
        <v>1266</v>
      </c>
    </row>
    <row r="94" spans="1:1" x14ac:dyDescent="0.3">
      <c r="A94" t="s">
        <v>1154</v>
      </c>
    </row>
    <row r="95" spans="1:1" x14ac:dyDescent="0.3">
      <c r="A95" t="s">
        <v>1155</v>
      </c>
    </row>
    <row r="96" spans="1:1" x14ac:dyDescent="0.3">
      <c r="A96" t="s">
        <v>1710</v>
      </c>
    </row>
    <row r="97" spans="1:1" x14ac:dyDescent="0.3">
      <c r="A97" t="s">
        <v>1267</v>
      </c>
    </row>
    <row r="98" spans="1:1" x14ac:dyDescent="0.3">
      <c r="A98" t="s">
        <v>1713</v>
      </c>
    </row>
    <row r="99" spans="1:1" x14ac:dyDescent="0.3">
      <c r="A99" t="s">
        <v>1716</v>
      </c>
    </row>
    <row r="100" spans="1:1" x14ac:dyDescent="0.3">
      <c r="A100" t="s">
        <v>1268</v>
      </c>
    </row>
    <row r="101" spans="1:1" x14ac:dyDescent="0.3">
      <c r="A101" t="s">
        <v>1269</v>
      </c>
    </row>
    <row r="102" spans="1:1" x14ac:dyDescent="0.3">
      <c r="A102" t="s">
        <v>1270</v>
      </c>
    </row>
    <row r="103" spans="1:1" x14ac:dyDescent="0.3">
      <c r="A103" t="s">
        <v>1271</v>
      </c>
    </row>
    <row r="104" spans="1:1" x14ac:dyDescent="0.3">
      <c r="A104" t="s">
        <v>1272</v>
      </c>
    </row>
    <row r="105" spans="1:1" x14ac:dyDescent="0.3">
      <c r="A105" t="s">
        <v>1273</v>
      </c>
    </row>
    <row r="106" spans="1:1" x14ac:dyDescent="0.3">
      <c r="A106" t="s">
        <v>1274</v>
      </c>
    </row>
    <row r="107" spans="1:1" x14ac:dyDescent="0.3">
      <c r="A107" t="s">
        <v>1275</v>
      </c>
    </row>
    <row r="108" spans="1:1" x14ac:dyDescent="0.3">
      <c r="A108" t="s">
        <v>1276</v>
      </c>
    </row>
    <row r="109" spans="1:1" x14ac:dyDescent="0.3">
      <c r="A109" t="s">
        <v>1719</v>
      </c>
    </row>
    <row r="110" spans="1:1" x14ac:dyDescent="0.3">
      <c r="A110" t="s">
        <v>1277</v>
      </c>
    </row>
    <row r="111" spans="1:1" x14ac:dyDescent="0.3">
      <c r="A111" t="s">
        <v>1278</v>
      </c>
    </row>
    <row r="112" spans="1:1" x14ac:dyDescent="0.3">
      <c r="A112" t="s">
        <v>1722</v>
      </c>
    </row>
    <row r="113" spans="1:1" x14ac:dyDescent="0.3">
      <c r="A113" t="s">
        <v>2133</v>
      </c>
    </row>
    <row r="114" spans="1:1" x14ac:dyDescent="0.3">
      <c r="A114" t="s">
        <v>1279</v>
      </c>
    </row>
    <row r="115" spans="1:1" x14ac:dyDescent="0.3">
      <c r="A115" t="s">
        <v>1280</v>
      </c>
    </row>
    <row r="116" spans="1:1" x14ac:dyDescent="0.3">
      <c r="A116" t="s">
        <v>1281</v>
      </c>
    </row>
    <row r="117" spans="1:1" x14ac:dyDescent="0.3">
      <c r="A117" t="s">
        <v>1282</v>
      </c>
    </row>
    <row r="118" spans="1:1" x14ac:dyDescent="0.3">
      <c r="A118" t="s">
        <v>1283</v>
      </c>
    </row>
    <row r="119" spans="1:1" x14ac:dyDescent="0.3">
      <c r="A119" t="s">
        <v>1284</v>
      </c>
    </row>
    <row r="120" spans="1:1" x14ac:dyDescent="0.3">
      <c r="A120" t="s">
        <v>1285</v>
      </c>
    </row>
    <row r="121" spans="1:1" x14ac:dyDescent="0.3">
      <c r="A121" t="s">
        <v>1286</v>
      </c>
    </row>
    <row r="122" spans="1:1" x14ac:dyDescent="0.3">
      <c r="A122" t="s">
        <v>1287</v>
      </c>
    </row>
    <row r="123" spans="1:1" x14ac:dyDescent="0.3">
      <c r="A123" t="s">
        <v>1288</v>
      </c>
    </row>
    <row r="124" spans="1:1" x14ac:dyDescent="0.3">
      <c r="A124" t="s">
        <v>1289</v>
      </c>
    </row>
    <row r="125" spans="1:1" x14ac:dyDescent="0.3">
      <c r="A125" t="s">
        <v>1290</v>
      </c>
    </row>
    <row r="126" spans="1:1" x14ac:dyDescent="0.3">
      <c r="A126" t="s">
        <v>1291</v>
      </c>
    </row>
    <row r="127" spans="1:1" x14ac:dyDescent="0.3">
      <c r="A127" t="s">
        <v>1292</v>
      </c>
    </row>
    <row r="128" spans="1:1" x14ac:dyDescent="0.3">
      <c r="A128" t="s">
        <v>1293</v>
      </c>
    </row>
    <row r="129" spans="1:1" x14ac:dyDescent="0.3">
      <c r="A129" t="s">
        <v>1725</v>
      </c>
    </row>
    <row r="130" spans="1:1" x14ac:dyDescent="0.3">
      <c r="A130" t="s">
        <v>2154</v>
      </c>
    </row>
    <row r="131" spans="1:1" x14ac:dyDescent="0.3">
      <c r="A131" t="s">
        <v>1294</v>
      </c>
    </row>
    <row r="132" spans="1:1" x14ac:dyDescent="0.3">
      <c r="A132" t="s">
        <v>1295</v>
      </c>
    </row>
    <row r="133" spans="1:1" x14ac:dyDescent="0.3">
      <c r="A133" t="s">
        <v>1296</v>
      </c>
    </row>
    <row r="134" spans="1:1" x14ac:dyDescent="0.3">
      <c r="A134" t="s">
        <v>1297</v>
      </c>
    </row>
    <row r="135" spans="1:1" x14ac:dyDescent="0.3">
      <c r="A135" t="s">
        <v>1727</v>
      </c>
    </row>
    <row r="136" spans="1:1" x14ac:dyDescent="0.3">
      <c r="A136" t="s">
        <v>1730</v>
      </c>
    </row>
    <row r="137" spans="1:1" x14ac:dyDescent="0.3">
      <c r="A137" t="s">
        <v>1298</v>
      </c>
    </row>
    <row r="138" spans="1:1" x14ac:dyDescent="0.3">
      <c r="A138" t="s">
        <v>1299</v>
      </c>
    </row>
    <row r="139" spans="1:1" x14ac:dyDescent="0.3">
      <c r="A139" t="s">
        <v>1300</v>
      </c>
    </row>
    <row r="140" spans="1:1" x14ac:dyDescent="0.3">
      <c r="A140" t="s">
        <v>1733</v>
      </c>
    </row>
    <row r="141" spans="1:1" x14ac:dyDescent="0.3">
      <c r="A141" t="s">
        <v>1301</v>
      </c>
    </row>
    <row r="142" spans="1:1" x14ac:dyDescent="0.3">
      <c r="A142" t="s">
        <v>1302</v>
      </c>
    </row>
    <row r="143" spans="1:1" x14ac:dyDescent="0.3">
      <c r="A143" t="s">
        <v>1156</v>
      </c>
    </row>
    <row r="144" spans="1:1" x14ac:dyDescent="0.3">
      <c r="A144" t="s">
        <v>1157</v>
      </c>
    </row>
    <row r="145" spans="1:1" x14ac:dyDescent="0.3">
      <c r="A145" t="s">
        <v>1158</v>
      </c>
    </row>
    <row r="146" spans="1:1" x14ac:dyDescent="0.3">
      <c r="A146" t="s">
        <v>1159</v>
      </c>
    </row>
    <row r="147" spans="1:1" x14ac:dyDescent="0.3">
      <c r="A147" t="s">
        <v>1303</v>
      </c>
    </row>
    <row r="148" spans="1:1" x14ac:dyDescent="0.3">
      <c r="A148" t="s">
        <v>1736</v>
      </c>
    </row>
    <row r="149" spans="1:1" x14ac:dyDescent="0.3">
      <c r="A149" t="s">
        <v>1160</v>
      </c>
    </row>
    <row r="150" spans="1:1" x14ac:dyDescent="0.3">
      <c r="A150" t="s">
        <v>1738</v>
      </c>
    </row>
    <row r="151" spans="1:1" x14ac:dyDescent="0.3">
      <c r="A151" t="s">
        <v>1304</v>
      </c>
    </row>
    <row r="152" spans="1:1" x14ac:dyDescent="0.3">
      <c r="A152" t="s">
        <v>1305</v>
      </c>
    </row>
    <row r="153" spans="1:1" x14ac:dyDescent="0.3">
      <c r="A153" t="s">
        <v>1740</v>
      </c>
    </row>
    <row r="154" spans="1:1" x14ac:dyDescent="0.3">
      <c r="A154" t="s">
        <v>1306</v>
      </c>
    </row>
    <row r="155" spans="1:1" x14ac:dyDescent="0.3">
      <c r="A155" t="s">
        <v>1307</v>
      </c>
    </row>
    <row r="156" spans="1:1" x14ac:dyDescent="0.3">
      <c r="A156" t="s">
        <v>1308</v>
      </c>
    </row>
    <row r="157" spans="1:1" x14ac:dyDescent="0.3">
      <c r="A157" t="s">
        <v>1309</v>
      </c>
    </row>
    <row r="158" spans="1:1" x14ac:dyDescent="0.3">
      <c r="A158" t="s">
        <v>1310</v>
      </c>
    </row>
    <row r="159" spans="1:1" x14ac:dyDescent="0.3">
      <c r="A159" t="s">
        <v>1311</v>
      </c>
    </row>
    <row r="160" spans="1:1" x14ac:dyDescent="0.3">
      <c r="A160" t="s">
        <v>1312</v>
      </c>
    </row>
    <row r="161" spans="1:1" x14ac:dyDescent="0.3">
      <c r="A161" t="s">
        <v>1161</v>
      </c>
    </row>
    <row r="162" spans="1:1" x14ac:dyDescent="0.3">
      <c r="A162" t="s">
        <v>1313</v>
      </c>
    </row>
    <row r="163" spans="1:1" x14ac:dyDescent="0.3">
      <c r="A163" t="s">
        <v>1314</v>
      </c>
    </row>
    <row r="164" spans="1:1" x14ac:dyDescent="0.3">
      <c r="A164" t="s">
        <v>1315</v>
      </c>
    </row>
    <row r="165" spans="1:1" x14ac:dyDescent="0.3">
      <c r="A165" t="s">
        <v>1162</v>
      </c>
    </row>
    <row r="166" spans="1:1" x14ac:dyDescent="0.3">
      <c r="A166" t="s">
        <v>1316</v>
      </c>
    </row>
    <row r="167" spans="1:1" x14ac:dyDescent="0.3">
      <c r="A167" t="s">
        <v>1317</v>
      </c>
    </row>
    <row r="168" spans="1:1" x14ac:dyDescent="0.3">
      <c r="A168" t="s">
        <v>1318</v>
      </c>
    </row>
    <row r="169" spans="1:1" x14ac:dyDescent="0.3">
      <c r="A169" t="s">
        <v>1743</v>
      </c>
    </row>
    <row r="170" spans="1:1" x14ac:dyDescent="0.3">
      <c r="A170" t="s">
        <v>1746</v>
      </c>
    </row>
    <row r="171" spans="1:1" x14ac:dyDescent="0.3">
      <c r="A171" t="s">
        <v>1319</v>
      </c>
    </row>
    <row r="172" spans="1:1" x14ac:dyDescent="0.3">
      <c r="A172" t="s">
        <v>1320</v>
      </c>
    </row>
    <row r="173" spans="1:1" x14ac:dyDescent="0.3">
      <c r="A173" t="s">
        <v>1321</v>
      </c>
    </row>
    <row r="174" spans="1:1" x14ac:dyDescent="0.3">
      <c r="A174" t="s">
        <v>1322</v>
      </c>
    </row>
    <row r="175" spans="1:1" x14ac:dyDescent="0.3">
      <c r="A175" t="s">
        <v>1323</v>
      </c>
    </row>
    <row r="176" spans="1:1" x14ac:dyDescent="0.3">
      <c r="A176" t="s">
        <v>1324</v>
      </c>
    </row>
    <row r="177" spans="1:1" x14ac:dyDescent="0.3">
      <c r="A177" t="s">
        <v>1325</v>
      </c>
    </row>
    <row r="178" spans="1:1" x14ac:dyDescent="0.3">
      <c r="A178" t="s">
        <v>1326</v>
      </c>
    </row>
    <row r="179" spans="1:1" x14ac:dyDescent="0.3">
      <c r="A179" t="s">
        <v>1748</v>
      </c>
    </row>
    <row r="180" spans="1:1" x14ac:dyDescent="0.3">
      <c r="A180" t="s">
        <v>1327</v>
      </c>
    </row>
    <row r="181" spans="1:1" x14ac:dyDescent="0.3">
      <c r="A181" t="s">
        <v>1328</v>
      </c>
    </row>
    <row r="182" spans="1:1" x14ac:dyDescent="0.3">
      <c r="A182" t="s">
        <v>1329</v>
      </c>
    </row>
    <row r="183" spans="1:1" x14ac:dyDescent="0.3">
      <c r="A183" t="s">
        <v>1330</v>
      </c>
    </row>
    <row r="184" spans="1:1" x14ac:dyDescent="0.3">
      <c r="A184" t="s">
        <v>1331</v>
      </c>
    </row>
    <row r="185" spans="1:1" x14ac:dyDescent="0.3">
      <c r="A185" t="s">
        <v>1332</v>
      </c>
    </row>
    <row r="186" spans="1:1" x14ac:dyDescent="0.3">
      <c r="A186" t="s">
        <v>1333</v>
      </c>
    </row>
    <row r="187" spans="1:1" x14ac:dyDescent="0.3">
      <c r="A187" t="s">
        <v>1750</v>
      </c>
    </row>
    <row r="188" spans="1:1" x14ac:dyDescent="0.3">
      <c r="A188" t="s">
        <v>1334</v>
      </c>
    </row>
    <row r="189" spans="1:1" x14ac:dyDescent="0.3">
      <c r="A189" t="s">
        <v>1335</v>
      </c>
    </row>
    <row r="190" spans="1:1" x14ac:dyDescent="0.3">
      <c r="A190" t="s">
        <v>1336</v>
      </c>
    </row>
    <row r="191" spans="1:1" x14ac:dyDescent="0.3">
      <c r="A191" t="s">
        <v>1337</v>
      </c>
    </row>
    <row r="192" spans="1:1" x14ac:dyDescent="0.3">
      <c r="A192" t="s">
        <v>1338</v>
      </c>
    </row>
    <row r="193" spans="1:1" x14ac:dyDescent="0.3">
      <c r="A193" t="s">
        <v>1339</v>
      </c>
    </row>
    <row r="194" spans="1:1" x14ac:dyDescent="0.3">
      <c r="A194" t="s">
        <v>1340</v>
      </c>
    </row>
    <row r="195" spans="1:1" x14ac:dyDescent="0.3">
      <c r="A195" t="s">
        <v>1341</v>
      </c>
    </row>
    <row r="196" spans="1:1" x14ac:dyDescent="0.3">
      <c r="A196" t="s">
        <v>1342</v>
      </c>
    </row>
    <row r="197" spans="1:1" x14ac:dyDescent="0.3">
      <c r="A197" t="s">
        <v>1343</v>
      </c>
    </row>
    <row r="198" spans="1:1" x14ac:dyDescent="0.3">
      <c r="A198" t="s">
        <v>1344</v>
      </c>
    </row>
    <row r="199" spans="1:1" x14ac:dyDescent="0.3">
      <c r="A199" t="s">
        <v>1754</v>
      </c>
    </row>
    <row r="200" spans="1:1" x14ac:dyDescent="0.3">
      <c r="A200" t="s">
        <v>1353</v>
      </c>
    </row>
    <row r="201" spans="1:1" x14ac:dyDescent="0.3">
      <c r="A201" t="s">
        <v>1354</v>
      </c>
    </row>
    <row r="202" spans="1:1" x14ac:dyDescent="0.3">
      <c r="A202" t="s">
        <v>1355</v>
      </c>
    </row>
    <row r="203" spans="1:1" x14ac:dyDescent="0.3">
      <c r="A203" t="s">
        <v>1356</v>
      </c>
    </row>
    <row r="204" spans="1:1" x14ac:dyDescent="0.3">
      <c r="A204" t="s">
        <v>1357</v>
      </c>
    </row>
    <row r="205" spans="1:1" x14ac:dyDescent="0.3">
      <c r="A205" t="s">
        <v>1164</v>
      </c>
    </row>
    <row r="206" spans="1:1" x14ac:dyDescent="0.3">
      <c r="A206" t="s">
        <v>1358</v>
      </c>
    </row>
    <row r="207" spans="1:1" x14ac:dyDescent="0.3">
      <c r="A207" t="s">
        <v>1359</v>
      </c>
    </row>
    <row r="208" spans="1:1" x14ac:dyDescent="0.3">
      <c r="A208" t="s">
        <v>1757</v>
      </c>
    </row>
    <row r="209" spans="1:1" x14ac:dyDescent="0.3">
      <c r="A209" t="s">
        <v>1360</v>
      </c>
    </row>
    <row r="210" spans="1:1" x14ac:dyDescent="0.3">
      <c r="A210" t="s">
        <v>1361</v>
      </c>
    </row>
    <row r="211" spans="1:1" x14ac:dyDescent="0.3">
      <c r="A211" t="s">
        <v>1362</v>
      </c>
    </row>
    <row r="212" spans="1:1" x14ac:dyDescent="0.3">
      <c r="A212" t="s">
        <v>2136</v>
      </c>
    </row>
    <row r="213" spans="1:1" x14ac:dyDescent="0.3">
      <c r="A213" t="s">
        <v>1363</v>
      </c>
    </row>
    <row r="214" spans="1:1" x14ac:dyDescent="0.3">
      <c r="A214" t="s">
        <v>1364</v>
      </c>
    </row>
    <row r="215" spans="1:1" x14ac:dyDescent="0.3">
      <c r="A215" t="s">
        <v>1365</v>
      </c>
    </row>
    <row r="216" spans="1:1" x14ac:dyDescent="0.3">
      <c r="A216" t="s">
        <v>1366</v>
      </c>
    </row>
    <row r="217" spans="1:1" x14ac:dyDescent="0.3">
      <c r="A217" t="s">
        <v>1367</v>
      </c>
    </row>
    <row r="218" spans="1:1" x14ac:dyDescent="0.3">
      <c r="A218" t="s">
        <v>1368</v>
      </c>
    </row>
    <row r="219" spans="1:1" x14ac:dyDescent="0.3">
      <c r="A219" t="s">
        <v>1369</v>
      </c>
    </row>
    <row r="220" spans="1:1" x14ac:dyDescent="0.3">
      <c r="A220" t="s">
        <v>1370</v>
      </c>
    </row>
    <row r="221" spans="1:1" x14ac:dyDescent="0.3">
      <c r="A221" t="s">
        <v>1371</v>
      </c>
    </row>
    <row r="222" spans="1:1" x14ac:dyDescent="0.3">
      <c r="A222" t="s">
        <v>1760</v>
      </c>
    </row>
    <row r="223" spans="1:1" x14ac:dyDescent="0.3">
      <c r="A223" t="s">
        <v>1372</v>
      </c>
    </row>
    <row r="224" spans="1:1" x14ac:dyDescent="0.3">
      <c r="A224" t="s">
        <v>1373</v>
      </c>
    </row>
    <row r="225" spans="1:1" x14ac:dyDescent="0.3">
      <c r="A225" t="s">
        <v>1374</v>
      </c>
    </row>
    <row r="226" spans="1:1" x14ac:dyDescent="0.3">
      <c r="A226" t="s">
        <v>2126</v>
      </c>
    </row>
    <row r="227" spans="1:1" x14ac:dyDescent="0.3">
      <c r="A227" t="s">
        <v>1375</v>
      </c>
    </row>
    <row r="228" spans="1:1" x14ac:dyDescent="0.3">
      <c r="A228" t="s">
        <v>1376</v>
      </c>
    </row>
    <row r="229" spans="1:1" x14ac:dyDescent="0.3">
      <c r="A229" t="s">
        <v>1377</v>
      </c>
    </row>
    <row r="230" spans="1:1" x14ac:dyDescent="0.3">
      <c r="A230" t="s">
        <v>1378</v>
      </c>
    </row>
    <row r="231" spans="1:1" x14ac:dyDescent="0.3">
      <c r="A231" t="s">
        <v>1379</v>
      </c>
    </row>
    <row r="232" spans="1:1" x14ac:dyDescent="0.3">
      <c r="A232" t="s">
        <v>1380</v>
      </c>
    </row>
    <row r="233" spans="1:1" x14ac:dyDescent="0.3">
      <c r="A233" t="s">
        <v>1381</v>
      </c>
    </row>
    <row r="234" spans="1:1" x14ac:dyDescent="0.3">
      <c r="A234" t="s">
        <v>2192</v>
      </c>
    </row>
    <row r="235" spans="1:1" x14ac:dyDescent="0.3">
      <c r="A235" t="s">
        <v>1763</v>
      </c>
    </row>
    <row r="236" spans="1:1" x14ac:dyDescent="0.3">
      <c r="A236" t="s">
        <v>1382</v>
      </c>
    </row>
    <row r="237" spans="1:1" x14ac:dyDescent="0.3">
      <c r="A237" t="s">
        <v>1383</v>
      </c>
    </row>
    <row r="238" spans="1:1" x14ac:dyDescent="0.3">
      <c r="A238" t="s">
        <v>1384</v>
      </c>
    </row>
    <row r="239" spans="1:1" x14ac:dyDescent="0.3">
      <c r="A239" t="s">
        <v>1385</v>
      </c>
    </row>
    <row r="240" spans="1:1" x14ac:dyDescent="0.3">
      <c r="A240" t="s">
        <v>1386</v>
      </c>
    </row>
    <row r="241" spans="1:1" x14ac:dyDescent="0.3">
      <c r="A241" t="s">
        <v>1766</v>
      </c>
    </row>
    <row r="242" spans="1:1" x14ac:dyDescent="0.3">
      <c r="A242" t="s">
        <v>1767</v>
      </c>
    </row>
    <row r="243" spans="1:1" x14ac:dyDescent="0.3">
      <c r="A243" t="s">
        <v>1387</v>
      </c>
    </row>
    <row r="244" spans="1:1" x14ac:dyDescent="0.3">
      <c r="A244" t="s">
        <v>1769</v>
      </c>
    </row>
    <row r="245" spans="1:1" x14ac:dyDescent="0.3">
      <c r="A245" t="s">
        <v>1388</v>
      </c>
    </row>
    <row r="246" spans="1:1" x14ac:dyDescent="0.3">
      <c r="A246" t="s">
        <v>2146</v>
      </c>
    </row>
    <row r="247" spans="1:1" x14ac:dyDescent="0.3">
      <c r="A247" t="s">
        <v>1389</v>
      </c>
    </row>
    <row r="248" spans="1:1" x14ac:dyDescent="0.3">
      <c r="A248" t="s">
        <v>1390</v>
      </c>
    </row>
    <row r="249" spans="1:1" x14ac:dyDescent="0.3">
      <c r="A249" t="s">
        <v>1391</v>
      </c>
    </row>
    <row r="250" spans="1:1" x14ac:dyDescent="0.3">
      <c r="A250" t="s">
        <v>1392</v>
      </c>
    </row>
    <row r="251" spans="1:1" x14ac:dyDescent="0.3">
      <c r="A251" t="s">
        <v>1393</v>
      </c>
    </row>
    <row r="252" spans="1:1" x14ac:dyDescent="0.3">
      <c r="A252" t="s">
        <v>1394</v>
      </c>
    </row>
    <row r="253" spans="1:1" x14ac:dyDescent="0.3">
      <c r="A253" t="s">
        <v>1395</v>
      </c>
    </row>
    <row r="254" spans="1:1" x14ac:dyDescent="0.3">
      <c r="A254" t="s">
        <v>1396</v>
      </c>
    </row>
    <row r="255" spans="1:1" x14ac:dyDescent="0.3">
      <c r="A255" t="s">
        <v>1771</v>
      </c>
    </row>
    <row r="256" spans="1:1" x14ac:dyDescent="0.3">
      <c r="A256" t="s">
        <v>1397</v>
      </c>
    </row>
    <row r="257" spans="1:1" x14ac:dyDescent="0.3">
      <c r="A257" t="s">
        <v>1165</v>
      </c>
    </row>
    <row r="258" spans="1:1" x14ac:dyDescent="0.3">
      <c r="A258" t="s">
        <v>1166</v>
      </c>
    </row>
    <row r="259" spans="1:1" x14ac:dyDescent="0.3">
      <c r="A259" t="s">
        <v>1167</v>
      </c>
    </row>
    <row r="260" spans="1:1" x14ac:dyDescent="0.3">
      <c r="A260" t="s">
        <v>1398</v>
      </c>
    </row>
    <row r="261" spans="1:1" x14ac:dyDescent="0.3">
      <c r="A261" t="s">
        <v>1399</v>
      </c>
    </row>
    <row r="262" spans="1:1" x14ac:dyDescent="0.3">
      <c r="A262" t="s">
        <v>1400</v>
      </c>
    </row>
    <row r="263" spans="1:1" x14ac:dyDescent="0.3">
      <c r="A263" t="s">
        <v>1401</v>
      </c>
    </row>
    <row r="264" spans="1:1" x14ac:dyDescent="0.3">
      <c r="A264" t="s">
        <v>1402</v>
      </c>
    </row>
    <row r="265" spans="1:1" x14ac:dyDescent="0.3">
      <c r="A265" t="s">
        <v>1403</v>
      </c>
    </row>
    <row r="266" spans="1:1" x14ac:dyDescent="0.3">
      <c r="A266" t="s">
        <v>1404</v>
      </c>
    </row>
    <row r="267" spans="1:1" x14ac:dyDescent="0.3">
      <c r="A267" t="s">
        <v>1405</v>
      </c>
    </row>
    <row r="268" spans="1:1" x14ac:dyDescent="0.3">
      <c r="A268" t="s">
        <v>1406</v>
      </c>
    </row>
    <row r="269" spans="1:1" x14ac:dyDescent="0.3">
      <c r="A269" t="s">
        <v>1407</v>
      </c>
    </row>
    <row r="270" spans="1:1" x14ac:dyDescent="0.3">
      <c r="A270" t="s">
        <v>1774</v>
      </c>
    </row>
    <row r="271" spans="1:1" x14ac:dyDescent="0.3">
      <c r="A271" t="s">
        <v>1168</v>
      </c>
    </row>
    <row r="272" spans="1:1" x14ac:dyDescent="0.3">
      <c r="A272" t="s">
        <v>1169</v>
      </c>
    </row>
    <row r="273" spans="1:1" x14ac:dyDescent="0.3">
      <c r="A273" t="s">
        <v>1776</v>
      </c>
    </row>
    <row r="274" spans="1:1" x14ac:dyDescent="0.3">
      <c r="A274" t="s">
        <v>1170</v>
      </c>
    </row>
    <row r="275" spans="1:1" x14ac:dyDescent="0.3">
      <c r="A275" t="s">
        <v>1171</v>
      </c>
    </row>
    <row r="276" spans="1:1" x14ac:dyDescent="0.3">
      <c r="A276" t="s">
        <v>1172</v>
      </c>
    </row>
    <row r="277" spans="1:1" x14ac:dyDescent="0.3">
      <c r="A277" t="s">
        <v>1777</v>
      </c>
    </row>
    <row r="278" spans="1:1" x14ac:dyDescent="0.3">
      <c r="A278" t="s">
        <v>1173</v>
      </c>
    </row>
    <row r="279" spans="1:1" x14ac:dyDescent="0.3">
      <c r="A279" t="s">
        <v>1779</v>
      </c>
    </row>
    <row r="280" spans="1:1" x14ac:dyDescent="0.3">
      <c r="A280" t="s">
        <v>1174</v>
      </c>
    </row>
    <row r="281" spans="1:1" x14ac:dyDescent="0.3">
      <c r="A281" t="s">
        <v>1175</v>
      </c>
    </row>
    <row r="282" spans="1:1" x14ac:dyDescent="0.3">
      <c r="A282" t="s">
        <v>1176</v>
      </c>
    </row>
    <row r="283" spans="1:1" x14ac:dyDescent="0.3">
      <c r="A283" t="s">
        <v>1781</v>
      </c>
    </row>
    <row r="284" spans="1:1" x14ac:dyDescent="0.3">
      <c r="A284" t="s">
        <v>1784</v>
      </c>
    </row>
    <row r="285" spans="1:1" x14ac:dyDescent="0.3">
      <c r="A285" t="s">
        <v>1177</v>
      </c>
    </row>
    <row r="286" spans="1:1" x14ac:dyDescent="0.3">
      <c r="A286" t="s">
        <v>1787</v>
      </c>
    </row>
    <row r="287" spans="1:1" x14ac:dyDescent="0.3">
      <c r="A287" t="s">
        <v>1408</v>
      </c>
    </row>
    <row r="288" spans="1:1" x14ac:dyDescent="0.3">
      <c r="A288" t="s">
        <v>1409</v>
      </c>
    </row>
    <row r="289" spans="1:1" x14ac:dyDescent="0.3">
      <c r="A289" t="s">
        <v>1410</v>
      </c>
    </row>
    <row r="290" spans="1:1" x14ac:dyDescent="0.3">
      <c r="A290" t="s">
        <v>1411</v>
      </c>
    </row>
    <row r="291" spans="1:1" x14ac:dyDescent="0.3">
      <c r="A291" t="s">
        <v>1790</v>
      </c>
    </row>
    <row r="292" spans="1:1" x14ac:dyDescent="0.3">
      <c r="A292" t="s">
        <v>1793</v>
      </c>
    </row>
    <row r="293" spans="1:1" x14ac:dyDescent="0.3">
      <c r="A293" t="s">
        <v>1796</v>
      </c>
    </row>
    <row r="294" spans="1:1" x14ac:dyDescent="0.3">
      <c r="A294" t="s">
        <v>1412</v>
      </c>
    </row>
    <row r="295" spans="1:1" x14ac:dyDescent="0.3">
      <c r="A295" t="s">
        <v>1798</v>
      </c>
    </row>
    <row r="296" spans="1:1" x14ac:dyDescent="0.3">
      <c r="A296" t="s">
        <v>1413</v>
      </c>
    </row>
    <row r="297" spans="1:1" x14ac:dyDescent="0.3">
      <c r="A297" t="s">
        <v>1414</v>
      </c>
    </row>
    <row r="298" spans="1:1" x14ac:dyDescent="0.3">
      <c r="A298" t="s">
        <v>1800</v>
      </c>
    </row>
    <row r="299" spans="1:1" x14ac:dyDescent="0.3">
      <c r="A299" t="s">
        <v>1415</v>
      </c>
    </row>
    <row r="300" spans="1:1" x14ac:dyDescent="0.3">
      <c r="A300" t="s">
        <v>1803</v>
      </c>
    </row>
    <row r="301" spans="1:1" x14ac:dyDescent="0.3">
      <c r="A301" t="s">
        <v>1416</v>
      </c>
    </row>
    <row r="302" spans="1:1" x14ac:dyDescent="0.3">
      <c r="A302" t="s">
        <v>1417</v>
      </c>
    </row>
    <row r="303" spans="1:1" x14ac:dyDescent="0.3">
      <c r="A303" t="s">
        <v>1806</v>
      </c>
    </row>
    <row r="304" spans="1:1" x14ac:dyDescent="0.3">
      <c r="A304" t="s">
        <v>1809</v>
      </c>
    </row>
    <row r="305" spans="1:1" x14ac:dyDescent="0.3">
      <c r="A305" t="s">
        <v>1812</v>
      </c>
    </row>
    <row r="306" spans="1:1" x14ac:dyDescent="0.3">
      <c r="A306" t="s">
        <v>1418</v>
      </c>
    </row>
    <row r="307" spans="1:1" x14ac:dyDescent="0.3">
      <c r="A307" t="s">
        <v>1419</v>
      </c>
    </row>
    <row r="308" spans="1:1" x14ac:dyDescent="0.3">
      <c r="A308" t="s">
        <v>1420</v>
      </c>
    </row>
    <row r="309" spans="1:1" x14ac:dyDescent="0.3">
      <c r="A309" t="s">
        <v>1421</v>
      </c>
    </row>
    <row r="310" spans="1:1" x14ac:dyDescent="0.3">
      <c r="A310" t="s">
        <v>1422</v>
      </c>
    </row>
    <row r="311" spans="1:1" x14ac:dyDescent="0.3">
      <c r="A311" t="s">
        <v>1815</v>
      </c>
    </row>
    <row r="312" spans="1:1" x14ac:dyDescent="0.3">
      <c r="A312" t="s">
        <v>1818</v>
      </c>
    </row>
    <row r="313" spans="1:1" x14ac:dyDescent="0.3">
      <c r="A313" t="s">
        <v>1423</v>
      </c>
    </row>
    <row r="314" spans="1:1" x14ac:dyDescent="0.3">
      <c r="A314" t="s">
        <v>1424</v>
      </c>
    </row>
    <row r="315" spans="1:1" x14ac:dyDescent="0.3">
      <c r="A315" t="s">
        <v>1425</v>
      </c>
    </row>
    <row r="316" spans="1:1" x14ac:dyDescent="0.3">
      <c r="A316" t="s">
        <v>1426</v>
      </c>
    </row>
    <row r="317" spans="1:1" x14ac:dyDescent="0.3">
      <c r="A317" t="s">
        <v>1427</v>
      </c>
    </row>
    <row r="318" spans="1:1" x14ac:dyDescent="0.3">
      <c r="A318" t="s">
        <v>1428</v>
      </c>
    </row>
    <row r="319" spans="1:1" x14ac:dyDescent="0.3">
      <c r="A319" t="s">
        <v>2140</v>
      </c>
    </row>
    <row r="320" spans="1:1" x14ac:dyDescent="0.3">
      <c r="A320" t="s">
        <v>1429</v>
      </c>
    </row>
    <row r="321" spans="1:1" x14ac:dyDescent="0.3">
      <c r="A321" t="s">
        <v>1430</v>
      </c>
    </row>
    <row r="322" spans="1:1" x14ac:dyDescent="0.3">
      <c r="A322" t="s">
        <v>1431</v>
      </c>
    </row>
    <row r="323" spans="1:1" x14ac:dyDescent="0.3">
      <c r="A323" t="s">
        <v>1432</v>
      </c>
    </row>
    <row r="324" spans="1:1" x14ac:dyDescent="0.3">
      <c r="A324" t="s">
        <v>1433</v>
      </c>
    </row>
    <row r="325" spans="1:1" x14ac:dyDescent="0.3">
      <c r="A325" t="s">
        <v>1434</v>
      </c>
    </row>
    <row r="326" spans="1:1" x14ac:dyDescent="0.3">
      <c r="A326" t="s">
        <v>1435</v>
      </c>
    </row>
    <row r="327" spans="1:1" x14ac:dyDescent="0.3">
      <c r="A327" t="s">
        <v>1178</v>
      </c>
    </row>
    <row r="328" spans="1:1" x14ac:dyDescent="0.3">
      <c r="A328" t="s">
        <v>1436</v>
      </c>
    </row>
    <row r="329" spans="1:1" x14ac:dyDescent="0.3">
      <c r="A329" t="s">
        <v>1437</v>
      </c>
    </row>
    <row r="330" spans="1:1" x14ac:dyDescent="0.3">
      <c r="A330" t="s">
        <v>1438</v>
      </c>
    </row>
    <row r="331" spans="1:1" x14ac:dyDescent="0.3">
      <c r="A331" t="s">
        <v>1439</v>
      </c>
    </row>
    <row r="332" spans="1:1" x14ac:dyDescent="0.3">
      <c r="A332" t="s">
        <v>1821</v>
      </c>
    </row>
    <row r="333" spans="1:1" x14ac:dyDescent="0.3">
      <c r="A333" t="s">
        <v>1440</v>
      </c>
    </row>
    <row r="334" spans="1:1" x14ac:dyDescent="0.3">
      <c r="A334" t="s">
        <v>1824</v>
      </c>
    </row>
    <row r="335" spans="1:1" x14ac:dyDescent="0.3">
      <c r="A335" t="s">
        <v>2144</v>
      </c>
    </row>
    <row r="336" spans="1:1" x14ac:dyDescent="0.3">
      <c r="A336" t="s">
        <v>2142</v>
      </c>
    </row>
    <row r="337" spans="1:1" x14ac:dyDescent="0.3">
      <c r="A337" t="s">
        <v>1441</v>
      </c>
    </row>
    <row r="338" spans="1:1" x14ac:dyDescent="0.3">
      <c r="A338" t="s">
        <v>1442</v>
      </c>
    </row>
    <row r="339" spans="1:1" x14ac:dyDescent="0.3">
      <c r="A339" t="s">
        <v>1443</v>
      </c>
    </row>
    <row r="340" spans="1:1" x14ac:dyDescent="0.3">
      <c r="A340" t="s">
        <v>1444</v>
      </c>
    </row>
    <row r="341" spans="1:1" x14ac:dyDescent="0.3">
      <c r="A341" t="s">
        <v>1827</v>
      </c>
    </row>
    <row r="342" spans="1:1" x14ac:dyDescent="0.3">
      <c r="A342" t="s">
        <v>2148</v>
      </c>
    </row>
    <row r="343" spans="1:1" x14ac:dyDescent="0.3">
      <c r="A343" t="s">
        <v>1445</v>
      </c>
    </row>
    <row r="344" spans="1:1" x14ac:dyDescent="0.3">
      <c r="A344" t="s">
        <v>1446</v>
      </c>
    </row>
    <row r="345" spans="1:1" x14ac:dyDescent="0.3">
      <c r="A345" t="s">
        <v>1447</v>
      </c>
    </row>
    <row r="346" spans="1:1" x14ac:dyDescent="0.3">
      <c r="A346" t="s">
        <v>1448</v>
      </c>
    </row>
    <row r="347" spans="1:1" x14ac:dyDescent="0.3">
      <c r="A347" t="s">
        <v>1449</v>
      </c>
    </row>
    <row r="348" spans="1:1" x14ac:dyDescent="0.3">
      <c r="A348" t="s">
        <v>1831</v>
      </c>
    </row>
    <row r="349" spans="1:1" x14ac:dyDescent="0.3">
      <c r="A349" t="s">
        <v>1450</v>
      </c>
    </row>
    <row r="350" spans="1:1" x14ac:dyDescent="0.3">
      <c r="A350" t="s">
        <v>1451</v>
      </c>
    </row>
    <row r="351" spans="1:1" x14ac:dyDescent="0.3">
      <c r="A351" t="s">
        <v>1452</v>
      </c>
    </row>
    <row r="352" spans="1:1" x14ac:dyDescent="0.3">
      <c r="A352" t="s">
        <v>1453</v>
      </c>
    </row>
    <row r="353" spans="1:1" x14ac:dyDescent="0.3">
      <c r="A353" t="s">
        <v>1454</v>
      </c>
    </row>
    <row r="354" spans="1:1" x14ac:dyDescent="0.3">
      <c r="A354" t="s">
        <v>1455</v>
      </c>
    </row>
    <row r="355" spans="1:1" x14ac:dyDescent="0.3">
      <c r="A355" t="s">
        <v>1456</v>
      </c>
    </row>
    <row r="356" spans="1:1" x14ac:dyDescent="0.3">
      <c r="A356" t="s">
        <v>1457</v>
      </c>
    </row>
    <row r="357" spans="1:1" x14ac:dyDescent="0.3">
      <c r="A357" t="s">
        <v>1458</v>
      </c>
    </row>
    <row r="358" spans="1:1" x14ac:dyDescent="0.3">
      <c r="A358" t="s">
        <v>1459</v>
      </c>
    </row>
    <row r="359" spans="1:1" x14ac:dyDescent="0.3">
      <c r="A359" t="s">
        <v>1460</v>
      </c>
    </row>
    <row r="360" spans="1:1" x14ac:dyDescent="0.3">
      <c r="A360" t="s">
        <v>1461</v>
      </c>
    </row>
    <row r="361" spans="1:1" x14ac:dyDescent="0.3">
      <c r="A361" t="s">
        <v>1462</v>
      </c>
    </row>
    <row r="362" spans="1:1" x14ac:dyDescent="0.3">
      <c r="A362" t="s">
        <v>1463</v>
      </c>
    </row>
    <row r="363" spans="1:1" x14ac:dyDescent="0.3">
      <c r="A363" t="s">
        <v>1464</v>
      </c>
    </row>
    <row r="364" spans="1:1" x14ac:dyDescent="0.3">
      <c r="A364" t="s">
        <v>1465</v>
      </c>
    </row>
    <row r="365" spans="1:1" x14ac:dyDescent="0.3">
      <c r="A365" t="s">
        <v>1466</v>
      </c>
    </row>
    <row r="366" spans="1:1" x14ac:dyDescent="0.3">
      <c r="A366" t="s">
        <v>1467</v>
      </c>
    </row>
    <row r="367" spans="1:1" x14ac:dyDescent="0.3">
      <c r="A367" t="s">
        <v>1468</v>
      </c>
    </row>
    <row r="368" spans="1:1" x14ac:dyDescent="0.3">
      <c r="A368" t="s">
        <v>1469</v>
      </c>
    </row>
    <row r="369" spans="1:1" x14ac:dyDescent="0.3">
      <c r="A369" t="s">
        <v>1470</v>
      </c>
    </row>
    <row r="370" spans="1:1" x14ac:dyDescent="0.3">
      <c r="A370" t="s">
        <v>1833</v>
      </c>
    </row>
    <row r="371" spans="1:1" x14ac:dyDescent="0.3">
      <c r="A371" t="s">
        <v>1471</v>
      </c>
    </row>
    <row r="372" spans="1:1" x14ac:dyDescent="0.3">
      <c r="A372" t="s">
        <v>2125</v>
      </c>
    </row>
    <row r="373" spans="1:1" x14ac:dyDescent="0.3">
      <c r="A373" t="s">
        <v>1472</v>
      </c>
    </row>
    <row r="374" spans="1:1" x14ac:dyDescent="0.3">
      <c r="A374" t="s">
        <v>1473</v>
      </c>
    </row>
    <row r="375" spans="1:1" x14ac:dyDescent="0.3">
      <c r="A375" t="s">
        <v>1474</v>
      </c>
    </row>
    <row r="376" spans="1:1" x14ac:dyDescent="0.3">
      <c r="A376" t="s">
        <v>1475</v>
      </c>
    </row>
    <row r="377" spans="1:1" x14ac:dyDescent="0.3">
      <c r="A377" t="s">
        <v>1132</v>
      </c>
    </row>
    <row r="378" spans="1:1" x14ac:dyDescent="0.3">
      <c r="A378" t="s">
        <v>1476</v>
      </c>
    </row>
    <row r="379" spans="1:1" x14ac:dyDescent="0.3">
      <c r="A379" t="s">
        <v>1477</v>
      </c>
    </row>
    <row r="380" spans="1:1" x14ac:dyDescent="0.3">
      <c r="A380" t="s">
        <v>1478</v>
      </c>
    </row>
    <row r="381" spans="1:1" x14ac:dyDescent="0.3">
      <c r="A381" t="s">
        <v>1479</v>
      </c>
    </row>
    <row r="382" spans="1:1" x14ac:dyDescent="0.3">
      <c r="A382" t="s">
        <v>1179</v>
      </c>
    </row>
    <row r="383" spans="1:1" x14ac:dyDescent="0.3">
      <c r="A383" t="s">
        <v>1131</v>
      </c>
    </row>
    <row r="384" spans="1:1" x14ac:dyDescent="0.3">
      <c r="A384" t="s">
        <v>1480</v>
      </c>
    </row>
    <row r="385" spans="1:1" x14ac:dyDescent="0.3">
      <c r="A385" t="s">
        <v>1481</v>
      </c>
    </row>
    <row r="386" spans="1:1" x14ac:dyDescent="0.3">
      <c r="A386" t="s">
        <v>1482</v>
      </c>
    </row>
    <row r="387" spans="1:1" x14ac:dyDescent="0.3">
      <c r="A387" t="s">
        <v>1483</v>
      </c>
    </row>
    <row r="388" spans="1:1" x14ac:dyDescent="0.3">
      <c r="A388" t="s">
        <v>1484</v>
      </c>
    </row>
    <row r="389" spans="1:1" x14ac:dyDescent="0.3">
      <c r="A389" t="s">
        <v>1485</v>
      </c>
    </row>
    <row r="390" spans="1:1" x14ac:dyDescent="0.3">
      <c r="A390" t="s">
        <v>1180</v>
      </c>
    </row>
    <row r="391" spans="1:1" x14ac:dyDescent="0.3">
      <c r="A391" t="s">
        <v>1181</v>
      </c>
    </row>
    <row r="392" spans="1:1" x14ac:dyDescent="0.3">
      <c r="A392" t="s">
        <v>1486</v>
      </c>
    </row>
    <row r="393" spans="1:1" x14ac:dyDescent="0.3">
      <c r="A393" t="s">
        <v>1487</v>
      </c>
    </row>
    <row r="394" spans="1:1" x14ac:dyDescent="0.3">
      <c r="A394" t="s">
        <v>1133</v>
      </c>
    </row>
    <row r="395" spans="1:1" x14ac:dyDescent="0.3">
      <c r="A395" t="s">
        <v>1488</v>
      </c>
    </row>
    <row r="396" spans="1:1" x14ac:dyDescent="0.3">
      <c r="A396" t="s">
        <v>1489</v>
      </c>
    </row>
    <row r="397" spans="1:1" x14ac:dyDescent="0.3">
      <c r="A397" t="s">
        <v>1490</v>
      </c>
    </row>
    <row r="398" spans="1:1" x14ac:dyDescent="0.3">
      <c r="A398" t="s">
        <v>1491</v>
      </c>
    </row>
    <row r="399" spans="1:1" x14ac:dyDescent="0.3">
      <c r="A399" t="s">
        <v>1492</v>
      </c>
    </row>
    <row r="400" spans="1:1" x14ac:dyDescent="0.3">
      <c r="A400" t="s">
        <v>1182</v>
      </c>
    </row>
    <row r="401" spans="1:1" x14ac:dyDescent="0.3">
      <c r="A401" t="s">
        <v>1836</v>
      </c>
    </row>
    <row r="402" spans="1:1" x14ac:dyDescent="0.3">
      <c r="A402" t="s">
        <v>1493</v>
      </c>
    </row>
    <row r="403" spans="1:1" x14ac:dyDescent="0.3">
      <c r="A403" t="s">
        <v>1183</v>
      </c>
    </row>
    <row r="404" spans="1:1" x14ac:dyDescent="0.3">
      <c r="A404" t="s">
        <v>1184</v>
      </c>
    </row>
    <row r="405" spans="1:1" x14ac:dyDescent="0.3">
      <c r="A405" t="s">
        <v>1185</v>
      </c>
    </row>
    <row r="406" spans="1:1" x14ac:dyDescent="0.3">
      <c r="A406" t="s">
        <v>1494</v>
      </c>
    </row>
    <row r="407" spans="1:1" x14ac:dyDescent="0.3">
      <c r="A407" t="s">
        <v>1495</v>
      </c>
    </row>
    <row r="408" spans="1:1" x14ac:dyDescent="0.3">
      <c r="A408" t="s">
        <v>1186</v>
      </c>
    </row>
    <row r="409" spans="1:1" x14ac:dyDescent="0.3">
      <c r="A409" t="s">
        <v>1838</v>
      </c>
    </row>
    <row r="410" spans="1:1" x14ac:dyDescent="0.3">
      <c r="A410" t="s">
        <v>1496</v>
      </c>
    </row>
    <row r="411" spans="1:1" x14ac:dyDescent="0.3">
      <c r="A411" t="s">
        <v>1497</v>
      </c>
    </row>
    <row r="412" spans="1:1" x14ac:dyDescent="0.3">
      <c r="A412" t="s">
        <v>1840</v>
      </c>
    </row>
    <row r="413" spans="1:1" x14ac:dyDescent="0.3">
      <c r="A413" t="s">
        <v>1498</v>
      </c>
    </row>
    <row r="414" spans="1:1" x14ac:dyDescent="0.3">
      <c r="A414" t="s">
        <v>1843</v>
      </c>
    </row>
    <row r="415" spans="1:1" x14ac:dyDescent="0.3">
      <c r="A415" t="s">
        <v>1845</v>
      </c>
    </row>
    <row r="416" spans="1:1" x14ac:dyDescent="0.3">
      <c r="A416" t="s">
        <v>1187</v>
      </c>
    </row>
    <row r="417" spans="1:1" x14ac:dyDescent="0.3">
      <c r="A417" t="s">
        <v>1499</v>
      </c>
    </row>
    <row r="418" spans="1:1" x14ac:dyDescent="0.3">
      <c r="A418" t="s">
        <v>1500</v>
      </c>
    </row>
    <row r="419" spans="1:1" x14ac:dyDescent="0.3">
      <c r="A419" t="s">
        <v>1501</v>
      </c>
    </row>
    <row r="420" spans="1:1" x14ac:dyDescent="0.3">
      <c r="A420" t="s">
        <v>1502</v>
      </c>
    </row>
    <row r="421" spans="1:1" x14ac:dyDescent="0.3">
      <c r="A421" t="s">
        <v>1188</v>
      </c>
    </row>
    <row r="422" spans="1:1" x14ac:dyDescent="0.3">
      <c r="A422" t="s">
        <v>1189</v>
      </c>
    </row>
    <row r="423" spans="1:1" x14ac:dyDescent="0.3">
      <c r="A423" t="s">
        <v>1190</v>
      </c>
    </row>
    <row r="424" spans="1:1" x14ac:dyDescent="0.3">
      <c r="A424" t="s">
        <v>1191</v>
      </c>
    </row>
    <row r="425" spans="1:1" x14ac:dyDescent="0.3">
      <c r="A425" t="s">
        <v>1503</v>
      </c>
    </row>
    <row r="426" spans="1:1" x14ac:dyDescent="0.3">
      <c r="A426" t="s">
        <v>1504</v>
      </c>
    </row>
    <row r="427" spans="1:1" x14ac:dyDescent="0.3">
      <c r="A427" t="s">
        <v>1505</v>
      </c>
    </row>
    <row r="428" spans="1:1" x14ac:dyDescent="0.3">
      <c r="A428" t="s">
        <v>1506</v>
      </c>
    </row>
    <row r="429" spans="1:1" x14ac:dyDescent="0.3">
      <c r="A429" t="s">
        <v>1507</v>
      </c>
    </row>
    <row r="430" spans="1:1" x14ac:dyDescent="0.3">
      <c r="A430" t="s">
        <v>1508</v>
      </c>
    </row>
    <row r="431" spans="1:1" x14ac:dyDescent="0.3">
      <c r="A431" t="s">
        <v>1509</v>
      </c>
    </row>
    <row r="432" spans="1:1" x14ac:dyDescent="0.3">
      <c r="A432" t="s">
        <v>1510</v>
      </c>
    </row>
    <row r="433" spans="1:1" x14ac:dyDescent="0.3">
      <c r="A433" t="s">
        <v>1511</v>
      </c>
    </row>
    <row r="434" spans="1:1" x14ac:dyDescent="0.3">
      <c r="A434" t="s">
        <v>1512</v>
      </c>
    </row>
    <row r="435" spans="1:1" x14ac:dyDescent="0.3">
      <c r="A435" t="s">
        <v>1513</v>
      </c>
    </row>
    <row r="436" spans="1:1" x14ac:dyDescent="0.3">
      <c r="A436" t="s">
        <v>1514</v>
      </c>
    </row>
    <row r="437" spans="1:1" x14ac:dyDescent="0.3">
      <c r="A437" t="s">
        <v>1515</v>
      </c>
    </row>
    <row r="438" spans="1:1" x14ac:dyDescent="0.3">
      <c r="A438" t="s">
        <v>2138</v>
      </c>
    </row>
    <row r="439" spans="1:1" x14ac:dyDescent="0.3">
      <c r="A439" t="s">
        <v>1847</v>
      </c>
    </row>
    <row r="440" spans="1:1" x14ac:dyDescent="0.3">
      <c r="A440" t="s">
        <v>1516</v>
      </c>
    </row>
    <row r="441" spans="1:1" x14ac:dyDescent="0.3">
      <c r="A441" t="s">
        <v>1517</v>
      </c>
    </row>
    <row r="442" spans="1:1" x14ac:dyDescent="0.3">
      <c r="A442" t="s">
        <v>1850</v>
      </c>
    </row>
    <row r="443" spans="1:1" x14ac:dyDescent="0.3">
      <c r="A443" t="s">
        <v>1852</v>
      </c>
    </row>
    <row r="444" spans="1:1" x14ac:dyDescent="0.3">
      <c r="A444" t="s">
        <v>1518</v>
      </c>
    </row>
    <row r="445" spans="1:1" x14ac:dyDescent="0.3">
      <c r="A445" t="s">
        <v>1519</v>
      </c>
    </row>
    <row r="446" spans="1:1" x14ac:dyDescent="0.3">
      <c r="A446" t="s">
        <v>1520</v>
      </c>
    </row>
    <row r="447" spans="1:1" x14ac:dyDescent="0.3">
      <c r="A447" t="s">
        <v>1521</v>
      </c>
    </row>
    <row r="448" spans="1:1" x14ac:dyDescent="0.3">
      <c r="A448" t="s">
        <v>1522</v>
      </c>
    </row>
    <row r="449" spans="1:1" x14ac:dyDescent="0.3">
      <c r="A449" t="s">
        <v>1523</v>
      </c>
    </row>
    <row r="450" spans="1:1" x14ac:dyDescent="0.3">
      <c r="A450" t="s">
        <v>1524</v>
      </c>
    </row>
    <row r="451" spans="1:1" x14ac:dyDescent="0.3">
      <c r="A451" t="s">
        <v>1525</v>
      </c>
    </row>
    <row r="452" spans="1:1" x14ac:dyDescent="0.3">
      <c r="A452" t="s">
        <v>1526</v>
      </c>
    </row>
    <row r="453" spans="1:1" x14ac:dyDescent="0.3">
      <c r="A453" t="s">
        <v>2131</v>
      </c>
    </row>
    <row r="454" spans="1:1" x14ac:dyDescent="0.3">
      <c r="A454" t="s">
        <v>1527</v>
      </c>
    </row>
    <row r="455" spans="1:1" x14ac:dyDescent="0.3">
      <c r="A455" t="s">
        <v>1528</v>
      </c>
    </row>
    <row r="456" spans="1:1" x14ac:dyDescent="0.3">
      <c r="A456" t="s">
        <v>1529</v>
      </c>
    </row>
    <row r="457" spans="1:1" x14ac:dyDescent="0.3">
      <c r="A457" t="s">
        <v>1530</v>
      </c>
    </row>
    <row r="458" spans="1:1" x14ac:dyDescent="0.3">
      <c r="A458" t="s">
        <v>1531</v>
      </c>
    </row>
    <row r="459" spans="1:1" x14ac:dyDescent="0.3">
      <c r="A459" t="s">
        <v>1856</v>
      </c>
    </row>
    <row r="460" spans="1:1" x14ac:dyDescent="0.3">
      <c r="A460" t="s">
        <v>1532</v>
      </c>
    </row>
    <row r="461" spans="1:1" x14ac:dyDescent="0.3">
      <c r="A461" t="s">
        <v>1533</v>
      </c>
    </row>
    <row r="462" spans="1:1" x14ac:dyDescent="0.3">
      <c r="A462" t="s">
        <v>1534</v>
      </c>
    </row>
    <row r="463" spans="1:1" x14ac:dyDescent="0.3">
      <c r="A463" t="s">
        <v>1535</v>
      </c>
    </row>
    <row r="464" spans="1:1" x14ac:dyDescent="0.3">
      <c r="A464" t="s">
        <v>1536</v>
      </c>
    </row>
    <row r="465" spans="1:1" x14ac:dyDescent="0.3">
      <c r="A465" t="s">
        <v>1537</v>
      </c>
    </row>
    <row r="466" spans="1:1" x14ac:dyDescent="0.3">
      <c r="A466" t="s">
        <v>1538</v>
      </c>
    </row>
    <row r="467" spans="1:1" x14ac:dyDescent="0.3">
      <c r="A467" t="s">
        <v>1539</v>
      </c>
    </row>
    <row r="468" spans="1:1" x14ac:dyDescent="0.3">
      <c r="A468" t="s">
        <v>1192</v>
      </c>
    </row>
    <row r="469" spans="1:1" x14ac:dyDescent="0.3">
      <c r="A469" t="s">
        <v>1193</v>
      </c>
    </row>
    <row r="470" spans="1:1" x14ac:dyDescent="0.3">
      <c r="A470" t="s">
        <v>1194</v>
      </c>
    </row>
    <row r="471" spans="1:1" x14ac:dyDescent="0.3">
      <c r="A471" t="s">
        <v>1540</v>
      </c>
    </row>
    <row r="472" spans="1:1" x14ac:dyDescent="0.3">
      <c r="A472" t="s">
        <v>1195</v>
      </c>
    </row>
    <row r="473" spans="1:1" x14ac:dyDescent="0.3">
      <c r="A473" t="s">
        <v>1541</v>
      </c>
    </row>
    <row r="474" spans="1:1" x14ac:dyDescent="0.3">
      <c r="A474" t="s">
        <v>1542</v>
      </c>
    </row>
    <row r="475" spans="1:1" x14ac:dyDescent="0.3">
      <c r="A475" t="s">
        <v>1543</v>
      </c>
    </row>
    <row r="476" spans="1:1" x14ac:dyDescent="0.3">
      <c r="A476" t="s">
        <v>1544</v>
      </c>
    </row>
    <row r="477" spans="1:1" x14ac:dyDescent="0.3">
      <c r="A477" t="s">
        <v>1196</v>
      </c>
    </row>
    <row r="478" spans="1:1" x14ac:dyDescent="0.3">
      <c r="A478" t="s">
        <v>1197</v>
      </c>
    </row>
    <row r="479" spans="1:1" x14ac:dyDescent="0.3">
      <c r="A479" t="s">
        <v>1198</v>
      </c>
    </row>
    <row r="480" spans="1:1" x14ac:dyDescent="0.3">
      <c r="A480" t="s">
        <v>1545</v>
      </c>
    </row>
    <row r="481" spans="1:1" x14ac:dyDescent="0.3">
      <c r="A481" t="s">
        <v>1858</v>
      </c>
    </row>
    <row r="482" spans="1:1" x14ac:dyDescent="0.3">
      <c r="A482" t="s">
        <v>1546</v>
      </c>
    </row>
    <row r="483" spans="1:1" x14ac:dyDescent="0.3">
      <c r="A483" t="s">
        <v>1547</v>
      </c>
    </row>
    <row r="484" spans="1:1" x14ac:dyDescent="0.3">
      <c r="A484" t="s">
        <v>1548</v>
      </c>
    </row>
    <row r="485" spans="1:1" x14ac:dyDescent="0.3">
      <c r="A485" t="s">
        <v>1549</v>
      </c>
    </row>
    <row r="486" spans="1:1" x14ac:dyDescent="0.3">
      <c r="A486" t="s">
        <v>1550</v>
      </c>
    </row>
    <row r="487" spans="1:1" x14ac:dyDescent="0.3">
      <c r="A487" t="s">
        <v>1862</v>
      </c>
    </row>
    <row r="488" spans="1:1" x14ac:dyDescent="0.3">
      <c r="A488" t="s">
        <v>1551</v>
      </c>
    </row>
    <row r="489" spans="1:1" x14ac:dyDescent="0.3">
      <c r="A489" t="s">
        <v>1552</v>
      </c>
    </row>
    <row r="490" spans="1:1" x14ac:dyDescent="0.3">
      <c r="A490" t="s">
        <v>1553</v>
      </c>
    </row>
    <row r="491" spans="1:1" x14ac:dyDescent="0.3">
      <c r="A491" t="s">
        <v>1554</v>
      </c>
    </row>
    <row r="492" spans="1:1" x14ac:dyDescent="0.3">
      <c r="A492" t="s">
        <v>1864</v>
      </c>
    </row>
    <row r="493" spans="1:1" x14ac:dyDescent="0.3">
      <c r="A493" t="s">
        <v>2150</v>
      </c>
    </row>
    <row r="494" spans="1:1" x14ac:dyDescent="0.3">
      <c r="A494" t="s">
        <v>1555</v>
      </c>
    </row>
    <row r="495" spans="1:1" x14ac:dyDescent="0.3">
      <c r="A495" t="s">
        <v>1556</v>
      </c>
    </row>
    <row r="496" spans="1:1" x14ac:dyDescent="0.3">
      <c r="A496" t="s">
        <v>1557</v>
      </c>
    </row>
    <row r="497" spans="1:1" x14ac:dyDescent="0.3">
      <c r="A497" t="s">
        <v>1867</v>
      </c>
    </row>
    <row r="498" spans="1:1" x14ac:dyDescent="0.3">
      <c r="A498" t="s">
        <v>1558</v>
      </c>
    </row>
    <row r="499" spans="1:1" x14ac:dyDescent="0.3">
      <c r="A499" t="s">
        <v>1199</v>
      </c>
    </row>
    <row r="500" spans="1:1" x14ac:dyDescent="0.3">
      <c r="A500" t="s">
        <v>1559</v>
      </c>
    </row>
    <row r="501" spans="1:1" x14ac:dyDescent="0.3">
      <c r="A501" t="s">
        <v>1560</v>
      </c>
    </row>
    <row r="502" spans="1:1" x14ac:dyDescent="0.3">
      <c r="A502" t="s">
        <v>1561</v>
      </c>
    </row>
    <row r="503" spans="1:1" x14ac:dyDescent="0.3">
      <c r="A503" t="s">
        <v>1562</v>
      </c>
    </row>
    <row r="504" spans="1:1" x14ac:dyDescent="0.3">
      <c r="A504" t="s">
        <v>1563</v>
      </c>
    </row>
    <row r="505" spans="1:1" x14ac:dyDescent="0.3">
      <c r="A505" t="s">
        <v>1564</v>
      </c>
    </row>
    <row r="506" spans="1:1" x14ac:dyDescent="0.3">
      <c r="A506" t="s">
        <v>1870</v>
      </c>
    </row>
    <row r="507" spans="1:1" x14ac:dyDescent="0.3">
      <c r="A507" t="s">
        <v>1565</v>
      </c>
    </row>
    <row r="508" spans="1:1" x14ac:dyDescent="0.3">
      <c r="A508" t="s">
        <v>1872</v>
      </c>
    </row>
    <row r="509" spans="1:1" x14ac:dyDescent="0.3">
      <c r="A509" t="s">
        <v>1200</v>
      </c>
    </row>
    <row r="510" spans="1:1" x14ac:dyDescent="0.3">
      <c r="A510" t="s">
        <v>1566</v>
      </c>
    </row>
    <row r="511" spans="1:1" x14ac:dyDescent="0.3">
      <c r="A511" t="s">
        <v>1874</v>
      </c>
    </row>
    <row r="512" spans="1:1" x14ac:dyDescent="0.3">
      <c r="A512" t="s">
        <v>1567</v>
      </c>
    </row>
    <row r="513" spans="1:1" x14ac:dyDescent="0.3">
      <c r="A513" t="s">
        <v>1568</v>
      </c>
    </row>
    <row r="514" spans="1:1" x14ac:dyDescent="0.3">
      <c r="A514" t="s">
        <v>1876</v>
      </c>
    </row>
    <row r="515" spans="1:1" x14ac:dyDescent="0.3">
      <c r="A515" t="s">
        <v>1879</v>
      </c>
    </row>
    <row r="516" spans="1:1" x14ac:dyDescent="0.3">
      <c r="A516" t="s">
        <v>1882</v>
      </c>
    </row>
    <row r="517" spans="1:1" x14ac:dyDescent="0.3">
      <c r="A517" t="s">
        <v>1569</v>
      </c>
    </row>
    <row r="518" spans="1:1" x14ac:dyDescent="0.3">
      <c r="A518" t="s">
        <v>1885</v>
      </c>
    </row>
    <row r="519" spans="1:1" x14ac:dyDescent="0.3">
      <c r="A519" t="s">
        <v>1887</v>
      </c>
    </row>
    <row r="520" spans="1:1" x14ac:dyDescent="0.3">
      <c r="A520" t="s">
        <v>1570</v>
      </c>
    </row>
    <row r="521" spans="1:1" x14ac:dyDescent="0.3">
      <c r="A521" t="s">
        <v>1890</v>
      </c>
    </row>
    <row r="522" spans="1:1" x14ac:dyDescent="0.3">
      <c r="A522" t="s">
        <v>1893</v>
      </c>
    </row>
    <row r="523" spans="1:1" x14ac:dyDescent="0.3">
      <c r="A523" t="s">
        <v>1896</v>
      </c>
    </row>
    <row r="524" spans="1:1" x14ac:dyDescent="0.3">
      <c r="A524" t="s">
        <v>1571</v>
      </c>
    </row>
    <row r="525" spans="1:1" x14ac:dyDescent="0.3">
      <c r="A525" t="s">
        <v>1899</v>
      </c>
    </row>
    <row r="526" spans="1:1" x14ac:dyDescent="0.3">
      <c r="A526" t="s">
        <v>2129</v>
      </c>
    </row>
    <row r="527" spans="1:1" x14ac:dyDescent="0.3">
      <c r="A527" t="s">
        <v>1903</v>
      </c>
    </row>
    <row r="528" spans="1:1" x14ac:dyDescent="0.3">
      <c r="A528" t="s">
        <v>1906</v>
      </c>
    </row>
    <row r="529" spans="1:1" x14ac:dyDescent="0.3">
      <c r="A529" t="s">
        <v>1909</v>
      </c>
    </row>
    <row r="530" spans="1:1" x14ac:dyDescent="0.3">
      <c r="A530" t="s">
        <v>1912</v>
      </c>
    </row>
    <row r="531" spans="1:1" x14ac:dyDescent="0.3">
      <c r="A531" t="s">
        <v>1915</v>
      </c>
    </row>
    <row r="532" spans="1:1" x14ac:dyDescent="0.3">
      <c r="A532" t="s">
        <v>1572</v>
      </c>
    </row>
    <row r="533" spans="1:1" x14ac:dyDescent="0.3">
      <c r="A533" t="s">
        <v>1573</v>
      </c>
    </row>
    <row r="534" spans="1:1" x14ac:dyDescent="0.3">
      <c r="A534" t="s">
        <v>1574</v>
      </c>
    </row>
    <row r="535" spans="1:1" x14ac:dyDescent="0.3">
      <c r="A535" t="s">
        <v>1575</v>
      </c>
    </row>
    <row r="536" spans="1:1" x14ac:dyDescent="0.3">
      <c r="A536" t="s">
        <v>1576</v>
      </c>
    </row>
    <row r="537" spans="1:1" x14ac:dyDescent="0.3">
      <c r="A537" t="s">
        <v>1918</v>
      </c>
    </row>
    <row r="538" spans="1:1" x14ac:dyDescent="0.3">
      <c r="A538" t="s">
        <v>1921</v>
      </c>
    </row>
    <row r="539" spans="1:1" x14ac:dyDescent="0.3">
      <c r="A539" t="s">
        <v>1577</v>
      </c>
    </row>
    <row r="540" spans="1:1" x14ac:dyDescent="0.3">
      <c r="A540" t="s">
        <v>1924</v>
      </c>
    </row>
    <row r="541" spans="1:1" x14ac:dyDescent="0.3">
      <c r="A541" t="s">
        <v>1578</v>
      </c>
    </row>
    <row r="542" spans="1:1" x14ac:dyDescent="0.3">
      <c r="A542" t="s">
        <v>1926</v>
      </c>
    </row>
    <row r="543" spans="1:1" x14ac:dyDescent="0.3">
      <c r="A543" t="s">
        <v>1579</v>
      </c>
    </row>
    <row r="544" spans="1:1" x14ac:dyDescent="0.3">
      <c r="A544" t="s">
        <v>1580</v>
      </c>
    </row>
    <row r="545" spans="1:1" x14ac:dyDescent="0.3">
      <c r="A545" t="s">
        <v>1581</v>
      </c>
    </row>
    <row r="546" spans="1:1" x14ac:dyDescent="0.3">
      <c r="A546" t="s">
        <v>1582</v>
      </c>
    </row>
    <row r="547" spans="1:1" x14ac:dyDescent="0.3">
      <c r="A547" t="s">
        <v>1583</v>
      </c>
    </row>
    <row r="548" spans="1:1" x14ac:dyDescent="0.3">
      <c r="A548" t="s">
        <v>1584</v>
      </c>
    </row>
    <row r="549" spans="1:1" x14ac:dyDescent="0.3">
      <c r="A549" t="s">
        <v>1585</v>
      </c>
    </row>
    <row r="550" spans="1:1" x14ac:dyDescent="0.3">
      <c r="A550" t="s">
        <v>1928</v>
      </c>
    </row>
    <row r="551" spans="1:1" x14ac:dyDescent="0.3">
      <c r="A551" t="s">
        <v>1586</v>
      </c>
    </row>
    <row r="552" spans="1:1" x14ac:dyDescent="0.3">
      <c r="A552" t="s">
        <v>1587</v>
      </c>
    </row>
    <row r="553" spans="1:1" x14ac:dyDescent="0.3">
      <c r="A553" t="s">
        <v>1588</v>
      </c>
    </row>
    <row r="554" spans="1:1" x14ac:dyDescent="0.3">
      <c r="A554" t="s">
        <v>1589</v>
      </c>
    </row>
    <row r="555" spans="1:1" x14ac:dyDescent="0.3">
      <c r="A555" t="s">
        <v>1590</v>
      </c>
    </row>
    <row r="556" spans="1:1" x14ac:dyDescent="0.3">
      <c r="A556" t="s">
        <v>1591</v>
      </c>
    </row>
    <row r="557" spans="1:1" x14ac:dyDescent="0.3">
      <c r="A557" t="s">
        <v>1592</v>
      </c>
    </row>
    <row r="558" spans="1:1" x14ac:dyDescent="0.3">
      <c r="A558" t="s">
        <v>1593</v>
      </c>
    </row>
    <row r="559" spans="1:1" x14ac:dyDescent="0.3">
      <c r="A559" t="s">
        <v>1594</v>
      </c>
    </row>
    <row r="560" spans="1:1" x14ac:dyDescent="0.3">
      <c r="A560" t="s">
        <v>1595</v>
      </c>
    </row>
    <row r="561" spans="1:1" x14ac:dyDescent="0.3">
      <c r="A561" t="s">
        <v>1596</v>
      </c>
    </row>
    <row r="562" spans="1:1" x14ac:dyDescent="0.3">
      <c r="A562" t="s">
        <v>1597</v>
      </c>
    </row>
    <row r="563" spans="1:1" x14ac:dyDescent="0.3">
      <c r="A563" t="s">
        <v>1598</v>
      </c>
    </row>
    <row r="564" spans="1:1" x14ac:dyDescent="0.3">
      <c r="A564" t="s">
        <v>1931</v>
      </c>
    </row>
    <row r="565" spans="1:1" x14ac:dyDescent="0.3">
      <c r="A565" t="s">
        <v>1599</v>
      </c>
    </row>
    <row r="566" spans="1:1" x14ac:dyDescent="0.3">
      <c r="A566" t="s">
        <v>1600</v>
      </c>
    </row>
    <row r="567" spans="1:1" x14ac:dyDescent="0.3">
      <c r="A567" t="s">
        <v>1601</v>
      </c>
    </row>
    <row r="568" spans="1:1" x14ac:dyDescent="0.3">
      <c r="A568" t="s">
        <v>1602</v>
      </c>
    </row>
    <row r="569" spans="1:1" x14ac:dyDescent="0.3">
      <c r="A569" t="s">
        <v>1603</v>
      </c>
    </row>
    <row r="570" spans="1:1" x14ac:dyDescent="0.3">
      <c r="A570" t="s">
        <v>1604</v>
      </c>
    </row>
    <row r="571" spans="1:1" x14ac:dyDescent="0.3">
      <c r="A571" t="s">
        <v>1934</v>
      </c>
    </row>
    <row r="572" spans="1:1" x14ac:dyDescent="0.3">
      <c r="A572" t="s">
        <v>1937</v>
      </c>
    </row>
    <row r="573" spans="1:1" x14ac:dyDescent="0.3">
      <c r="A573" t="s">
        <v>1605</v>
      </c>
    </row>
    <row r="574" spans="1:1" x14ac:dyDescent="0.3">
      <c r="A574" t="s">
        <v>1606</v>
      </c>
    </row>
    <row r="575" spans="1:1" x14ac:dyDescent="0.3">
      <c r="A575" t="s">
        <v>1607</v>
      </c>
    </row>
    <row r="576" spans="1:1" x14ac:dyDescent="0.3">
      <c r="A576" t="s">
        <v>1608</v>
      </c>
    </row>
  </sheetData>
  <sheetProtection algorithmName="SHA-512" hashValue="bu/Mao0hQe7jw5UyJQbfe3yJbGDsxKggEb43uFjlIf8U48zYcmJ9Oz8oDL5vHsnL0Gv5V2KgFyGUeshrcFxcDg==" saltValue="+cwqn/31VsRdRklfO0iVUg==" spinCount="100000" sheet="1" objects="1" scenarios="1" selectLockedCells="1" selectUnlockedCells="1"/>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047BE-7E3C-48C9-879B-8EAB6669B1C2}">
  <sheetPr codeName="Sheet2">
    <tabColor theme="1" tint="0.499984740745262"/>
  </sheetPr>
  <dimension ref="B2:I253"/>
  <sheetViews>
    <sheetView zoomScale="115" zoomScaleNormal="115" workbookViewId="0">
      <selection activeCell="G1" sqref="B1:G1048576"/>
    </sheetView>
  </sheetViews>
  <sheetFormatPr defaultColWidth="10.44140625" defaultRowHeight="14.4" x14ac:dyDescent="0.3"/>
  <cols>
    <col min="1" max="1" width="1.88671875" customWidth="1"/>
    <col min="2" max="2" width="55.5546875" hidden="1" customWidth="1"/>
    <col min="3" max="3" width="10.6640625" hidden="1" customWidth="1"/>
    <col min="4" max="4" width="10.109375" style="73" hidden="1" customWidth="1"/>
    <col min="5" max="5" width="56.109375" style="2" hidden="1" customWidth="1"/>
    <col min="6" max="6" width="30" style="2" hidden="1" customWidth="1"/>
    <col min="7" max="7" width="18.88671875" hidden="1" customWidth="1"/>
    <col min="11" max="11" width="42.88671875" bestFit="1" customWidth="1"/>
  </cols>
  <sheetData>
    <row r="2" spans="2:9" x14ac:dyDescent="0.3">
      <c r="B2" s="118" t="s">
        <v>8</v>
      </c>
      <c r="C2" s="118" t="s">
        <v>10</v>
      </c>
      <c r="D2" s="114" t="s">
        <v>1123</v>
      </c>
      <c r="E2" s="119" t="s">
        <v>9</v>
      </c>
      <c r="F2" s="119" t="s">
        <v>13</v>
      </c>
      <c r="G2" s="118" t="s">
        <v>2159</v>
      </c>
    </row>
    <row r="3" spans="2:9" x14ac:dyDescent="0.3">
      <c r="B3" s="1"/>
      <c r="C3" s="1"/>
      <c r="D3" s="144"/>
      <c r="E3" s="119"/>
      <c r="F3" s="119"/>
      <c r="G3" s="118"/>
    </row>
    <row r="4" spans="2:9" x14ac:dyDescent="0.3">
      <c r="B4" s="1" t="s">
        <v>4</v>
      </c>
      <c r="C4" s="1"/>
      <c r="D4" s="144"/>
      <c r="E4" s="119"/>
      <c r="F4" s="119"/>
      <c r="G4" s="118"/>
      <c r="I4" s="85"/>
    </row>
    <row r="5" spans="2:9" x14ac:dyDescent="0.3">
      <c r="B5" s="1" t="s">
        <v>4</v>
      </c>
      <c r="C5" s="1" t="s">
        <v>1104</v>
      </c>
      <c r="D5" s="144" t="str">
        <f>$B$237</f>
        <v>¥</v>
      </c>
      <c r="E5" s="119"/>
      <c r="F5" s="119"/>
      <c r="G5" s="118"/>
    </row>
    <row r="6" spans="2:9" x14ac:dyDescent="0.3">
      <c r="B6" s="1" t="s">
        <v>4</v>
      </c>
      <c r="C6" s="1" t="s">
        <v>1104</v>
      </c>
      <c r="D6" s="144" t="str">
        <f>$B$237</f>
        <v>¥</v>
      </c>
      <c r="E6" s="2" t="s">
        <v>1977</v>
      </c>
    </row>
    <row r="7" spans="2:9" x14ac:dyDescent="0.3">
      <c r="B7" s="1" t="s">
        <v>4</v>
      </c>
      <c r="C7" s="1" t="s">
        <v>1104</v>
      </c>
      <c r="D7" s="144" t="str">
        <f>$B$237</f>
        <v>¥</v>
      </c>
      <c r="E7" s="2" t="s">
        <v>1979</v>
      </c>
    </row>
    <row r="8" spans="2:9" x14ac:dyDescent="0.3">
      <c r="B8" s="1" t="s">
        <v>4</v>
      </c>
      <c r="C8" s="1" t="s">
        <v>1104</v>
      </c>
      <c r="D8" s="144" t="str">
        <f>$B$237</f>
        <v>¥</v>
      </c>
      <c r="E8" s="2" t="s">
        <v>1975</v>
      </c>
    </row>
    <row r="9" spans="2:9" x14ac:dyDescent="0.3">
      <c r="B9" s="1" t="s">
        <v>4</v>
      </c>
      <c r="C9" s="1" t="s">
        <v>1104</v>
      </c>
      <c r="D9" s="144" t="str">
        <f>$B$237</f>
        <v>¥</v>
      </c>
      <c r="E9" s="2" t="s">
        <v>6</v>
      </c>
    </row>
    <row r="10" spans="2:9" x14ac:dyDescent="0.3">
      <c r="B10" s="1" t="s">
        <v>4</v>
      </c>
      <c r="C10" s="1" t="s">
        <v>2160</v>
      </c>
      <c r="D10" s="145" t="str">
        <f t="shared" ref="D10:D20" si="0">$B$238</f>
        <v>x</v>
      </c>
    </row>
    <row r="11" spans="2:9" x14ac:dyDescent="0.3">
      <c r="B11" s="1" t="s">
        <v>4</v>
      </c>
      <c r="C11" s="1" t="s">
        <v>2160</v>
      </c>
      <c r="D11" s="145" t="str">
        <f t="shared" si="0"/>
        <v>x</v>
      </c>
      <c r="E11" s="2" t="s">
        <v>22</v>
      </c>
    </row>
    <row r="12" spans="2:9" x14ac:dyDescent="0.3">
      <c r="B12" s="1" t="s">
        <v>4</v>
      </c>
      <c r="C12" s="1" t="s">
        <v>2160</v>
      </c>
      <c r="D12" s="145" t="str">
        <f t="shared" si="0"/>
        <v>x</v>
      </c>
      <c r="E12" s="2" t="s">
        <v>22</v>
      </c>
      <c r="F12" s="2" t="s">
        <v>2188</v>
      </c>
    </row>
    <row r="13" spans="2:9" x14ac:dyDescent="0.3">
      <c r="B13" s="1" t="s">
        <v>4</v>
      </c>
      <c r="C13" s="1" t="s">
        <v>2160</v>
      </c>
      <c r="D13" s="145" t="str">
        <f t="shared" si="0"/>
        <v>x</v>
      </c>
      <c r="E13" s="2" t="s">
        <v>22</v>
      </c>
      <c r="F13" s="2" t="s">
        <v>2187</v>
      </c>
    </row>
    <row r="14" spans="2:9" x14ac:dyDescent="0.3">
      <c r="B14" s="1" t="s">
        <v>4</v>
      </c>
      <c r="C14" s="1" t="s">
        <v>2160</v>
      </c>
      <c r="D14" s="145" t="str">
        <f t="shared" si="0"/>
        <v>x</v>
      </c>
      <c r="E14" s="2" t="s">
        <v>22</v>
      </c>
      <c r="F14" s="2" t="s">
        <v>15</v>
      </c>
    </row>
    <row r="15" spans="2:9" x14ac:dyDescent="0.3">
      <c r="B15" s="1" t="s">
        <v>4</v>
      </c>
      <c r="C15" s="1" t="s">
        <v>2160</v>
      </c>
      <c r="D15" s="145" t="str">
        <f t="shared" si="0"/>
        <v>x</v>
      </c>
      <c r="E15" s="2" t="s">
        <v>22</v>
      </c>
      <c r="F15" s="2" t="s">
        <v>16</v>
      </c>
    </row>
    <row r="16" spans="2:9" x14ac:dyDescent="0.3">
      <c r="B16" s="1" t="s">
        <v>4</v>
      </c>
      <c r="C16" s="1" t="s">
        <v>2160</v>
      </c>
      <c r="D16" s="145" t="str">
        <f t="shared" si="0"/>
        <v>x</v>
      </c>
      <c r="E16" s="2" t="s">
        <v>23</v>
      </c>
    </row>
    <row r="17" spans="2:7" x14ac:dyDescent="0.3">
      <c r="B17" s="1" t="s">
        <v>4</v>
      </c>
      <c r="C17" s="1" t="s">
        <v>2160</v>
      </c>
      <c r="D17" s="145" t="str">
        <f t="shared" si="0"/>
        <v>x</v>
      </c>
      <c r="E17" s="2" t="s">
        <v>23</v>
      </c>
      <c r="F17" s="2" t="s">
        <v>2188</v>
      </c>
      <c r="G17" t="s">
        <v>17</v>
      </c>
    </row>
    <row r="18" spans="2:7" x14ac:dyDescent="0.3">
      <c r="B18" s="1" t="s">
        <v>4</v>
      </c>
      <c r="C18" s="1" t="s">
        <v>2160</v>
      </c>
      <c r="D18" s="145" t="str">
        <f t="shared" si="0"/>
        <v>x</v>
      </c>
      <c r="E18" s="2" t="s">
        <v>23</v>
      </c>
      <c r="F18" s="2" t="s">
        <v>2187</v>
      </c>
      <c r="G18" t="s">
        <v>17</v>
      </c>
    </row>
    <row r="19" spans="2:7" x14ac:dyDescent="0.3">
      <c r="B19" s="1" t="s">
        <v>4</v>
      </c>
      <c r="C19" s="1" t="s">
        <v>2160</v>
      </c>
      <c r="D19" s="145" t="str">
        <f t="shared" si="0"/>
        <v>x</v>
      </c>
      <c r="E19" s="2" t="s">
        <v>23</v>
      </c>
      <c r="F19" s="2" t="s">
        <v>15</v>
      </c>
    </row>
    <row r="20" spans="2:7" x14ac:dyDescent="0.3">
      <c r="B20" s="1" t="s">
        <v>4</v>
      </c>
      <c r="C20" s="1" t="s">
        <v>2160</v>
      </c>
      <c r="D20" s="145" t="str">
        <f t="shared" si="0"/>
        <v>x</v>
      </c>
      <c r="E20" s="2" t="s">
        <v>23</v>
      </c>
      <c r="F20" s="2" t="s">
        <v>16</v>
      </c>
    </row>
    <row r="21" spans="2:7" x14ac:dyDescent="0.3">
      <c r="B21" s="1" t="s">
        <v>2</v>
      </c>
      <c r="C21" s="1"/>
      <c r="D21" s="144"/>
    </row>
    <row r="22" spans="2:7" x14ac:dyDescent="0.3">
      <c r="B22" s="1" t="s">
        <v>2</v>
      </c>
      <c r="C22" s="1" t="s">
        <v>1104</v>
      </c>
      <c r="D22" s="144" t="str">
        <f>$B$237</f>
        <v>¥</v>
      </c>
    </row>
    <row r="23" spans="2:7" x14ac:dyDescent="0.3">
      <c r="B23" s="1" t="s">
        <v>2</v>
      </c>
      <c r="C23" s="1" t="s">
        <v>1104</v>
      </c>
      <c r="D23" s="144" t="str">
        <f>$B$237</f>
        <v>¥</v>
      </c>
      <c r="E23" s="2" t="s">
        <v>1977</v>
      </c>
    </row>
    <row r="24" spans="2:7" x14ac:dyDescent="0.3">
      <c r="B24" s="1" t="s">
        <v>2</v>
      </c>
      <c r="C24" s="1" t="s">
        <v>1104</v>
      </c>
      <c r="D24" s="144" t="str">
        <f>$B$237</f>
        <v>¥</v>
      </c>
      <c r="E24" s="2" t="s">
        <v>1979</v>
      </c>
    </row>
    <row r="25" spans="2:7" x14ac:dyDescent="0.3">
      <c r="B25" s="1" t="s">
        <v>2</v>
      </c>
      <c r="C25" s="1" t="s">
        <v>1104</v>
      </c>
      <c r="D25" s="144" t="str">
        <f>$B$237</f>
        <v>¥</v>
      </c>
      <c r="E25" s="2" t="s">
        <v>1975</v>
      </c>
    </row>
    <row r="26" spans="2:7" x14ac:dyDescent="0.3">
      <c r="B26" s="1" t="s">
        <v>2</v>
      </c>
      <c r="C26" s="1" t="s">
        <v>1104</v>
      </c>
      <c r="D26" s="144" t="str">
        <f>$B$237</f>
        <v>¥</v>
      </c>
      <c r="E26" s="2" t="s">
        <v>6</v>
      </c>
    </row>
    <row r="27" spans="2:7" x14ac:dyDescent="0.3">
      <c r="B27" s="1" t="s">
        <v>2</v>
      </c>
      <c r="C27" s="1" t="s">
        <v>2160</v>
      </c>
      <c r="D27" s="145" t="str">
        <f t="shared" ref="D27:D44" si="1">$B$238</f>
        <v>x</v>
      </c>
    </row>
    <row r="28" spans="2:7" x14ac:dyDescent="0.3">
      <c r="B28" s="1" t="s">
        <v>2</v>
      </c>
      <c r="C28" s="1" t="s">
        <v>2160</v>
      </c>
      <c r="D28" s="145" t="str">
        <f t="shared" si="1"/>
        <v>x</v>
      </c>
      <c r="E28" s="2" t="s">
        <v>26</v>
      </c>
    </row>
    <row r="29" spans="2:7" x14ac:dyDescent="0.3">
      <c r="B29" s="1" t="s">
        <v>2</v>
      </c>
      <c r="C29" s="1" t="s">
        <v>2160</v>
      </c>
      <c r="D29" s="145" t="str">
        <f t="shared" si="1"/>
        <v>x</v>
      </c>
      <c r="E29" s="2" t="s">
        <v>26</v>
      </c>
      <c r="F29" s="2" t="s">
        <v>2188</v>
      </c>
      <c r="G29" t="s">
        <v>17</v>
      </c>
    </row>
    <row r="30" spans="2:7" x14ac:dyDescent="0.3">
      <c r="B30" s="1" t="s">
        <v>2</v>
      </c>
      <c r="C30" s="1" t="s">
        <v>2160</v>
      </c>
      <c r="D30" s="145" t="str">
        <f t="shared" si="1"/>
        <v>x</v>
      </c>
      <c r="E30" s="2" t="s">
        <v>26</v>
      </c>
      <c r="F30" s="2" t="s">
        <v>2187</v>
      </c>
      <c r="G30" t="s">
        <v>17</v>
      </c>
    </row>
    <row r="31" spans="2:7" x14ac:dyDescent="0.3">
      <c r="B31" s="1" t="s">
        <v>2</v>
      </c>
      <c r="C31" s="1" t="s">
        <v>2160</v>
      </c>
      <c r="D31" s="145" t="str">
        <f t="shared" si="1"/>
        <v>x</v>
      </c>
      <c r="E31" s="2" t="s">
        <v>26</v>
      </c>
      <c r="F31" s="2" t="s">
        <v>15</v>
      </c>
    </row>
    <row r="32" spans="2:7" x14ac:dyDescent="0.3">
      <c r="B32" s="1" t="s">
        <v>2</v>
      </c>
      <c r="C32" s="1" t="s">
        <v>2160</v>
      </c>
      <c r="D32" s="145" t="str">
        <f t="shared" si="1"/>
        <v>x</v>
      </c>
      <c r="E32" s="2" t="s">
        <v>26</v>
      </c>
      <c r="F32" s="2" t="s">
        <v>35</v>
      </c>
    </row>
    <row r="33" spans="2:7" x14ac:dyDescent="0.3">
      <c r="B33" s="1" t="s">
        <v>2</v>
      </c>
      <c r="C33" s="1" t="s">
        <v>2160</v>
      </c>
      <c r="D33" s="145" t="str">
        <f t="shared" si="1"/>
        <v>x</v>
      </c>
      <c r="E33" s="2" t="s">
        <v>26</v>
      </c>
      <c r="F33" s="2" t="s">
        <v>16</v>
      </c>
    </row>
    <row r="34" spans="2:7" x14ac:dyDescent="0.3">
      <c r="B34" s="1" t="s">
        <v>2</v>
      </c>
      <c r="C34" s="1" t="s">
        <v>2160</v>
      </c>
      <c r="D34" s="145" t="str">
        <f t="shared" si="1"/>
        <v>x</v>
      </c>
      <c r="E34" s="2" t="s">
        <v>22</v>
      </c>
    </row>
    <row r="35" spans="2:7" x14ac:dyDescent="0.3">
      <c r="B35" s="1" t="s">
        <v>2</v>
      </c>
      <c r="C35" s="1" t="s">
        <v>2160</v>
      </c>
      <c r="D35" s="145" t="str">
        <f t="shared" si="1"/>
        <v>x</v>
      </c>
      <c r="E35" s="2" t="s">
        <v>22</v>
      </c>
      <c r="F35" s="2" t="s">
        <v>2188</v>
      </c>
      <c r="G35" t="s">
        <v>17</v>
      </c>
    </row>
    <row r="36" spans="2:7" x14ac:dyDescent="0.3">
      <c r="B36" s="1" t="s">
        <v>2</v>
      </c>
      <c r="C36" s="1" t="s">
        <v>2160</v>
      </c>
      <c r="D36" s="145" t="str">
        <f t="shared" si="1"/>
        <v>x</v>
      </c>
      <c r="E36" s="2" t="s">
        <v>22</v>
      </c>
      <c r="F36" s="2" t="s">
        <v>2187</v>
      </c>
      <c r="G36" t="s">
        <v>17</v>
      </c>
    </row>
    <row r="37" spans="2:7" x14ac:dyDescent="0.3">
      <c r="B37" s="1" t="s">
        <v>2</v>
      </c>
      <c r="C37" s="1" t="s">
        <v>2160</v>
      </c>
      <c r="D37" s="145" t="str">
        <f t="shared" si="1"/>
        <v>x</v>
      </c>
      <c r="E37" s="2" t="s">
        <v>22</v>
      </c>
      <c r="F37" s="2" t="s">
        <v>15</v>
      </c>
    </row>
    <row r="38" spans="2:7" x14ac:dyDescent="0.3">
      <c r="B38" s="1" t="s">
        <v>2</v>
      </c>
      <c r="C38" s="1" t="s">
        <v>2160</v>
      </c>
      <c r="D38" s="145" t="str">
        <f t="shared" si="1"/>
        <v>x</v>
      </c>
      <c r="E38" s="2" t="s">
        <v>22</v>
      </c>
      <c r="F38" s="2" t="s">
        <v>16</v>
      </c>
    </row>
    <row r="39" spans="2:7" x14ac:dyDescent="0.3">
      <c r="B39" s="1" t="s">
        <v>2</v>
      </c>
      <c r="C39" s="1" t="s">
        <v>2160</v>
      </c>
      <c r="D39" s="145" t="str">
        <f t="shared" si="1"/>
        <v>x</v>
      </c>
      <c r="E39" s="2" t="s">
        <v>27</v>
      </c>
    </row>
    <row r="40" spans="2:7" x14ac:dyDescent="0.3">
      <c r="B40" s="1" t="s">
        <v>2</v>
      </c>
      <c r="C40" s="1" t="s">
        <v>2160</v>
      </c>
      <c r="D40" s="145" t="str">
        <f t="shared" si="1"/>
        <v>x</v>
      </c>
      <c r="E40" s="2" t="s">
        <v>27</v>
      </c>
      <c r="F40" s="2" t="s">
        <v>2188</v>
      </c>
      <c r="G40" t="s">
        <v>17</v>
      </c>
    </row>
    <row r="41" spans="2:7" x14ac:dyDescent="0.3">
      <c r="B41" s="1" t="s">
        <v>2</v>
      </c>
      <c r="C41" s="1" t="s">
        <v>2160</v>
      </c>
      <c r="D41" s="145" t="str">
        <f t="shared" si="1"/>
        <v>x</v>
      </c>
      <c r="E41" s="2" t="s">
        <v>27</v>
      </c>
      <c r="F41" s="2" t="s">
        <v>2187</v>
      </c>
      <c r="G41" t="s">
        <v>17</v>
      </c>
    </row>
    <row r="42" spans="2:7" x14ac:dyDescent="0.3">
      <c r="B42" s="1" t="s">
        <v>2</v>
      </c>
      <c r="C42" s="1" t="s">
        <v>2160</v>
      </c>
      <c r="D42" s="145" t="str">
        <f t="shared" si="1"/>
        <v>x</v>
      </c>
      <c r="E42" s="2" t="s">
        <v>27</v>
      </c>
      <c r="F42" s="2" t="s">
        <v>15</v>
      </c>
    </row>
    <row r="43" spans="2:7" x14ac:dyDescent="0.3">
      <c r="B43" s="1" t="s">
        <v>2</v>
      </c>
      <c r="C43" s="1" t="s">
        <v>2160</v>
      </c>
      <c r="D43" s="145" t="str">
        <f t="shared" si="1"/>
        <v>x</v>
      </c>
      <c r="E43" s="2" t="s">
        <v>27</v>
      </c>
      <c r="F43" s="2" t="s">
        <v>35</v>
      </c>
    </row>
    <row r="44" spans="2:7" x14ac:dyDescent="0.3">
      <c r="B44" s="1" t="s">
        <v>2</v>
      </c>
      <c r="C44" s="1" t="s">
        <v>2160</v>
      </c>
      <c r="D44" s="145" t="str">
        <f t="shared" si="1"/>
        <v>x</v>
      </c>
      <c r="E44" s="2" t="s">
        <v>27</v>
      </c>
      <c r="F44" s="2" t="s">
        <v>16</v>
      </c>
    </row>
    <row r="45" spans="2:7" x14ac:dyDescent="0.3">
      <c r="B45" s="1" t="s">
        <v>1</v>
      </c>
      <c r="C45" s="1"/>
      <c r="D45" s="144"/>
    </row>
    <row r="46" spans="2:7" x14ac:dyDescent="0.3">
      <c r="B46" s="1" t="s">
        <v>1</v>
      </c>
      <c r="C46" s="1" t="s">
        <v>1104</v>
      </c>
      <c r="D46" s="144" t="str">
        <f>$B$237</f>
        <v>¥</v>
      </c>
    </row>
    <row r="47" spans="2:7" x14ac:dyDescent="0.3">
      <c r="B47" s="1" t="s">
        <v>1</v>
      </c>
      <c r="C47" s="1" t="s">
        <v>1104</v>
      </c>
      <c r="D47" s="144" t="str">
        <f>$B$237</f>
        <v>¥</v>
      </c>
      <c r="E47" s="2" t="s">
        <v>1977</v>
      </c>
    </row>
    <row r="48" spans="2:7" x14ac:dyDescent="0.3">
      <c r="B48" s="1" t="s">
        <v>1</v>
      </c>
      <c r="C48" s="1" t="s">
        <v>1104</v>
      </c>
      <c r="D48" s="144" t="str">
        <f>$B$237</f>
        <v>¥</v>
      </c>
      <c r="E48" s="2" t="s">
        <v>1979</v>
      </c>
    </row>
    <row r="49" spans="2:7" x14ac:dyDescent="0.3">
      <c r="B49" s="1" t="s">
        <v>1</v>
      </c>
      <c r="C49" s="1" t="s">
        <v>1104</v>
      </c>
      <c r="D49" s="144" t="str">
        <f>$B$237</f>
        <v>¥</v>
      </c>
      <c r="E49" s="2" t="s">
        <v>6</v>
      </c>
    </row>
    <row r="50" spans="2:7" x14ac:dyDescent="0.3">
      <c r="B50" s="1" t="s">
        <v>1</v>
      </c>
      <c r="C50" s="1" t="s">
        <v>2160</v>
      </c>
      <c r="D50" s="145" t="str">
        <f t="shared" ref="D50:D56" si="2">$B$238</f>
        <v>x</v>
      </c>
    </row>
    <row r="51" spans="2:7" x14ac:dyDescent="0.3">
      <c r="B51" s="1" t="s">
        <v>1</v>
      </c>
      <c r="C51" s="1" t="s">
        <v>2160</v>
      </c>
      <c r="D51" s="145" t="str">
        <f t="shared" si="2"/>
        <v>x</v>
      </c>
      <c r="E51" s="2" t="s">
        <v>25</v>
      </c>
    </row>
    <row r="52" spans="2:7" x14ac:dyDescent="0.3">
      <c r="B52" s="1" t="s">
        <v>1</v>
      </c>
      <c r="C52" s="1" t="s">
        <v>2160</v>
      </c>
      <c r="D52" s="145" t="str">
        <f t="shared" si="2"/>
        <v>x</v>
      </c>
      <c r="E52" s="2" t="s">
        <v>25</v>
      </c>
      <c r="F52" s="2" t="s">
        <v>2188</v>
      </c>
      <c r="G52" t="s">
        <v>17</v>
      </c>
    </row>
    <row r="53" spans="2:7" x14ac:dyDescent="0.3">
      <c r="B53" s="1" t="s">
        <v>1</v>
      </c>
      <c r="C53" s="1" t="s">
        <v>2160</v>
      </c>
      <c r="D53" s="145" t="str">
        <f t="shared" si="2"/>
        <v>x</v>
      </c>
      <c r="E53" s="2" t="s">
        <v>25</v>
      </c>
      <c r="F53" s="2" t="s">
        <v>2187</v>
      </c>
      <c r="G53" t="s">
        <v>17</v>
      </c>
    </row>
    <row r="54" spans="2:7" x14ac:dyDescent="0.3">
      <c r="B54" s="1" t="s">
        <v>1</v>
      </c>
      <c r="C54" s="1" t="s">
        <v>2160</v>
      </c>
      <c r="D54" s="145" t="str">
        <f t="shared" si="2"/>
        <v>x</v>
      </c>
      <c r="E54" s="2" t="s">
        <v>25</v>
      </c>
      <c r="F54" s="2" t="s">
        <v>15</v>
      </c>
    </row>
    <row r="55" spans="2:7" x14ac:dyDescent="0.3">
      <c r="B55" s="1" t="s">
        <v>1</v>
      </c>
      <c r="C55" s="1" t="s">
        <v>2160</v>
      </c>
      <c r="D55" s="145" t="str">
        <f t="shared" si="2"/>
        <v>x</v>
      </c>
      <c r="E55" s="2" t="s">
        <v>25</v>
      </c>
      <c r="F55" s="2" t="s">
        <v>35</v>
      </c>
    </row>
    <row r="56" spans="2:7" x14ac:dyDescent="0.3">
      <c r="B56" s="1" t="s">
        <v>1</v>
      </c>
      <c r="C56" s="1" t="s">
        <v>2160</v>
      </c>
      <c r="D56" s="145" t="str">
        <f t="shared" si="2"/>
        <v>x</v>
      </c>
      <c r="E56" s="2" t="s">
        <v>25</v>
      </c>
      <c r="F56" s="2" t="s">
        <v>16</v>
      </c>
    </row>
    <row r="57" spans="2:7" x14ac:dyDescent="0.3">
      <c r="B57" s="1" t="s">
        <v>3</v>
      </c>
      <c r="C57" s="1"/>
      <c r="D57" s="144"/>
    </row>
    <row r="58" spans="2:7" x14ac:dyDescent="0.3">
      <c r="B58" s="1" t="s">
        <v>3</v>
      </c>
      <c r="C58" s="1" t="s">
        <v>1104</v>
      </c>
      <c r="D58" s="144" t="str">
        <f>$B$237</f>
        <v>¥</v>
      </c>
    </row>
    <row r="59" spans="2:7" x14ac:dyDescent="0.3">
      <c r="B59" s="1" t="s">
        <v>3</v>
      </c>
      <c r="C59" s="1" t="s">
        <v>1104</v>
      </c>
      <c r="D59" s="144" t="str">
        <f>$B$237</f>
        <v>¥</v>
      </c>
      <c r="E59" s="2" t="s">
        <v>1977</v>
      </c>
    </row>
    <row r="60" spans="2:7" x14ac:dyDescent="0.3">
      <c r="B60" s="1" t="s">
        <v>3</v>
      </c>
      <c r="C60" s="1" t="s">
        <v>1104</v>
      </c>
      <c r="D60" s="144" t="str">
        <f>$B$237</f>
        <v>¥</v>
      </c>
      <c r="E60" s="2" t="s">
        <v>1979</v>
      </c>
    </row>
    <row r="61" spans="2:7" x14ac:dyDescent="0.3">
      <c r="B61" s="1" t="s">
        <v>3</v>
      </c>
      <c r="C61" s="1" t="s">
        <v>1104</v>
      </c>
      <c r="D61" s="144" t="str">
        <f>$B$237</f>
        <v>¥</v>
      </c>
      <c r="E61" s="2" t="s">
        <v>6</v>
      </c>
    </row>
    <row r="62" spans="2:7" x14ac:dyDescent="0.3">
      <c r="B62" s="1" t="s">
        <v>3</v>
      </c>
      <c r="C62" s="1" t="s">
        <v>2160</v>
      </c>
      <c r="D62" s="145" t="str">
        <f>$B$238</f>
        <v>x</v>
      </c>
    </row>
    <row r="63" spans="2:7" x14ac:dyDescent="0.3">
      <c r="B63" s="1" t="s">
        <v>3</v>
      </c>
      <c r="C63" s="1" t="s">
        <v>2160</v>
      </c>
      <c r="D63" s="145" t="str">
        <f>$B$238</f>
        <v>x</v>
      </c>
      <c r="E63" s="2" t="s">
        <v>25</v>
      </c>
    </row>
    <row r="64" spans="2:7" x14ac:dyDescent="0.3">
      <c r="B64" s="1" t="s">
        <v>3</v>
      </c>
      <c r="C64" s="1" t="s">
        <v>2160</v>
      </c>
      <c r="D64" s="145" t="str">
        <f>$B$238</f>
        <v>x</v>
      </c>
      <c r="E64" s="2" t="s">
        <v>25</v>
      </c>
      <c r="F64" s="2" t="s">
        <v>16</v>
      </c>
    </row>
    <row r="65" spans="2:7" x14ac:dyDescent="0.3">
      <c r="B65" s="1" t="s">
        <v>14</v>
      </c>
      <c r="C65" s="1"/>
      <c r="D65" s="144"/>
    </row>
    <row r="66" spans="2:7" x14ac:dyDescent="0.3">
      <c r="B66" s="1" t="s">
        <v>14</v>
      </c>
      <c r="C66" s="1" t="s">
        <v>1104</v>
      </c>
      <c r="D66" s="144" t="str">
        <f>$B$237</f>
        <v>¥</v>
      </c>
    </row>
    <row r="67" spans="2:7" x14ac:dyDescent="0.3">
      <c r="B67" s="1" t="s">
        <v>14</v>
      </c>
      <c r="C67" s="1" t="s">
        <v>1104</v>
      </c>
      <c r="D67" s="144" t="str">
        <f>$B$237</f>
        <v>¥</v>
      </c>
      <c r="E67" s="2" t="s">
        <v>1977</v>
      </c>
    </row>
    <row r="68" spans="2:7" x14ac:dyDescent="0.3">
      <c r="B68" s="1" t="s">
        <v>14</v>
      </c>
      <c r="C68" s="1" t="s">
        <v>1104</v>
      </c>
      <c r="D68" s="144" t="str">
        <f>$B$237</f>
        <v>¥</v>
      </c>
      <c r="E68" s="2" t="s">
        <v>1979</v>
      </c>
    </row>
    <row r="69" spans="2:7" x14ac:dyDescent="0.3">
      <c r="B69" s="1" t="s">
        <v>14</v>
      </c>
      <c r="C69" s="1" t="s">
        <v>1104</v>
      </c>
      <c r="D69" s="144" t="str">
        <f>$B$237</f>
        <v>¥</v>
      </c>
      <c r="E69" s="2" t="s">
        <v>11</v>
      </c>
    </row>
    <row r="70" spans="2:7" x14ac:dyDescent="0.3">
      <c r="B70" s="1" t="s">
        <v>14</v>
      </c>
      <c r="C70" s="1" t="s">
        <v>2160</v>
      </c>
      <c r="D70" s="145" t="str">
        <f t="shared" ref="D70:D80" si="3">$B$238</f>
        <v>x</v>
      </c>
    </row>
    <row r="71" spans="2:7" x14ac:dyDescent="0.3">
      <c r="B71" s="1" t="s">
        <v>14</v>
      </c>
      <c r="C71" s="1" t="s">
        <v>2160</v>
      </c>
      <c r="D71" s="145" t="str">
        <f t="shared" si="3"/>
        <v>x</v>
      </c>
      <c r="E71" s="2" t="s">
        <v>7</v>
      </c>
    </row>
    <row r="72" spans="2:7" x14ac:dyDescent="0.3">
      <c r="B72" s="1" t="s">
        <v>14</v>
      </c>
      <c r="C72" s="1" t="s">
        <v>2160</v>
      </c>
      <c r="D72" s="145" t="str">
        <f t="shared" si="3"/>
        <v>x</v>
      </c>
      <c r="E72" s="2" t="s">
        <v>7</v>
      </c>
      <c r="F72" s="2" t="s">
        <v>2188</v>
      </c>
      <c r="G72" t="s">
        <v>17</v>
      </c>
    </row>
    <row r="73" spans="2:7" x14ac:dyDescent="0.3">
      <c r="B73" s="1" t="s">
        <v>14</v>
      </c>
      <c r="C73" s="1" t="s">
        <v>2160</v>
      </c>
      <c r="D73" s="145" t="str">
        <f t="shared" si="3"/>
        <v>x</v>
      </c>
      <c r="E73" s="2" t="s">
        <v>7</v>
      </c>
      <c r="F73" s="2" t="s">
        <v>2187</v>
      </c>
    </row>
    <row r="74" spans="2:7" x14ac:dyDescent="0.3">
      <c r="B74" s="1" t="s">
        <v>14</v>
      </c>
      <c r="C74" s="1" t="s">
        <v>2160</v>
      </c>
      <c r="D74" s="145" t="str">
        <f t="shared" si="3"/>
        <v>x</v>
      </c>
      <c r="E74" s="2" t="s">
        <v>7</v>
      </c>
      <c r="F74" s="2" t="s">
        <v>35</v>
      </c>
    </row>
    <row r="75" spans="2:7" x14ac:dyDescent="0.3">
      <c r="B75" s="1" t="s">
        <v>14</v>
      </c>
      <c r="C75" s="1" t="s">
        <v>2160</v>
      </c>
      <c r="D75" s="145" t="str">
        <f t="shared" si="3"/>
        <v>x</v>
      </c>
      <c r="E75" s="2" t="s">
        <v>7</v>
      </c>
      <c r="F75" s="2" t="s">
        <v>16</v>
      </c>
    </row>
    <row r="76" spans="2:7" x14ac:dyDescent="0.3">
      <c r="B76" s="1" t="s">
        <v>14</v>
      </c>
      <c r="C76" s="1" t="s">
        <v>2160</v>
      </c>
      <c r="D76" s="145" t="str">
        <f t="shared" si="3"/>
        <v>x</v>
      </c>
      <c r="E76" s="2" t="s">
        <v>12</v>
      </c>
    </row>
    <row r="77" spans="2:7" x14ac:dyDescent="0.3">
      <c r="B77" s="1" t="s">
        <v>14</v>
      </c>
      <c r="C77" s="1" t="s">
        <v>2160</v>
      </c>
      <c r="D77" s="145" t="str">
        <f t="shared" si="3"/>
        <v>x</v>
      </c>
      <c r="E77" s="2" t="s">
        <v>12</v>
      </c>
      <c r="F77" s="2" t="s">
        <v>2188</v>
      </c>
      <c r="G77" t="s">
        <v>17</v>
      </c>
    </row>
    <row r="78" spans="2:7" x14ac:dyDescent="0.3">
      <c r="B78" s="1" t="s">
        <v>14</v>
      </c>
      <c r="C78" s="1" t="s">
        <v>2160</v>
      </c>
      <c r="D78" s="145" t="str">
        <f t="shared" si="3"/>
        <v>x</v>
      </c>
      <c r="E78" s="2" t="s">
        <v>12</v>
      </c>
      <c r="F78" s="2" t="s">
        <v>2187</v>
      </c>
      <c r="G78" t="s">
        <v>17</v>
      </c>
    </row>
    <row r="79" spans="2:7" x14ac:dyDescent="0.3">
      <c r="B79" s="1" t="s">
        <v>14</v>
      </c>
      <c r="C79" s="1" t="s">
        <v>2160</v>
      </c>
      <c r="D79" s="145" t="str">
        <f t="shared" si="3"/>
        <v>x</v>
      </c>
      <c r="E79" s="2" t="s">
        <v>12</v>
      </c>
      <c r="F79" s="2" t="s">
        <v>35</v>
      </c>
    </row>
    <row r="80" spans="2:7" x14ac:dyDescent="0.3">
      <c r="B80" s="1" t="s">
        <v>14</v>
      </c>
      <c r="C80" s="1" t="s">
        <v>2160</v>
      </c>
      <c r="D80" s="145" t="str">
        <f t="shared" si="3"/>
        <v>x</v>
      </c>
      <c r="E80" s="2" t="s">
        <v>12</v>
      </c>
      <c r="F80" s="2" t="s">
        <v>16</v>
      </c>
    </row>
    <row r="81" spans="2:6" x14ac:dyDescent="0.3">
      <c r="B81" s="1" t="s">
        <v>39</v>
      </c>
      <c r="C81" s="1"/>
      <c r="D81" s="144"/>
    </row>
    <row r="82" spans="2:6" x14ac:dyDescent="0.3">
      <c r="B82" s="1" t="s">
        <v>39</v>
      </c>
      <c r="C82" s="1" t="s">
        <v>1104</v>
      </c>
      <c r="D82" s="144" t="str">
        <f>$B$237</f>
        <v>¥</v>
      </c>
    </row>
    <row r="83" spans="2:6" x14ac:dyDescent="0.3">
      <c r="B83" s="1" t="s">
        <v>39</v>
      </c>
      <c r="C83" s="1" t="s">
        <v>1104</v>
      </c>
      <c r="D83" s="144" t="str">
        <f>$B$237</f>
        <v>¥</v>
      </c>
      <c r="E83" s="2" t="s">
        <v>1979</v>
      </c>
    </row>
    <row r="84" spans="2:6" x14ac:dyDescent="0.3">
      <c r="B84" s="1" t="s">
        <v>53</v>
      </c>
      <c r="C84" s="1"/>
      <c r="D84" s="144"/>
    </row>
    <row r="85" spans="2:6" x14ac:dyDescent="0.3">
      <c r="B85" s="1" t="s">
        <v>53</v>
      </c>
      <c r="C85" s="1" t="s">
        <v>1104</v>
      </c>
      <c r="D85" s="144" t="str">
        <f>$B$237</f>
        <v>¥</v>
      </c>
    </row>
    <row r="86" spans="2:6" x14ac:dyDescent="0.3">
      <c r="B86" s="1" t="s">
        <v>53</v>
      </c>
      <c r="C86" s="1" t="s">
        <v>1104</v>
      </c>
      <c r="D86" s="144" t="str">
        <f>$B$237</f>
        <v>¥</v>
      </c>
      <c r="E86" s="2" t="s">
        <v>1977</v>
      </c>
    </row>
    <row r="87" spans="2:6" x14ac:dyDescent="0.3">
      <c r="B87" s="1" t="s">
        <v>1097</v>
      </c>
      <c r="C87" s="1"/>
      <c r="D87" s="144"/>
    </row>
    <row r="88" spans="2:6" x14ac:dyDescent="0.3">
      <c r="B88" s="1" t="s">
        <v>1097</v>
      </c>
      <c r="C88" s="1" t="s">
        <v>1104</v>
      </c>
      <c r="D88" s="144" t="str">
        <f>$B$237</f>
        <v>¥</v>
      </c>
    </row>
    <row r="89" spans="2:6" x14ac:dyDescent="0.3">
      <c r="B89" s="1" t="s">
        <v>1097</v>
      </c>
      <c r="C89" s="1" t="s">
        <v>1104</v>
      </c>
      <c r="D89" s="144" t="str">
        <f>$B$237</f>
        <v>¥</v>
      </c>
      <c r="E89" s="2" t="s">
        <v>1977</v>
      </c>
    </row>
    <row r="90" spans="2:6" x14ac:dyDescent="0.3">
      <c r="B90" s="1" t="s">
        <v>1097</v>
      </c>
      <c r="C90" s="1" t="s">
        <v>1104</v>
      </c>
      <c r="D90" s="144" t="str">
        <f>$B$237</f>
        <v>¥</v>
      </c>
      <c r="E90" s="2" t="s">
        <v>1979</v>
      </c>
    </row>
    <row r="91" spans="2:6" x14ac:dyDescent="0.3">
      <c r="B91" s="1" t="s">
        <v>1097</v>
      </c>
      <c r="C91" s="1" t="s">
        <v>1104</v>
      </c>
      <c r="D91" s="144" t="str">
        <f>$B$237</f>
        <v>¥</v>
      </c>
      <c r="E91" s="2" t="s">
        <v>1975</v>
      </c>
    </row>
    <row r="92" spans="2:6" x14ac:dyDescent="0.3">
      <c r="B92" s="1" t="s">
        <v>1097</v>
      </c>
      <c r="C92" s="1" t="s">
        <v>1104</v>
      </c>
      <c r="D92" s="144" t="str">
        <f>$B$237</f>
        <v>¥</v>
      </c>
      <c r="E92" s="2" t="s">
        <v>6</v>
      </c>
    </row>
    <row r="93" spans="2:6" x14ac:dyDescent="0.3">
      <c r="B93" s="1" t="s">
        <v>1097</v>
      </c>
      <c r="C93" s="1" t="s">
        <v>2160</v>
      </c>
      <c r="D93" s="145" t="str">
        <f t="shared" ref="D93:D110" si="4">$B$238</f>
        <v>x</v>
      </c>
    </row>
    <row r="94" spans="2:6" x14ac:dyDescent="0.3">
      <c r="B94" s="1" t="s">
        <v>1097</v>
      </c>
      <c r="C94" s="1" t="s">
        <v>2160</v>
      </c>
      <c r="D94" s="145" t="str">
        <f t="shared" si="4"/>
        <v>x</v>
      </c>
      <c r="E94" s="2" t="s">
        <v>26</v>
      </c>
    </row>
    <row r="95" spans="2:6" x14ac:dyDescent="0.3">
      <c r="B95" s="1" t="s">
        <v>1097</v>
      </c>
      <c r="C95" s="1" t="s">
        <v>2160</v>
      </c>
      <c r="D95" s="145" t="str">
        <f t="shared" si="4"/>
        <v>x</v>
      </c>
      <c r="E95" s="2" t="s">
        <v>26</v>
      </c>
      <c r="F95" s="2" t="s">
        <v>2188</v>
      </c>
    </row>
    <row r="96" spans="2:6" x14ac:dyDescent="0.3">
      <c r="B96" s="1" t="s">
        <v>1097</v>
      </c>
      <c r="C96" s="1" t="s">
        <v>2160</v>
      </c>
      <c r="D96" s="145" t="str">
        <f t="shared" si="4"/>
        <v>x</v>
      </c>
      <c r="E96" s="2" t="s">
        <v>26</v>
      </c>
      <c r="F96" s="2" t="s">
        <v>2187</v>
      </c>
    </row>
    <row r="97" spans="2:6" x14ac:dyDescent="0.3">
      <c r="B97" s="1" t="s">
        <v>1097</v>
      </c>
      <c r="C97" s="1" t="s">
        <v>2160</v>
      </c>
      <c r="D97" s="145" t="str">
        <f t="shared" si="4"/>
        <v>x</v>
      </c>
      <c r="E97" s="2" t="s">
        <v>26</v>
      </c>
      <c r="F97" s="2" t="s">
        <v>15</v>
      </c>
    </row>
    <row r="98" spans="2:6" x14ac:dyDescent="0.3">
      <c r="B98" s="1" t="s">
        <v>1097</v>
      </c>
      <c r="C98" s="1" t="s">
        <v>2160</v>
      </c>
      <c r="D98" s="145" t="str">
        <f t="shared" si="4"/>
        <v>x</v>
      </c>
      <c r="E98" s="2" t="s">
        <v>26</v>
      </c>
      <c r="F98" s="2" t="s">
        <v>35</v>
      </c>
    </row>
    <row r="99" spans="2:6" x14ac:dyDescent="0.3">
      <c r="B99" s="1" t="s">
        <v>1097</v>
      </c>
      <c r="C99" s="1" t="s">
        <v>2160</v>
      </c>
      <c r="D99" s="145" t="str">
        <f t="shared" si="4"/>
        <v>x</v>
      </c>
      <c r="E99" s="2" t="s">
        <v>26</v>
      </c>
      <c r="F99" s="2" t="s">
        <v>16</v>
      </c>
    </row>
    <row r="100" spans="2:6" x14ac:dyDescent="0.3">
      <c r="B100" s="1" t="s">
        <v>1097</v>
      </c>
      <c r="C100" s="1" t="s">
        <v>2160</v>
      </c>
      <c r="D100" s="145" t="str">
        <f t="shared" si="4"/>
        <v>x</v>
      </c>
      <c r="E100" s="2" t="s">
        <v>22</v>
      </c>
    </row>
    <row r="101" spans="2:6" x14ac:dyDescent="0.3">
      <c r="B101" s="1" t="s">
        <v>1097</v>
      </c>
      <c r="C101" s="1" t="s">
        <v>2160</v>
      </c>
      <c r="D101" s="145" t="str">
        <f t="shared" si="4"/>
        <v>x</v>
      </c>
      <c r="E101" s="2" t="s">
        <v>22</v>
      </c>
      <c r="F101" s="2" t="s">
        <v>2188</v>
      </c>
    </row>
    <row r="102" spans="2:6" x14ac:dyDescent="0.3">
      <c r="B102" s="1" t="s">
        <v>1097</v>
      </c>
      <c r="C102" s="1" t="s">
        <v>2160</v>
      </c>
      <c r="D102" s="145" t="str">
        <f t="shared" si="4"/>
        <v>x</v>
      </c>
      <c r="E102" s="2" t="s">
        <v>22</v>
      </c>
      <c r="F102" s="2" t="s">
        <v>2187</v>
      </c>
    </row>
    <row r="103" spans="2:6" x14ac:dyDescent="0.3">
      <c r="B103" s="1" t="s">
        <v>1097</v>
      </c>
      <c r="C103" s="1" t="s">
        <v>2160</v>
      </c>
      <c r="D103" s="145" t="str">
        <f t="shared" si="4"/>
        <v>x</v>
      </c>
      <c r="E103" s="2" t="s">
        <v>22</v>
      </c>
      <c r="F103" s="2" t="s">
        <v>15</v>
      </c>
    </row>
    <row r="104" spans="2:6" x14ac:dyDescent="0.3">
      <c r="B104" s="1" t="s">
        <v>1097</v>
      </c>
      <c r="C104" s="1" t="s">
        <v>2160</v>
      </c>
      <c r="D104" s="145" t="str">
        <f t="shared" si="4"/>
        <v>x</v>
      </c>
      <c r="E104" s="2" t="s">
        <v>22</v>
      </c>
      <c r="F104" s="2" t="s">
        <v>16</v>
      </c>
    </row>
    <row r="105" spans="2:6" x14ac:dyDescent="0.3">
      <c r="B105" s="1" t="s">
        <v>1097</v>
      </c>
      <c r="C105" s="1" t="s">
        <v>2160</v>
      </c>
      <c r="D105" s="145" t="str">
        <f t="shared" si="4"/>
        <v>x</v>
      </c>
      <c r="E105" s="2" t="s">
        <v>27</v>
      </c>
    </row>
    <row r="106" spans="2:6" x14ac:dyDescent="0.3">
      <c r="B106" s="1" t="s">
        <v>1097</v>
      </c>
      <c r="C106" s="1" t="s">
        <v>2160</v>
      </c>
      <c r="D106" s="145" t="str">
        <f t="shared" si="4"/>
        <v>x</v>
      </c>
      <c r="E106" s="2" t="s">
        <v>27</v>
      </c>
      <c r="F106" s="2" t="s">
        <v>2188</v>
      </c>
    </row>
    <row r="107" spans="2:6" x14ac:dyDescent="0.3">
      <c r="B107" s="1" t="s">
        <v>1097</v>
      </c>
      <c r="C107" s="1" t="s">
        <v>2160</v>
      </c>
      <c r="D107" s="145" t="str">
        <f t="shared" si="4"/>
        <v>x</v>
      </c>
      <c r="E107" s="2" t="s">
        <v>27</v>
      </c>
      <c r="F107" s="2" t="s">
        <v>2187</v>
      </c>
    </row>
    <row r="108" spans="2:6" x14ac:dyDescent="0.3">
      <c r="B108" s="1" t="s">
        <v>1097</v>
      </c>
      <c r="C108" s="1" t="s">
        <v>2160</v>
      </c>
      <c r="D108" s="145" t="str">
        <f t="shared" si="4"/>
        <v>x</v>
      </c>
      <c r="E108" s="2" t="s">
        <v>27</v>
      </c>
      <c r="F108" s="2" t="s">
        <v>15</v>
      </c>
    </row>
    <row r="109" spans="2:6" x14ac:dyDescent="0.3">
      <c r="B109" s="1" t="s">
        <v>1097</v>
      </c>
      <c r="C109" s="1" t="s">
        <v>2160</v>
      </c>
      <c r="D109" s="145" t="str">
        <f t="shared" si="4"/>
        <v>x</v>
      </c>
      <c r="E109" s="2" t="s">
        <v>27</v>
      </c>
      <c r="F109" s="2" t="s">
        <v>35</v>
      </c>
    </row>
    <row r="110" spans="2:6" x14ac:dyDescent="0.3">
      <c r="B110" s="1" t="s">
        <v>1097</v>
      </c>
      <c r="C110" s="1" t="s">
        <v>2160</v>
      </c>
      <c r="D110" s="145" t="str">
        <f t="shared" si="4"/>
        <v>x</v>
      </c>
      <c r="E110" s="2" t="s">
        <v>27</v>
      </c>
      <c r="F110" s="2" t="s">
        <v>16</v>
      </c>
    </row>
    <row r="111" spans="2:6" x14ac:dyDescent="0.3">
      <c r="B111" s="1"/>
      <c r="C111" s="1"/>
      <c r="D111" s="144"/>
    </row>
    <row r="113" spans="2:2" x14ac:dyDescent="0.3">
      <c r="B113" t="s">
        <v>18</v>
      </c>
    </row>
    <row r="114" spans="2:2" x14ac:dyDescent="0.3">
      <c r="B114" t="s">
        <v>1977</v>
      </c>
    </row>
    <row r="115" spans="2:2" x14ac:dyDescent="0.3">
      <c r="B115" t="s">
        <v>5</v>
      </c>
    </row>
    <row r="116" spans="2:2" x14ac:dyDescent="0.3">
      <c r="B116" t="s">
        <v>1979</v>
      </c>
    </row>
    <row r="117" spans="2:2" x14ac:dyDescent="0.3">
      <c r="B117" t="s">
        <v>1975</v>
      </c>
    </row>
    <row r="118" spans="2:2" x14ac:dyDescent="0.3">
      <c r="B118" t="s">
        <v>11</v>
      </c>
    </row>
    <row r="119" spans="2:2" x14ac:dyDescent="0.3">
      <c r="B119" t="s">
        <v>6</v>
      </c>
    </row>
    <row r="121" spans="2:2" x14ac:dyDescent="0.3">
      <c r="B121" t="s">
        <v>2161</v>
      </c>
    </row>
    <row r="122" spans="2:2" x14ac:dyDescent="0.3">
      <c r="B122" s="2" t="s">
        <v>7</v>
      </c>
    </row>
    <row r="123" spans="2:2" x14ac:dyDescent="0.3">
      <c r="B123" s="2" t="s">
        <v>12</v>
      </c>
    </row>
    <row r="124" spans="2:2" x14ac:dyDescent="0.3">
      <c r="B124" s="2" t="s">
        <v>24</v>
      </c>
    </row>
    <row r="125" spans="2:2" x14ac:dyDescent="0.3">
      <c r="B125" s="2" t="s">
        <v>20</v>
      </c>
    </row>
    <row r="126" spans="2:2" x14ac:dyDescent="0.3">
      <c r="B126" s="2" t="s">
        <v>19</v>
      </c>
    </row>
    <row r="127" spans="2:2" x14ac:dyDescent="0.3">
      <c r="B127" s="2" t="s">
        <v>22</v>
      </c>
    </row>
    <row r="128" spans="2:2" x14ac:dyDescent="0.3">
      <c r="B128" s="2" t="s">
        <v>21</v>
      </c>
    </row>
    <row r="129" spans="2:6" x14ac:dyDescent="0.3">
      <c r="B129" s="2" t="s">
        <v>23</v>
      </c>
    </row>
    <row r="130" spans="2:6" ht="15" thickBot="1" x14ac:dyDescent="0.35"/>
    <row r="131" spans="2:6" ht="15" thickBot="1" x14ac:dyDescent="0.35">
      <c r="B131" s="11" t="s">
        <v>1667</v>
      </c>
    </row>
    <row r="132" spans="2:6" x14ac:dyDescent="0.3">
      <c r="B132" s="5" t="s">
        <v>26</v>
      </c>
    </row>
    <row r="133" spans="2:6" x14ac:dyDescent="0.3">
      <c r="B133" s="6" t="s">
        <v>27</v>
      </c>
    </row>
    <row r="134" spans="2:6" ht="15" thickBot="1" x14ac:dyDescent="0.35">
      <c r="B134" s="8" t="s">
        <v>23</v>
      </c>
    </row>
    <row r="135" spans="2:6" ht="15" thickBot="1" x14ac:dyDescent="0.35"/>
    <row r="136" spans="2:6" ht="15" thickBot="1" x14ac:dyDescent="0.35">
      <c r="B136" s="11" t="s">
        <v>28</v>
      </c>
      <c r="F136"/>
    </row>
    <row r="137" spans="2:6" x14ac:dyDescent="0.3">
      <c r="B137" s="5" t="s">
        <v>1977</v>
      </c>
      <c r="F137"/>
    </row>
    <row r="138" spans="2:6" x14ac:dyDescent="0.3">
      <c r="B138" s="6" t="s">
        <v>1979</v>
      </c>
      <c r="F138"/>
    </row>
    <row r="139" spans="2:6" x14ac:dyDescent="0.3">
      <c r="B139" s="5" t="s">
        <v>1975</v>
      </c>
      <c r="F139"/>
    </row>
    <row r="140" spans="2:6" ht="15" thickBot="1" x14ac:dyDescent="0.35">
      <c r="B140" s="7" t="s">
        <v>6</v>
      </c>
      <c r="F140"/>
    </row>
    <row r="141" spans="2:6" ht="15" thickBot="1" x14ac:dyDescent="0.35">
      <c r="F141"/>
    </row>
    <row r="142" spans="2:6" ht="15" thickBot="1" x14ac:dyDescent="0.35">
      <c r="B142" s="11" t="s">
        <v>2162</v>
      </c>
      <c r="F142"/>
    </row>
    <row r="143" spans="2:6" x14ac:dyDescent="0.3">
      <c r="B143" s="6" t="s">
        <v>22</v>
      </c>
      <c r="F143"/>
    </row>
    <row r="144" spans="2:6" ht="15" thickBot="1" x14ac:dyDescent="0.35">
      <c r="B144" s="8" t="s">
        <v>23</v>
      </c>
      <c r="F144"/>
    </row>
    <row r="145" spans="2:6" ht="15" thickBot="1" x14ac:dyDescent="0.35">
      <c r="F145"/>
    </row>
    <row r="146" spans="2:6" ht="15" thickBot="1" x14ac:dyDescent="0.35">
      <c r="B146" s="11" t="s">
        <v>29</v>
      </c>
    </row>
    <row r="147" spans="2:6" x14ac:dyDescent="0.3">
      <c r="B147" s="5" t="s">
        <v>1977</v>
      </c>
    </row>
    <row r="148" spans="2:6" x14ac:dyDescent="0.3">
      <c r="B148" s="6" t="s">
        <v>1979</v>
      </c>
    </row>
    <row r="149" spans="2:6" x14ac:dyDescent="0.3">
      <c r="B149" s="5" t="s">
        <v>1975</v>
      </c>
    </row>
    <row r="150" spans="2:6" ht="15" thickBot="1" x14ac:dyDescent="0.35">
      <c r="B150" s="7" t="s">
        <v>6</v>
      </c>
    </row>
    <row r="151" spans="2:6" ht="15" thickBot="1" x14ac:dyDescent="0.35">
      <c r="F151"/>
    </row>
    <row r="152" spans="2:6" ht="15" thickBot="1" x14ac:dyDescent="0.35">
      <c r="B152" s="11" t="s">
        <v>2163</v>
      </c>
    </row>
    <row r="153" spans="2:6" x14ac:dyDescent="0.3">
      <c r="B153" s="6" t="s">
        <v>26</v>
      </c>
    </row>
    <row r="154" spans="2:6" x14ac:dyDescent="0.3">
      <c r="B154" s="6" t="s">
        <v>22</v>
      </c>
    </row>
    <row r="155" spans="2:6" ht="15" thickBot="1" x14ac:dyDescent="0.35">
      <c r="B155" s="8" t="s">
        <v>27</v>
      </c>
    </row>
    <row r="156" spans="2:6" ht="15" thickBot="1" x14ac:dyDescent="0.35"/>
    <row r="157" spans="2:6" ht="15" thickBot="1" x14ac:dyDescent="0.35">
      <c r="B157" s="11" t="s">
        <v>30</v>
      </c>
    </row>
    <row r="158" spans="2:6" x14ac:dyDescent="0.3">
      <c r="B158" s="5" t="s">
        <v>1977</v>
      </c>
    </row>
    <row r="159" spans="2:6" x14ac:dyDescent="0.3">
      <c r="B159" s="6" t="s">
        <v>1979</v>
      </c>
    </row>
    <row r="160" spans="2:6" ht="15" thickBot="1" x14ac:dyDescent="0.35">
      <c r="B160" s="8" t="s">
        <v>6</v>
      </c>
    </row>
    <row r="161" spans="2:2" ht="15" thickBot="1" x14ac:dyDescent="0.35"/>
    <row r="162" spans="2:2" ht="15" thickBot="1" x14ac:dyDescent="0.35">
      <c r="B162" s="11" t="s">
        <v>2164</v>
      </c>
    </row>
    <row r="163" spans="2:2" ht="15" thickBot="1" x14ac:dyDescent="0.35">
      <c r="B163" s="16" t="s">
        <v>25</v>
      </c>
    </row>
    <row r="164" spans="2:2" ht="15" thickBot="1" x14ac:dyDescent="0.35"/>
    <row r="165" spans="2:2" ht="15" thickBot="1" x14ac:dyDescent="0.35">
      <c r="B165" s="9" t="s">
        <v>31</v>
      </c>
    </row>
    <row r="166" spans="2:2" x14ac:dyDescent="0.3">
      <c r="B166" s="17" t="s">
        <v>1977</v>
      </c>
    </row>
    <row r="167" spans="2:2" x14ac:dyDescent="0.3">
      <c r="B167" s="6" t="s">
        <v>1979</v>
      </c>
    </row>
    <row r="168" spans="2:2" ht="15" thickBot="1" x14ac:dyDescent="0.35">
      <c r="B168" s="8" t="s">
        <v>6</v>
      </c>
    </row>
    <row r="169" spans="2:2" ht="15" thickBot="1" x14ac:dyDescent="0.35"/>
    <row r="170" spans="2:2" ht="15" thickBot="1" x14ac:dyDescent="0.35">
      <c r="B170" s="9" t="s">
        <v>2165</v>
      </c>
    </row>
    <row r="171" spans="2:2" ht="15" thickBot="1" x14ac:dyDescent="0.35">
      <c r="B171" s="16" t="s">
        <v>25</v>
      </c>
    </row>
    <row r="172" spans="2:2" ht="15" thickBot="1" x14ac:dyDescent="0.35"/>
    <row r="173" spans="2:2" ht="15" thickBot="1" x14ac:dyDescent="0.35">
      <c r="B173" s="11" t="s">
        <v>32</v>
      </c>
    </row>
    <row r="174" spans="2:2" ht="15" thickBot="1" x14ac:dyDescent="0.35">
      <c r="B174" s="8" t="s">
        <v>1977</v>
      </c>
    </row>
    <row r="175" spans="2:2" ht="15" thickBot="1" x14ac:dyDescent="0.35"/>
    <row r="176" spans="2:2" ht="15" thickBot="1" x14ac:dyDescent="0.35">
      <c r="B176" s="11" t="s">
        <v>2166</v>
      </c>
    </row>
    <row r="177" spans="2:2" x14ac:dyDescent="0.3">
      <c r="B177" s="5" t="s">
        <v>7</v>
      </c>
    </row>
    <row r="178" spans="2:2" ht="15" thickBot="1" x14ac:dyDescent="0.35">
      <c r="B178" s="7" t="s">
        <v>12</v>
      </c>
    </row>
    <row r="179" spans="2:2" ht="15" thickBot="1" x14ac:dyDescent="0.35">
      <c r="B179" s="22"/>
    </row>
    <row r="180" spans="2:2" ht="15" thickBot="1" x14ac:dyDescent="0.35">
      <c r="B180" s="11" t="s">
        <v>40</v>
      </c>
    </row>
    <row r="181" spans="2:2" ht="17.25" customHeight="1" thickBot="1" x14ac:dyDescent="0.35">
      <c r="B181" s="7" t="s">
        <v>22</v>
      </c>
    </row>
    <row r="182" spans="2:2" ht="15" thickBot="1" x14ac:dyDescent="0.35"/>
    <row r="183" spans="2:2" ht="15" thickBot="1" x14ac:dyDescent="0.35">
      <c r="B183" s="11" t="s">
        <v>33</v>
      </c>
    </row>
    <row r="184" spans="2:2" x14ac:dyDescent="0.3">
      <c r="B184" s="5" t="s">
        <v>1977</v>
      </c>
    </row>
    <row r="185" spans="2:2" x14ac:dyDescent="0.3">
      <c r="B185" s="5" t="s">
        <v>1979</v>
      </c>
    </row>
    <row r="186" spans="2:2" ht="15" thickBot="1" x14ac:dyDescent="0.35">
      <c r="B186" s="7" t="s">
        <v>11</v>
      </c>
    </row>
    <row r="187" spans="2:2" ht="15" thickBot="1" x14ac:dyDescent="0.35"/>
    <row r="188" spans="2:2" ht="15" thickBot="1" x14ac:dyDescent="0.35">
      <c r="B188" s="11" t="s">
        <v>2167</v>
      </c>
    </row>
    <row r="189" spans="2:2" x14ac:dyDescent="0.3">
      <c r="B189" s="5" t="s">
        <v>7</v>
      </c>
    </row>
    <row r="190" spans="2:2" ht="15" thickBot="1" x14ac:dyDescent="0.35">
      <c r="B190" s="7" t="s">
        <v>12</v>
      </c>
    </row>
    <row r="191" spans="2:2" ht="15" thickBot="1" x14ac:dyDescent="0.35"/>
    <row r="192" spans="2:2" x14ac:dyDescent="0.3">
      <c r="B192" s="9" t="s">
        <v>1621</v>
      </c>
    </row>
    <row r="193" spans="2:2" x14ac:dyDescent="0.3">
      <c r="B193" s="10" t="s">
        <v>2188</v>
      </c>
    </row>
    <row r="194" spans="2:2" x14ac:dyDescent="0.3">
      <c r="B194" s="4" t="s">
        <v>2187</v>
      </c>
    </row>
    <row r="195" spans="2:2" x14ac:dyDescent="0.3">
      <c r="B195" s="5" t="s">
        <v>15</v>
      </c>
    </row>
    <row r="196" spans="2:2" x14ac:dyDescent="0.3">
      <c r="B196" s="6" t="s">
        <v>35</v>
      </c>
    </row>
    <row r="197" spans="2:2" ht="15" thickBot="1" x14ac:dyDescent="0.35">
      <c r="B197" s="8" t="s">
        <v>16</v>
      </c>
    </row>
    <row r="198" spans="2:2" ht="15" thickBot="1" x14ac:dyDescent="0.35"/>
    <row r="199" spans="2:2" x14ac:dyDescent="0.3">
      <c r="B199" s="9" t="s">
        <v>36</v>
      </c>
    </row>
    <row r="200" spans="2:2" ht="15" thickBot="1" x14ac:dyDescent="0.35">
      <c r="B200" s="13" t="s">
        <v>16</v>
      </c>
    </row>
    <row r="201" spans="2:2" ht="15" thickBot="1" x14ac:dyDescent="0.35"/>
    <row r="202" spans="2:2" x14ac:dyDescent="0.3">
      <c r="B202" s="9" t="s">
        <v>38</v>
      </c>
    </row>
    <row r="203" spans="2:2" x14ac:dyDescent="0.3">
      <c r="B203" s="10" t="s">
        <v>2188</v>
      </c>
    </row>
    <row r="204" spans="2:2" x14ac:dyDescent="0.3">
      <c r="B204" s="4" t="s">
        <v>2187</v>
      </c>
    </row>
    <row r="205" spans="2:2" x14ac:dyDescent="0.3">
      <c r="B205" s="5" t="s">
        <v>15</v>
      </c>
    </row>
    <row r="206" spans="2:2" ht="15" thickBot="1" x14ac:dyDescent="0.35">
      <c r="B206" s="7" t="s">
        <v>35</v>
      </c>
    </row>
    <row r="207" spans="2:2" ht="15" thickBot="1" x14ac:dyDescent="0.35"/>
    <row r="208" spans="2:2" x14ac:dyDescent="0.3">
      <c r="B208" s="14" t="s">
        <v>37</v>
      </c>
    </row>
    <row r="209" spans="2:2" x14ac:dyDescent="0.3">
      <c r="B209" s="3" t="s">
        <v>2188</v>
      </c>
    </row>
    <row r="210" spans="2:2" x14ac:dyDescent="0.3">
      <c r="B210" s="4" t="s">
        <v>2187</v>
      </c>
    </row>
    <row r="211" spans="2:2" x14ac:dyDescent="0.3">
      <c r="B211" s="3" t="s">
        <v>35</v>
      </c>
    </row>
    <row r="212" spans="2:2" ht="15" thickBot="1" x14ac:dyDescent="0.35">
      <c r="B212" s="15" t="s">
        <v>16</v>
      </c>
    </row>
    <row r="213" spans="2:2" ht="15" thickBot="1" x14ac:dyDescent="0.35"/>
    <row r="214" spans="2:2" x14ac:dyDescent="0.3">
      <c r="B214" s="14" t="s">
        <v>1620</v>
      </c>
    </row>
    <row r="215" spans="2:2" x14ac:dyDescent="0.3">
      <c r="B215" s="3" t="s">
        <v>2188</v>
      </c>
    </row>
    <row r="216" spans="2:2" x14ac:dyDescent="0.3">
      <c r="B216" s="4" t="s">
        <v>2187</v>
      </c>
    </row>
    <row r="217" spans="2:2" x14ac:dyDescent="0.3">
      <c r="B217" s="5" t="s">
        <v>15</v>
      </c>
    </row>
    <row r="218" spans="2:2" ht="15" thickBot="1" x14ac:dyDescent="0.35">
      <c r="B218" s="15" t="s">
        <v>16</v>
      </c>
    </row>
    <row r="219" spans="2:2" ht="15" thickBot="1" x14ac:dyDescent="0.35"/>
    <row r="220" spans="2:2" x14ac:dyDescent="0.3">
      <c r="B220" s="14" t="s">
        <v>40</v>
      </c>
    </row>
    <row r="221" spans="2:2" x14ac:dyDescent="0.3">
      <c r="B221" s="3" t="s">
        <v>2188</v>
      </c>
    </row>
    <row r="222" spans="2:2" x14ac:dyDescent="0.3">
      <c r="B222" s="4" t="s">
        <v>2187</v>
      </c>
    </row>
    <row r="223" spans="2:2" ht="15" thickBot="1" x14ac:dyDescent="0.35">
      <c r="B223" s="23" t="s">
        <v>15</v>
      </c>
    </row>
    <row r="224" spans="2:2" ht="15" thickBot="1" x14ac:dyDescent="0.35"/>
    <row r="225" spans="2:4" x14ac:dyDescent="0.3">
      <c r="B225" s="56" t="s">
        <v>4</v>
      </c>
    </row>
    <row r="226" spans="2:4" x14ac:dyDescent="0.3">
      <c r="B226" s="3" t="s">
        <v>2</v>
      </c>
    </row>
    <row r="227" spans="2:4" x14ac:dyDescent="0.3">
      <c r="B227" s="4" t="s">
        <v>1</v>
      </c>
    </row>
    <row r="228" spans="2:4" x14ac:dyDescent="0.3">
      <c r="B228" s="3" t="s">
        <v>3</v>
      </c>
    </row>
    <row r="229" spans="2:4" x14ac:dyDescent="0.3">
      <c r="B229" s="4" t="s">
        <v>14</v>
      </c>
    </row>
    <row r="230" spans="2:4" x14ac:dyDescent="0.3">
      <c r="B230" s="3" t="s">
        <v>39</v>
      </c>
    </row>
    <row r="231" spans="2:4" x14ac:dyDescent="0.3">
      <c r="B231" s="4" t="s">
        <v>53</v>
      </c>
    </row>
    <row r="232" spans="2:4" ht="15" thickBot="1" x14ac:dyDescent="0.35">
      <c r="B232" s="23" t="s">
        <v>1097</v>
      </c>
    </row>
    <row r="233" spans="2:4" ht="15" thickBot="1" x14ac:dyDescent="0.35"/>
    <row r="234" spans="2:4" x14ac:dyDescent="0.3">
      <c r="B234" s="58" t="s">
        <v>1104</v>
      </c>
    </row>
    <row r="235" spans="2:4" ht="15" thickBot="1" x14ac:dyDescent="0.35">
      <c r="B235" s="59" t="s">
        <v>2160</v>
      </c>
    </row>
    <row r="236" spans="2:4" ht="15" thickBot="1" x14ac:dyDescent="0.35"/>
    <row r="237" spans="2:4" x14ac:dyDescent="0.3">
      <c r="B237" s="86" t="s">
        <v>1124</v>
      </c>
    </row>
    <row r="238" spans="2:4" ht="15" thickBot="1" x14ac:dyDescent="0.35">
      <c r="B238" s="87" t="s">
        <v>1125</v>
      </c>
    </row>
    <row r="240" spans="2:4" ht="15" thickBot="1" x14ac:dyDescent="0.35">
      <c r="B240" s="117" t="s">
        <v>1625</v>
      </c>
      <c r="C240" s="117" t="s">
        <v>1624</v>
      </c>
      <c r="D240" s="114"/>
    </row>
    <row r="241" spans="2:6" x14ac:dyDescent="0.3">
      <c r="B241" s="114"/>
      <c r="C241" s="114"/>
      <c r="D241" s="114"/>
    </row>
    <row r="242" spans="2:6" x14ac:dyDescent="0.3">
      <c r="B242" s="112" t="s">
        <v>1616</v>
      </c>
      <c r="C242" s="115"/>
      <c r="D242" s="146"/>
    </row>
    <row r="243" spans="2:6" x14ac:dyDescent="0.3">
      <c r="B243" s="113" t="s">
        <v>1616</v>
      </c>
      <c r="C243" s="116">
        <v>0.4</v>
      </c>
      <c r="D243" s="146"/>
      <c r="F243"/>
    </row>
    <row r="244" spans="2:6" x14ac:dyDescent="0.3">
      <c r="B244" s="112" t="s">
        <v>1616</v>
      </c>
      <c r="C244" s="115">
        <v>0.5</v>
      </c>
      <c r="D244" s="146"/>
    </row>
    <row r="245" spans="2:6" x14ac:dyDescent="0.3">
      <c r="B245" s="113" t="s">
        <v>1617</v>
      </c>
      <c r="C245" s="116"/>
      <c r="D245" s="146"/>
    </row>
    <row r="246" spans="2:6" x14ac:dyDescent="0.3">
      <c r="B246" s="112" t="s">
        <v>1617</v>
      </c>
      <c r="C246" s="115">
        <v>0.8</v>
      </c>
      <c r="D246" s="146"/>
    </row>
    <row r="247" spans="2:6" x14ac:dyDescent="0.3">
      <c r="B247" s="113" t="s">
        <v>1617</v>
      </c>
      <c r="C247" s="116">
        <v>1</v>
      </c>
      <c r="D247" s="146"/>
    </row>
    <row r="248" spans="2:6" x14ac:dyDescent="0.3">
      <c r="B248" s="112" t="s">
        <v>1615</v>
      </c>
      <c r="C248" s="115"/>
      <c r="D248" s="146"/>
    </row>
    <row r="249" spans="2:6" x14ac:dyDescent="0.3">
      <c r="B249" s="113" t="s">
        <v>1615</v>
      </c>
      <c r="C249" s="116">
        <v>1.2</v>
      </c>
      <c r="D249" s="146"/>
    </row>
    <row r="250" spans="2:6" x14ac:dyDescent="0.3">
      <c r="B250" s="112" t="s">
        <v>1615</v>
      </c>
      <c r="C250" s="115">
        <v>1.4</v>
      </c>
      <c r="D250" s="146"/>
    </row>
    <row r="251" spans="2:6" x14ac:dyDescent="0.3">
      <c r="B251" s="113" t="s">
        <v>1614</v>
      </c>
      <c r="C251" s="116"/>
      <c r="D251" s="146"/>
    </row>
    <row r="252" spans="2:6" x14ac:dyDescent="0.3">
      <c r="B252" s="112" t="s">
        <v>1614</v>
      </c>
      <c r="C252" s="115">
        <v>1.6</v>
      </c>
      <c r="D252" s="146"/>
    </row>
    <row r="253" spans="2:6" x14ac:dyDescent="0.3">
      <c r="B253" s="113" t="s">
        <v>1614</v>
      </c>
      <c r="C253" s="116">
        <v>1.8</v>
      </c>
      <c r="D253" s="146"/>
    </row>
  </sheetData>
  <sheetProtection algorithmName="SHA-512" hashValue="uRnqVF3zaFN6NTp9OfaxDPPlt0etw9/C8sJwjJsOwj9z/5ax3qaW0BO7wUVyaEN5Gqc4g1CQO9jhlRiGL0E5cA==" saltValue="yB0D0IZuwL980EkaPYU4VA==" spinCount="100000" sheet="1" objects="1" scenarios="1" selectLockedCells="1" selectUnlockedCells="1"/>
  <sortState xmlns:xlrd2="http://schemas.microsoft.com/office/spreadsheetml/2017/richdata2" ref="K2:K19">
    <sortCondition ref="K2:K19"/>
  </sortState>
  <phoneticPr fontId="5" type="noConversion"/>
  <pageMargins left="0.7" right="0.7" top="0.75" bottom="0.75" header="0.3" footer="0.3"/>
  <pageSetup orientation="portrait" r:id="rId1"/>
  <tableParts count="4">
    <tablePart r:id="rId2"/>
    <tablePart r:id="rId3"/>
    <tablePart r:id="rId4"/>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49648-6A40-4017-8E3B-90C1188373C0}">
  <sheetPr>
    <tabColor theme="1" tint="0.499984740745262"/>
  </sheetPr>
  <dimension ref="B2:E825"/>
  <sheetViews>
    <sheetView workbookViewId="0">
      <selection activeCell="D1" sqref="B1:D1048576"/>
    </sheetView>
  </sheetViews>
  <sheetFormatPr defaultRowHeight="14.4" x14ac:dyDescent="0.3"/>
  <cols>
    <col min="1" max="1" width="2.6640625" customWidth="1"/>
    <col min="2" max="2" width="71.109375" hidden="1" customWidth="1"/>
    <col min="3" max="3" width="46.33203125" hidden="1" customWidth="1"/>
    <col min="4" max="4" width="31.5546875" hidden="1" customWidth="1"/>
  </cols>
  <sheetData>
    <row r="2" spans="2:4" x14ac:dyDescent="0.3">
      <c r="B2" s="25" t="s">
        <v>50</v>
      </c>
      <c r="C2" s="24" t="s">
        <v>13</v>
      </c>
      <c r="D2" s="26" t="s">
        <v>9</v>
      </c>
    </row>
    <row r="4" spans="2:4" x14ac:dyDescent="0.3">
      <c r="B4" t="s">
        <v>2189</v>
      </c>
    </row>
    <row r="5" spans="2:4" x14ac:dyDescent="0.3">
      <c r="B5" t="s">
        <v>2189</v>
      </c>
      <c r="C5" t="s">
        <v>47</v>
      </c>
    </row>
    <row r="6" spans="2:4" x14ac:dyDescent="0.3">
      <c r="B6" t="s">
        <v>2189</v>
      </c>
      <c r="C6" t="s">
        <v>47</v>
      </c>
      <c r="D6" t="s">
        <v>1977</v>
      </c>
    </row>
    <row r="7" spans="2:4" x14ac:dyDescent="0.3">
      <c r="B7" t="s">
        <v>2189</v>
      </c>
      <c r="C7" t="s">
        <v>47</v>
      </c>
      <c r="D7" t="s">
        <v>1978</v>
      </c>
    </row>
    <row r="8" spans="2:4" x14ac:dyDescent="0.3">
      <c r="B8" t="s">
        <v>2189</v>
      </c>
      <c r="C8" t="s">
        <v>47</v>
      </c>
      <c r="D8" t="s">
        <v>1979</v>
      </c>
    </row>
    <row r="9" spans="2:4" x14ac:dyDescent="0.3">
      <c r="B9" t="s">
        <v>2189</v>
      </c>
      <c r="C9" t="s">
        <v>47</v>
      </c>
      <c r="D9" t="s">
        <v>49</v>
      </c>
    </row>
    <row r="10" spans="2:4" x14ac:dyDescent="0.3">
      <c r="B10" t="s">
        <v>2189</v>
      </c>
      <c r="C10" t="s">
        <v>47</v>
      </c>
      <c r="D10" t="s">
        <v>1980</v>
      </c>
    </row>
    <row r="11" spans="2:4" x14ac:dyDescent="0.3">
      <c r="B11" t="s">
        <v>2189</v>
      </c>
      <c r="C11" t="s">
        <v>48</v>
      </c>
    </row>
    <row r="12" spans="2:4" x14ac:dyDescent="0.3">
      <c r="B12" t="s">
        <v>2189</v>
      </c>
      <c r="C12" t="s">
        <v>48</v>
      </c>
      <c r="D12" t="s">
        <v>1977</v>
      </c>
    </row>
    <row r="13" spans="2:4" x14ac:dyDescent="0.3">
      <c r="B13" t="s">
        <v>2189</v>
      </c>
      <c r="C13" t="s">
        <v>48</v>
      </c>
      <c r="D13" t="s">
        <v>1978</v>
      </c>
    </row>
    <row r="14" spans="2:4" x14ac:dyDescent="0.3">
      <c r="B14" t="s">
        <v>2189</v>
      </c>
      <c r="C14" t="s">
        <v>48</v>
      </c>
      <c r="D14" t="s">
        <v>1979</v>
      </c>
    </row>
    <row r="15" spans="2:4" x14ac:dyDescent="0.3">
      <c r="B15" t="s">
        <v>2190</v>
      </c>
    </row>
    <row r="16" spans="2:4" x14ac:dyDescent="0.3">
      <c r="B16" t="s">
        <v>2190</v>
      </c>
      <c r="C16" t="s">
        <v>47</v>
      </c>
    </row>
    <row r="17" spans="2:4" x14ac:dyDescent="0.3">
      <c r="B17" t="s">
        <v>2190</v>
      </c>
      <c r="C17" t="s">
        <v>47</v>
      </c>
      <c r="D17" t="s">
        <v>1977</v>
      </c>
    </row>
    <row r="18" spans="2:4" x14ac:dyDescent="0.3">
      <c r="B18" t="s">
        <v>2190</v>
      </c>
      <c r="C18" t="s">
        <v>47</v>
      </c>
      <c r="D18" t="s">
        <v>49</v>
      </c>
    </row>
    <row r="19" spans="2:4" x14ac:dyDescent="0.3">
      <c r="B19" t="s">
        <v>2190</v>
      </c>
      <c r="C19" t="s">
        <v>47</v>
      </c>
      <c r="D19" t="s">
        <v>1980</v>
      </c>
    </row>
    <row r="20" spans="2:4" x14ac:dyDescent="0.3">
      <c r="B20" t="s">
        <v>1623</v>
      </c>
    </row>
    <row r="21" spans="2:4" x14ac:dyDescent="0.3">
      <c r="B21" t="s">
        <v>1623</v>
      </c>
      <c r="C21" t="s">
        <v>47</v>
      </c>
    </row>
    <row r="22" spans="2:4" x14ac:dyDescent="0.3">
      <c r="B22" t="s">
        <v>1623</v>
      </c>
      <c r="C22" t="s">
        <v>47</v>
      </c>
      <c r="D22" t="s">
        <v>1977</v>
      </c>
    </row>
    <row r="23" spans="2:4" x14ac:dyDescent="0.3">
      <c r="B23" t="s">
        <v>1623</v>
      </c>
      <c r="C23" t="s">
        <v>47</v>
      </c>
      <c r="D23" t="s">
        <v>1978</v>
      </c>
    </row>
    <row r="24" spans="2:4" x14ac:dyDescent="0.3">
      <c r="B24" t="s">
        <v>1623</v>
      </c>
      <c r="C24" t="s">
        <v>47</v>
      </c>
      <c r="D24" t="s">
        <v>1979</v>
      </c>
    </row>
    <row r="25" spans="2:4" x14ac:dyDescent="0.3">
      <c r="B25" t="s">
        <v>1623</v>
      </c>
      <c r="C25" t="s">
        <v>47</v>
      </c>
      <c r="D25" t="s">
        <v>49</v>
      </c>
    </row>
    <row r="26" spans="2:4" x14ac:dyDescent="0.3">
      <c r="B26" t="s">
        <v>1623</v>
      </c>
      <c r="C26" t="s">
        <v>47</v>
      </c>
      <c r="D26" t="s">
        <v>1980</v>
      </c>
    </row>
    <row r="27" spans="2:4" x14ac:dyDescent="0.3">
      <c r="B27" t="s">
        <v>1623</v>
      </c>
      <c r="C27" t="s">
        <v>48</v>
      </c>
    </row>
    <row r="28" spans="2:4" x14ac:dyDescent="0.3">
      <c r="B28" t="s">
        <v>1623</v>
      </c>
      <c r="C28" t="s">
        <v>48</v>
      </c>
      <c r="D28" t="s">
        <v>1977</v>
      </c>
    </row>
    <row r="29" spans="2:4" x14ac:dyDescent="0.3">
      <c r="B29" t="s">
        <v>1623</v>
      </c>
      <c r="C29" t="s">
        <v>48</v>
      </c>
      <c r="D29" t="s">
        <v>1978</v>
      </c>
    </row>
    <row r="30" spans="2:4" x14ac:dyDescent="0.3">
      <c r="B30" t="s">
        <v>1623</v>
      </c>
      <c r="C30" t="s">
        <v>48</v>
      </c>
      <c r="D30" t="s">
        <v>1979</v>
      </c>
    </row>
    <row r="32" spans="2:4" ht="15" thickBot="1" x14ac:dyDescent="0.35">
      <c r="B32" s="117" t="s">
        <v>1625</v>
      </c>
      <c r="C32" s="117" t="s">
        <v>1624</v>
      </c>
      <c r="D32" s="114"/>
    </row>
    <row r="33" spans="2:4" x14ac:dyDescent="0.3">
      <c r="B33" s="114"/>
      <c r="C33" s="114"/>
      <c r="D33" s="114"/>
    </row>
    <row r="34" spans="2:4" x14ac:dyDescent="0.3">
      <c r="B34" s="112" t="s">
        <v>1616</v>
      </c>
      <c r="C34" s="115"/>
      <c r="D34" s="114"/>
    </row>
    <row r="35" spans="2:4" x14ac:dyDescent="0.3">
      <c r="B35" s="113" t="s">
        <v>1616</v>
      </c>
      <c r="C35" s="116">
        <v>1</v>
      </c>
      <c r="D35" s="114"/>
    </row>
    <row r="36" spans="2:4" x14ac:dyDescent="0.3">
      <c r="B36" s="112" t="s">
        <v>1616</v>
      </c>
      <c r="C36" s="115">
        <v>1.25</v>
      </c>
      <c r="D36" s="114"/>
    </row>
    <row r="37" spans="2:4" x14ac:dyDescent="0.3">
      <c r="B37" s="113" t="s">
        <v>1617</v>
      </c>
      <c r="C37" s="116"/>
      <c r="D37" s="114"/>
    </row>
    <row r="38" spans="2:4" x14ac:dyDescent="0.3">
      <c r="B38" s="112" t="s">
        <v>1617</v>
      </c>
      <c r="C38" s="115">
        <v>2</v>
      </c>
      <c r="D38" s="114"/>
    </row>
    <row r="39" spans="2:4" x14ac:dyDescent="0.3">
      <c r="B39" s="113" t="s">
        <v>1617</v>
      </c>
      <c r="C39" s="116">
        <v>2.5</v>
      </c>
      <c r="D39" s="114"/>
    </row>
    <row r="40" spans="2:4" x14ac:dyDescent="0.3">
      <c r="B40" s="112" t="s">
        <v>1615</v>
      </c>
      <c r="C40" s="115"/>
      <c r="D40" s="114"/>
    </row>
    <row r="41" spans="2:4" x14ac:dyDescent="0.3">
      <c r="B41" s="113" t="s">
        <v>1615</v>
      </c>
      <c r="C41" s="116">
        <v>3</v>
      </c>
      <c r="D41" s="114"/>
    </row>
    <row r="42" spans="2:4" x14ac:dyDescent="0.3">
      <c r="B42" s="112" t="s">
        <v>1615</v>
      </c>
      <c r="C42" s="115">
        <v>3.75</v>
      </c>
      <c r="D42" s="114"/>
    </row>
    <row r="43" spans="2:4" x14ac:dyDescent="0.3">
      <c r="B43" s="113" t="s">
        <v>1614</v>
      </c>
      <c r="C43" s="116"/>
      <c r="D43" s="114"/>
    </row>
    <row r="44" spans="2:4" x14ac:dyDescent="0.3">
      <c r="B44" s="112" t="s">
        <v>1614</v>
      </c>
      <c r="C44" s="115">
        <v>4</v>
      </c>
      <c r="D44" s="114"/>
    </row>
    <row r="45" spans="2:4" x14ac:dyDescent="0.3">
      <c r="B45" s="113" t="s">
        <v>1614</v>
      </c>
      <c r="C45" s="116">
        <v>5</v>
      </c>
      <c r="D45" s="113"/>
    </row>
    <row r="46" spans="2:4" ht="15" thickBot="1" x14ac:dyDescent="0.35"/>
    <row r="47" spans="2:4" ht="15" thickBot="1" x14ac:dyDescent="0.35">
      <c r="B47" s="37" t="s">
        <v>51</v>
      </c>
    </row>
    <row r="48" spans="2:4" x14ac:dyDescent="0.3">
      <c r="B48" s="38" t="s">
        <v>1977</v>
      </c>
    </row>
    <row r="49" spans="2:2" x14ac:dyDescent="0.3">
      <c r="B49" s="39" t="s">
        <v>1978</v>
      </c>
    </row>
    <row r="50" spans="2:2" x14ac:dyDescent="0.3">
      <c r="B50" s="40" t="s">
        <v>1979</v>
      </c>
    </row>
    <row r="51" spans="2:2" x14ac:dyDescent="0.3">
      <c r="B51" s="39" t="s">
        <v>49</v>
      </c>
    </row>
    <row r="52" spans="2:2" ht="15" thickBot="1" x14ac:dyDescent="0.35">
      <c r="B52" s="41" t="s">
        <v>1980</v>
      </c>
    </row>
    <row r="53" spans="2:2" ht="15" thickBot="1" x14ac:dyDescent="0.35"/>
    <row r="54" spans="2:2" ht="15" thickBot="1" x14ac:dyDescent="0.35">
      <c r="B54" s="42" t="s">
        <v>52</v>
      </c>
    </row>
    <row r="55" spans="2:2" x14ac:dyDescent="0.3">
      <c r="B55" s="43" t="s">
        <v>1977</v>
      </c>
    </row>
    <row r="56" spans="2:2" x14ac:dyDescent="0.3">
      <c r="B56" s="44" t="s">
        <v>1978</v>
      </c>
    </row>
    <row r="57" spans="2:2" ht="15" thickBot="1" x14ac:dyDescent="0.35">
      <c r="B57" s="45" t="s">
        <v>1979</v>
      </c>
    </row>
    <row r="58" spans="2:2" ht="15" thickBot="1" x14ac:dyDescent="0.35"/>
    <row r="59" spans="2:2" ht="15" thickBot="1" x14ac:dyDescent="0.35">
      <c r="B59" s="42" t="s">
        <v>2191</v>
      </c>
    </row>
    <row r="60" spans="2:2" x14ac:dyDescent="0.3">
      <c r="B60" s="43" t="s">
        <v>1977</v>
      </c>
    </row>
    <row r="61" spans="2:2" x14ac:dyDescent="0.3">
      <c r="B61" s="44" t="s">
        <v>49</v>
      </c>
    </row>
    <row r="62" spans="2:2" ht="15" thickBot="1" x14ac:dyDescent="0.35">
      <c r="B62" s="45" t="s">
        <v>1980</v>
      </c>
    </row>
    <row r="64" spans="2:2" ht="15" thickBot="1" x14ac:dyDescent="0.35"/>
    <row r="65" spans="2:3" x14ac:dyDescent="0.3">
      <c r="B65" s="32" t="s">
        <v>46</v>
      </c>
    </row>
    <row r="66" spans="2:3" x14ac:dyDescent="0.3">
      <c r="B66" s="3" t="s">
        <v>2189</v>
      </c>
    </row>
    <row r="67" spans="2:3" x14ac:dyDescent="0.3">
      <c r="B67" s="4" t="s">
        <v>2190</v>
      </c>
    </row>
    <row r="68" spans="2:3" ht="15" thickBot="1" x14ac:dyDescent="0.35">
      <c r="B68" s="23" t="s">
        <v>1623</v>
      </c>
    </row>
    <row r="70" spans="2:3" ht="15" thickBot="1" x14ac:dyDescent="0.35"/>
    <row r="71" spans="2:3" x14ac:dyDescent="0.3">
      <c r="B71" s="103" t="s">
        <v>1098</v>
      </c>
      <c r="C71" s="102"/>
    </row>
    <row r="72" spans="2:3" ht="15" thickBot="1" x14ac:dyDescent="0.35">
      <c r="B72" s="104" t="s">
        <v>1095</v>
      </c>
      <c r="C72" s="105" t="s">
        <v>1090</v>
      </c>
    </row>
    <row r="73" spans="2:3" x14ac:dyDescent="0.3">
      <c r="B73" s="263" t="s">
        <v>1129</v>
      </c>
      <c r="C73" s="264">
        <v>8</v>
      </c>
    </row>
    <row r="74" spans="2:3" x14ac:dyDescent="0.3">
      <c r="B74" s="265" t="s">
        <v>1139</v>
      </c>
      <c r="C74" s="266">
        <v>8</v>
      </c>
    </row>
    <row r="75" spans="2:3" x14ac:dyDescent="0.3">
      <c r="B75" s="267" t="s">
        <v>1140</v>
      </c>
      <c r="C75" s="268">
        <v>6</v>
      </c>
    </row>
    <row r="76" spans="2:3" x14ac:dyDescent="0.3">
      <c r="B76" s="265" t="s">
        <v>1675</v>
      </c>
      <c r="C76" s="266">
        <v>6</v>
      </c>
    </row>
    <row r="77" spans="2:3" x14ac:dyDescent="0.3">
      <c r="B77" s="267" t="s">
        <v>1141</v>
      </c>
      <c r="C77" s="268">
        <v>12</v>
      </c>
    </row>
    <row r="78" spans="2:3" x14ac:dyDescent="0.3">
      <c r="B78" s="265" t="s">
        <v>1142</v>
      </c>
      <c r="C78" s="266">
        <v>12</v>
      </c>
    </row>
    <row r="79" spans="2:3" x14ac:dyDescent="0.3">
      <c r="B79" s="267" t="s">
        <v>1143</v>
      </c>
      <c r="C79" s="268">
        <v>12</v>
      </c>
    </row>
    <row r="80" spans="2:3" x14ac:dyDescent="0.3">
      <c r="B80" s="265" t="s">
        <v>1144</v>
      </c>
      <c r="C80" s="266">
        <v>12</v>
      </c>
    </row>
    <row r="81" spans="2:3" x14ac:dyDescent="0.3">
      <c r="B81" s="267" t="s">
        <v>1145</v>
      </c>
      <c r="C81" s="268">
        <v>12</v>
      </c>
    </row>
    <row r="82" spans="2:3" x14ac:dyDescent="0.3">
      <c r="B82" s="265" t="s">
        <v>1146</v>
      </c>
      <c r="C82" s="266">
        <v>12</v>
      </c>
    </row>
    <row r="83" spans="2:3" x14ac:dyDescent="0.3">
      <c r="B83" s="267" t="s">
        <v>1147</v>
      </c>
      <c r="C83" s="268">
        <v>12</v>
      </c>
    </row>
    <row r="84" spans="2:3" x14ac:dyDescent="0.3">
      <c r="B84" s="265" t="s">
        <v>1148</v>
      </c>
      <c r="C84" s="266">
        <v>6</v>
      </c>
    </row>
    <row r="85" spans="2:3" x14ac:dyDescent="0.3">
      <c r="B85" s="267" t="s">
        <v>1149</v>
      </c>
      <c r="C85" s="268">
        <v>6</v>
      </c>
    </row>
    <row r="86" spans="2:3" x14ac:dyDescent="0.3">
      <c r="B86" s="265" t="s">
        <v>1150</v>
      </c>
      <c r="C86" s="266">
        <v>22</v>
      </c>
    </row>
    <row r="87" spans="2:3" x14ac:dyDescent="0.3">
      <c r="B87" s="267" t="s">
        <v>1151</v>
      </c>
      <c r="C87" s="268">
        <v>6</v>
      </c>
    </row>
    <row r="88" spans="2:3" x14ac:dyDescent="0.3">
      <c r="B88" s="265" t="s">
        <v>1152</v>
      </c>
      <c r="C88" s="266">
        <v>20</v>
      </c>
    </row>
    <row r="89" spans="2:3" x14ac:dyDescent="0.3">
      <c r="B89" s="267" t="s">
        <v>1153</v>
      </c>
      <c r="C89" s="268">
        <v>20</v>
      </c>
    </row>
    <row r="90" spans="2:3" x14ac:dyDescent="0.3">
      <c r="B90" s="265" t="s">
        <v>1154</v>
      </c>
      <c r="C90" s="266">
        <v>16</v>
      </c>
    </row>
    <row r="91" spans="2:3" x14ac:dyDescent="0.3">
      <c r="B91" s="267" t="s">
        <v>1155</v>
      </c>
      <c r="C91" s="268">
        <v>16</v>
      </c>
    </row>
    <row r="92" spans="2:3" x14ac:dyDescent="0.3">
      <c r="B92" s="265" t="s">
        <v>1710</v>
      </c>
      <c r="C92" s="266">
        <v>16</v>
      </c>
    </row>
    <row r="93" spans="2:3" x14ac:dyDescent="0.3">
      <c r="B93" s="267" t="s">
        <v>1156</v>
      </c>
      <c r="C93" s="268">
        <v>12</v>
      </c>
    </row>
    <row r="94" spans="2:3" x14ac:dyDescent="0.3">
      <c r="B94" s="265" t="s">
        <v>1157</v>
      </c>
      <c r="C94" s="266">
        <v>12</v>
      </c>
    </row>
    <row r="95" spans="2:3" x14ac:dyDescent="0.3">
      <c r="B95" s="267" t="s">
        <v>1158</v>
      </c>
      <c r="C95" s="268">
        <v>12</v>
      </c>
    </row>
    <row r="96" spans="2:3" x14ac:dyDescent="0.3">
      <c r="B96" s="265" t="s">
        <v>1159</v>
      </c>
      <c r="C96" s="266">
        <v>12</v>
      </c>
    </row>
    <row r="97" spans="2:3" x14ac:dyDescent="0.3">
      <c r="B97" s="267" t="s">
        <v>1736</v>
      </c>
      <c r="C97" s="268">
        <v>12</v>
      </c>
    </row>
    <row r="98" spans="2:3" x14ac:dyDescent="0.3">
      <c r="B98" s="265" t="s">
        <v>1160</v>
      </c>
      <c r="C98" s="266">
        <v>6</v>
      </c>
    </row>
    <row r="99" spans="2:3" x14ac:dyDescent="0.3">
      <c r="B99" s="267" t="s">
        <v>1738</v>
      </c>
      <c r="C99" s="268">
        <v>12</v>
      </c>
    </row>
    <row r="100" spans="2:3" x14ac:dyDescent="0.3">
      <c r="B100" s="265" t="s">
        <v>1161</v>
      </c>
      <c r="C100" s="266">
        <v>6</v>
      </c>
    </row>
    <row r="101" spans="2:3" x14ac:dyDescent="0.3">
      <c r="B101" s="267" t="s">
        <v>1162</v>
      </c>
      <c r="C101" s="268">
        <v>9</v>
      </c>
    </row>
    <row r="102" spans="2:3" x14ac:dyDescent="0.3">
      <c r="B102" s="265" t="s">
        <v>1754</v>
      </c>
      <c r="C102" s="266">
        <v>8</v>
      </c>
    </row>
    <row r="103" spans="2:3" x14ac:dyDescent="0.3">
      <c r="B103" s="267" t="s">
        <v>1163</v>
      </c>
      <c r="C103" s="268">
        <v>22</v>
      </c>
    </row>
    <row r="104" spans="2:3" x14ac:dyDescent="0.3">
      <c r="B104" s="265" t="s">
        <v>1164</v>
      </c>
      <c r="C104" s="266">
        <v>20</v>
      </c>
    </row>
    <row r="105" spans="2:3" x14ac:dyDescent="0.3">
      <c r="B105" s="267" t="s">
        <v>1165</v>
      </c>
      <c r="C105" s="268">
        <v>16</v>
      </c>
    </row>
    <row r="106" spans="2:3" x14ac:dyDescent="0.3">
      <c r="B106" s="265" t="s">
        <v>1166</v>
      </c>
      <c r="C106" s="266">
        <v>16</v>
      </c>
    </row>
    <row r="107" spans="2:3" x14ac:dyDescent="0.3">
      <c r="B107" s="267" t="s">
        <v>1167</v>
      </c>
      <c r="C107" s="268">
        <v>16</v>
      </c>
    </row>
    <row r="108" spans="2:3" x14ac:dyDescent="0.3">
      <c r="B108" s="265" t="s">
        <v>1774</v>
      </c>
      <c r="C108" s="266">
        <v>20</v>
      </c>
    </row>
    <row r="109" spans="2:3" x14ac:dyDescent="0.3">
      <c r="B109" s="267" t="s">
        <v>1168</v>
      </c>
      <c r="C109" s="268">
        <v>20</v>
      </c>
    </row>
    <row r="110" spans="2:3" x14ac:dyDescent="0.3">
      <c r="B110" s="265" t="s">
        <v>1169</v>
      </c>
      <c r="C110" s="266">
        <v>20</v>
      </c>
    </row>
    <row r="111" spans="2:3" x14ac:dyDescent="0.3">
      <c r="B111" s="267" t="s">
        <v>1776</v>
      </c>
      <c r="C111" s="268">
        <v>20</v>
      </c>
    </row>
    <row r="112" spans="2:3" x14ac:dyDescent="0.3">
      <c r="B112" s="265" t="s">
        <v>1170</v>
      </c>
      <c r="C112" s="266">
        <v>12</v>
      </c>
    </row>
    <row r="113" spans="2:3" x14ac:dyDescent="0.3">
      <c r="B113" s="267" t="s">
        <v>1171</v>
      </c>
      <c r="C113" s="268">
        <v>20</v>
      </c>
    </row>
    <row r="114" spans="2:3" x14ac:dyDescent="0.3">
      <c r="B114" s="265" t="s">
        <v>1172</v>
      </c>
      <c r="C114" s="266">
        <v>20</v>
      </c>
    </row>
    <row r="115" spans="2:3" x14ac:dyDescent="0.3">
      <c r="B115" s="267" t="s">
        <v>1777</v>
      </c>
      <c r="C115" s="268">
        <v>20</v>
      </c>
    </row>
    <row r="116" spans="2:3" x14ac:dyDescent="0.3">
      <c r="B116" s="265" t="s">
        <v>1173</v>
      </c>
      <c r="C116" s="266">
        <v>20</v>
      </c>
    </row>
    <row r="117" spans="2:3" x14ac:dyDescent="0.3">
      <c r="B117" s="267" t="s">
        <v>1779</v>
      </c>
      <c r="C117" s="268">
        <v>20</v>
      </c>
    </row>
    <row r="118" spans="2:3" x14ac:dyDescent="0.3">
      <c r="B118" s="265" t="s">
        <v>1174</v>
      </c>
      <c r="C118" s="266">
        <v>20</v>
      </c>
    </row>
    <row r="119" spans="2:3" x14ac:dyDescent="0.3">
      <c r="B119" s="267" t="s">
        <v>1175</v>
      </c>
      <c r="C119" s="268">
        <v>20</v>
      </c>
    </row>
    <row r="120" spans="2:3" x14ac:dyDescent="0.3">
      <c r="B120" s="265" t="s">
        <v>1176</v>
      </c>
      <c r="C120" s="266">
        <v>20</v>
      </c>
    </row>
    <row r="121" spans="2:3" x14ac:dyDescent="0.3">
      <c r="B121" s="267" t="s">
        <v>1781</v>
      </c>
      <c r="C121" s="268">
        <v>20</v>
      </c>
    </row>
    <row r="122" spans="2:3" x14ac:dyDescent="0.3">
      <c r="B122" s="265" t="s">
        <v>1784</v>
      </c>
      <c r="C122" s="266">
        <v>20</v>
      </c>
    </row>
    <row r="123" spans="2:3" x14ac:dyDescent="0.3">
      <c r="B123" s="267" t="s">
        <v>1177</v>
      </c>
      <c r="C123" s="268">
        <v>20</v>
      </c>
    </row>
    <row r="124" spans="2:3" x14ac:dyDescent="0.3">
      <c r="B124" s="265" t="s">
        <v>1787</v>
      </c>
      <c r="C124" s="266">
        <v>20</v>
      </c>
    </row>
    <row r="125" spans="2:3" x14ac:dyDescent="0.3">
      <c r="B125" s="267" t="s">
        <v>1178</v>
      </c>
      <c r="C125" s="268">
        <v>6</v>
      </c>
    </row>
    <row r="126" spans="2:3" x14ac:dyDescent="0.3">
      <c r="B126" s="265" t="s">
        <v>1824</v>
      </c>
      <c r="C126" s="266">
        <v>6</v>
      </c>
    </row>
    <row r="127" spans="2:3" x14ac:dyDescent="0.3">
      <c r="B127" s="267" t="s">
        <v>2144</v>
      </c>
      <c r="C127" s="268">
        <v>6</v>
      </c>
    </row>
    <row r="128" spans="2:3" x14ac:dyDescent="0.3">
      <c r="B128" s="265" t="s">
        <v>2142</v>
      </c>
      <c r="C128" s="266">
        <v>12</v>
      </c>
    </row>
    <row r="129" spans="2:3" x14ac:dyDescent="0.3">
      <c r="B129" s="267" t="s">
        <v>1179</v>
      </c>
      <c r="C129" s="268">
        <v>12</v>
      </c>
    </row>
    <row r="130" spans="2:3" x14ac:dyDescent="0.3">
      <c r="B130" s="265" t="s">
        <v>1180</v>
      </c>
      <c r="C130" s="266">
        <v>21</v>
      </c>
    </row>
    <row r="131" spans="2:3" x14ac:dyDescent="0.3">
      <c r="B131" s="267" t="s">
        <v>1181</v>
      </c>
      <c r="C131" s="268">
        <v>21</v>
      </c>
    </row>
    <row r="132" spans="2:3" x14ac:dyDescent="0.3">
      <c r="B132" s="265" t="s">
        <v>1182</v>
      </c>
      <c r="C132" s="266">
        <v>23</v>
      </c>
    </row>
    <row r="133" spans="2:3" x14ac:dyDescent="0.3">
      <c r="B133" s="267" t="s">
        <v>1836</v>
      </c>
      <c r="C133" s="268">
        <v>23</v>
      </c>
    </row>
    <row r="134" spans="2:3" x14ac:dyDescent="0.3">
      <c r="B134" s="265" t="s">
        <v>1183</v>
      </c>
      <c r="C134" s="266">
        <v>23</v>
      </c>
    </row>
    <row r="135" spans="2:3" x14ac:dyDescent="0.3">
      <c r="B135" s="267" t="s">
        <v>1184</v>
      </c>
      <c r="C135" s="268">
        <v>23</v>
      </c>
    </row>
    <row r="136" spans="2:3" x14ac:dyDescent="0.3">
      <c r="B136" s="265" t="s">
        <v>1185</v>
      </c>
      <c r="C136" s="266">
        <v>23</v>
      </c>
    </row>
    <row r="137" spans="2:3" x14ac:dyDescent="0.3">
      <c r="B137" s="267" t="s">
        <v>1186</v>
      </c>
      <c r="C137" s="268">
        <v>23</v>
      </c>
    </row>
    <row r="138" spans="2:3" x14ac:dyDescent="0.3">
      <c r="B138" s="265" t="s">
        <v>1187</v>
      </c>
      <c r="C138" s="266">
        <v>23</v>
      </c>
    </row>
    <row r="139" spans="2:3" x14ac:dyDescent="0.3">
      <c r="B139" s="267" t="s">
        <v>1188</v>
      </c>
      <c r="C139" s="268">
        <v>13</v>
      </c>
    </row>
    <row r="140" spans="2:3" x14ac:dyDescent="0.3">
      <c r="B140" s="265" t="s">
        <v>1189</v>
      </c>
      <c r="C140" s="266">
        <v>13</v>
      </c>
    </row>
    <row r="141" spans="2:3" x14ac:dyDescent="0.3">
      <c r="B141" s="267" t="s">
        <v>1190</v>
      </c>
      <c r="C141" s="268">
        <v>13</v>
      </c>
    </row>
    <row r="142" spans="2:3" x14ac:dyDescent="0.3">
      <c r="B142" s="265" t="s">
        <v>1191</v>
      </c>
      <c r="C142" s="266">
        <v>13</v>
      </c>
    </row>
    <row r="143" spans="2:3" x14ac:dyDescent="0.3">
      <c r="B143" s="267" t="s">
        <v>2138</v>
      </c>
      <c r="C143" s="268">
        <v>6</v>
      </c>
    </row>
    <row r="144" spans="2:3" x14ac:dyDescent="0.3">
      <c r="B144" s="265" t="s">
        <v>1192</v>
      </c>
      <c r="C144" s="266">
        <v>8</v>
      </c>
    </row>
    <row r="145" spans="2:3" x14ac:dyDescent="0.3">
      <c r="B145" s="267" t="s">
        <v>1193</v>
      </c>
      <c r="C145" s="268">
        <v>8</v>
      </c>
    </row>
    <row r="146" spans="2:3" x14ac:dyDescent="0.3">
      <c r="B146" s="265" t="s">
        <v>1194</v>
      </c>
      <c r="C146" s="266">
        <v>8</v>
      </c>
    </row>
    <row r="147" spans="2:3" x14ac:dyDescent="0.3">
      <c r="B147" s="267" t="s">
        <v>1195</v>
      </c>
      <c r="C147" s="268">
        <v>8</v>
      </c>
    </row>
    <row r="148" spans="2:3" x14ac:dyDescent="0.3">
      <c r="B148" s="265" t="s">
        <v>1196</v>
      </c>
      <c r="C148" s="266">
        <v>8</v>
      </c>
    </row>
    <row r="149" spans="2:3" x14ac:dyDescent="0.3">
      <c r="B149" s="267" t="s">
        <v>1197</v>
      </c>
      <c r="C149" s="268">
        <v>8</v>
      </c>
    </row>
    <row r="150" spans="2:3" x14ac:dyDescent="0.3">
      <c r="B150" s="265" t="s">
        <v>1198</v>
      </c>
      <c r="C150" s="266">
        <v>8</v>
      </c>
    </row>
    <row r="151" spans="2:3" x14ac:dyDescent="0.3">
      <c r="B151" s="267" t="s">
        <v>1199</v>
      </c>
      <c r="C151" s="268">
        <v>12</v>
      </c>
    </row>
    <row r="152" spans="2:3" ht="15" thickBot="1" x14ac:dyDescent="0.35">
      <c r="B152" s="269" t="s">
        <v>1200</v>
      </c>
      <c r="C152" s="270">
        <v>6</v>
      </c>
    </row>
    <row r="153" spans="2:3" x14ac:dyDescent="0.3">
      <c r="B153" s="262" t="s">
        <v>1130</v>
      </c>
      <c r="C153" s="261" t="s">
        <v>1099</v>
      </c>
    </row>
    <row r="154" spans="2:3" x14ac:dyDescent="0.3">
      <c r="B154" s="106" t="s">
        <v>1131</v>
      </c>
      <c r="C154" s="107" t="s">
        <v>1099</v>
      </c>
    </row>
    <row r="155" spans="2:3" x14ac:dyDescent="0.3">
      <c r="B155" s="106" t="s">
        <v>1132</v>
      </c>
      <c r="C155" s="107" t="s">
        <v>1099</v>
      </c>
    </row>
    <row r="156" spans="2:3" x14ac:dyDescent="0.3">
      <c r="B156" s="106" t="s">
        <v>1133</v>
      </c>
      <c r="C156" s="107" t="s">
        <v>1099</v>
      </c>
    </row>
    <row r="157" spans="2:3" x14ac:dyDescent="0.3">
      <c r="B157" s="106" t="s">
        <v>1134</v>
      </c>
      <c r="C157" s="107" t="s">
        <v>1100</v>
      </c>
    </row>
    <row r="158" spans="2:3" x14ac:dyDescent="0.3">
      <c r="B158" s="106" t="s">
        <v>1135</v>
      </c>
      <c r="C158" s="107" t="s">
        <v>1100</v>
      </c>
    </row>
    <row r="159" spans="2:3" x14ac:dyDescent="0.3">
      <c r="B159" s="106" t="s">
        <v>1136</v>
      </c>
      <c r="C159" s="107" t="s">
        <v>1100</v>
      </c>
    </row>
    <row r="160" spans="2:3" x14ac:dyDescent="0.3">
      <c r="B160" s="106" t="s">
        <v>1137</v>
      </c>
      <c r="C160" s="107" t="s">
        <v>1100</v>
      </c>
    </row>
    <row r="161" spans="2:5" x14ac:dyDescent="0.3">
      <c r="B161" s="106" t="s">
        <v>1138</v>
      </c>
      <c r="C161" s="107" t="s">
        <v>1100</v>
      </c>
    </row>
    <row r="162" spans="2:5" ht="15" thickBot="1" x14ac:dyDescent="0.35">
      <c r="B162" s="108" t="s">
        <v>1860</v>
      </c>
      <c r="C162" s="109" t="s">
        <v>1100</v>
      </c>
    </row>
    <row r="164" spans="2:5" ht="15" thickBot="1" x14ac:dyDescent="0.35"/>
    <row r="165" spans="2:5" ht="15" thickBot="1" x14ac:dyDescent="0.35">
      <c r="B165" s="110" t="s">
        <v>1101</v>
      </c>
    </row>
    <row r="166" spans="2:5" x14ac:dyDescent="0.3">
      <c r="B166" s="621" t="s">
        <v>1201</v>
      </c>
    </row>
    <row r="167" spans="2:5" x14ac:dyDescent="0.3">
      <c r="B167" s="622" t="s">
        <v>1202</v>
      </c>
      <c r="E167" s="57"/>
    </row>
    <row r="168" spans="2:5" x14ac:dyDescent="0.3">
      <c r="B168" s="621" t="s">
        <v>1203</v>
      </c>
    </row>
    <row r="169" spans="2:5" x14ac:dyDescent="0.3">
      <c r="B169" s="622" t="s">
        <v>1204</v>
      </c>
    </row>
    <row r="170" spans="2:5" x14ac:dyDescent="0.3">
      <c r="B170" s="621" t="s">
        <v>1671</v>
      </c>
    </row>
    <row r="171" spans="2:5" x14ac:dyDescent="0.3">
      <c r="B171" s="622" t="s">
        <v>1205</v>
      </c>
    </row>
    <row r="172" spans="2:5" x14ac:dyDescent="0.3">
      <c r="B172" s="621" t="s">
        <v>1206</v>
      </c>
    </row>
    <row r="173" spans="2:5" x14ac:dyDescent="0.3">
      <c r="B173" s="622" t="s">
        <v>1207</v>
      </c>
    </row>
    <row r="174" spans="2:5" x14ac:dyDescent="0.3">
      <c r="B174" s="621" t="s">
        <v>1208</v>
      </c>
    </row>
    <row r="175" spans="2:5" x14ac:dyDescent="0.3">
      <c r="B175" s="622" t="s">
        <v>1128</v>
      </c>
    </row>
    <row r="176" spans="2:5" x14ac:dyDescent="0.3">
      <c r="B176" s="621" t="s">
        <v>1209</v>
      </c>
    </row>
    <row r="177" spans="2:2" x14ac:dyDescent="0.3">
      <c r="B177" s="622" t="s">
        <v>1210</v>
      </c>
    </row>
    <row r="178" spans="2:2" x14ac:dyDescent="0.3">
      <c r="B178" s="621" t="s">
        <v>1211</v>
      </c>
    </row>
    <row r="179" spans="2:2" x14ac:dyDescent="0.3">
      <c r="B179" s="622" t="s">
        <v>1212</v>
      </c>
    </row>
    <row r="180" spans="2:2" x14ac:dyDescent="0.3">
      <c r="B180" s="621" t="s">
        <v>1213</v>
      </c>
    </row>
    <row r="181" spans="2:2" x14ac:dyDescent="0.3">
      <c r="B181" s="622" t="s">
        <v>1214</v>
      </c>
    </row>
    <row r="182" spans="2:2" x14ac:dyDescent="0.3">
      <c r="B182" s="621" t="s">
        <v>1215</v>
      </c>
    </row>
    <row r="183" spans="2:2" x14ac:dyDescent="0.3">
      <c r="B183" s="622" t="s">
        <v>1216</v>
      </c>
    </row>
    <row r="184" spans="2:2" x14ac:dyDescent="0.3">
      <c r="B184" s="621" t="s">
        <v>1677</v>
      </c>
    </row>
    <row r="185" spans="2:2" x14ac:dyDescent="0.3">
      <c r="B185" s="622" t="s">
        <v>1217</v>
      </c>
    </row>
    <row r="186" spans="2:2" x14ac:dyDescent="0.3">
      <c r="B186" s="621" t="s">
        <v>1218</v>
      </c>
    </row>
    <row r="187" spans="2:2" x14ac:dyDescent="0.3">
      <c r="B187" s="622" t="s">
        <v>1219</v>
      </c>
    </row>
    <row r="188" spans="2:2" x14ac:dyDescent="0.3">
      <c r="B188" s="621" t="s">
        <v>1220</v>
      </c>
    </row>
    <row r="189" spans="2:2" x14ac:dyDescent="0.3">
      <c r="B189" s="622" t="s">
        <v>1221</v>
      </c>
    </row>
    <row r="190" spans="2:2" x14ac:dyDescent="0.3">
      <c r="B190" s="621" t="s">
        <v>1222</v>
      </c>
    </row>
    <row r="191" spans="2:2" x14ac:dyDescent="0.3">
      <c r="B191" s="622" t="s">
        <v>1223</v>
      </c>
    </row>
    <row r="192" spans="2:2" x14ac:dyDescent="0.3">
      <c r="B192" s="621" t="s">
        <v>1679</v>
      </c>
    </row>
    <row r="193" spans="2:2" x14ac:dyDescent="0.3">
      <c r="B193" s="622" t="s">
        <v>1224</v>
      </c>
    </row>
    <row r="194" spans="2:2" x14ac:dyDescent="0.3">
      <c r="B194" s="621" t="s">
        <v>1225</v>
      </c>
    </row>
    <row r="195" spans="2:2" x14ac:dyDescent="0.3">
      <c r="B195" s="622" t="s">
        <v>1226</v>
      </c>
    </row>
    <row r="196" spans="2:2" x14ac:dyDescent="0.3">
      <c r="B196" s="621" t="s">
        <v>1227</v>
      </c>
    </row>
    <row r="197" spans="2:2" x14ac:dyDescent="0.3">
      <c r="B197" s="622" t="s">
        <v>1228</v>
      </c>
    </row>
    <row r="198" spans="2:2" x14ac:dyDescent="0.3">
      <c r="B198" s="621" t="s">
        <v>1229</v>
      </c>
    </row>
    <row r="199" spans="2:2" x14ac:dyDescent="0.3">
      <c r="B199" s="622" t="s">
        <v>1230</v>
      </c>
    </row>
    <row r="200" spans="2:2" x14ac:dyDescent="0.3">
      <c r="B200" s="621" t="s">
        <v>1231</v>
      </c>
    </row>
    <row r="201" spans="2:2" x14ac:dyDescent="0.3">
      <c r="B201" s="622" t="s">
        <v>1681</v>
      </c>
    </row>
    <row r="202" spans="2:2" x14ac:dyDescent="0.3">
      <c r="B202" s="621" t="s">
        <v>1232</v>
      </c>
    </row>
    <row r="203" spans="2:2" x14ac:dyDescent="0.3">
      <c r="B203" s="622" t="s">
        <v>1233</v>
      </c>
    </row>
    <row r="204" spans="2:2" x14ac:dyDescent="0.3">
      <c r="B204" s="621" t="s">
        <v>1234</v>
      </c>
    </row>
    <row r="205" spans="2:2" x14ac:dyDescent="0.3">
      <c r="B205" s="622" t="s">
        <v>1235</v>
      </c>
    </row>
    <row r="206" spans="2:2" x14ac:dyDescent="0.3">
      <c r="B206" s="621" t="s">
        <v>2152</v>
      </c>
    </row>
    <row r="207" spans="2:2" x14ac:dyDescent="0.3">
      <c r="B207" s="622" t="s">
        <v>1236</v>
      </c>
    </row>
    <row r="208" spans="2:2" x14ac:dyDescent="0.3">
      <c r="B208" s="621" t="s">
        <v>1237</v>
      </c>
    </row>
    <row r="209" spans="2:2" x14ac:dyDescent="0.3">
      <c r="B209" s="622" t="s">
        <v>1238</v>
      </c>
    </row>
    <row r="210" spans="2:2" x14ac:dyDescent="0.3">
      <c r="B210" s="621" t="s">
        <v>1239</v>
      </c>
    </row>
    <row r="211" spans="2:2" x14ac:dyDescent="0.3">
      <c r="B211" s="622" t="s">
        <v>1240</v>
      </c>
    </row>
    <row r="212" spans="2:2" x14ac:dyDescent="0.3">
      <c r="B212" s="621" t="s">
        <v>2127</v>
      </c>
    </row>
    <row r="213" spans="2:2" x14ac:dyDescent="0.3">
      <c r="B213" s="621" t="s">
        <v>1241</v>
      </c>
    </row>
    <row r="214" spans="2:2" x14ac:dyDescent="0.3">
      <c r="B214" s="622" t="s">
        <v>1242</v>
      </c>
    </row>
    <row r="215" spans="2:2" x14ac:dyDescent="0.3">
      <c r="B215" s="621" t="s">
        <v>1243</v>
      </c>
    </row>
    <row r="216" spans="2:2" x14ac:dyDescent="0.3">
      <c r="B216" s="621" t="s">
        <v>1244</v>
      </c>
    </row>
    <row r="217" spans="2:2" x14ac:dyDescent="0.3">
      <c r="B217" s="622" t="s">
        <v>1245</v>
      </c>
    </row>
    <row r="218" spans="2:2" x14ac:dyDescent="0.3">
      <c r="B218" s="621" t="s">
        <v>1246</v>
      </c>
    </row>
    <row r="219" spans="2:2" x14ac:dyDescent="0.3">
      <c r="B219" s="622" t="s">
        <v>1247</v>
      </c>
    </row>
    <row r="220" spans="2:2" x14ac:dyDescent="0.3">
      <c r="B220" s="621" t="s">
        <v>1248</v>
      </c>
    </row>
    <row r="221" spans="2:2" x14ac:dyDescent="0.3">
      <c r="B221" s="622" t="s">
        <v>1127</v>
      </c>
    </row>
    <row r="222" spans="2:2" x14ac:dyDescent="0.3">
      <c r="B222" s="621" t="s">
        <v>1685</v>
      </c>
    </row>
    <row r="223" spans="2:2" x14ac:dyDescent="0.3">
      <c r="B223" s="622" t="s">
        <v>1249</v>
      </c>
    </row>
    <row r="224" spans="2:2" x14ac:dyDescent="0.3">
      <c r="B224" s="621" t="s">
        <v>1250</v>
      </c>
    </row>
    <row r="225" spans="2:2" x14ac:dyDescent="0.3">
      <c r="B225" s="622" t="s">
        <v>1688</v>
      </c>
    </row>
    <row r="226" spans="2:2" x14ac:dyDescent="0.3">
      <c r="B226" s="621" t="s">
        <v>1251</v>
      </c>
    </row>
    <row r="227" spans="2:2" x14ac:dyDescent="0.3">
      <c r="B227" s="622" t="s">
        <v>1252</v>
      </c>
    </row>
    <row r="228" spans="2:2" x14ac:dyDescent="0.3">
      <c r="B228" s="621" t="s">
        <v>1253</v>
      </c>
    </row>
    <row r="229" spans="2:2" x14ac:dyDescent="0.3">
      <c r="B229" s="622" t="s">
        <v>1254</v>
      </c>
    </row>
    <row r="230" spans="2:2" x14ac:dyDescent="0.3">
      <c r="B230" s="621" t="s">
        <v>1255</v>
      </c>
    </row>
    <row r="231" spans="2:2" x14ac:dyDescent="0.3">
      <c r="B231" s="622" t="s">
        <v>1256</v>
      </c>
    </row>
    <row r="232" spans="2:2" x14ac:dyDescent="0.3">
      <c r="B232" s="621" t="s">
        <v>1257</v>
      </c>
    </row>
    <row r="233" spans="2:2" x14ac:dyDescent="0.3">
      <c r="B233" s="622" t="s">
        <v>1258</v>
      </c>
    </row>
    <row r="234" spans="2:2" x14ac:dyDescent="0.3">
      <c r="B234" s="621" t="s">
        <v>1691</v>
      </c>
    </row>
    <row r="235" spans="2:2" x14ac:dyDescent="0.3">
      <c r="B235" s="622" t="s">
        <v>1694</v>
      </c>
    </row>
    <row r="236" spans="2:2" x14ac:dyDescent="0.3">
      <c r="B236" s="621" t="s">
        <v>1697</v>
      </c>
    </row>
    <row r="237" spans="2:2" x14ac:dyDescent="0.3">
      <c r="B237" s="622" t="s">
        <v>1700</v>
      </c>
    </row>
    <row r="238" spans="2:2" x14ac:dyDescent="0.3">
      <c r="B238" s="621" t="s">
        <v>1259</v>
      </c>
    </row>
    <row r="239" spans="2:2" x14ac:dyDescent="0.3">
      <c r="B239" s="622" t="s">
        <v>1260</v>
      </c>
    </row>
    <row r="240" spans="2:2" x14ac:dyDescent="0.3">
      <c r="B240" s="621" t="s">
        <v>1261</v>
      </c>
    </row>
    <row r="241" spans="2:2" x14ac:dyDescent="0.3">
      <c r="B241" s="622" t="s">
        <v>1262</v>
      </c>
    </row>
    <row r="242" spans="2:2" x14ac:dyDescent="0.3">
      <c r="B242" s="621" t="s">
        <v>1263</v>
      </c>
    </row>
    <row r="243" spans="2:2" x14ac:dyDescent="0.3">
      <c r="B243" s="622" t="s">
        <v>1264</v>
      </c>
    </row>
    <row r="244" spans="2:2" x14ac:dyDescent="0.3">
      <c r="B244" s="621" t="s">
        <v>1265</v>
      </c>
    </row>
    <row r="245" spans="2:2" x14ac:dyDescent="0.3">
      <c r="B245" s="622" t="s">
        <v>1702</v>
      </c>
    </row>
    <row r="246" spans="2:2" x14ac:dyDescent="0.3">
      <c r="B246" s="621" t="s">
        <v>1704</v>
      </c>
    </row>
    <row r="247" spans="2:2" x14ac:dyDescent="0.3">
      <c r="B247" s="622" t="s">
        <v>1707</v>
      </c>
    </row>
    <row r="248" spans="2:2" x14ac:dyDescent="0.3">
      <c r="B248" s="621" t="s">
        <v>1266</v>
      </c>
    </row>
    <row r="249" spans="2:2" x14ac:dyDescent="0.3">
      <c r="B249" s="622" t="s">
        <v>1267</v>
      </c>
    </row>
    <row r="250" spans="2:2" x14ac:dyDescent="0.3">
      <c r="B250" s="621" t="s">
        <v>1713</v>
      </c>
    </row>
    <row r="251" spans="2:2" x14ac:dyDescent="0.3">
      <c r="B251" s="622" t="s">
        <v>1716</v>
      </c>
    </row>
    <row r="252" spans="2:2" x14ac:dyDescent="0.3">
      <c r="B252" s="621" t="s">
        <v>1268</v>
      </c>
    </row>
    <row r="253" spans="2:2" x14ac:dyDescent="0.3">
      <c r="B253" s="622" t="s">
        <v>1269</v>
      </c>
    </row>
    <row r="254" spans="2:2" x14ac:dyDescent="0.3">
      <c r="B254" s="621" t="s">
        <v>1270</v>
      </c>
    </row>
    <row r="255" spans="2:2" x14ac:dyDescent="0.3">
      <c r="B255" s="622" t="s">
        <v>1271</v>
      </c>
    </row>
    <row r="256" spans="2:2" x14ac:dyDescent="0.3">
      <c r="B256" s="621" t="s">
        <v>1272</v>
      </c>
    </row>
    <row r="257" spans="2:2" x14ac:dyDescent="0.3">
      <c r="B257" s="622" t="s">
        <v>1273</v>
      </c>
    </row>
    <row r="258" spans="2:2" x14ac:dyDescent="0.3">
      <c r="B258" s="621" t="s">
        <v>1274</v>
      </c>
    </row>
    <row r="259" spans="2:2" x14ac:dyDescent="0.3">
      <c r="B259" s="622" t="s">
        <v>1275</v>
      </c>
    </row>
    <row r="260" spans="2:2" x14ac:dyDescent="0.3">
      <c r="B260" s="621" t="s">
        <v>1276</v>
      </c>
    </row>
    <row r="261" spans="2:2" x14ac:dyDescent="0.3">
      <c r="B261" s="622" t="s">
        <v>1719</v>
      </c>
    </row>
    <row r="262" spans="2:2" x14ac:dyDescent="0.3">
      <c r="B262" s="621" t="s">
        <v>1277</v>
      </c>
    </row>
    <row r="263" spans="2:2" x14ac:dyDescent="0.3">
      <c r="B263" s="622" t="s">
        <v>1278</v>
      </c>
    </row>
    <row r="264" spans="2:2" x14ac:dyDescent="0.3">
      <c r="B264" s="621" t="s">
        <v>1722</v>
      </c>
    </row>
    <row r="265" spans="2:2" x14ac:dyDescent="0.3">
      <c r="B265" s="622" t="s">
        <v>2133</v>
      </c>
    </row>
    <row r="266" spans="2:2" x14ac:dyDescent="0.3">
      <c r="B266" s="621" t="s">
        <v>1279</v>
      </c>
    </row>
    <row r="267" spans="2:2" x14ac:dyDescent="0.3">
      <c r="B267" s="622" t="s">
        <v>1280</v>
      </c>
    </row>
    <row r="268" spans="2:2" x14ac:dyDescent="0.3">
      <c r="B268" s="621" t="s">
        <v>1281</v>
      </c>
    </row>
    <row r="269" spans="2:2" x14ac:dyDescent="0.3">
      <c r="B269" s="622" t="s">
        <v>1282</v>
      </c>
    </row>
    <row r="270" spans="2:2" x14ac:dyDescent="0.3">
      <c r="B270" s="621" t="s">
        <v>1283</v>
      </c>
    </row>
    <row r="271" spans="2:2" x14ac:dyDescent="0.3">
      <c r="B271" s="622" t="s">
        <v>1284</v>
      </c>
    </row>
    <row r="272" spans="2:2" x14ac:dyDescent="0.3">
      <c r="B272" s="621" t="s">
        <v>1285</v>
      </c>
    </row>
    <row r="273" spans="2:2" x14ac:dyDescent="0.3">
      <c r="B273" s="622" t="s">
        <v>1286</v>
      </c>
    </row>
    <row r="274" spans="2:2" x14ac:dyDescent="0.3">
      <c r="B274" s="621" t="s">
        <v>1287</v>
      </c>
    </row>
    <row r="275" spans="2:2" x14ac:dyDescent="0.3">
      <c r="B275" s="622" t="s">
        <v>1288</v>
      </c>
    </row>
    <row r="276" spans="2:2" x14ac:dyDescent="0.3">
      <c r="B276" s="621" t="s">
        <v>1289</v>
      </c>
    </row>
    <row r="277" spans="2:2" x14ac:dyDescent="0.3">
      <c r="B277" s="622" t="s">
        <v>1290</v>
      </c>
    </row>
    <row r="278" spans="2:2" x14ac:dyDescent="0.3">
      <c r="B278" s="621" t="s">
        <v>1291</v>
      </c>
    </row>
    <row r="279" spans="2:2" x14ac:dyDescent="0.3">
      <c r="B279" s="622" t="s">
        <v>1292</v>
      </c>
    </row>
    <row r="280" spans="2:2" x14ac:dyDescent="0.3">
      <c r="B280" s="621" t="s">
        <v>1293</v>
      </c>
    </row>
    <row r="281" spans="2:2" x14ac:dyDescent="0.3">
      <c r="B281" s="622" t="s">
        <v>1725</v>
      </c>
    </row>
    <row r="282" spans="2:2" x14ac:dyDescent="0.3">
      <c r="B282" s="621" t="s">
        <v>2154</v>
      </c>
    </row>
    <row r="283" spans="2:2" x14ac:dyDescent="0.3">
      <c r="B283" s="622" t="s">
        <v>1294</v>
      </c>
    </row>
    <row r="284" spans="2:2" x14ac:dyDescent="0.3">
      <c r="B284" s="621" t="s">
        <v>1295</v>
      </c>
    </row>
    <row r="285" spans="2:2" x14ac:dyDescent="0.3">
      <c r="B285" s="622" t="s">
        <v>1296</v>
      </c>
    </row>
    <row r="286" spans="2:2" x14ac:dyDescent="0.3">
      <c r="B286" s="621" t="s">
        <v>1297</v>
      </c>
    </row>
    <row r="287" spans="2:2" x14ac:dyDescent="0.3">
      <c r="B287" s="622" t="s">
        <v>1727</v>
      </c>
    </row>
    <row r="288" spans="2:2" x14ac:dyDescent="0.3">
      <c r="B288" s="621" t="s">
        <v>1730</v>
      </c>
    </row>
    <row r="289" spans="2:2" x14ac:dyDescent="0.3">
      <c r="B289" s="622" t="s">
        <v>1298</v>
      </c>
    </row>
    <row r="290" spans="2:2" x14ac:dyDescent="0.3">
      <c r="B290" s="621" t="s">
        <v>1299</v>
      </c>
    </row>
    <row r="291" spans="2:2" x14ac:dyDescent="0.3">
      <c r="B291" s="622" t="s">
        <v>1300</v>
      </c>
    </row>
    <row r="292" spans="2:2" x14ac:dyDescent="0.3">
      <c r="B292" s="621" t="s">
        <v>1733</v>
      </c>
    </row>
    <row r="293" spans="2:2" x14ac:dyDescent="0.3">
      <c r="B293" s="622" t="s">
        <v>1301</v>
      </c>
    </row>
    <row r="294" spans="2:2" x14ac:dyDescent="0.3">
      <c r="B294" s="621" t="s">
        <v>1302</v>
      </c>
    </row>
    <row r="295" spans="2:2" x14ac:dyDescent="0.3">
      <c r="B295" s="622" t="s">
        <v>1303</v>
      </c>
    </row>
    <row r="296" spans="2:2" x14ac:dyDescent="0.3">
      <c r="B296" s="621" t="s">
        <v>1304</v>
      </c>
    </row>
    <row r="297" spans="2:2" x14ac:dyDescent="0.3">
      <c r="B297" s="622" t="s">
        <v>1305</v>
      </c>
    </row>
    <row r="298" spans="2:2" x14ac:dyDescent="0.3">
      <c r="B298" s="621" t="s">
        <v>1740</v>
      </c>
    </row>
    <row r="299" spans="2:2" x14ac:dyDescent="0.3">
      <c r="B299" s="622" t="s">
        <v>1306</v>
      </c>
    </row>
    <row r="300" spans="2:2" x14ac:dyDescent="0.3">
      <c r="B300" s="621" t="s">
        <v>1307</v>
      </c>
    </row>
    <row r="301" spans="2:2" x14ac:dyDescent="0.3">
      <c r="B301" s="622" t="s">
        <v>1308</v>
      </c>
    </row>
    <row r="302" spans="2:2" x14ac:dyDescent="0.3">
      <c r="B302" s="621" t="s">
        <v>1309</v>
      </c>
    </row>
    <row r="303" spans="2:2" x14ac:dyDescent="0.3">
      <c r="B303" s="622" t="s">
        <v>1310</v>
      </c>
    </row>
    <row r="304" spans="2:2" x14ac:dyDescent="0.3">
      <c r="B304" s="621" t="s">
        <v>1311</v>
      </c>
    </row>
    <row r="305" spans="2:2" x14ac:dyDescent="0.3">
      <c r="B305" s="622" t="s">
        <v>1312</v>
      </c>
    </row>
    <row r="306" spans="2:2" x14ac:dyDescent="0.3">
      <c r="B306" s="621" t="s">
        <v>1313</v>
      </c>
    </row>
    <row r="307" spans="2:2" x14ac:dyDescent="0.3">
      <c r="B307" s="622" t="s">
        <v>1314</v>
      </c>
    </row>
    <row r="308" spans="2:2" x14ac:dyDescent="0.3">
      <c r="B308" s="621" t="s">
        <v>1315</v>
      </c>
    </row>
    <row r="309" spans="2:2" x14ac:dyDescent="0.3">
      <c r="B309" s="621" t="s">
        <v>1316</v>
      </c>
    </row>
    <row r="310" spans="2:2" x14ac:dyDescent="0.3">
      <c r="B310" s="622" t="s">
        <v>1317</v>
      </c>
    </row>
    <row r="311" spans="2:2" x14ac:dyDescent="0.3">
      <c r="B311" s="621" t="s">
        <v>1318</v>
      </c>
    </row>
    <row r="312" spans="2:2" x14ac:dyDescent="0.3">
      <c r="B312" s="622" t="s">
        <v>1743</v>
      </c>
    </row>
    <row r="313" spans="2:2" x14ac:dyDescent="0.3">
      <c r="B313" s="621" t="s">
        <v>1746</v>
      </c>
    </row>
    <row r="314" spans="2:2" x14ac:dyDescent="0.3">
      <c r="B314" s="622" t="s">
        <v>1319</v>
      </c>
    </row>
    <row r="315" spans="2:2" x14ac:dyDescent="0.3">
      <c r="B315" s="621" t="s">
        <v>1320</v>
      </c>
    </row>
    <row r="316" spans="2:2" x14ac:dyDescent="0.3">
      <c r="B316" s="622" t="s">
        <v>1321</v>
      </c>
    </row>
    <row r="317" spans="2:2" x14ac:dyDescent="0.3">
      <c r="B317" s="621" t="s">
        <v>1322</v>
      </c>
    </row>
    <row r="318" spans="2:2" x14ac:dyDescent="0.3">
      <c r="B318" s="622" t="s">
        <v>1323</v>
      </c>
    </row>
    <row r="319" spans="2:2" x14ac:dyDescent="0.3">
      <c r="B319" s="621" t="s">
        <v>1324</v>
      </c>
    </row>
    <row r="320" spans="2:2" x14ac:dyDescent="0.3">
      <c r="B320" s="622" t="s">
        <v>1325</v>
      </c>
    </row>
    <row r="321" spans="2:2" x14ac:dyDescent="0.3">
      <c r="B321" s="621" t="s">
        <v>1326</v>
      </c>
    </row>
    <row r="322" spans="2:2" x14ac:dyDescent="0.3">
      <c r="B322" s="622" t="s">
        <v>1748</v>
      </c>
    </row>
    <row r="323" spans="2:2" x14ac:dyDescent="0.3">
      <c r="B323" s="621" t="s">
        <v>1327</v>
      </c>
    </row>
    <row r="324" spans="2:2" x14ac:dyDescent="0.3">
      <c r="B324" s="622" t="s">
        <v>1328</v>
      </c>
    </row>
    <row r="325" spans="2:2" x14ac:dyDescent="0.3">
      <c r="B325" s="621" t="s">
        <v>1329</v>
      </c>
    </row>
    <row r="326" spans="2:2" x14ac:dyDescent="0.3">
      <c r="B326" s="622" t="s">
        <v>1330</v>
      </c>
    </row>
    <row r="327" spans="2:2" x14ac:dyDescent="0.3">
      <c r="B327" s="621" t="s">
        <v>1331</v>
      </c>
    </row>
    <row r="328" spans="2:2" x14ac:dyDescent="0.3">
      <c r="B328" s="622" t="s">
        <v>1332</v>
      </c>
    </row>
    <row r="329" spans="2:2" x14ac:dyDescent="0.3">
      <c r="B329" s="621" t="s">
        <v>1333</v>
      </c>
    </row>
    <row r="330" spans="2:2" x14ac:dyDescent="0.3">
      <c r="B330" s="622" t="s">
        <v>1750</v>
      </c>
    </row>
    <row r="331" spans="2:2" x14ac:dyDescent="0.3">
      <c r="B331" s="621" t="s">
        <v>1334</v>
      </c>
    </row>
    <row r="332" spans="2:2" x14ac:dyDescent="0.3">
      <c r="B332" s="622" t="s">
        <v>1335</v>
      </c>
    </row>
    <row r="333" spans="2:2" x14ac:dyDescent="0.3">
      <c r="B333" s="621" t="s">
        <v>1336</v>
      </c>
    </row>
    <row r="334" spans="2:2" x14ac:dyDescent="0.3">
      <c r="B334" s="622" t="s">
        <v>1337</v>
      </c>
    </row>
    <row r="335" spans="2:2" x14ac:dyDescent="0.3">
      <c r="B335" s="621" t="s">
        <v>1338</v>
      </c>
    </row>
    <row r="336" spans="2:2" x14ac:dyDescent="0.3">
      <c r="B336" s="622" t="s">
        <v>1339</v>
      </c>
    </row>
    <row r="337" spans="2:2" x14ac:dyDescent="0.3">
      <c r="B337" s="621" t="s">
        <v>1340</v>
      </c>
    </row>
    <row r="338" spans="2:2" x14ac:dyDescent="0.3">
      <c r="B338" s="622" t="s">
        <v>1341</v>
      </c>
    </row>
    <row r="339" spans="2:2" x14ac:dyDescent="0.3">
      <c r="B339" s="621" t="s">
        <v>1342</v>
      </c>
    </row>
    <row r="340" spans="2:2" x14ac:dyDescent="0.3">
      <c r="B340" s="622" t="s">
        <v>1343</v>
      </c>
    </row>
    <row r="341" spans="2:2" x14ac:dyDescent="0.3">
      <c r="B341" s="621" t="s">
        <v>1344</v>
      </c>
    </row>
    <row r="342" spans="2:2" x14ac:dyDescent="0.3">
      <c r="B342" s="622" t="s">
        <v>1345</v>
      </c>
    </row>
    <row r="343" spans="2:2" x14ac:dyDescent="0.3">
      <c r="B343" s="621" t="s">
        <v>1346</v>
      </c>
    </row>
    <row r="344" spans="2:2" x14ac:dyDescent="0.3">
      <c r="B344" s="622" t="s">
        <v>1347</v>
      </c>
    </row>
    <row r="345" spans="2:2" x14ac:dyDescent="0.3">
      <c r="B345" s="621" t="s">
        <v>1348</v>
      </c>
    </row>
    <row r="346" spans="2:2" x14ac:dyDescent="0.3">
      <c r="B346" s="622" t="s">
        <v>1349</v>
      </c>
    </row>
    <row r="347" spans="2:2" x14ac:dyDescent="0.3">
      <c r="B347" s="621" t="s">
        <v>1350</v>
      </c>
    </row>
    <row r="348" spans="2:2" x14ac:dyDescent="0.3">
      <c r="B348" s="622" t="s">
        <v>1351</v>
      </c>
    </row>
    <row r="349" spans="2:2" x14ac:dyDescent="0.3">
      <c r="B349" s="621" t="s">
        <v>1352</v>
      </c>
    </row>
    <row r="350" spans="2:2" x14ac:dyDescent="0.3">
      <c r="B350" s="622" t="s">
        <v>1353</v>
      </c>
    </row>
    <row r="351" spans="2:2" x14ac:dyDescent="0.3">
      <c r="B351" s="621" t="s">
        <v>1354</v>
      </c>
    </row>
    <row r="352" spans="2:2" x14ac:dyDescent="0.3">
      <c r="B352" s="622" t="s">
        <v>1355</v>
      </c>
    </row>
    <row r="353" spans="2:2" x14ac:dyDescent="0.3">
      <c r="B353" s="621" t="s">
        <v>1356</v>
      </c>
    </row>
    <row r="354" spans="2:2" x14ac:dyDescent="0.3">
      <c r="B354" s="622" t="s">
        <v>1357</v>
      </c>
    </row>
    <row r="355" spans="2:2" x14ac:dyDescent="0.3">
      <c r="B355" s="621" t="s">
        <v>1358</v>
      </c>
    </row>
    <row r="356" spans="2:2" x14ac:dyDescent="0.3">
      <c r="B356" s="622" t="s">
        <v>1359</v>
      </c>
    </row>
    <row r="357" spans="2:2" x14ac:dyDescent="0.3">
      <c r="B357" s="621" t="s">
        <v>1757</v>
      </c>
    </row>
    <row r="358" spans="2:2" x14ac:dyDescent="0.3">
      <c r="B358" s="622" t="s">
        <v>1360</v>
      </c>
    </row>
    <row r="359" spans="2:2" x14ac:dyDescent="0.3">
      <c r="B359" s="621" t="s">
        <v>1361</v>
      </c>
    </row>
    <row r="360" spans="2:2" x14ac:dyDescent="0.3">
      <c r="B360" s="622" t="s">
        <v>1362</v>
      </c>
    </row>
    <row r="361" spans="2:2" x14ac:dyDescent="0.3">
      <c r="B361" s="621" t="s">
        <v>2136</v>
      </c>
    </row>
    <row r="362" spans="2:2" x14ac:dyDescent="0.3">
      <c r="B362" s="621" t="s">
        <v>1363</v>
      </c>
    </row>
    <row r="363" spans="2:2" x14ac:dyDescent="0.3">
      <c r="B363" s="622" t="s">
        <v>1364</v>
      </c>
    </row>
    <row r="364" spans="2:2" x14ac:dyDescent="0.3">
      <c r="B364" s="621" t="s">
        <v>1365</v>
      </c>
    </row>
    <row r="365" spans="2:2" x14ac:dyDescent="0.3">
      <c r="B365" s="622" t="s">
        <v>1366</v>
      </c>
    </row>
    <row r="366" spans="2:2" x14ac:dyDescent="0.3">
      <c r="B366" s="621" t="s">
        <v>1367</v>
      </c>
    </row>
    <row r="367" spans="2:2" x14ac:dyDescent="0.3">
      <c r="B367" s="622" t="s">
        <v>1368</v>
      </c>
    </row>
    <row r="368" spans="2:2" x14ac:dyDescent="0.3">
      <c r="B368" s="621" t="s">
        <v>1369</v>
      </c>
    </row>
    <row r="369" spans="2:2" x14ac:dyDescent="0.3">
      <c r="B369" s="622" t="s">
        <v>1370</v>
      </c>
    </row>
    <row r="370" spans="2:2" x14ac:dyDescent="0.3">
      <c r="B370" s="621" t="s">
        <v>1371</v>
      </c>
    </row>
    <row r="371" spans="2:2" x14ac:dyDescent="0.3">
      <c r="B371" s="622" t="s">
        <v>1760</v>
      </c>
    </row>
    <row r="372" spans="2:2" x14ac:dyDescent="0.3">
      <c r="B372" s="621" t="s">
        <v>1372</v>
      </c>
    </row>
    <row r="373" spans="2:2" x14ac:dyDescent="0.3">
      <c r="B373" s="622" t="s">
        <v>1373</v>
      </c>
    </row>
    <row r="374" spans="2:2" x14ac:dyDescent="0.3">
      <c r="B374" s="621" t="s">
        <v>1374</v>
      </c>
    </row>
    <row r="375" spans="2:2" x14ac:dyDescent="0.3">
      <c r="B375" s="622" t="s">
        <v>2126</v>
      </c>
    </row>
    <row r="376" spans="2:2" x14ac:dyDescent="0.3">
      <c r="B376" s="621" t="s">
        <v>1375</v>
      </c>
    </row>
    <row r="377" spans="2:2" x14ac:dyDescent="0.3">
      <c r="B377" s="622" t="s">
        <v>1376</v>
      </c>
    </row>
    <row r="378" spans="2:2" x14ac:dyDescent="0.3">
      <c r="B378" s="621" t="s">
        <v>1377</v>
      </c>
    </row>
    <row r="379" spans="2:2" x14ac:dyDescent="0.3">
      <c r="B379" s="622" t="s">
        <v>1378</v>
      </c>
    </row>
    <row r="380" spans="2:2" x14ac:dyDescent="0.3">
      <c r="B380" s="621" t="s">
        <v>1379</v>
      </c>
    </row>
    <row r="381" spans="2:2" x14ac:dyDescent="0.3">
      <c r="B381" s="622" t="s">
        <v>1380</v>
      </c>
    </row>
    <row r="382" spans="2:2" x14ac:dyDescent="0.3">
      <c r="B382" s="621" t="s">
        <v>1381</v>
      </c>
    </row>
    <row r="383" spans="2:2" x14ac:dyDescent="0.3">
      <c r="B383" s="622" t="s">
        <v>2192</v>
      </c>
    </row>
    <row r="384" spans="2:2" x14ac:dyDescent="0.3">
      <c r="B384" s="621" t="s">
        <v>1763</v>
      </c>
    </row>
    <row r="385" spans="2:2" x14ac:dyDescent="0.3">
      <c r="B385" s="622" t="s">
        <v>1382</v>
      </c>
    </row>
    <row r="386" spans="2:2" x14ac:dyDescent="0.3">
      <c r="B386" s="621" t="s">
        <v>1383</v>
      </c>
    </row>
    <row r="387" spans="2:2" x14ac:dyDescent="0.3">
      <c r="B387" s="622" t="s">
        <v>1384</v>
      </c>
    </row>
    <row r="388" spans="2:2" x14ac:dyDescent="0.3">
      <c r="B388" s="621" t="s">
        <v>1385</v>
      </c>
    </row>
    <row r="389" spans="2:2" x14ac:dyDescent="0.3">
      <c r="B389" s="622" t="s">
        <v>1386</v>
      </c>
    </row>
    <row r="390" spans="2:2" x14ac:dyDescent="0.3">
      <c r="B390" s="621" t="s">
        <v>1766</v>
      </c>
    </row>
    <row r="391" spans="2:2" x14ac:dyDescent="0.3">
      <c r="B391" s="622" t="s">
        <v>1767</v>
      </c>
    </row>
    <row r="392" spans="2:2" x14ac:dyDescent="0.3">
      <c r="B392" s="621" t="s">
        <v>1387</v>
      </c>
    </row>
    <row r="393" spans="2:2" x14ac:dyDescent="0.3">
      <c r="B393" s="622" t="s">
        <v>1769</v>
      </c>
    </row>
    <row r="394" spans="2:2" x14ac:dyDescent="0.3">
      <c r="B394" s="621" t="s">
        <v>1388</v>
      </c>
    </row>
    <row r="395" spans="2:2" x14ac:dyDescent="0.3">
      <c r="B395" s="622" t="s">
        <v>2146</v>
      </c>
    </row>
    <row r="396" spans="2:2" x14ac:dyDescent="0.3">
      <c r="B396" s="621" t="s">
        <v>1389</v>
      </c>
    </row>
    <row r="397" spans="2:2" x14ac:dyDescent="0.3">
      <c r="B397" s="622" t="s">
        <v>1390</v>
      </c>
    </row>
    <row r="398" spans="2:2" x14ac:dyDescent="0.3">
      <c r="B398" s="621" t="s">
        <v>1391</v>
      </c>
    </row>
    <row r="399" spans="2:2" x14ac:dyDescent="0.3">
      <c r="B399" s="622" t="s">
        <v>1392</v>
      </c>
    </row>
    <row r="400" spans="2:2" x14ac:dyDescent="0.3">
      <c r="B400" s="621" t="s">
        <v>1393</v>
      </c>
    </row>
    <row r="401" spans="2:2" x14ac:dyDescent="0.3">
      <c r="B401" s="622" t="s">
        <v>1394</v>
      </c>
    </row>
    <row r="402" spans="2:2" x14ac:dyDescent="0.3">
      <c r="B402" s="621" t="s">
        <v>1395</v>
      </c>
    </row>
    <row r="403" spans="2:2" x14ac:dyDescent="0.3">
      <c r="B403" s="622" t="s">
        <v>1396</v>
      </c>
    </row>
    <row r="404" spans="2:2" x14ac:dyDescent="0.3">
      <c r="B404" s="621" t="s">
        <v>1771</v>
      </c>
    </row>
    <row r="405" spans="2:2" x14ac:dyDescent="0.3">
      <c r="B405" s="622" t="s">
        <v>1397</v>
      </c>
    </row>
    <row r="406" spans="2:2" x14ac:dyDescent="0.3">
      <c r="B406" s="621" t="s">
        <v>1398</v>
      </c>
    </row>
    <row r="407" spans="2:2" x14ac:dyDescent="0.3">
      <c r="B407" s="622" t="s">
        <v>1399</v>
      </c>
    </row>
    <row r="408" spans="2:2" x14ac:dyDescent="0.3">
      <c r="B408" s="621" t="s">
        <v>1400</v>
      </c>
    </row>
    <row r="409" spans="2:2" x14ac:dyDescent="0.3">
      <c r="B409" s="622" t="s">
        <v>1401</v>
      </c>
    </row>
    <row r="410" spans="2:2" x14ac:dyDescent="0.3">
      <c r="B410" s="621" t="s">
        <v>1402</v>
      </c>
    </row>
    <row r="411" spans="2:2" x14ac:dyDescent="0.3">
      <c r="B411" s="622" t="s">
        <v>1403</v>
      </c>
    </row>
    <row r="412" spans="2:2" x14ac:dyDescent="0.3">
      <c r="B412" s="621" t="s">
        <v>1404</v>
      </c>
    </row>
    <row r="413" spans="2:2" x14ac:dyDescent="0.3">
      <c r="B413" s="622" t="s">
        <v>1405</v>
      </c>
    </row>
    <row r="414" spans="2:2" x14ac:dyDescent="0.3">
      <c r="B414" s="621" t="s">
        <v>1406</v>
      </c>
    </row>
    <row r="415" spans="2:2" x14ac:dyDescent="0.3">
      <c r="B415" s="622" t="s">
        <v>1407</v>
      </c>
    </row>
    <row r="416" spans="2:2" x14ac:dyDescent="0.3">
      <c r="B416" s="621" t="s">
        <v>1408</v>
      </c>
    </row>
    <row r="417" spans="2:2" x14ac:dyDescent="0.3">
      <c r="B417" s="622" t="s">
        <v>1409</v>
      </c>
    </row>
    <row r="418" spans="2:2" x14ac:dyDescent="0.3">
      <c r="B418" s="621" t="s">
        <v>1410</v>
      </c>
    </row>
    <row r="419" spans="2:2" x14ac:dyDescent="0.3">
      <c r="B419" s="622" t="s">
        <v>1411</v>
      </c>
    </row>
    <row r="420" spans="2:2" x14ac:dyDescent="0.3">
      <c r="B420" s="621" t="s">
        <v>1790</v>
      </c>
    </row>
    <row r="421" spans="2:2" x14ac:dyDescent="0.3">
      <c r="B421" s="622" t="s">
        <v>1793</v>
      </c>
    </row>
    <row r="422" spans="2:2" x14ac:dyDescent="0.3">
      <c r="B422" s="621" t="s">
        <v>1796</v>
      </c>
    </row>
    <row r="423" spans="2:2" x14ac:dyDescent="0.3">
      <c r="B423" s="622" t="s">
        <v>1412</v>
      </c>
    </row>
    <row r="424" spans="2:2" x14ac:dyDescent="0.3">
      <c r="B424" s="621" t="s">
        <v>1798</v>
      </c>
    </row>
    <row r="425" spans="2:2" x14ac:dyDescent="0.3">
      <c r="B425" s="622" t="s">
        <v>1413</v>
      </c>
    </row>
    <row r="426" spans="2:2" x14ac:dyDescent="0.3">
      <c r="B426" s="621" t="s">
        <v>1414</v>
      </c>
    </row>
    <row r="427" spans="2:2" x14ac:dyDescent="0.3">
      <c r="B427" s="622" t="s">
        <v>1800</v>
      </c>
    </row>
    <row r="428" spans="2:2" x14ac:dyDescent="0.3">
      <c r="B428" s="621" t="s">
        <v>1415</v>
      </c>
    </row>
    <row r="429" spans="2:2" x14ac:dyDescent="0.3">
      <c r="B429" s="622" t="s">
        <v>1803</v>
      </c>
    </row>
    <row r="430" spans="2:2" x14ac:dyDescent="0.3">
      <c r="B430" s="621" t="s">
        <v>1416</v>
      </c>
    </row>
    <row r="431" spans="2:2" x14ac:dyDescent="0.3">
      <c r="B431" s="622" t="s">
        <v>1417</v>
      </c>
    </row>
    <row r="432" spans="2:2" x14ac:dyDescent="0.3">
      <c r="B432" s="621" t="s">
        <v>1806</v>
      </c>
    </row>
    <row r="433" spans="2:2" x14ac:dyDescent="0.3">
      <c r="B433" s="622" t="s">
        <v>1809</v>
      </c>
    </row>
    <row r="434" spans="2:2" x14ac:dyDescent="0.3">
      <c r="B434" s="621" t="s">
        <v>1812</v>
      </c>
    </row>
    <row r="435" spans="2:2" x14ac:dyDescent="0.3">
      <c r="B435" s="622" t="s">
        <v>1418</v>
      </c>
    </row>
    <row r="436" spans="2:2" x14ac:dyDescent="0.3">
      <c r="B436" s="621" t="s">
        <v>1419</v>
      </c>
    </row>
    <row r="437" spans="2:2" x14ac:dyDescent="0.3">
      <c r="B437" s="622" t="s">
        <v>1420</v>
      </c>
    </row>
    <row r="438" spans="2:2" x14ac:dyDescent="0.3">
      <c r="B438" s="621" t="s">
        <v>1421</v>
      </c>
    </row>
    <row r="439" spans="2:2" x14ac:dyDescent="0.3">
      <c r="B439" s="622" t="s">
        <v>1422</v>
      </c>
    </row>
    <row r="440" spans="2:2" x14ac:dyDescent="0.3">
      <c r="B440" s="621" t="s">
        <v>1815</v>
      </c>
    </row>
    <row r="441" spans="2:2" x14ac:dyDescent="0.3">
      <c r="B441" s="622" t="s">
        <v>1818</v>
      </c>
    </row>
    <row r="442" spans="2:2" x14ac:dyDescent="0.3">
      <c r="B442" s="621" t="s">
        <v>1423</v>
      </c>
    </row>
    <row r="443" spans="2:2" x14ac:dyDescent="0.3">
      <c r="B443" s="622" t="s">
        <v>1424</v>
      </c>
    </row>
    <row r="444" spans="2:2" x14ac:dyDescent="0.3">
      <c r="B444" s="621" t="s">
        <v>1425</v>
      </c>
    </row>
    <row r="445" spans="2:2" x14ac:dyDescent="0.3">
      <c r="B445" s="622" t="s">
        <v>1426</v>
      </c>
    </row>
    <row r="446" spans="2:2" x14ac:dyDescent="0.3">
      <c r="B446" s="621" t="s">
        <v>1427</v>
      </c>
    </row>
    <row r="447" spans="2:2" x14ac:dyDescent="0.3">
      <c r="B447" s="622" t="s">
        <v>1428</v>
      </c>
    </row>
    <row r="448" spans="2:2" x14ac:dyDescent="0.3">
      <c r="B448" s="621" t="s">
        <v>2140</v>
      </c>
    </row>
    <row r="449" spans="2:2" x14ac:dyDescent="0.3">
      <c r="B449" s="622" t="s">
        <v>1429</v>
      </c>
    </row>
    <row r="450" spans="2:2" x14ac:dyDescent="0.3">
      <c r="B450" s="621" t="s">
        <v>1430</v>
      </c>
    </row>
    <row r="451" spans="2:2" x14ac:dyDescent="0.3">
      <c r="B451" s="622" t="s">
        <v>1431</v>
      </c>
    </row>
    <row r="452" spans="2:2" x14ac:dyDescent="0.3">
      <c r="B452" s="621" t="s">
        <v>1432</v>
      </c>
    </row>
    <row r="453" spans="2:2" x14ac:dyDescent="0.3">
      <c r="B453" s="622" t="s">
        <v>1433</v>
      </c>
    </row>
    <row r="454" spans="2:2" x14ac:dyDescent="0.3">
      <c r="B454" s="621" t="s">
        <v>1434</v>
      </c>
    </row>
    <row r="455" spans="2:2" x14ac:dyDescent="0.3">
      <c r="B455" s="622" t="s">
        <v>1435</v>
      </c>
    </row>
    <row r="456" spans="2:2" x14ac:dyDescent="0.3">
      <c r="B456" s="621" t="s">
        <v>1436</v>
      </c>
    </row>
    <row r="457" spans="2:2" x14ac:dyDescent="0.3">
      <c r="B457" s="622" t="s">
        <v>1437</v>
      </c>
    </row>
    <row r="458" spans="2:2" x14ac:dyDescent="0.3">
      <c r="B458" s="621" t="s">
        <v>1438</v>
      </c>
    </row>
    <row r="459" spans="2:2" x14ac:dyDescent="0.3">
      <c r="B459" s="622" t="s">
        <v>1439</v>
      </c>
    </row>
    <row r="460" spans="2:2" x14ac:dyDescent="0.3">
      <c r="B460" s="621" t="s">
        <v>1821</v>
      </c>
    </row>
    <row r="461" spans="2:2" x14ac:dyDescent="0.3">
      <c r="B461" s="622" t="s">
        <v>1440</v>
      </c>
    </row>
    <row r="462" spans="2:2" x14ac:dyDescent="0.3">
      <c r="B462" s="621" t="s">
        <v>1441</v>
      </c>
    </row>
    <row r="463" spans="2:2" x14ac:dyDescent="0.3">
      <c r="B463" s="622" t="s">
        <v>1442</v>
      </c>
    </row>
    <row r="464" spans="2:2" x14ac:dyDescent="0.3">
      <c r="B464" s="621" t="s">
        <v>1443</v>
      </c>
    </row>
    <row r="465" spans="2:2" x14ac:dyDescent="0.3">
      <c r="B465" s="622" t="s">
        <v>1444</v>
      </c>
    </row>
    <row r="466" spans="2:2" x14ac:dyDescent="0.3">
      <c r="B466" s="621" t="s">
        <v>1827</v>
      </c>
    </row>
    <row r="467" spans="2:2" x14ac:dyDescent="0.3">
      <c r="B467" s="622" t="s">
        <v>2148</v>
      </c>
    </row>
    <row r="468" spans="2:2" x14ac:dyDescent="0.3">
      <c r="B468" s="621" t="s">
        <v>1445</v>
      </c>
    </row>
    <row r="469" spans="2:2" x14ac:dyDescent="0.3">
      <c r="B469" s="622" t="s">
        <v>1446</v>
      </c>
    </row>
    <row r="470" spans="2:2" x14ac:dyDescent="0.3">
      <c r="B470" s="621" t="s">
        <v>1447</v>
      </c>
    </row>
    <row r="471" spans="2:2" x14ac:dyDescent="0.3">
      <c r="B471" s="622" t="s">
        <v>1448</v>
      </c>
    </row>
    <row r="472" spans="2:2" x14ac:dyDescent="0.3">
      <c r="B472" s="621" t="s">
        <v>1449</v>
      </c>
    </row>
    <row r="473" spans="2:2" x14ac:dyDescent="0.3">
      <c r="B473" s="622" t="s">
        <v>1831</v>
      </c>
    </row>
    <row r="474" spans="2:2" x14ac:dyDescent="0.3">
      <c r="B474" s="621" t="s">
        <v>1450</v>
      </c>
    </row>
    <row r="475" spans="2:2" x14ac:dyDescent="0.3">
      <c r="B475" s="622" t="s">
        <v>1451</v>
      </c>
    </row>
    <row r="476" spans="2:2" x14ac:dyDescent="0.3">
      <c r="B476" s="621" t="s">
        <v>1452</v>
      </c>
    </row>
    <row r="477" spans="2:2" x14ac:dyDescent="0.3">
      <c r="B477" s="622" t="s">
        <v>1453</v>
      </c>
    </row>
    <row r="478" spans="2:2" x14ac:dyDescent="0.3">
      <c r="B478" s="621" t="s">
        <v>1454</v>
      </c>
    </row>
    <row r="479" spans="2:2" x14ac:dyDescent="0.3">
      <c r="B479" s="622" t="s">
        <v>1455</v>
      </c>
    </row>
    <row r="480" spans="2:2" x14ac:dyDescent="0.3">
      <c r="B480" s="621" t="s">
        <v>1456</v>
      </c>
    </row>
    <row r="481" spans="2:2" x14ac:dyDescent="0.3">
      <c r="B481" s="622" t="s">
        <v>1457</v>
      </c>
    </row>
    <row r="482" spans="2:2" x14ac:dyDescent="0.3">
      <c r="B482" s="621" t="s">
        <v>1458</v>
      </c>
    </row>
    <row r="483" spans="2:2" x14ac:dyDescent="0.3">
      <c r="B483" s="622" t="s">
        <v>1459</v>
      </c>
    </row>
    <row r="484" spans="2:2" x14ac:dyDescent="0.3">
      <c r="B484" s="621" t="s">
        <v>1460</v>
      </c>
    </row>
    <row r="485" spans="2:2" x14ac:dyDescent="0.3">
      <c r="B485" s="622" t="s">
        <v>1461</v>
      </c>
    </row>
    <row r="486" spans="2:2" x14ac:dyDescent="0.3">
      <c r="B486" s="621" t="s">
        <v>1462</v>
      </c>
    </row>
    <row r="487" spans="2:2" x14ac:dyDescent="0.3">
      <c r="B487" s="622" t="s">
        <v>1463</v>
      </c>
    </row>
    <row r="488" spans="2:2" x14ac:dyDescent="0.3">
      <c r="B488" s="621" t="s">
        <v>1464</v>
      </c>
    </row>
    <row r="489" spans="2:2" x14ac:dyDescent="0.3">
      <c r="B489" s="622" t="s">
        <v>1465</v>
      </c>
    </row>
    <row r="490" spans="2:2" x14ac:dyDescent="0.3">
      <c r="B490" s="621" t="s">
        <v>1466</v>
      </c>
    </row>
    <row r="491" spans="2:2" x14ac:dyDescent="0.3">
      <c r="B491" s="622" t="s">
        <v>1467</v>
      </c>
    </row>
    <row r="492" spans="2:2" x14ac:dyDescent="0.3">
      <c r="B492" s="621" t="s">
        <v>1468</v>
      </c>
    </row>
    <row r="493" spans="2:2" x14ac:dyDescent="0.3">
      <c r="B493" s="622" t="s">
        <v>1469</v>
      </c>
    </row>
    <row r="494" spans="2:2" x14ac:dyDescent="0.3">
      <c r="B494" s="621" t="s">
        <v>1470</v>
      </c>
    </row>
    <row r="495" spans="2:2" x14ac:dyDescent="0.3">
      <c r="B495" s="622" t="s">
        <v>1833</v>
      </c>
    </row>
    <row r="496" spans="2:2" x14ac:dyDescent="0.3">
      <c r="B496" s="621" t="s">
        <v>1471</v>
      </c>
    </row>
    <row r="497" spans="2:2" x14ac:dyDescent="0.3">
      <c r="B497" s="622" t="s">
        <v>2125</v>
      </c>
    </row>
    <row r="498" spans="2:2" x14ac:dyDescent="0.3">
      <c r="B498" s="621" t="s">
        <v>1472</v>
      </c>
    </row>
    <row r="499" spans="2:2" x14ac:dyDescent="0.3">
      <c r="B499" s="622" t="s">
        <v>1473</v>
      </c>
    </row>
    <row r="500" spans="2:2" x14ac:dyDescent="0.3">
      <c r="B500" s="621" t="s">
        <v>1474</v>
      </c>
    </row>
    <row r="501" spans="2:2" x14ac:dyDescent="0.3">
      <c r="B501" s="622" t="s">
        <v>1475</v>
      </c>
    </row>
    <row r="502" spans="2:2" x14ac:dyDescent="0.3">
      <c r="B502" s="622" t="s">
        <v>1476</v>
      </c>
    </row>
    <row r="503" spans="2:2" x14ac:dyDescent="0.3">
      <c r="B503" s="621" t="s">
        <v>1477</v>
      </c>
    </row>
    <row r="504" spans="2:2" x14ac:dyDescent="0.3">
      <c r="B504" s="622" t="s">
        <v>1478</v>
      </c>
    </row>
    <row r="505" spans="2:2" x14ac:dyDescent="0.3">
      <c r="B505" s="621" t="s">
        <v>1479</v>
      </c>
    </row>
    <row r="506" spans="2:2" x14ac:dyDescent="0.3">
      <c r="B506" s="621" t="s">
        <v>1480</v>
      </c>
    </row>
    <row r="507" spans="2:2" x14ac:dyDescent="0.3">
      <c r="B507" s="622" t="s">
        <v>1481</v>
      </c>
    </row>
    <row r="508" spans="2:2" x14ac:dyDescent="0.3">
      <c r="B508" s="621" t="s">
        <v>1482</v>
      </c>
    </row>
    <row r="509" spans="2:2" x14ac:dyDescent="0.3">
      <c r="B509" s="622" t="s">
        <v>1483</v>
      </c>
    </row>
    <row r="510" spans="2:2" x14ac:dyDescent="0.3">
      <c r="B510" s="621" t="s">
        <v>1484</v>
      </c>
    </row>
    <row r="511" spans="2:2" x14ac:dyDescent="0.3">
      <c r="B511" s="621" t="s">
        <v>1485</v>
      </c>
    </row>
    <row r="512" spans="2:2" x14ac:dyDescent="0.3">
      <c r="B512" s="622" t="s">
        <v>1486</v>
      </c>
    </row>
    <row r="513" spans="2:2" x14ac:dyDescent="0.3">
      <c r="B513" s="621" t="s">
        <v>1487</v>
      </c>
    </row>
    <row r="514" spans="2:2" x14ac:dyDescent="0.3">
      <c r="B514" s="621" t="s">
        <v>1488</v>
      </c>
    </row>
    <row r="515" spans="2:2" x14ac:dyDescent="0.3">
      <c r="B515" s="622" t="s">
        <v>1489</v>
      </c>
    </row>
    <row r="516" spans="2:2" x14ac:dyDescent="0.3">
      <c r="B516" s="621" t="s">
        <v>1490</v>
      </c>
    </row>
    <row r="517" spans="2:2" x14ac:dyDescent="0.3">
      <c r="B517" s="622" t="s">
        <v>1491</v>
      </c>
    </row>
    <row r="518" spans="2:2" x14ac:dyDescent="0.3">
      <c r="B518" s="621" t="s">
        <v>1492</v>
      </c>
    </row>
    <row r="519" spans="2:2" x14ac:dyDescent="0.3">
      <c r="B519" s="622" t="s">
        <v>1493</v>
      </c>
    </row>
    <row r="520" spans="2:2" x14ac:dyDescent="0.3">
      <c r="B520" s="621" t="s">
        <v>1494</v>
      </c>
    </row>
    <row r="521" spans="2:2" x14ac:dyDescent="0.3">
      <c r="B521" s="622" t="s">
        <v>1495</v>
      </c>
    </row>
    <row r="522" spans="2:2" x14ac:dyDescent="0.3">
      <c r="B522" s="621" t="s">
        <v>1838</v>
      </c>
    </row>
    <row r="523" spans="2:2" x14ac:dyDescent="0.3">
      <c r="B523" s="622" t="s">
        <v>1496</v>
      </c>
    </row>
    <row r="524" spans="2:2" x14ac:dyDescent="0.3">
      <c r="B524" s="621" t="s">
        <v>1497</v>
      </c>
    </row>
    <row r="525" spans="2:2" x14ac:dyDescent="0.3">
      <c r="B525" s="622" t="s">
        <v>1840</v>
      </c>
    </row>
    <row r="526" spans="2:2" x14ac:dyDescent="0.3">
      <c r="B526" s="621" t="s">
        <v>1498</v>
      </c>
    </row>
    <row r="527" spans="2:2" x14ac:dyDescent="0.3">
      <c r="B527" s="622" t="s">
        <v>1843</v>
      </c>
    </row>
    <row r="528" spans="2:2" x14ac:dyDescent="0.3">
      <c r="B528" s="621" t="s">
        <v>1845</v>
      </c>
    </row>
    <row r="529" spans="2:2" x14ac:dyDescent="0.3">
      <c r="B529" s="622" t="s">
        <v>1499</v>
      </c>
    </row>
    <row r="530" spans="2:2" x14ac:dyDescent="0.3">
      <c r="B530" s="621" t="s">
        <v>1500</v>
      </c>
    </row>
    <row r="531" spans="2:2" x14ac:dyDescent="0.3">
      <c r="B531" s="622" t="s">
        <v>1501</v>
      </c>
    </row>
    <row r="532" spans="2:2" x14ac:dyDescent="0.3">
      <c r="B532" s="621" t="s">
        <v>1502</v>
      </c>
    </row>
    <row r="533" spans="2:2" x14ac:dyDescent="0.3">
      <c r="B533" s="622" t="s">
        <v>1503</v>
      </c>
    </row>
    <row r="534" spans="2:2" x14ac:dyDescent="0.3">
      <c r="B534" s="621" t="s">
        <v>1504</v>
      </c>
    </row>
    <row r="535" spans="2:2" x14ac:dyDescent="0.3">
      <c r="B535" s="622" t="s">
        <v>1505</v>
      </c>
    </row>
    <row r="536" spans="2:2" x14ac:dyDescent="0.3">
      <c r="B536" s="621" t="s">
        <v>1506</v>
      </c>
    </row>
    <row r="537" spans="2:2" x14ac:dyDescent="0.3">
      <c r="B537" s="622" t="s">
        <v>1507</v>
      </c>
    </row>
    <row r="538" spans="2:2" x14ac:dyDescent="0.3">
      <c r="B538" s="621" t="s">
        <v>1508</v>
      </c>
    </row>
    <row r="539" spans="2:2" x14ac:dyDescent="0.3">
      <c r="B539" s="622" t="s">
        <v>1509</v>
      </c>
    </row>
    <row r="540" spans="2:2" x14ac:dyDescent="0.3">
      <c r="B540" s="621" t="s">
        <v>1510</v>
      </c>
    </row>
    <row r="541" spans="2:2" x14ac:dyDescent="0.3">
      <c r="B541" s="622" t="s">
        <v>1511</v>
      </c>
    </row>
    <row r="542" spans="2:2" x14ac:dyDescent="0.3">
      <c r="B542" s="621" t="s">
        <v>1512</v>
      </c>
    </row>
    <row r="543" spans="2:2" x14ac:dyDescent="0.3">
      <c r="B543" s="622" t="s">
        <v>1513</v>
      </c>
    </row>
    <row r="544" spans="2:2" x14ac:dyDescent="0.3">
      <c r="B544" s="621" t="s">
        <v>1514</v>
      </c>
    </row>
    <row r="545" spans="2:2" x14ac:dyDescent="0.3">
      <c r="B545" s="622" t="s">
        <v>1515</v>
      </c>
    </row>
    <row r="546" spans="2:2" x14ac:dyDescent="0.3">
      <c r="B546" s="621" t="s">
        <v>1847</v>
      </c>
    </row>
    <row r="547" spans="2:2" x14ac:dyDescent="0.3">
      <c r="B547" s="622" t="s">
        <v>1516</v>
      </c>
    </row>
    <row r="548" spans="2:2" x14ac:dyDescent="0.3">
      <c r="B548" s="621" t="s">
        <v>1517</v>
      </c>
    </row>
    <row r="549" spans="2:2" x14ac:dyDescent="0.3">
      <c r="B549" s="622" t="s">
        <v>1850</v>
      </c>
    </row>
    <row r="550" spans="2:2" x14ac:dyDescent="0.3">
      <c r="B550" s="621" t="s">
        <v>1852</v>
      </c>
    </row>
    <row r="551" spans="2:2" x14ac:dyDescent="0.3">
      <c r="B551" s="622" t="s">
        <v>1518</v>
      </c>
    </row>
    <row r="552" spans="2:2" x14ac:dyDescent="0.3">
      <c r="B552" s="621" t="s">
        <v>1519</v>
      </c>
    </row>
    <row r="553" spans="2:2" x14ac:dyDescent="0.3">
      <c r="B553" s="622" t="s">
        <v>1520</v>
      </c>
    </row>
    <row r="554" spans="2:2" x14ac:dyDescent="0.3">
      <c r="B554" s="621" t="s">
        <v>1521</v>
      </c>
    </row>
    <row r="555" spans="2:2" x14ac:dyDescent="0.3">
      <c r="B555" s="622" t="s">
        <v>1522</v>
      </c>
    </row>
    <row r="556" spans="2:2" x14ac:dyDescent="0.3">
      <c r="B556" s="621" t="s">
        <v>1523</v>
      </c>
    </row>
    <row r="557" spans="2:2" x14ac:dyDescent="0.3">
      <c r="B557" s="622" t="s">
        <v>1524</v>
      </c>
    </row>
    <row r="558" spans="2:2" x14ac:dyDescent="0.3">
      <c r="B558" s="621" t="s">
        <v>1525</v>
      </c>
    </row>
    <row r="559" spans="2:2" x14ac:dyDescent="0.3">
      <c r="B559" s="622" t="s">
        <v>1526</v>
      </c>
    </row>
    <row r="560" spans="2:2" x14ac:dyDescent="0.3">
      <c r="B560" s="621" t="s">
        <v>2131</v>
      </c>
    </row>
    <row r="561" spans="2:2" x14ac:dyDescent="0.3">
      <c r="B561" s="622" t="s">
        <v>1527</v>
      </c>
    </row>
    <row r="562" spans="2:2" x14ac:dyDescent="0.3">
      <c r="B562" s="621" t="s">
        <v>1528</v>
      </c>
    </row>
    <row r="563" spans="2:2" x14ac:dyDescent="0.3">
      <c r="B563" s="622" t="s">
        <v>1529</v>
      </c>
    </row>
    <row r="564" spans="2:2" x14ac:dyDescent="0.3">
      <c r="B564" s="621" t="s">
        <v>1530</v>
      </c>
    </row>
    <row r="565" spans="2:2" x14ac:dyDescent="0.3">
      <c r="B565" s="622" t="s">
        <v>1531</v>
      </c>
    </row>
    <row r="566" spans="2:2" x14ac:dyDescent="0.3">
      <c r="B566" s="621" t="s">
        <v>1856</v>
      </c>
    </row>
    <row r="567" spans="2:2" x14ac:dyDescent="0.3">
      <c r="B567" s="622" t="s">
        <v>1532</v>
      </c>
    </row>
    <row r="568" spans="2:2" x14ac:dyDescent="0.3">
      <c r="B568" s="621" t="s">
        <v>1533</v>
      </c>
    </row>
    <row r="569" spans="2:2" x14ac:dyDescent="0.3">
      <c r="B569" s="622" t="s">
        <v>1534</v>
      </c>
    </row>
    <row r="570" spans="2:2" x14ac:dyDescent="0.3">
      <c r="B570" s="621" t="s">
        <v>1535</v>
      </c>
    </row>
    <row r="571" spans="2:2" x14ac:dyDescent="0.3">
      <c r="B571" s="622" t="s">
        <v>1536</v>
      </c>
    </row>
    <row r="572" spans="2:2" x14ac:dyDescent="0.3">
      <c r="B572" s="621" t="s">
        <v>1537</v>
      </c>
    </row>
    <row r="573" spans="2:2" x14ac:dyDescent="0.3">
      <c r="B573" s="622" t="s">
        <v>1538</v>
      </c>
    </row>
    <row r="574" spans="2:2" x14ac:dyDescent="0.3">
      <c r="B574" s="621" t="s">
        <v>1539</v>
      </c>
    </row>
    <row r="575" spans="2:2" x14ac:dyDescent="0.3">
      <c r="B575" s="622" t="s">
        <v>1540</v>
      </c>
    </row>
    <row r="576" spans="2:2" x14ac:dyDescent="0.3">
      <c r="B576" s="621" t="s">
        <v>1541</v>
      </c>
    </row>
    <row r="577" spans="2:2" x14ac:dyDescent="0.3">
      <c r="B577" s="622" t="s">
        <v>1542</v>
      </c>
    </row>
    <row r="578" spans="2:2" x14ac:dyDescent="0.3">
      <c r="B578" s="621" t="s">
        <v>1543</v>
      </c>
    </row>
    <row r="579" spans="2:2" x14ac:dyDescent="0.3">
      <c r="B579" s="622" t="s">
        <v>1544</v>
      </c>
    </row>
    <row r="580" spans="2:2" x14ac:dyDescent="0.3">
      <c r="B580" s="621" t="s">
        <v>1545</v>
      </c>
    </row>
    <row r="581" spans="2:2" x14ac:dyDescent="0.3">
      <c r="B581" s="622" t="s">
        <v>1858</v>
      </c>
    </row>
    <row r="582" spans="2:2" x14ac:dyDescent="0.3">
      <c r="B582" s="621" t="s">
        <v>1546</v>
      </c>
    </row>
    <row r="583" spans="2:2" x14ac:dyDescent="0.3">
      <c r="B583" s="622" t="s">
        <v>1547</v>
      </c>
    </row>
    <row r="584" spans="2:2" x14ac:dyDescent="0.3">
      <c r="B584" s="621" t="s">
        <v>1548</v>
      </c>
    </row>
    <row r="585" spans="2:2" x14ac:dyDescent="0.3">
      <c r="B585" s="622" t="s">
        <v>1549</v>
      </c>
    </row>
    <row r="586" spans="2:2" x14ac:dyDescent="0.3">
      <c r="B586" s="621" t="s">
        <v>1550</v>
      </c>
    </row>
    <row r="587" spans="2:2" x14ac:dyDescent="0.3">
      <c r="B587" s="622" t="s">
        <v>1862</v>
      </c>
    </row>
    <row r="588" spans="2:2" x14ac:dyDescent="0.3">
      <c r="B588" s="621" t="s">
        <v>1551</v>
      </c>
    </row>
    <row r="589" spans="2:2" x14ac:dyDescent="0.3">
      <c r="B589" s="622" t="s">
        <v>1552</v>
      </c>
    </row>
    <row r="590" spans="2:2" x14ac:dyDescent="0.3">
      <c r="B590" s="621" t="s">
        <v>1553</v>
      </c>
    </row>
    <row r="591" spans="2:2" x14ac:dyDescent="0.3">
      <c r="B591" s="622" t="s">
        <v>1554</v>
      </c>
    </row>
    <row r="592" spans="2:2" x14ac:dyDescent="0.3">
      <c r="B592" s="621" t="s">
        <v>1864</v>
      </c>
    </row>
    <row r="593" spans="2:2" x14ac:dyDescent="0.3">
      <c r="B593" s="622" t="s">
        <v>2150</v>
      </c>
    </row>
    <row r="594" spans="2:2" x14ac:dyDescent="0.3">
      <c r="B594" s="621" t="s">
        <v>1555</v>
      </c>
    </row>
    <row r="595" spans="2:2" x14ac:dyDescent="0.3">
      <c r="B595" s="622" t="s">
        <v>1556</v>
      </c>
    </row>
    <row r="596" spans="2:2" x14ac:dyDescent="0.3">
      <c r="B596" s="621" t="s">
        <v>1557</v>
      </c>
    </row>
    <row r="597" spans="2:2" x14ac:dyDescent="0.3">
      <c r="B597" s="622" t="s">
        <v>1867</v>
      </c>
    </row>
    <row r="598" spans="2:2" x14ac:dyDescent="0.3">
      <c r="B598" s="621" t="s">
        <v>1558</v>
      </c>
    </row>
    <row r="599" spans="2:2" x14ac:dyDescent="0.3">
      <c r="B599" s="622" t="s">
        <v>1559</v>
      </c>
    </row>
    <row r="600" spans="2:2" x14ac:dyDescent="0.3">
      <c r="B600" s="621" t="s">
        <v>1560</v>
      </c>
    </row>
    <row r="601" spans="2:2" x14ac:dyDescent="0.3">
      <c r="B601" s="622" t="s">
        <v>1561</v>
      </c>
    </row>
    <row r="602" spans="2:2" x14ac:dyDescent="0.3">
      <c r="B602" s="621" t="s">
        <v>1562</v>
      </c>
    </row>
    <row r="603" spans="2:2" x14ac:dyDescent="0.3">
      <c r="B603" s="622" t="s">
        <v>1563</v>
      </c>
    </row>
    <row r="604" spans="2:2" x14ac:dyDescent="0.3">
      <c r="B604" s="621" t="s">
        <v>1564</v>
      </c>
    </row>
    <row r="605" spans="2:2" x14ac:dyDescent="0.3">
      <c r="B605" s="622" t="s">
        <v>1870</v>
      </c>
    </row>
    <row r="606" spans="2:2" x14ac:dyDescent="0.3">
      <c r="B606" s="621" t="s">
        <v>1565</v>
      </c>
    </row>
    <row r="607" spans="2:2" x14ac:dyDescent="0.3">
      <c r="B607" s="622" t="s">
        <v>1872</v>
      </c>
    </row>
    <row r="608" spans="2:2" x14ac:dyDescent="0.3">
      <c r="B608" s="621" t="s">
        <v>1566</v>
      </c>
    </row>
    <row r="609" spans="2:2" x14ac:dyDescent="0.3">
      <c r="B609" s="622" t="s">
        <v>1874</v>
      </c>
    </row>
    <row r="610" spans="2:2" x14ac:dyDescent="0.3">
      <c r="B610" s="621" t="s">
        <v>1567</v>
      </c>
    </row>
    <row r="611" spans="2:2" x14ac:dyDescent="0.3">
      <c r="B611" s="622" t="s">
        <v>1568</v>
      </c>
    </row>
    <row r="612" spans="2:2" x14ac:dyDescent="0.3">
      <c r="B612" s="621" t="s">
        <v>1876</v>
      </c>
    </row>
    <row r="613" spans="2:2" x14ac:dyDescent="0.3">
      <c r="B613" s="622" t="s">
        <v>1879</v>
      </c>
    </row>
    <row r="614" spans="2:2" x14ac:dyDescent="0.3">
      <c r="B614" s="621" t="s">
        <v>1882</v>
      </c>
    </row>
    <row r="615" spans="2:2" x14ac:dyDescent="0.3">
      <c r="B615" s="622" t="s">
        <v>1569</v>
      </c>
    </row>
    <row r="616" spans="2:2" x14ac:dyDescent="0.3">
      <c r="B616" s="621" t="s">
        <v>1885</v>
      </c>
    </row>
    <row r="617" spans="2:2" x14ac:dyDescent="0.3">
      <c r="B617" s="622" t="s">
        <v>1887</v>
      </c>
    </row>
    <row r="618" spans="2:2" x14ac:dyDescent="0.3">
      <c r="B618" s="621" t="s">
        <v>1570</v>
      </c>
    </row>
    <row r="619" spans="2:2" x14ac:dyDescent="0.3">
      <c r="B619" s="622" t="s">
        <v>1890</v>
      </c>
    </row>
    <row r="620" spans="2:2" x14ac:dyDescent="0.3">
      <c r="B620" s="621" t="s">
        <v>1893</v>
      </c>
    </row>
    <row r="621" spans="2:2" x14ac:dyDescent="0.3">
      <c r="B621" s="622" t="s">
        <v>1896</v>
      </c>
    </row>
    <row r="622" spans="2:2" x14ac:dyDescent="0.3">
      <c r="B622" s="621" t="s">
        <v>1571</v>
      </c>
    </row>
    <row r="623" spans="2:2" x14ac:dyDescent="0.3">
      <c r="B623" s="622" t="s">
        <v>1899</v>
      </c>
    </row>
    <row r="624" spans="2:2" x14ac:dyDescent="0.3">
      <c r="B624" s="621" t="s">
        <v>2129</v>
      </c>
    </row>
    <row r="625" spans="2:2" x14ac:dyDescent="0.3">
      <c r="B625" s="622" t="s">
        <v>1903</v>
      </c>
    </row>
    <row r="626" spans="2:2" x14ac:dyDescent="0.3">
      <c r="B626" s="621" t="s">
        <v>1906</v>
      </c>
    </row>
    <row r="627" spans="2:2" x14ac:dyDescent="0.3">
      <c r="B627" s="622" t="s">
        <v>1909</v>
      </c>
    </row>
    <row r="628" spans="2:2" x14ac:dyDescent="0.3">
      <c r="B628" s="621" t="s">
        <v>1912</v>
      </c>
    </row>
    <row r="629" spans="2:2" x14ac:dyDescent="0.3">
      <c r="B629" s="622" t="s">
        <v>1915</v>
      </c>
    </row>
    <row r="630" spans="2:2" x14ac:dyDescent="0.3">
      <c r="B630" s="621" t="s">
        <v>1572</v>
      </c>
    </row>
    <row r="631" spans="2:2" x14ac:dyDescent="0.3">
      <c r="B631" s="622" t="s">
        <v>1573</v>
      </c>
    </row>
    <row r="632" spans="2:2" x14ac:dyDescent="0.3">
      <c r="B632" s="621" t="s">
        <v>1574</v>
      </c>
    </row>
    <row r="633" spans="2:2" x14ac:dyDescent="0.3">
      <c r="B633" s="622" t="s">
        <v>1575</v>
      </c>
    </row>
    <row r="634" spans="2:2" x14ac:dyDescent="0.3">
      <c r="B634" s="621" t="s">
        <v>1576</v>
      </c>
    </row>
    <row r="635" spans="2:2" x14ac:dyDescent="0.3">
      <c r="B635" s="622" t="s">
        <v>1918</v>
      </c>
    </row>
    <row r="636" spans="2:2" x14ac:dyDescent="0.3">
      <c r="B636" s="621" t="s">
        <v>1921</v>
      </c>
    </row>
    <row r="637" spans="2:2" x14ac:dyDescent="0.3">
      <c r="B637" s="622" t="s">
        <v>1577</v>
      </c>
    </row>
    <row r="638" spans="2:2" x14ac:dyDescent="0.3">
      <c r="B638" s="621" t="s">
        <v>1924</v>
      </c>
    </row>
    <row r="639" spans="2:2" x14ac:dyDescent="0.3">
      <c r="B639" s="622" t="s">
        <v>1578</v>
      </c>
    </row>
    <row r="640" spans="2:2" x14ac:dyDescent="0.3">
      <c r="B640" s="621" t="s">
        <v>1926</v>
      </c>
    </row>
    <row r="641" spans="2:2" x14ac:dyDescent="0.3">
      <c r="B641" s="622" t="s">
        <v>1579</v>
      </c>
    </row>
    <row r="642" spans="2:2" x14ac:dyDescent="0.3">
      <c r="B642" s="621" t="s">
        <v>1580</v>
      </c>
    </row>
    <row r="643" spans="2:2" x14ac:dyDescent="0.3">
      <c r="B643" s="622" t="s">
        <v>1581</v>
      </c>
    </row>
    <row r="644" spans="2:2" x14ac:dyDescent="0.3">
      <c r="B644" s="621" t="s">
        <v>1582</v>
      </c>
    </row>
    <row r="645" spans="2:2" x14ac:dyDescent="0.3">
      <c r="B645" s="622" t="s">
        <v>1583</v>
      </c>
    </row>
    <row r="646" spans="2:2" x14ac:dyDescent="0.3">
      <c r="B646" s="621" t="s">
        <v>1584</v>
      </c>
    </row>
    <row r="647" spans="2:2" x14ac:dyDescent="0.3">
      <c r="B647" s="622" t="s">
        <v>1585</v>
      </c>
    </row>
    <row r="648" spans="2:2" x14ac:dyDescent="0.3">
      <c r="B648" s="621" t="s">
        <v>1928</v>
      </c>
    </row>
    <row r="649" spans="2:2" x14ac:dyDescent="0.3">
      <c r="B649" s="622" t="s">
        <v>1586</v>
      </c>
    </row>
    <row r="650" spans="2:2" x14ac:dyDescent="0.3">
      <c r="B650" s="621" t="s">
        <v>1587</v>
      </c>
    </row>
    <row r="651" spans="2:2" x14ac:dyDescent="0.3">
      <c r="B651" s="622" t="s">
        <v>1588</v>
      </c>
    </row>
    <row r="652" spans="2:2" x14ac:dyDescent="0.3">
      <c r="B652" s="621" t="s">
        <v>1589</v>
      </c>
    </row>
    <row r="653" spans="2:2" x14ac:dyDescent="0.3">
      <c r="B653" s="622" t="s">
        <v>1590</v>
      </c>
    </row>
    <row r="654" spans="2:2" x14ac:dyDescent="0.3">
      <c r="B654" s="621" t="s">
        <v>1591</v>
      </c>
    </row>
    <row r="655" spans="2:2" x14ac:dyDescent="0.3">
      <c r="B655" s="622" t="s">
        <v>1592</v>
      </c>
    </row>
    <row r="656" spans="2:2" x14ac:dyDescent="0.3">
      <c r="B656" s="621" t="s">
        <v>1593</v>
      </c>
    </row>
    <row r="657" spans="2:2" x14ac:dyDescent="0.3">
      <c r="B657" s="622" t="s">
        <v>1594</v>
      </c>
    </row>
    <row r="658" spans="2:2" x14ac:dyDescent="0.3">
      <c r="B658" s="621" t="s">
        <v>1595</v>
      </c>
    </row>
    <row r="659" spans="2:2" x14ac:dyDescent="0.3">
      <c r="B659" s="622" t="s">
        <v>1596</v>
      </c>
    </row>
    <row r="660" spans="2:2" x14ac:dyDescent="0.3">
      <c r="B660" s="621" t="s">
        <v>1597</v>
      </c>
    </row>
    <row r="661" spans="2:2" x14ac:dyDescent="0.3">
      <c r="B661" s="622" t="s">
        <v>1598</v>
      </c>
    </row>
    <row r="662" spans="2:2" x14ac:dyDescent="0.3">
      <c r="B662" s="621" t="s">
        <v>1931</v>
      </c>
    </row>
    <row r="663" spans="2:2" x14ac:dyDescent="0.3">
      <c r="B663" s="622" t="s">
        <v>1599</v>
      </c>
    </row>
    <row r="664" spans="2:2" x14ac:dyDescent="0.3">
      <c r="B664" s="621" t="s">
        <v>1600</v>
      </c>
    </row>
    <row r="665" spans="2:2" x14ac:dyDescent="0.3">
      <c r="B665" s="622" t="s">
        <v>1601</v>
      </c>
    </row>
    <row r="666" spans="2:2" x14ac:dyDescent="0.3">
      <c r="B666" s="621" t="s">
        <v>1602</v>
      </c>
    </row>
    <row r="667" spans="2:2" x14ac:dyDescent="0.3">
      <c r="B667" s="622" t="s">
        <v>1603</v>
      </c>
    </row>
    <row r="668" spans="2:2" x14ac:dyDescent="0.3">
      <c r="B668" s="621" t="s">
        <v>1604</v>
      </c>
    </row>
    <row r="669" spans="2:2" x14ac:dyDescent="0.3">
      <c r="B669" s="622" t="s">
        <v>1934</v>
      </c>
    </row>
    <row r="670" spans="2:2" x14ac:dyDescent="0.3">
      <c r="B670" s="621" t="s">
        <v>1937</v>
      </c>
    </row>
    <row r="671" spans="2:2" x14ac:dyDescent="0.3">
      <c r="B671" s="622" t="s">
        <v>1605</v>
      </c>
    </row>
    <row r="672" spans="2:2" x14ac:dyDescent="0.3">
      <c r="B672" s="621" t="s">
        <v>1606</v>
      </c>
    </row>
    <row r="673" spans="2:4" x14ac:dyDescent="0.3">
      <c r="B673" s="622" t="s">
        <v>1607</v>
      </c>
    </row>
    <row r="674" spans="2:4" ht="15" thickBot="1" x14ac:dyDescent="0.35">
      <c r="B674" s="623" t="s">
        <v>1608</v>
      </c>
    </row>
    <row r="675" spans="2:4" ht="15" thickBot="1" x14ac:dyDescent="0.35"/>
    <row r="676" spans="2:4" ht="15" thickBot="1" x14ac:dyDescent="0.35">
      <c r="B676" s="362" t="s">
        <v>1633</v>
      </c>
      <c r="C676" s="363" t="s">
        <v>1633</v>
      </c>
      <c r="D676" s="363" t="s">
        <v>2001</v>
      </c>
    </row>
    <row r="677" spans="2:4" x14ac:dyDescent="0.3">
      <c r="B677" s="364" t="s">
        <v>2088</v>
      </c>
      <c r="C677" s="365" t="str" cm="1">
        <f t="array" aca="1" ref="C677" ca="1">IFERROR(_xlfn.LET(
    _xlpm.txt, B677,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Trachycarpus</v>
      </c>
      <c r="D677" s="366" t="s">
        <v>2000</v>
      </c>
    </row>
    <row r="678" spans="2:4" x14ac:dyDescent="0.3">
      <c r="B678" s="360" t="s">
        <v>1942</v>
      </c>
      <c r="C678" s="354" t="str" cm="1">
        <f t="array" aca="1" ref="C678" ca="1">IFERROR(_xlfn.LET(
    _xlpm.txt, B678,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Morusrubra</v>
      </c>
      <c r="D678" s="272" t="s">
        <v>2000</v>
      </c>
    </row>
    <row r="679" spans="2:4" x14ac:dyDescent="0.3">
      <c r="B679" s="360" t="s">
        <v>1940</v>
      </c>
      <c r="C679" s="354" t="str" cm="1">
        <f t="array" aca="1" ref="C679" ca="1">IFERROR(_xlfn.LET(
    _xlpm.txt, B679,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Broussonetiapapyrifera</v>
      </c>
      <c r="D679" s="272" t="s">
        <v>2000</v>
      </c>
    </row>
    <row r="680" spans="2:4" x14ac:dyDescent="0.3">
      <c r="B680" s="360" t="s">
        <v>1985</v>
      </c>
      <c r="C680" s="354" t="str" cm="1">
        <f t="array" aca="1" ref="C680" ca="1">IFERROR(_xlfn.LET(
    _xlpm.txt, B680,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Rhusverniciflua</v>
      </c>
      <c r="D680" s="272" t="s">
        <v>2000</v>
      </c>
    </row>
    <row r="681" spans="2:4" x14ac:dyDescent="0.3">
      <c r="B681" s="360" t="s">
        <v>1986</v>
      </c>
      <c r="C681" s="354" t="str" cm="1">
        <f t="array" aca="1" ref="C681" ca="1">IFERROR(_xlfn.LET(
    _xlpm.txt, B681,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Azaramicrophylla</v>
      </c>
      <c r="D681" s="272" t="s">
        <v>2000</v>
      </c>
    </row>
    <row r="682" spans="2:4" x14ac:dyDescent="0.3">
      <c r="B682" s="360" t="s">
        <v>1640</v>
      </c>
      <c r="C682" s="354" t="str" cm="1">
        <f t="array" aca="1" ref="C682" ca="1">IFERROR(_xlfn.LET(
    _xlpm.txt, B682,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Camellia</v>
      </c>
      <c r="D682" s="272" t="s">
        <v>2000</v>
      </c>
    </row>
    <row r="683" spans="2:4" x14ac:dyDescent="0.3">
      <c r="B683" s="360" t="s">
        <v>2089</v>
      </c>
      <c r="C683" s="354" t="str" cm="1">
        <f t="array" aca="1" ref="C683" ca="1">IFERROR(_xlfn.LET(
    _xlpm.txt, B683,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Carya</v>
      </c>
      <c r="D683" s="272" t="s">
        <v>2000</v>
      </c>
    </row>
    <row r="684" spans="2:4" x14ac:dyDescent="0.3">
      <c r="B684" s="360" t="s">
        <v>1987</v>
      </c>
      <c r="C684" s="354" t="str" cm="1">
        <f t="array" aca="1" ref="C684" ca="1">IFERROR(_xlfn.LET(
    _xlpm.txt, B684,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Caryaovata</v>
      </c>
      <c r="D684" s="272" t="s">
        <v>2000</v>
      </c>
    </row>
    <row r="685" spans="2:4" x14ac:dyDescent="0.3">
      <c r="B685" s="361" t="s">
        <v>1639</v>
      </c>
      <c r="C685" s="354" t="str" cm="1">
        <f t="array" aca="1" ref="C685" ca="1">IFERROR(_xlfn.LET(
    _xlpm.txt, B685,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Clerodendrumtrichotomum</v>
      </c>
      <c r="D685" s="272" t="s">
        <v>2000</v>
      </c>
    </row>
    <row r="686" spans="2:4" x14ac:dyDescent="0.3">
      <c r="B686" s="360" t="s">
        <v>1644</v>
      </c>
      <c r="C686" s="354" t="str" cm="1">
        <f t="array" aca="1" ref="C686" ca="1">IFERROR(_xlfn.LET(
    _xlpm.txt, B686,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Cornusalba</v>
      </c>
      <c r="D686" s="272" t="s">
        <v>2000</v>
      </c>
    </row>
    <row r="687" spans="2:4" x14ac:dyDescent="0.3">
      <c r="B687" s="360" t="s">
        <v>1941</v>
      </c>
      <c r="C687" s="354" t="str" cm="1">
        <f t="array" aca="1" ref="C687" ca="1">IFERROR(_xlfn.LET(
    _xlpm.txt, B687,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Coryluscornuta</v>
      </c>
      <c r="D687" s="272" t="s">
        <v>2000</v>
      </c>
    </row>
    <row r="688" spans="2:4" x14ac:dyDescent="0.3">
      <c r="B688" s="360" t="s">
        <v>1955</v>
      </c>
      <c r="C688" s="354" t="str" cm="1">
        <f t="array" aca="1" ref="C688" ca="1">IFERROR(_xlfn.LET(
    _xlpm.txt, B688,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Coryluscornutavarcalifornica</v>
      </c>
      <c r="D688" s="272" t="s">
        <v>2000</v>
      </c>
    </row>
    <row r="689" spans="2:4" x14ac:dyDescent="0.3">
      <c r="B689" s="360" t="s">
        <v>1637</v>
      </c>
      <c r="C689" s="354" t="str" cm="1">
        <f t="array" aca="1" ref="C689" ca="1">IFERROR(_xlfn.LET(
    _xlpm.txt, B689,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Cotoneaster</v>
      </c>
      <c r="D689" s="272" t="s">
        <v>2000</v>
      </c>
    </row>
    <row r="690" spans="2:4" x14ac:dyDescent="0.3">
      <c r="B690" s="360" t="s">
        <v>1634</v>
      </c>
      <c r="C690" s="354" t="str" cm="1">
        <f t="array" aca="1" ref="C690" ca="1">IFERROR(_xlfn.LET(
    _xlpm.txt, B690,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Elaeagnusumbellata</v>
      </c>
      <c r="D690" s="272" t="s">
        <v>2000</v>
      </c>
    </row>
    <row r="691" spans="2:4" x14ac:dyDescent="0.3">
      <c r="B691" s="360" t="s">
        <v>2090</v>
      </c>
      <c r="C691" s="354" t="str" cm="1">
        <f t="array" aca="1" ref="C691" ca="1">IFERROR(_xlfn.LET(
    _xlpm.txt, B691,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Euonymus</v>
      </c>
      <c r="D691" s="272" t="s">
        <v>2000</v>
      </c>
    </row>
    <row r="692" spans="2:4" x14ac:dyDescent="0.3">
      <c r="B692" s="360" t="s">
        <v>1648</v>
      </c>
      <c r="C692" s="354" t="str" cm="1">
        <f t="array" aca="1" ref="C692" ca="1">IFERROR(_xlfn.LET(
    _xlpm.txt, B692,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FlacourtiaJangomas</v>
      </c>
      <c r="D692" s="272" t="s">
        <v>2000</v>
      </c>
    </row>
    <row r="693" spans="2:4" x14ac:dyDescent="0.3">
      <c r="B693" s="360" t="s">
        <v>2091</v>
      </c>
      <c r="C693" s="354" t="str" cm="1">
        <f t="array" aca="1" ref="C693" ca="1">IFERROR(_xlfn.LET(
    _xlpm.txt, B693,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Hamamelis</v>
      </c>
      <c r="D693" s="272" t="s">
        <v>2000</v>
      </c>
    </row>
    <row r="694" spans="2:4" x14ac:dyDescent="0.3">
      <c r="B694" s="360" t="s">
        <v>1988</v>
      </c>
      <c r="C694" s="354" t="str" cm="1">
        <f t="array" aca="1" ref="C694" ca="1">IFERROR(_xlfn.LET(
    _xlpm.txt, B694,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Hamamelisvirginiana</v>
      </c>
      <c r="D694" s="272" t="s">
        <v>2000</v>
      </c>
    </row>
    <row r="695" spans="2:4" x14ac:dyDescent="0.3">
      <c r="B695" s="360" t="s">
        <v>2092</v>
      </c>
      <c r="C695" s="354" t="str" cm="1">
        <f t="array" aca="1" ref="C695" ca="1">IFERROR(_xlfn.LET(
    _xlpm.txt, B695,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Ligustrum</v>
      </c>
      <c r="D695" s="272" t="s">
        <v>2000</v>
      </c>
    </row>
    <row r="696" spans="2:4" x14ac:dyDescent="0.3">
      <c r="B696" s="360" t="s">
        <v>2093</v>
      </c>
      <c r="C696" s="354" t="str" cm="1">
        <f t="array" aca="1" ref="C696" ca="1">IFERROR(_xlfn.LET(
    _xlpm.txt, B696,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Lonicera</v>
      </c>
      <c r="D696" s="272" t="s">
        <v>2000</v>
      </c>
    </row>
    <row r="697" spans="2:4" x14ac:dyDescent="0.3">
      <c r="B697" s="360" t="s">
        <v>1643</v>
      </c>
      <c r="C697" s="354" t="str" cm="1">
        <f t="array" aca="1" ref="C697" ca="1">IFERROR(_xlfn.LET(
    _xlpm.txt, B697,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MagnoliaSusan</v>
      </c>
      <c r="D697" s="272" t="s">
        <v>2000</v>
      </c>
    </row>
    <row r="698" spans="2:4" x14ac:dyDescent="0.3">
      <c r="B698" s="360" t="s">
        <v>1641</v>
      </c>
      <c r="C698" s="354" t="str" cm="1">
        <f t="array" aca="1" ref="C698" ca="1">IFERROR(_xlfn.LET(
    _xlpm.txt, B698,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Melaleucaquinquenervia</v>
      </c>
      <c r="D698" s="272" t="s">
        <v>2000</v>
      </c>
    </row>
    <row r="699" spans="2:4" x14ac:dyDescent="0.3">
      <c r="B699" s="361" t="s">
        <v>1647</v>
      </c>
      <c r="C699" s="354" t="str" cm="1">
        <f t="array" aca="1" ref="C699" ca="1">IFERROR(_xlfn.LET(
    _xlpm.txt, B699,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Morellacerifera</v>
      </c>
      <c r="D699" s="272" t="s">
        <v>2000</v>
      </c>
    </row>
    <row r="700" spans="2:4" x14ac:dyDescent="0.3">
      <c r="B700" s="360" t="s">
        <v>1635</v>
      </c>
      <c r="C700" s="354" t="str" cm="1">
        <f t="array" aca="1" ref="C700" ca="1">IFERROR(_xlfn.LET(
    _xlpm.txt, B700,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Myricacalifornica</v>
      </c>
      <c r="D700" s="272" t="s">
        <v>2000</v>
      </c>
    </row>
    <row r="701" spans="2:4" x14ac:dyDescent="0.3">
      <c r="B701" s="360" t="s">
        <v>2094</v>
      </c>
      <c r="C701" s="354" t="str" cm="1">
        <f t="array" aca="1" ref="C701" ca="1">IFERROR(_xlfn.LET(
    _xlpm.txt, B701,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Philadelphus</v>
      </c>
      <c r="D701" s="272" t="s">
        <v>2000</v>
      </c>
    </row>
    <row r="702" spans="2:4" x14ac:dyDescent="0.3">
      <c r="B702" s="360" t="s">
        <v>1989</v>
      </c>
      <c r="C702" s="354" t="str" cm="1">
        <f t="array" aca="1" ref="C702" ca="1">IFERROR(_xlfn.LET(
    _xlpm.txt, B702,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Photiniaserratifolia</v>
      </c>
      <c r="D702" s="272" t="s">
        <v>2000</v>
      </c>
    </row>
    <row r="703" spans="2:4" x14ac:dyDescent="0.3">
      <c r="B703" s="360" t="s">
        <v>1965</v>
      </c>
      <c r="C703" s="354" t="str" cm="1">
        <f t="array" aca="1" ref="C703" ca="1">IFERROR(_xlfn.LET(
    _xlpm.txt, B703,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Photinia</v>
      </c>
      <c r="D703" s="272" t="s">
        <v>2000</v>
      </c>
    </row>
    <row r="704" spans="2:4" x14ac:dyDescent="0.3">
      <c r="B704" s="360" t="s">
        <v>1990</v>
      </c>
      <c r="C704" s="354" t="str" cm="1">
        <f t="array" aca="1" ref="C704" ca="1">IFERROR(_xlfn.LET(
    _xlpm.txt, B704,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PhotiniaxFraseri</v>
      </c>
      <c r="D704" s="272" t="s">
        <v>2000</v>
      </c>
    </row>
    <row r="705" spans="2:4" x14ac:dyDescent="0.3">
      <c r="B705" s="360" t="s">
        <v>2095</v>
      </c>
      <c r="C705" s="354" t="str" cm="1">
        <f t="array" aca="1" ref="C705" ca="1">IFERROR(_xlfn.LET(
    _xlpm.txt, B705,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Pieris</v>
      </c>
      <c r="D705" s="272" t="s">
        <v>2000</v>
      </c>
    </row>
    <row r="706" spans="2:4" x14ac:dyDescent="0.3">
      <c r="B706" s="360" t="s">
        <v>1943</v>
      </c>
      <c r="C706" s="354" t="str" cm="1">
        <f t="array" aca="1" ref="C706" ca="1">IFERROR(_xlfn.LET(
    _xlpm.txt, B706,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Prunuslaurocerasus</v>
      </c>
      <c r="D706" s="272" t="s">
        <v>2000</v>
      </c>
    </row>
    <row r="707" spans="2:4" x14ac:dyDescent="0.3">
      <c r="B707" s="360" t="s">
        <v>1944</v>
      </c>
      <c r="C707" s="354" t="str" cm="1">
        <f t="array" aca="1" ref="C707" ca="1">IFERROR(_xlfn.LET(
    _xlpm.txt, B707,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Prunuslusitanica</v>
      </c>
      <c r="D707" s="272" t="s">
        <v>2000</v>
      </c>
    </row>
    <row r="708" spans="2:4" x14ac:dyDescent="0.3">
      <c r="B708" s="360" t="s">
        <v>1945</v>
      </c>
      <c r="C708" s="354" t="str" cm="1">
        <f t="array" aca="1" ref="C708" ca="1">IFERROR(_xlfn.LET(
    _xlpm.txt, B708,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Rhaphiolepisumbellata</v>
      </c>
      <c r="D708" s="272" t="s">
        <v>2000</v>
      </c>
    </row>
    <row r="709" spans="2:4" x14ac:dyDescent="0.3">
      <c r="B709" s="360" t="s">
        <v>2096</v>
      </c>
      <c r="C709" s="354" t="str" cm="1">
        <f t="array" aca="1" ref="C709" ca="1">IFERROR(_xlfn.LET(
    _xlpm.txt, B709,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Rhododendron</v>
      </c>
      <c r="D709" s="272" t="s">
        <v>2000</v>
      </c>
    </row>
    <row r="710" spans="2:4" x14ac:dyDescent="0.3">
      <c r="B710" s="361" t="s">
        <v>2097</v>
      </c>
      <c r="C710" s="354" t="str" cm="1">
        <f t="array" aca="1" ref="C710" ca="1">IFERROR(_xlfn.LET(
    _xlpm.txt, B710,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Rhus</v>
      </c>
      <c r="D710" s="272" t="s">
        <v>2000</v>
      </c>
    </row>
    <row r="711" spans="2:4" x14ac:dyDescent="0.3">
      <c r="B711" s="360" t="s">
        <v>1991</v>
      </c>
      <c r="C711" s="354" t="str" cm="1">
        <f t="array" aca="1" ref="C711" ca="1">IFERROR(_xlfn.LET(
    _xlpm.txt, B711,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Rhusglabra</v>
      </c>
      <c r="D711" s="272" t="s">
        <v>2000</v>
      </c>
    </row>
    <row r="712" spans="2:4" x14ac:dyDescent="0.3">
      <c r="B712" s="360" t="s">
        <v>1992</v>
      </c>
      <c r="C712" s="354" t="str" cm="1">
        <f t="array" aca="1" ref="C712" ca="1">IFERROR(_xlfn.LET(
    _xlpm.txt, B712,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Rhustyphina</v>
      </c>
      <c r="D712" s="272" t="s">
        <v>2000</v>
      </c>
    </row>
    <row r="713" spans="2:4" x14ac:dyDescent="0.3">
      <c r="B713" s="360" t="s">
        <v>1642</v>
      </c>
      <c r="C713" s="354" t="str" cm="1">
        <f t="array" aca="1" ref="C713" ca="1">IFERROR(_xlfn.LET(
    _xlpm.txt, B713,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Rosanutkana</v>
      </c>
      <c r="D713" s="272" t="s">
        <v>2000</v>
      </c>
    </row>
    <row r="714" spans="2:4" x14ac:dyDescent="0.3">
      <c r="B714" s="360" t="s">
        <v>1993</v>
      </c>
      <c r="C714" s="354" t="str" cm="1">
        <f t="array" aca="1" ref="C714" ca="1">IFERROR(_xlfn.LET(
    _xlpm.txt, B714,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Tamarisk</v>
      </c>
      <c r="D714" s="272" t="s">
        <v>2000</v>
      </c>
    </row>
    <row r="715" spans="2:4" x14ac:dyDescent="0.3">
      <c r="B715" s="360" t="s">
        <v>1636</v>
      </c>
      <c r="C715" s="354" t="str" cm="1">
        <f t="array" aca="1" ref="C715" ca="1">IFERROR(_xlfn.LET(
    _xlpm.txt, B715,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TaxusbaccataErecta</v>
      </c>
      <c r="D715" s="272" t="s">
        <v>2000</v>
      </c>
    </row>
    <row r="716" spans="2:4" x14ac:dyDescent="0.3">
      <c r="B716" s="360" t="s">
        <v>1646</v>
      </c>
      <c r="C716" s="354" t="str" cm="1">
        <f t="array" aca="1" ref="C716" ca="1">IFERROR(_xlfn.LET(
    _xlpm.txt, B716,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TaxusbaccataStricta</v>
      </c>
      <c r="D716" s="272" t="s">
        <v>2000</v>
      </c>
    </row>
    <row r="717" spans="2:4" x14ac:dyDescent="0.3">
      <c r="B717" s="360" t="s">
        <v>1946</v>
      </c>
      <c r="C717" s="354" t="str" cm="1">
        <f t="array" aca="1" ref="C717" ca="1">IFERROR(_xlfn.LET(
    _xlpm.txt, B717,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ThujaoccidentalisEmeraldGreen</v>
      </c>
      <c r="D717" s="272" t="s">
        <v>2000</v>
      </c>
    </row>
    <row r="718" spans="2:4" x14ac:dyDescent="0.3">
      <c r="B718" s="360" t="s">
        <v>1947</v>
      </c>
      <c r="C718" s="354" t="str" cm="1">
        <f t="array" aca="1" ref="C718" ca="1">IFERROR(_xlfn.LET(
    _xlpm.txt, B718,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ThujaoccidentalisSmaragd</v>
      </c>
      <c r="D718" s="272" t="s">
        <v>2000</v>
      </c>
    </row>
    <row r="719" spans="2:4" x14ac:dyDescent="0.3">
      <c r="B719" s="360" t="s">
        <v>1994</v>
      </c>
      <c r="C719" s="354" t="str" cm="1">
        <f t="array" aca="1" ref="C719" ca="1">IFERROR(_xlfn.LET(
    _xlpm.txt, B719,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Viburnum</v>
      </c>
      <c r="D719" s="272" t="s">
        <v>2000</v>
      </c>
    </row>
    <row r="720" spans="2:4" x14ac:dyDescent="0.3">
      <c r="B720" s="360" t="s">
        <v>254</v>
      </c>
      <c r="C720" s="354" t="str" cm="1">
        <f t="array" aca="1" ref="C720" ca="1">IFERROR(_xlfn.LET(
    _xlpm.txt, B720,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Rhamnuscathartica</v>
      </c>
      <c r="D720" s="272" t="s">
        <v>2000</v>
      </c>
    </row>
    <row r="721" spans="2:4" x14ac:dyDescent="0.3">
      <c r="B721" s="360" t="s">
        <v>169</v>
      </c>
      <c r="C721" s="354" t="str" cm="1">
        <f t="array" aca="1" ref="C721" ca="1">IFERROR(_xlfn.LET(
    _xlpm.txt, B721,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Syringavulgaris</v>
      </c>
      <c r="D721" s="272" t="s">
        <v>2000</v>
      </c>
    </row>
    <row r="722" spans="2:4" x14ac:dyDescent="0.3">
      <c r="B722" s="361" t="s">
        <v>1974</v>
      </c>
      <c r="C722" s="354" t="str" cm="1">
        <f t="array" aca="1" ref="C722" ca="1">IFERROR(_xlfn.LET(
    _xlpm.txt, B722,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PalmTreeWindmill</v>
      </c>
      <c r="D722" s="272" t="s">
        <v>2000</v>
      </c>
    </row>
    <row r="723" spans="2:4" x14ac:dyDescent="0.3">
      <c r="B723" s="360" t="s">
        <v>1950</v>
      </c>
      <c r="C723" s="354" t="str" cm="1">
        <f t="array" aca="1" ref="C723" ca="1">IFERROR(_xlfn.LET(
    _xlpm.txt, B723,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RedMulberry</v>
      </c>
      <c r="D723" s="272" t="s">
        <v>2000</v>
      </c>
    </row>
    <row r="724" spans="2:4" x14ac:dyDescent="0.3">
      <c r="B724" s="360" t="s">
        <v>1948</v>
      </c>
      <c r="C724" s="354" t="str" cm="1">
        <f t="array" aca="1" ref="C724" ca="1">IFERROR(_xlfn.LET(
    _xlpm.txt, B724,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PaperMulberry</v>
      </c>
      <c r="D724" s="272" t="s">
        <v>2000</v>
      </c>
    </row>
    <row r="725" spans="2:4" x14ac:dyDescent="0.3">
      <c r="B725" s="360" t="s">
        <v>1970</v>
      </c>
      <c r="C725" s="354" t="str" cm="1">
        <f t="array" aca="1" ref="C725" ca="1">IFERROR(_xlfn.LET(
    _xlpm.txt, B725,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ChineseLacquer</v>
      </c>
      <c r="D725" s="272" t="s">
        <v>2000</v>
      </c>
    </row>
    <row r="726" spans="2:4" x14ac:dyDescent="0.3">
      <c r="B726" s="360" t="s">
        <v>1651</v>
      </c>
      <c r="C726" s="354" t="str" cm="1">
        <f t="array" aca="1" ref="C726" ca="1">IFERROR(_xlfn.LET(
    _xlpm.txt, B726,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BoxleafAzara</v>
      </c>
      <c r="D726" s="272" t="s">
        <v>2000</v>
      </c>
    </row>
    <row r="727" spans="2:4" x14ac:dyDescent="0.3">
      <c r="B727" s="360" t="s">
        <v>1971</v>
      </c>
      <c r="C727" s="354" t="str" cm="1">
        <f t="array" aca="1" ref="C727" ca="1">IFERROR(_xlfn.LET(
    _xlpm.txt, B727,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Japanesecamellia</v>
      </c>
      <c r="D727" s="272" t="s">
        <v>2000</v>
      </c>
    </row>
    <row r="728" spans="2:4" x14ac:dyDescent="0.3">
      <c r="B728" s="360" t="s">
        <v>1956</v>
      </c>
      <c r="C728" s="354" t="str" cm="1">
        <f t="array" aca="1" ref="C728" ca="1">IFERROR(_xlfn.LET(
    _xlpm.txt, B728,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ShellbarkHickory</v>
      </c>
      <c r="D728" s="272" t="s">
        <v>2000</v>
      </c>
    </row>
    <row r="729" spans="2:4" x14ac:dyDescent="0.3">
      <c r="B729" s="360" t="s">
        <v>1957</v>
      </c>
      <c r="C729" s="354" t="str" cm="1">
        <f t="array" aca="1" ref="C729" ca="1">IFERROR(_xlfn.LET(
    _xlpm.txt, B729,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ShagbarkHickory</v>
      </c>
      <c r="D729" s="272" t="s">
        <v>2000</v>
      </c>
    </row>
    <row r="730" spans="2:4" x14ac:dyDescent="0.3">
      <c r="B730" s="361" t="s">
        <v>1656</v>
      </c>
      <c r="C730" s="354" t="str" cm="1">
        <f t="array" aca="1" ref="C730" ca="1">IFERROR(_xlfn.LET(
    _xlpm.txt, B730,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HarlequinGlorybower</v>
      </c>
      <c r="D730" s="272" t="s">
        <v>2000</v>
      </c>
    </row>
    <row r="731" spans="2:4" x14ac:dyDescent="0.3">
      <c r="B731" s="360" t="s">
        <v>1662</v>
      </c>
      <c r="C731" s="354" t="str" cm="1">
        <f t="array" aca="1" ref="C731" ca="1">IFERROR(_xlfn.LET(
    _xlpm.txt, B731,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TatarianDogwood</v>
      </c>
      <c r="D731" s="272" t="s">
        <v>2000</v>
      </c>
    </row>
    <row r="732" spans="2:4" x14ac:dyDescent="0.3">
      <c r="B732" s="360" t="s">
        <v>1949</v>
      </c>
      <c r="C732" s="354" t="str" cm="1">
        <f t="array" aca="1" ref="C732" ca="1">IFERROR(_xlfn.LET(
    _xlpm.txt, B732,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BeakedHazel</v>
      </c>
      <c r="D732" s="272" t="s">
        <v>2000</v>
      </c>
    </row>
    <row r="733" spans="2:4" x14ac:dyDescent="0.3">
      <c r="B733" s="360" t="s">
        <v>1998</v>
      </c>
      <c r="C733" s="354" t="str" cm="1">
        <f t="array" aca="1" ref="C733" ca="1">IFERROR(_xlfn.LET(
    _xlpm.txt, B733,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CaliforniaHazel</v>
      </c>
      <c r="D733" s="272" t="s">
        <v>2000</v>
      </c>
    </row>
    <row r="734" spans="2:4" x14ac:dyDescent="0.3">
      <c r="B734" s="360" t="s">
        <v>1637</v>
      </c>
      <c r="C734" s="354" t="str" cm="1">
        <f t="array" aca="1" ref="C734" ca="1">IFERROR(_xlfn.LET(
    _xlpm.txt, B734,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Cotoneaster</v>
      </c>
      <c r="D734" s="272" t="s">
        <v>2000</v>
      </c>
    </row>
    <row r="735" spans="2:4" x14ac:dyDescent="0.3">
      <c r="B735" s="360" t="s">
        <v>1650</v>
      </c>
      <c r="C735" s="354" t="str" cm="1">
        <f t="array" aca="1" ref="C735" ca="1">IFERROR(_xlfn.LET(
    _xlpm.txt, B735,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AutumnOlive</v>
      </c>
      <c r="D735" s="272" t="s">
        <v>2000</v>
      </c>
    </row>
    <row r="736" spans="2:4" x14ac:dyDescent="0.3">
      <c r="B736" s="360" t="s">
        <v>1958</v>
      </c>
      <c r="C736" s="354" t="str" cm="1">
        <f t="array" aca="1" ref="C736" ca="1">IFERROR(_xlfn.LET(
    _xlpm.txt, B736,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Spindletree</v>
      </c>
      <c r="D736" s="272" t="s">
        <v>2000</v>
      </c>
    </row>
    <row r="737" spans="2:4" x14ac:dyDescent="0.3">
      <c r="B737" s="360" t="s">
        <v>1666</v>
      </c>
      <c r="C737" s="354" t="str" cm="1">
        <f t="array" aca="1" ref="C737" ca="1">IFERROR(_xlfn.LET(
    _xlpm.txt, B737,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Indianplum</v>
      </c>
      <c r="D737" s="272" t="s">
        <v>2000</v>
      </c>
    </row>
    <row r="738" spans="2:4" x14ac:dyDescent="0.3">
      <c r="B738" s="360" t="s">
        <v>1959</v>
      </c>
      <c r="C738" s="354" t="str" cm="1">
        <f t="array" aca="1" ref="C738" ca="1">IFERROR(_xlfn.LET(
    _xlpm.txt, B738,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WitchHazel</v>
      </c>
      <c r="D738" s="272" t="s">
        <v>2000</v>
      </c>
    </row>
    <row r="739" spans="2:4" x14ac:dyDescent="0.3">
      <c r="B739" s="360" t="s">
        <v>1960</v>
      </c>
      <c r="C739" s="354" t="str" cm="1">
        <f t="array" aca="1" ref="C739" ca="1">IFERROR(_xlfn.LET(
    _xlpm.txt, B739,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AmericanWitchhazel</v>
      </c>
      <c r="D739" s="272" t="s">
        <v>2000</v>
      </c>
    </row>
    <row r="740" spans="2:4" x14ac:dyDescent="0.3">
      <c r="B740" s="360" t="s">
        <v>1961</v>
      </c>
      <c r="C740" s="354" t="str" cm="1">
        <f t="array" aca="1" ref="C740" ca="1">IFERROR(_xlfn.LET(
    _xlpm.txt, B740,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EvergreenPrivet</v>
      </c>
      <c r="D740" s="272" t="s">
        <v>2000</v>
      </c>
    </row>
    <row r="741" spans="2:4" x14ac:dyDescent="0.3">
      <c r="B741" s="360" t="s">
        <v>1962</v>
      </c>
      <c r="C741" s="354" t="str" cm="1">
        <f t="array" aca="1" ref="C741" ca="1">IFERROR(_xlfn.LET(
    _xlpm.txt, B741,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Honeysuckle</v>
      </c>
      <c r="D741" s="272" t="s">
        <v>2000</v>
      </c>
    </row>
    <row r="742" spans="2:4" x14ac:dyDescent="0.3">
      <c r="B742" s="360" t="s">
        <v>1659</v>
      </c>
      <c r="C742" s="354" t="str" cm="1">
        <f t="array" aca="1" ref="C742" ca="1">IFERROR(_xlfn.LET(
    _xlpm.txt, B742,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SusanMagnolia</v>
      </c>
      <c r="D742" s="272" t="s">
        <v>2000</v>
      </c>
    </row>
    <row r="743" spans="2:4" x14ac:dyDescent="0.3">
      <c r="B743" s="360" t="s">
        <v>1657</v>
      </c>
      <c r="C743" s="354" t="str" cm="1">
        <f t="array" aca="1" ref="C743" ca="1">IFERROR(_xlfn.LET(
    _xlpm.txt, B743,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Broadleavedpaperbark</v>
      </c>
      <c r="D743" s="272" t="s">
        <v>2000</v>
      </c>
    </row>
    <row r="744" spans="2:4" x14ac:dyDescent="0.3">
      <c r="B744" s="361" t="s">
        <v>1665</v>
      </c>
      <c r="C744" s="354" t="str" cm="1">
        <f t="array" aca="1" ref="C744" ca="1">IFERROR(_xlfn.LET(
    _xlpm.txt, B744,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WaxMyrtle</v>
      </c>
      <c r="D744" s="272" t="s">
        <v>2000</v>
      </c>
    </row>
    <row r="745" spans="2:4" x14ac:dyDescent="0.3">
      <c r="B745" s="360" t="s">
        <v>1995</v>
      </c>
      <c r="C745" s="354" t="str" cm="1">
        <f t="array" aca="1" ref="C745" ca="1">IFERROR(_xlfn.LET(
    _xlpm.txt, B745,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CaliforniaWaxmyrtle</v>
      </c>
      <c r="D745" s="272" t="s">
        <v>2000</v>
      </c>
    </row>
    <row r="746" spans="2:4" x14ac:dyDescent="0.3">
      <c r="B746" s="360" t="s">
        <v>1963</v>
      </c>
      <c r="C746" s="354" t="str" cm="1">
        <f t="array" aca="1" ref="C746" ca="1">IFERROR(_xlfn.LET(
    _xlpm.txt, B746,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MockOrange</v>
      </c>
      <c r="D746" s="272" t="s">
        <v>2000</v>
      </c>
    </row>
    <row r="747" spans="2:4" x14ac:dyDescent="0.3">
      <c r="B747" s="360" t="s">
        <v>1964</v>
      </c>
      <c r="C747" s="354" t="str" cm="1">
        <f t="array" aca="1" ref="C747" ca="1">IFERROR(_xlfn.LET(
    _xlpm.txt, B747,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TaiwanesePhotinia</v>
      </c>
      <c r="D747" s="272" t="s">
        <v>2000</v>
      </c>
    </row>
    <row r="748" spans="2:4" x14ac:dyDescent="0.3">
      <c r="B748" s="360" t="s">
        <v>1965</v>
      </c>
      <c r="C748" s="354" t="str" cm="1">
        <f t="array" aca="1" ref="C748" ca="1">IFERROR(_xlfn.LET(
    _xlpm.txt, B748,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Photinia</v>
      </c>
      <c r="D748" s="272" t="s">
        <v>2000</v>
      </c>
    </row>
    <row r="749" spans="2:4" x14ac:dyDescent="0.3">
      <c r="B749" s="360" t="s">
        <v>1966</v>
      </c>
      <c r="C749" s="354" t="str" cm="1">
        <f t="array" aca="1" ref="C749" ca="1">IFERROR(_xlfn.LET(
    _xlpm.txt, B749,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FrasersPhotinia</v>
      </c>
      <c r="D749" s="272" t="s">
        <v>2000</v>
      </c>
    </row>
    <row r="750" spans="2:4" x14ac:dyDescent="0.3">
      <c r="B750" s="360" t="s">
        <v>1649</v>
      </c>
      <c r="C750" s="354" t="str" cm="1">
        <f t="array" aca="1" ref="C750" ca="1">IFERROR(_xlfn.LET(
    _xlpm.txt, B750,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Andromeda</v>
      </c>
      <c r="D750" s="272" t="s">
        <v>2000</v>
      </c>
    </row>
    <row r="751" spans="2:4" x14ac:dyDescent="0.3">
      <c r="B751" s="360" t="s">
        <v>1951</v>
      </c>
      <c r="C751" s="354" t="str" cm="1">
        <f t="array" aca="1" ref="C751" ca="1">IFERROR(_xlfn.LET(
    _xlpm.txt, B751,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EnglishLaurel</v>
      </c>
      <c r="D751" s="272" t="s">
        <v>2000</v>
      </c>
    </row>
    <row r="752" spans="2:4" x14ac:dyDescent="0.3">
      <c r="B752" s="360" t="s">
        <v>1952</v>
      </c>
      <c r="C752" s="354" t="str" cm="1">
        <f t="array" aca="1" ref="C752" ca="1">IFERROR(_xlfn.LET(
    _xlpm.txt, B752,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PortugalLaurel</v>
      </c>
      <c r="D752" s="272" t="s">
        <v>2000</v>
      </c>
    </row>
    <row r="753" spans="2:4" x14ac:dyDescent="0.3">
      <c r="B753" s="360" t="s">
        <v>1953</v>
      </c>
      <c r="C753" s="354" t="str" cm="1">
        <f t="array" aca="1" ref="C753" ca="1">IFERROR(_xlfn.LET(
    _xlpm.txt, B753,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Roundleafhawthorn</v>
      </c>
      <c r="D753" s="272" t="s">
        <v>2000</v>
      </c>
    </row>
    <row r="754" spans="2:4" x14ac:dyDescent="0.3">
      <c r="B754" s="360" t="s">
        <v>1967</v>
      </c>
      <c r="C754" s="354" t="str" cm="1">
        <f t="array" aca="1" ref="C754" ca="1">IFERROR(_xlfn.LET(
    _xlpm.txt, B754,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RhododendronorAzalea</v>
      </c>
      <c r="D754" s="272" t="s">
        <v>2000</v>
      </c>
    </row>
    <row r="755" spans="2:4" x14ac:dyDescent="0.3">
      <c r="B755" s="361" t="s">
        <v>1661</v>
      </c>
      <c r="C755" s="354" t="str" cm="1">
        <f t="array" aca="1" ref="C755" ca="1">IFERROR(_xlfn.LET(
    _xlpm.txt, B755,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TannersSumac</v>
      </c>
      <c r="D755" s="272" t="s">
        <v>2000</v>
      </c>
    </row>
    <row r="756" spans="2:4" x14ac:dyDescent="0.3">
      <c r="B756" s="360" t="s">
        <v>1968</v>
      </c>
      <c r="C756" s="354" t="str" cm="1">
        <f t="array" aca="1" ref="C756" ca="1">IFERROR(_xlfn.LET(
    _xlpm.txt, B756,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SmoothSumac</v>
      </c>
      <c r="D756" s="272" t="s">
        <v>2000</v>
      </c>
    </row>
    <row r="757" spans="2:4" x14ac:dyDescent="0.3">
      <c r="B757" s="360" t="s">
        <v>1969</v>
      </c>
      <c r="C757" s="354" t="str" cm="1">
        <f t="array" aca="1" ref="C757" ca="1">IFERROR(_xlfn.LET(
    _xlpm.txt, B757,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StaghornSumac</v>
      </c>
      <c r="D757" s="272" t="s">
        <v>2000</v>
      </c>
    </row>
    <row r="758" spans="2:4" x14ac:dyDescent="0.3">
      <c r="B758" s="360" t="s">
        <v>1658</v>
      </c>
      <c r="C758" s="354" t="str" cm="1">
        <f t="array" aca="1" ref="C758" ca="1">IFERROR(_xlfn.LET(
    _xlpm.txt, B758,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Nootkarose</v>
      </c>
      <c r="D758" s="272" t="s">
        <v>2000</v>
      </c>
    </row>
    <row r="759" spans="2:4" x14ac:dyDescent="0.3">
      <c r="B759" s="360" t="s">
        <v>1660</v>
      </c>
      <c r="C759" s="354" t="str" cm="1">
        <f t="array" aca="1" ref="C759" ca="1">IFERROR(_xlfn.LET(
    _xlpm.txt, B759,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Tamariskparviflora</v>
      </c>
      <c r="D759" s="272" t="s">
        <v>2000</v>
      </c>
    </row>
    <row r="760" spans="2:4" x14ac:dyDescent="0.3">
      <c r="B760" s="360" t="s">
        <v>1652</v>
      </c>
      <c r="C760" s="354" t="str" cm="1">
        <f t="array" aca="1" ref="C760" ca="1">IFERROR(_xlfn.LET(
    _xlpm.txt, B760,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ColumnarEnglishYew</v>
      </c>
      <c r="D760" s="272" t="s">
        <v>2000</v>
      </c>
    </row>
    <row r="761" spans="2:4" x14ac:dyDescent="0.3">
      <c r="B761" s="360" t="s">
        <v>1664</v>
      </c>
      <c r="C761" s="354" t="str" cm="1">
        <f t="array" aca="1" ref="C761" ca="1">IFERROR(_xlfn.LET(
    _xlpm.txt, B761,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UprightIrishYew</v>
      </c>
      <c r="D761" s="272" t="s">
        <v>2000</v>
      </c>
    </row>
    <row r="762" spans="2:4" x14ac:dyDescent="0.3">
      <c r="B762" s="360" t="s">
        <v>1655</v>
      </c>
      <c r="C762" s="354" t="str" cm="1">
        <f t="array" aca="1" ref="C762" ca="1">IFERROR(_xlfn.LET(
    _xlpm.txt, B762,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EmeraldGreenArborvitae</v>
      </c>
      <c r="D762" s="272" t="s">
        <v>2000</v>
      </c>
    </row>
    <row r="763" spans="2:4" x14ac:dyDescent="0.3">
      <c r="B763" s="360" t="s">
        <v>1654</v>
      </c>
      <c r="C763" s="354" t="str" cm="1">
        <f t="array" aca="1" ref="C763" ca="1">IFERROR(_xlfn.LET(
    _xlpm.txt, B763,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EmeraldGreenArborvitae</v>
      </c>
      <c r="D763" s="272" t="s">
        <v>2000</v>
      </c>
    </row>
    <row r="764" spans="2:4" x14ac:dyDescent="0.3">
      <c r="B764" s="360" t="s">
        <v>1994</v>
      </c>
      <c r="C764" s="354" t="str" cm="1">
        <f t="array" aca="1" ref="C764" ca="1">IFERROR(_xlfn.LET(
    _xlpm.txt, B764,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Viburnum</v>
      </c>
      <c r="D764" s="272" t="s">
        <v>2000</v>
      </c>
    </row>
    <row r="765" spans="2:4" x14ac:dyDescent="0.3">
      <c r="B765" s="360" t="s">
        <v>253</v>
      </c>
      <c r="C765" s="354" t="str" cm="1">
        <f t="array" aca="1" ref="C765" ca="1">IFERROR(_xlfn.LET(
    _xlpm.txt, B765,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CommonBuckthorn</v>
      </c>
      <c r="D765" s="272" t="s">
        <v>2000</v>
      </c>
    </row>
    <row r="766" spans="2:4" x14ac:dyDescent="0.3">
      <c r="B766" s="271" t="s">
        <v>1973</v>
      </c>
      <c r="C766" s="354" t="str" cm="1">
        <f t="array" aca="1" ref="C766" ca="1">IFERROR(_xlfn.LET(
    _xlpm.txt, B766,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ChineseWindmillPalm</v>
      </c>
      <c r="D766" s="272" t="s">
        <v>2000</v>
      </c>
    </row>
    <row r="767" spans="2:4" x14ac:dyDescent="0.3">
      <c r="B767" s="271" t="s">
        <v>1972</v>
      </c>
      <c r="C767" s="354" t="str" cm="1">
        <f t="array" aca="1" ref="C767" ca="1">IFERROR(_xlfn.LET(
    _xlpm.txt, B767,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ChineseFanPalm</v>
      </c>
      <c r="D767" s="272" t="s">
        <v>2000</v>
      </c>
    </row>
    <row r="768" spans="2:4" x14ac:dyDescent="0.3">
      <c r="B768" s="271" t="s">
        <v>1954</v>
      </c>
      <c r="C768" s="354" t="str" cm="1">
        <f t="array" aca="1" ref="C768" ca="1">IFERROR(_xlfn.LET(
    _xlpm.txt, B768,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Coryluscornutasspcalifornica</v>
      </c>
      <c r="D768" s="272" t="s">
        <v>2000</v>
      </c>
    </row>
    <row r="769" spans="2:4" x14ac:dyDescent="0.3">
      <c r="B769" s="271" t="s">
        <v>1996</v>
      </c>
      <c r="C769" s="354" t="str" cm="1">
        <f t="array" aca="1" ref="C769" ca="1">IFERROR(_xlfn.LET(
    _xlpm.txt, B769,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Pacificwaxmyrtle</v>
      </c>
      <c r="D769" s="272" t="s">
        <v>2000</v>
      </c>
    </row>
    <row r="770" spans="2:4" x14ac:dyDescent="0.3">
      <c r="B770" s="271" t="s">
        <v>1640</v>
      </c>
      <c r="C770" s="354" t="str" cm="1">
        <f t="array" aca="1" ref="C770" ca="1">IFERROR(_xlfn.LET(
    _xlpm.txt, B770,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Camellia</v>
      </c>
      <c r="D770" s="272" t="s">
        <v>2000</v>
      </c>
    </row>
    <row r="771" spans="2:4" x14ac:dyDescent="0.3">
      <c r="B771" s="271" t="s">
        <v>1997</v>
      </c>
      <c r="C771" s="354" t="str" cm="1">
        <f t="array" aca="1" ref="C771" ca="1">IFERROR(_xlfn.LET(
    _xlpm.txt, B771,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WesternBeakedHazel</v>
      </c>
      <c r="D771" s="272" t="s">
        <v>2000</v>
      </c>
    </row>
    <row r="772" spans="2:4" ht="15" thickBot="1" x14ac:dyDescent="0.35">
      <c r="B772" s="368" t="s">
        <v>1999</v>
      </c>
      <c r="C772" s="369" t="str" cm="1">
        <f t="array" aca="1" ref="C772" ca="1">IFERROR(_xlfn.LET(
    _xlpm.txt, B772,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WesternHazel</v>
      </c>
      <c r="D772" s="370" t="s">
        <v>2000</v>
      </c>
    </row>
    <row r="773" spans="2:4" x14ac:dyDescent="0.3">
      <c r="B773" s="364" t="s">
        <v>941</v>
      </c>
      <c r="C773" s="365" t="str" cm="1">
        <f t="array" aca="1" ref="C773" ca="1">IFERROR(_xlfn.LET(
    _xlpm.txt, B773,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Betulaalbosinensis</v>
      </c>
      <c r="D773" s="366" t="s">
        <v>2002</v>
      </c>
    </row>
    <row r="774" spans="2:4" x14ac:dyDescent="0.3">
      <c r="B774" s="360" t="s">
        <v>939</v>
      </c>
      <c r="C774" s="354" t="str" cm="1">
        <f t="array" aca="1" ref="C774" ca="1">IFERROR(_xlfn.LET(
    _xlpm.txt, B774,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Betulaalleghaniensis</v>
      </c>
      <c r="D774" s="272" t="s">
        <v>2002</v>
      </c>
    </row>
    <row r="775" spans="2:4" x14ac:dyDescent="0.3">
      <c r="B775" s="360" t="s">
        <v>937</v>
      </c>
      <c r="C775" s="354" t="str" cm="1">
        <f t="array" aca="1" ref="C775" ca="1">IFERROR(_xlfn.LET(
    _xlpm.txt, B775,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Betulajacquemontii</v>
      </c>
      <c r="D775" s="272" t="s">
        <v>2002</v>
      </c>
    </row>
    <row r="776" spans="2:4" x14ac:dyDescent="0.3">
      <c r="B776" s="360" t="s">
        <v>935</v>
      </c>
      <c r="C776" s="354" t="str" cm="1">
        <f t="array" aca="1" ref="C776" ca="1">IFERROR(_xlfn.LET(
    _xlpm.txt, B776,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Betulalenta</v>
      </c>
      <c r="D776" s="272" t="s">
        <v>2002</v>
      </c>
    </row>
    <row r="777" spans="2:4" x14ac:dyDescent="0.3">
      <c r="B777" s="360" t="s">
        <v>929</v>
      </c>
      <c r="C777" s="354" t="str" cm="1">
        <f t="array" aca="1" ref="C777" ca="1">IFERROR(_xlfn.LET(
    _xlpm.txt, B777,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Betulapapyrifera</v>
      </c>
      <c r="D777" s="272" t="s">
        <v>2002</v>
      </c>
    </row>
    <row r="778" spans="2:4" x14ac:dyDescent="0.3">
      <c r="B778" s="360" t="s">
        <v>925</v>
      </c>
      <c r="C778" s="354" t="str" cm="1">
        <f t="array" aca="1" ref="C778" ca="1">IFERROR(_xlfn.LET(
    _xlpm.txt, B778,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Betulapendula</v>
      </c>
      <c r="D778" s="272" t="s">
        <v>2002</v>
      </c>
    </row>
    <row r="779" spans="2:4" x14ac:dyDescent="0.3">
      <c r="B779" s="360" t="s">
        <v>923</v>
      </c>
      <c r="C779" s="354" t="str" cm="1">
        <f t="array" aca="1" ref="C779" ca="1">IFERROR(_xlfn.LET(
    _xlpm.txt, B779,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Betulaplatyphylla</v>
      </c>
      <c r="D779" s="272" t="s">
        <v>2002</v>
      </c>
    </row>
    <row r="780" spans="2:4" x14ac:dyDescent="0.3">
      <c r="B780" s="360" t="s">
        <v>921</v>
      </c>
      <c r="C780" s="354" t="str" cm="1">
        <f t="array" aca="1" ref="C780" ca="1">IFERROR(_xlfn.LET(
    _xlpm.txt, B780,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Betulapopulifolia</v>
      </c>
      <c r="D780" s="272" t="s">
        <v>2002</v>
      </c>
    </row>
    <row r="781" spans="2:4" x14ac:dyDescent="0.3">
      <c r="B781" s="360" t="s">
        <v>919</v>
      </c>
      <c r="C781" s="354" t="str" cm="1">
        <f t="array" aca="1" ref="C781" ca="1">IFERROR(_xlfn.LET(
    _xlpm.txt, B781,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Betulapubescens</v>
      </c>
      <c r="D781" s="272" t="s">
        <v>2002</v>
      </c>
    </row>
    <row r="782" spans="2:4" x14ac:dyDescent="0.3">
      <c r="B782" s="360" t="s">
        <v>915</v>
      </c>
      <c r="C782" s="354" t="str" cm="1">
        <f t="array" aca="1" ref="C782" ca="1">IFERROR(_xlfn.LET(
    _xlpm.txt, B782,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Betulautilis</v>
      </c>
      <c r="D782" s="272" t="s">
        <v>2002</v>
      </c>
    </row>
    <row r="783" spans="2:4" x14ac:dyDescent="0.3">
      <c r="B783" s="360" t="s">
        <v>725</v>
      </c>
      <c r="C783" s="354" t="str" cm="1">
        <f t="array" aca="1" ref="C783" ca="1">IFERROR(_xlfn.LET(
    _xlpm.txt, B783,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Fraxinusamericana</v>
      </c>
      <c r="D783" s="272" t="s">
        <v>2002</v>
      </c>
    </row>
    <row r="784" spans="2:4" x14ac:dyDescent="0.3">
      <c r="B784" s="360" t="s">
        <v>723</v>
      </c>
      <c r="C784" s="354" t="str" cm="1">
        <f t="array" aca="1" ref="C784" ca="1">IFERROR(_xlfn.LET(
    _xlpm.txt, B784,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Fraxinusangustifolia</v>
      </c>
      <c r="D784" s="272" t="s">
        <v>2002</v>
      </c>
    </row>
    <row r="785" spans="2:4" x14ac:dyDescent="0.3">
      <c r="B785" s="360" t="s">
        <v>721</v>
      </c>
      <c r="C785" s="354" t="str" cm="1">
        <f t="array" aca="1" ref="C785" ca="1">IFERROR(_xlfn.LET(
    _xlpm.txt, B785,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Fraxinusexcelsior</v>
      </c>
      <c r="D785" s="272" t="s">
        <v>2002</v>
      </c>
    </row>
    <row r="786" spans="2:4" x14ac:dyDescent="0.3">
      <c r="B786" s="360" t="s">
        <v>719</v>
      </c>
      <c r="C786" s="354" t="str" cm="1">
        <f t="array" aca="1" ref="C786" ca="1">IFERROR(_xlfn.LET(
    _xlpm.txt, B786,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Fraxinuslatifolia</v>
      </c>
      <c r="D786" s="272" t="s">
        <v>2002</v>
      </c>
    </row>
    <row r="787" spans="2:4" x14ac:dyDescent="0.3">
      <c r="B787" s="360" t="s">
        <v>717</v>
      </c>
      <c r="C787" s="354" t="str" cm="1">
        <f t="array" aca="1" ref="C787" ca="1">IFERROR(_xlfn.LET(
    _xlpm.txt, B787,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Fraxinusornus</v>
      </c>
      <c r="D787" s="272" t="s">
        <v>2002</v>
      </c>
    </row>
    <row r="788" spans="2:4" x14ac:dyDescent="0.3">
      <c r="B788" s="360" t="s">
        <v>715</v>
      </c>
      <c r="C788" s="354" t="str" cm="1">
        <f t="array" aca="1" ref="C788" ca="1">IFERROR(_xlfn.LET(
    _xlpm.txt, B788,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Fraxinusoxycarpa</v>
      </c>
      <c r="D788" s="272" t="s">
        <v>2002</v>
      </c>
    </row>
    <row r="789" spans="2:4" x14ac:dyDescent="0.3">
      <c r="B789" s="360" t="s">
        <v>713</v>
      </c>
      <c r="C789" s="354" t="str" cm="1">
        <f t="array" aca="1" ref="C789" ca="1">IFERROR(_xlfn.LET(
    _xlpm.txt, B789,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Fraxinuspennsylvanica</v>
      </c>
      <c r="D789" s="272" t="s">
        <v>2002</v>
      </c>
    </row>
    <row r="790" spans="2:4" x14ac:dyDescent="0.3">
      <c r="B790" s="360" t="s">
        <v>711</v>
      </c>
      <c r="C790" s="354" t="str" cm="1">
        <f t="array" aca="1" ref="C790" ca="1">IFERROR(_xlfn.LET(
    _xlpm.txt, B790,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Fraxinussp</v>
      </c>
      <c r="D790" s="272" t="s">
        <v>2002</v>
      </c>
    </row>
    <row r="791" spans="2:4" x14ac:dyDescent="0.3">
      <c r="B791" s="360" t="s">
        <v>709</v>
      </c>
      <c r="C791" s="354" t="str" cm="1">
        <f t="array" aca="1" ref="C791" ca="1">IFERROR(_xlfn.LET(
    _xlpm.txt, B791,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Fraxinusvelutina</v>
      </c>
      <c r="D791" s="272" t="s">
        <v>2002</v>
      </c>
    </row>
    <row r="792" spans="2:4" x14ac:dyDescent="0.3">
      <c r="B792" s="360" t="s">
        <v>1653</v>
      </c>
      <c r="C792" s="354" t="str" cm="1">
        <f t="array" aca="1" ref="C792" ca="1">IFERROR(_xlfn.LET(
    _xlpm.txt, B792,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Dicksoniaantarctica</v>
      </c>
      <c r="D792" s="272" t="s">
        <v>2002</v>
      </c>
    </row>
    <row r="793" spans="2:4" x14ac:dyDescent="0.3">
      <c r="B793" s="360" t="s">
        <v>1645</v>
      </c>
      <c r="C793" s="354" t="str" cm="1">
        <f t="array" aca="1" ref="C793" ca="1">IFERROR(_xlfn.LET(
    _xlpm.txt, B793,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Ulmusthomasii</v>
      </c>
      <c r="D793" s="272" t="s">
        <v>2002</v>
      </c>
    </row>
    <row r="794" spans="2:4" x14ac:dyDescent="0.3">
      <c r="B794" s="360" t="s">
        <v>981</v>
      </c>
      <c r="C794" s="354" t="str" cm="1">
        <f t="array" aca="1" ref="C794" ca="1">IFERROR(_xlfn.LET(
    _xlpm.txt, B794,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Ailanthusaltissima</v>
      </c>
      <c r="D794" s="272" t="s">
        <v>2002</v>
      </c>
    </row>
    <row r="795" spans="2:4" x14ac:dyDescent="0.3">
      <c r="B795" s="360" t="s">
        <v>791</v>
      </c>
      <c r="C795" s="354" t="str" cm="1">
        <f t="array" aca="1" ref="C795" ca="1">IFERROR(_xlfn.LET(
    _xlpm.txt, B795,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Crataegusmonogyna</v>
      </c>
      <c r="D795" s="272" t="s">
        <v>2002</v>
      </c>
    </row>
    <row r="796" spans="2:4" x14ac:dyDescent="0.3">
      <c r="B796" s="360" t="s">
        <v>686</v>
      </c>
      <c r="C796" s="354" t="str" cm="1">
        <f t="array" aca="1" ref="C796" ca="1">IFERROR(_xlfn.LET(
    _xlpm.txt, B796,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Ilexaquifolium</v>
      </c>
      <c r="D796" s="272" t="s">
        <v>2002</v>
      </c>
    </row>
    <row r="797" spans="2:4" x14ac:dyDescent="0.3">
      <c r="B797" s="360" t="s">
        <v>386</v>
      </c>
      <c r="C797" s="354" t="str" cm="1">
        <f t="array" aca="1" ref="C797" ca="1">IFERROR(_xlfn.LET(
    _xlpm.txt, B797,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Prunusavium</v>
      </c>
      <c r="D797" s="272" t="s">
        <v>2002</v>
      </c>
    </row>
    <row r="798" spans="2:4" x14ac:dyDescent="0.3">
      <c r="B798" s="360" t="s">
        <v>203</v>
      </c>
      <c r="C798" s="354" t="str" cm="1">
        <f t="array" aca="1" ref="C798" ca="1">IFERROR(_xlfn.LET(
    _xlpm.txt, B798,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Sorbusaucuparia</v>
      </c>
      <c r="D798" s="272" t="s">
        <v>2002</v>
      </c>
    </row>
    <row r="799" spans="2:4" x14ac:dyDescent="0.3">
      <c r="B799" s="360" t="s">
        <v>201</v>
      </c>
      <c r="C799" s="354" t="str" cm="1">
        <f t="array" aca="1" ref="C799" ca="1">IFERROR(_xlfn.LET(
    _xlpm.txt, B799,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SorbusaucupariaMitchred</v>
      </c>
      <c r="D799" s="272" t="s">
        <v>2002</v>
      </c>
    </row>
    <row r="800" spans="2:4" x14ac:dyDescent="0.3">
      <c r="B800" s="360" t="s">
        <v>940</v>
      </c>
      <c r="C800" s="354" t="str" cm="1">
        <f t="array" aca="1" ref="C800" ca="1">IFERROR(_xlfn.LET(
    _xlpm.txt, B800,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ChineseRedBirch</v>
      </c>
      <c r="D800" s="272" t="s">
        <v>2002</v>
      </c>
    </row>
    <row r="801" spans="2:4" x14ac:dyDescent="0.3">
      <c r="B801" s="360" t="s">
        <v>938</v>
      </c>
      <c r="C801" s="354" t="str" cm="1">
        <f t="array" aca="1" ref="C801" ca="1">IFERROR(_xlfn.LET(
    _xlpm.txt, B801,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YellowBirch</v>
      </c>
      <c r="D801" s="272" t="s">
        <v>2002</v>
      </c>
    </row>
    <row r="802" spans="2:4" x14ac:dyDescent="0.3">
      <c r="B802" s="360" t="s">
        <v>936</v>
      </c>
      <c r="C802" s="354" t="str" cm="1">
        <f t="array" aca="1" ref="C802" ca="1">IFERROR(_xlfn.LET(
    _xlpm.txt, B802,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JacquemontiiBirch</v>
      </c>
      <c r="D802" s="272" t="s">
        <v>2002</v>
      </c>
    </row>
    <row r="803" spans="2:4" x14ac:dyDescent="0.3">
      <c r="B803" s="360" t="s">
        <v>934</v>
      </c>
      <c r="C803" s="354" t="str" cm="1">
        <f t="array" aca="1" ref="C803" ca="1">IFERROR(_xlfn.LET(
    _xlpm.txt, B803,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SweetBirch</v>
      </c>
      <c r="D803" s="272" t="s">
        <v>2002</v>
      </c>
    </row>
    <row r="804" spans="2:4" x14ac:dyDescent="0.3">
      <c r="B804" s="360" t="s">
        <v>928</v>
      </c>
      <c r="C804" s="354" t="str" cm="1">
        <f t="array" aca="1" ref="C804" ca="1">IFERROR(_xlfn.LET(
    _xlpm.txt, B804,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PaperBirch</v>
      </c>
      <c r="D804" s="272" t="s">
        <v>2002</v>
      </c>
    </row>
    <row r="805" spans="2:4" x14ac:dyDescent="0.3">
      <c r="B805" s="360" t="s">
        <v>924</v>
      </c>
      <c r="C805" s="354" t="str" cm="1">
        <f t="array" aca="1" ref="C805" ca="1">IFERROR(_xlfn.LET(
    _xlpm.txt, B805,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EuropeanWhiteBirch</v>
      </c>
      <c r="D805" s="272" t="s">
        <v>2002</v>
      </c>
    </row>
    <row r="806" spans="2:4" x14ac:dyDescent="0.3">
      <c r="B806" s="360" t="s">
        <v>922</v>
      </c>
      <c r="C806" s="354" t="str" cm="1">
        <f t="array" aca="1" ref="C806" ca="1">IFERROR(_xlfn.LET(
    _xlpm.txt, B806,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JapaneseWhiteBirch</v>
      </c>
      <c r="D806" s="272" t="s">
        <v>2002</v>
      </c>
    </row>
    <row r="807" spans="2:4" x14ac:dyDescent="0.3">
      <c r="B807" s="360" t="s">
        <v>920</v>
      </c>
      <c r="C807" s="354" t="str" cm="1">
        <f t="array" aca="1" ref="C807" ca="1">IFERROR(_xlfn.LET(
    _xlpm.txt, B807,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GrayBirch</v>
      </c>
      <c r="D807" s="272" t="s">
        <v>2002</v>
      </c>
    </row>
    <row r="808" spans="2:4" x14ac:dyDescent="0.3">
      <c r="B808" s="360" t="s">
        <v>918</v>
      </c>
      <c r="C808" s="354" t="str" cm="1">
        <f t="array" aca="1" ref="C808" ca="1">IFERROR(_xlfn.LET(
    _xlpm.txt, B808,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DownyBirch</v>
      </c>
      <c r="D808" s="272" t="s">
        <v>2002</v>
      </c>
    </row>
    <row r="809" spans="2:4" x14ac:dyDescent="0.3">
      <c r="B809" s="360" t="s">
        <v>914</v>
      </c>
      <c r="C809" s="354" t="str" cm="1">
        <f t="array" aca="1" ref="C809" ca="1">IFERROR(_xlfn.LET(
    _xlpm.txt, B809,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HimalayanBirch</v>
      </c>
      <c r="D809" s="272" t="s">
        <v>2002</v>
      </c>
    </row>
    <row r="810" spans="2:4" x14ac:dyDescent="0.3">
      <c r="B810" s="360" t="s">
        <v>724</v>
      </c>
      <c r="C810" s="354" t="str" cm="1">
        <f t="array" aca="1" ref="C810" ca="1">IFERROR(_xlfn.LET(
    _xlpm.txt, B810,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AmericanAsh</v>
      </c>
      <c r="D810" s="272" t="s">
        <v>2002</v>
      </c>
    </row>
    <row r="811" spans="2:4" x14ac:dyDescent="0.3">
      <c r="B811" s="360" t="s">
        <v>722</v>
      </c>
      <c r="C811" s="354" t="str" cm="1">
        <f t="array" aca="1" ref="C811" ca="1">IFERROR(_xlfn.LET(
    _xlpm.txt, B811,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NarrowLeafedAsh</v>
      </c>
      <c r="D811" s="272" t="s">
        <v>2002</v>
      </c>
    </row>
    <row r="812" spans="2:4" x14ac:dyDescent="0.3">
      <c r="B812" s="360" t="s">
        <v>720</v>
      </c>
      <c r="C812" s="354" t="str" cm="1">
        <f t="array" aca="1" ref="C812" ca="1">IFERROR(_xlfn.LET(
    _xlpm.txt, B812,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EuropeanAsh</v>
      </c>
      <c r="D812" s="272" t="s">
        <v>2002</v>
      </c>
    </row>
    <row r="813" spans="2:4" x14ac:dyDescent="0.3">
      <c r="B813" s="360" t="s">
        <v>718</v>
      </c>
      <c r="C813" s="354" t="str" cm="1">
        <f t="array" aca="1" ref="C813" ca="1">IFERROR(_xlfn.LET(
    _xlpm.txt, B813,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OregonAsh</v>
      </c>
      <c r="D813" s="272" t="s">
        <v>2002</v>
      </c>
    </row>
    <row r="814" spans="2:4" x14ac:dyDescent="0.3">
      <c r="B814" s="360" t="s">
        <v>716</v>
      </c>
      <c r="C814" s="354" t="str" cm="1">
        <f t="array" aca="1" ref="C814" ca="1">IFERROR(_xlfn.LET(
    _xlpm.txt, B814,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MannaAsh</v>
      </c>
      <c r="D814" s="272" t="s">
        <v>2002</v>
      </c>
    </row>
    <row r="815" spans="2:4" x14ac:dyDescent="0.3">
      <c r="B815" s="360" t="s">
        <v>714</v>
      </c>
      <c r="C815" s="354" t="str" cm="1">
        <f t="array" aca="1" ref="C815" ca="1">IFERROR(_xlfn.LET(
    _xlpm.txt, B815,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RaywoodAsh</v>
      </c>
      <c r="D815" s="272" t="s">
        <v>2002</v>
      </c>
    </row>
    <row r="816" spans="2:4" x14ac:dyDescent="0.3">
      <c r="B816" s="360" t="s">
        <v>712</v>
      </c>
      <c r="C816" s="354" t="str" cm="1">
        <f t="array" aca="1" ref="C816" ca="1">IFERROR(_xlfn.LET(
    _xlpm.txt, B816,
    _xlpm.chars, MID(_xlpm.txt, ROW(INDIRECT("1:" &amp; LEN(_xlpm.txt))), 1),
    _xlpm.validChars, "0123456789ABCDEFGHIJKLMNOPQRSTUVWXYZabcdefghijklmnopqrstuvwxyz",
    _xlpm.isValid, ISNUMBER(MATCH(_xlpm.chars, MID(_xlpm.validChars, ROW(INDIRECT("1:" &amp; LEN(_xlpm.validChars))), 1), 0)),
    _xlfn.TEXTJOIN("", TRUE, IF(_xlpm.isValid, _xlpm.chars, ""))
),"")</f>
        <v>GreenAsh</v>
      </c>
      <c r="D816" s="272" t="s">
        <v>2002</v>
      </c>
    </row>
    <row r="817" spans="2:4" x14ac:dyDescent="0.3">
      <c r="B817" s="360" t="s">
        <v>708</v>
      </c>
      <c r="C817" s="354" t="str" cm="1">
        <f t="array" aca="1" ref="C817" ca="1">IFERROR(_xlfn.LET(
    _xlpm.txt, B817,
    _xlpm.chars, MID(_xlpm.txt, ROW(INDIRECT("1:" &amp; LEN(_xlpm.txt))), 1),
    _xlpm.validChars, "0123456789ABCDEFGHIJKLMNOPQRSTUVWXYZabcdefghijklmnopqrstuvwxyz",
    _xlpm.isValid, ISNUMBER(MATCH(_xlpm.chars, MID(_xlpm.validChars, ROW(INDIRECT("1:" &amp; LEN(_xlpm.validChars))), 1), 0)),
    _xlfn.TEXTJOIN("", TRUE, IF(_xlpm.isValid, _xlpm.chars, ""))
),"")</f>
        <v>ArizonaAsh</v>
      </c>
      <c r="D817" s="272" t="s">
        <v>2002</v>
      </c>
    </row>
    <row r="818" spans="2:4" x14ac:dyDescent="0.3">
      <c r="B818" s="360" t="s">
        <v>1638</v>
      </c>
      <c r="C818" s="354" t="str" cm="1">
        <f t="array" aca="1" ref="C818" ca="1">IFERROR(_xlfn.LET(
    _xlpm.txt, B818,
    _xlpm.chars, MID(_xlpm.txt, ROW(INDIRECT("1:" &amp; LEN(_xlpm.txt))), 1),
    _xlpm.validChars, "0123456789ABCDEFGHIJKLMNOPQRSTUVWXYZabcdefghijklmnopqrstuvwxyz",
    _xlpm.isValid, ISNUMBER(MATCH(_xlpm.chars, MID(_xlpm.validChars, ROW(INDIRECT("1:" &amp; LEN(_xlpm.validChars))), 1), 0)),
    _xlfn.TEXTJOIN("", TRUE, IF(_xlpm.isValid, _xlpm.chars, ""))
),"")</f>
        <v>AustralianTreeFern</v>
      </c>
      <c r="D818" s="272" t="s">
        <v>2002</v>
      </c>
    </row>
    <row r="819" spans="2:4" x14ac:dyDescent="0.3">
      <c r="B819" s="360" t="s">
        <v>1663</v>
      </c>
      <c r="C819" s="354" t="str" cm="1">
        <f t="array" aca="1" ref="C819" ca="1">IFERROR(_xlfn.LET(
    _xlpm.txt, B819,
    _xlpm.chars, MID(_xlpm.txt, ROW(INDIRECT("1:" &amp; LEN(_xlpm.txt))), 1),
    _xlpm.validChars, "0123456789ABCDEFGHIJKLMNOPQRSTUVWXYZabcdefghijklmnopqrstuvwxyz",
    _xlpm.isValid, ISNUMBER(MATCH(_xlpm.chars, MID(_xlpm.validChars, ROW(INDIRECT("1:" &amp; LEN(_xlpm.validChars))), 1), 0)),
    _xlfn.TEXTJOIN("", TRUE, IF(_xlpm.isValid, _xlpm.chars, ""))
),"")</f>
        <v>RockElm</v>
      </c>
      <c r="D819" s="272" t="s">
        <v>2002</v>
      </c>
    </row>
    <row r="820" spans="2:4" x14ac:dyDescent="0.3">
      <c r="B820" s="360" t="s">
        <v>980</v>
      </c>
      <c r="C820" s="354" t="str" cm="1">
        <f t="array" aca="1" ref="C820" ca="1">IFERROR(_xlfn.LET(
    _xlpm.txt, B820,
    _xlpm.chars, MID(_xlpm.txt, ROW(INDIRECT("1:" &amp; LEN(_xlpm.txt))), 1),
    _xlpm.validChars, "0123456789ABCDEFGHIJKLMNOPQRSTUVWXYZabcdefghijklmnopqrstuvwxyz",
    _xlpm.isValid, ISNUMBER(MATCH(_xlpm.chars, MID(_xlpm.validChars, ROW(INDIRECT("1:" &amp; LEN(_xlpm.validChars))), 1), 0)),
    _xlfn.TEXTJOIN("", TRUE, IF(_xlpm.isValid, _xlpm.chars, ""))
),"")</f>
        <v>TreeofHeaven</v>
      </c>
      <c r="D820" s="272" t="s">
        <v>2002</v>
      </c>
    </row>
    <row r="821" spans="2:4" x14ac:dyDescent="0.3">
      <c r="B821" s="360" t="s">
        <v>790</v>
      </c>
      <c r="C821" s="354" t="str" cm="1">
        <f t="array" aca="1" ref="C821" ca="1">IFERROR(_xlfn.LET(
    _xlpm.txt, B821,
    _xlpm.chars, MID(_xlpm.txt, ROW(INDIRECT("1:" &amp; LEN(_xlpm.txt))), 1),
    _xlpm.validChars, "0123456789ABCDEFGHIJKLMNOPQRSTUVWXYZabcdefghijklmnopqrstuvwxyz",
    _xlpm.isValid, ISNUMBER(MATCH(_xlpm.chars, MID(_xlpm.validChars, ROW(INDIRECT("1:" &amp; LEN(_xlpm.validChars))), 1), 0)),
    _xlfn.TEXTJOIN("", TRUE, IF(_xlpm.isValid, _xlpm.chars, ""))
),"")</f>
        <v>SingleSeedHawthorn</v>
      </c>
      <c r="D821" s="272" t="s">
        <v>2002</v>
      </c>
    </row>
    <row r="822" spans="2:4" x14ac:dyDescent="0.3">
      <c r="B822" s="360" t="s">
        <v>685</v>
      </c>
      <c r="C822" s="354" t="str" cm="1">
        <f t="array" aca="1" ref="C822" ca="1">IFERROR(_xlfn.LET(
    _xlpm.txt, B822,
    _xlpm.chars, MID(_xlpm.txt, ROW(INDIRECT("1:" &amp; LEN(_xlpm.txt))), 1),
    _xlpm.validChars, "0123456789ABCDEFGHIJKLMNOPQRSTUVWXYZabcdefghijklmnopqrstuvwxyz",
    _xlpm.isValid, ISNUMBER(MATCH(_xlpm.chars, MID(_xlpm.validChars, ROW(INDIRECT("1:" &amp; LEN(_xlpm.validChars))), 1), 0)),
    _xlfn.TEXTJOIN("", TRUE, IF(_xlpm.isValid, _xlpm.chars, ""))
),"")</f>
        <v>EnglishHolly</v>
      </c>
      <c r="D822" s="272" t="s">
        <v>2002</v>
      </c>
    </row>
    <row r="823" spans="2:4" x14ac:dyDescent="0.3">
      <c r="B823" s="360" t="s">
        <v>385</v>
      </c>
      <c r="C823" s="354" t="str" cm="1">
        <f t="array" aca="1" ref="C823" ca="1">IFERROR(_xlfn.LET(
    _xlpm.txt, B823,
    _xlpm.chars, MID(_xlpm.txt, ROW(INDIRECT("1:" &amp; LEN(_xlpm.txt))), 1),
    _xlpm.validChars, "0123456789ABCDEFGHIJKLMNOPQRSTUVWXYZabcdefghijklmnopqrstuvwxyz",
    _xlpm.isValid, ISNUMBER(MATCH(_xlpm.chars, MID(_xlpm.validChars, ROW(INDIRECT("1:" &amp; LEN(_xlpm.validChars))), 1), 0)),
    _xlfn.TEXTJOIN("", TRUE, IF(_xlpm.isValid, _xlpm.chars, ""))
),"")</f>
        <v>WildCherry</v>
      </c>
      <c r="D823" s="272" t="s">
        <v>2002</v>
      </c>
    </row>
    <row r="824" spans="2:4" x14ac:dyDescent="0.3">
      <c r="B824" s="360" t="s">
        <v>202</v>
      </c>
      <c r="C824" s="354" t="str" cm="1">
        <f t="array" aca="1" ref="C824" ca="1">IFERROR(_xlfn.LET(
    _xlpm.txt, B824,
    _xlpm.chars, MID(_xlpm.txt, ROW(INDIRECT("1:" &amp; LEN(_xlpm.txt))), 1),
    _xlpm.validChars, "0123456789ABCDEFGHIJKLMNOPQRSTUVWXYZabcdefghijklmnopqrstuvwxyz",
    _xlpm.isValid, ISNUMBER(MATCH(_xlpm.chars, MID(_xlpm.validChars, ROW(INDIRECT("1:" &amp; LEN(_xlpm.validChars))), 1), 0)),
    _xlfn.TEXTJOIN("", TRUE, IF(_xlpm.isValid, _xlpm.chars, ""))
),"")</f>
        <v>EuropeanMountainAsh</v>
      </c>
      <c r="D824" s="272" t="s">
        <v>2002</v>
      </c>
    </row>
    <row r="825" spans="2:4" ht="15" thickBot="1" x14ac:dyDescent="0.35">
      <c r="B825" s="371" t="s">
        <v>1859</v>
      </c>
      <c r="C825" s="367" t="str" cm="1">
        <f t="array" aca="1" ref="C825" ca="1">IFERROR(_xlfn.LET(
    _xlpm.txt, B825,
    _xlpm.chars, MID(_xlpm.txt, ROW(INDIRECT("1:" &amp; LEN(_xlpm.txt))), 1),
    _xlpm.validChars, "0123456789ABCDEFGHIJKLMNOPQRSTUVWXYZabcdefghijklmnopqrstuvwxyz",
    _xlpm.isValid, ISNUMBER(MATCH(_xlpm.chars, MID(_xlpm.validChars, ROW(INDIRECT("1:" &amp; LEN(_xlpm.validChars))), 1), 0)),
    _xlfn.TEXTJOIN("", TRUE, IF(_xlpm.isValid, _xlpm.chars, ""))
),"")</f>
        <v>CardinalRoyalMountainAsh</v>
      </c>
      <c r="D825" s="372" t="s">
        <v>2002</v>
      </c>
    </row>
  </sheetData>
  <sheetProtection algorithmName="SHA-512" hashValue="dpgm5/UDf9vfr2WCV0Jz4ik6SCaGSo9KTbhtKJY+TKhhMwY8mF/IS3Zq3x3NeDlFZUuzldVdWjH7N9wGx5rkpw==" saltValue="VHEB2R/07qgga9ANnTLMuA==" spinCount="100000" sheet="1" objects="1" scenarios="1" selectLockedCells="1" selectUnlockedCells="1"/>
  <pageMargins left="0.7" right="0.7" top="0.75" bottom="0.75" header="0.3" footer="0.3"/>
  <tableParts count="2">
    <tablePart r:id="rId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7502-80A4-4C61-81B9-A65C3612D0D6}">
  <sheetPr>
    <tabColor theme="1" tint="0.499984740745262"/>
  </sheetPr>
  <dimension ref="A1:C67"/>
  <sheetViews>
    <sheetView topLeftCell="D25" workbookViewId="0">
      <selection activeCell="C25" sqref="B1:C1048576"/>
    </sheetView>
  </sheetViews>
  <sheetFormatPr defaultRowHeight="14.4" x14ac:dyDescent="0.3"/>
  <cols>
    <col min="1" max="1" width="1.6640625" hidden="1" customWidth="1"/>
    <col min="2" max="2" width="126.6640625" hidden="1" customWidth="1"/>
    <col min="3" max="3" width="18.44140625" hidden="1" customWidth="1"/>
  </cols>
  <sheetData>
    <row r="1" spans="2:3" ht="15" thickBot="1" x14ac:dyDescent="0.35">
      <c r="B1" s="385" t="s">
        <v>1096</v>
      </c>
      <c r="C1" s="110" t="s">
        <v>2001</v>
      </c>
    </row>
    <row r="2" spans="2:3" x14ac:dyDescent="0.3">
      <c r="B2" s="390" t="s">
        <v>2178</v>
      </c>
      <c r="C2" s="389" t="s">
        <v>2044</v>
      </c>
    </row>
    <row r="3" spans="2:3" x14ac:dyDescent="0.3">
      <c r="B3" s="391" t="s">
        <v>2003</v>
      </c>
      <c r="C3" s="386" t="s">
        <v>2044</v>
      </c>
    </row>
    <row r="4" spans="2:3" x14ac:dyDescent="0.3">
      <c r="B4" s="392" t="s">
        <v>2179</v>
      </c>
      <c r="C4" s="386" t="s">
        <v>2044</v>
      </c>
    </row>
    <row r="5" spans="2:3" x14ac:dyDescent="0.3">
      <c r="B5" s="392" t="s">
        <v>2004</v>
      </c>
      <c r="C5" s="386" t="s">
        <v>2044</v>
      </c>
    </row>
    <row r="6" spans="2:3" x14ac:dyDescent="0.3">
      <c r="B6" s="393" t="s">
        <v>2042</v>
      </c>
      <c r="C6" s="386" t="s">
        <v>2046</v>
      </c>
    </row>
    <row r="7" spans="2:3" x14ac:dyDescent="0.3">
      <c r="B7" s="393" t="s">
        <v>2042</v>
      </c>
      <c r="C7" s="386" t="s">
        <v>2046</v>
      </c>
    </row>
    <row r="8" spans="2:3" x14ac:dyDescent="0.3">
      <c r="B8" s="392" t="s">
        <v>2005</v>
      </c>
      <c r="C8" s="386" t="s">
        <v>2044</v>
      </c>
    </row>
    <row r="9" spans="2:3" x14ac:dyDescent="0.3">
      <c r="B9" s="394" t="s">
        <v>2006</v>
      </c>
      <c r="C9" s="386" t="s">
        <v>2044</v>
      </c>
    </row>
    <row r="10" spans="2:3" x14ac:dyDescent="0.3">
      <c r="B10" s="394" t="s">
        <v>2007</v>
      </c>
      <c r="C10" s="386" t="s">
        <v>2044</v>
      </c>
    </row>
    <row r="11" spans="2:3" x14ac:dyDescent="0.3">
      <c r="B11" s="394" t="s">
        <v>2008</v>
      </c>
      <c r="C11" s="386" t="s">
        <v>2044</v>
      </c>
    </row>
    <row r="12" spans="2:3" x14ac:dyDescent="0.3">
      <c r="B12" s="393" t="s">
        <v>2042</v>
      </c>
      <c r="C12" s="386" t="s">
        <v>2046</v>
      </c>
    </row>
    <row r="13" spans="2:3" x14ac:dyDescent="0.3">
      <c r="B13" s="393" t="s">
        <v>2042</v>
      </c>
      <c r="C13" s="386" t="s">
        <v>2046</v>
      </c>
    </row>
    <row r="14" spans="2:3" x14ac:dyDescent="0.3">
      <c r="B14" s="392" t="s">
        <v>2180</v>
      </c>
      <c r="C14" s="386" t="s">
        <v>2044</v>
      </c>
    </row>
    <row r="15" spans="2:3" x14ac:dyDescent="0.3">
      <c r="B15" s="392" t="s">
        <v>2009</v>
      </c>
      <c r="C15" s="386" t="s">
        <v>2044</v>
      </c>
    </row>
    <row r="16" spans="2:3" x14ac:dyDescent="0.3">
      <c r="B16" s="394" t="s">
        <v>2010</v>
      </c>
      <c r="C16" s="386" t="s">
        <v>2044</v>
      </c>
    </row>
    <row r="17" spans="2:3" x14ac:dyDescent="0.3">
      <c r="B17" s="394" t="s">
        <v>2011</v>
      </c>
      <c r="C17" s="386" t="s">
        <v>2044</v>
      </c>
    </row>
    <row r="18" spans="2:3" x14ac:dyDescent="0.3">
      <c r="B18" s="394" t="s">
        <v>2012</v>
      </c>
      <c r="C18" s="386" t="s">
        <v>2044</v>
      </c>
    </row>
    <row r="19" spans="2:3" x14ac:dyDescent="0.3">
      <c r="B19" s="391" t="s">
        <v>2181</v>
      </c>
      <c r="C19" s="386" t="s">
        <v>2044</v>
      </c>
    </row>
    <row r="20" spans="2:3" x14ac:dyDescent="0.3">
      <c r="B20" s="394" t="s">
        <v>2013</v>
      </c>
      <c r="C20" s="386" t="s">
        <v>2044</v>
      </c>
    </row>
    <row r="21" spans="2:3" x14ac:dyDescent="0.3">
      <c r="B21" s="392" t="s">
        <v>2182</v>
      </c>
      <c r="C21" s="386" t="s">
        <v>2044</v>
      </c>
    </row>
    <row r="22" spans="2:3" x14ac:dyDescent="0.3">
      <c r="B22" s="392" t="s">
        <v>2014</v>
      </c>
      <c r="C22" s="386" t="s">
        <v>2044</v>
      </c>
    </row>
    <row r="23" spans="2:3" x14ac:dyDescent="0.3">
      <c r="B23" s="394" t="s">
        <v>63</v>
      </c>
      <c r="C23" s="386" t="s">
        <v>2044</v>
      </c>
    </row>
    <row r="24" spans="2:3" x14ac:dyDescent="0.3">
      <c r="B24" s="392" t="s">
        <v>2183</v>
      </c>
      <c r="C24" s="386" t="s">
        <v>2044</v>
      </c>
    </row>
    <row r="25" spans="2:3" x14ac:dyDescent="0.3">
      <c r="B25" s="394" t="s">
        <v>2024</v>
      </c>
      <c r="C25" s="386" t="s">
        <v>2044</v>
      </c>
    </row>
    <row r="26" spans="2:3" x14ac:dyDescent="0.3">
      <c r="B26" s="394" t="s">
        <v>2015</v>
      </c>
      <c r="C26" s="387" t="s">
        <v>2045</v>
      </c>
    </row>
    <row r="27" spans="2:3" x14ac:dyDescent="0.3">
      <c r="B27" s="392" t="s">
        <v>2016</v>
      </c>
      <c r="C27" s="387" t="s">
        <v>2045</v>
      </c>
    </row>
    <row r="28" spans="2:3" x14ac:dyDescent="0.3">
      <c r="B28" s="394" t="s">
        <v>2017</v>
      </c>
      <c r="C28" s="387" t="s">
        <v>2045</v>
      </c>
    </row>
    <row r="29" spans="2:3" x14ac:dyDescent="0.3">
      <c r="B29" s="394" t="s">
        <v>2112</v>
      </c>
      <c r="C29" s="387" t="s">
        <v>2045</v>
      </c>
    </row>
    <row r="30" spans="2:3" x14ac:dyDescent="0.3">
      <c r="B30" s="394" t="s">
        <v>2113</v>
      </c>
      <c r="C30" s="387" t="s">
        <v>2045</v>
      </c>
    </row>
    <row r="31" spans="2:3" x14ac:dyDescent="0.3">
      <c r="B31" s="392" t="s">
        <v>2114</v>
      </c>
      <c r="C31" s="387" t="s">
        <v>2045</v>
      </c>
    </row>
    <row r="32" spans="2:3" x14ac:dyDescent="0.3">
      <c r="B32" s="394" t="s">
        <v>2018</v>
      </c>
      <c r="C32" s="387" t="s">
        <v>2045</v>
      </c>
    </row>
    <row r="33" spans="2:3" x14ac:dyDescent="0.3">
      <c r="B33" s="394" t="s">
        <v>2115</v>
      </c>
      <c r="C33" s="387" t="s">
        <v>2045</v>
      </c>
    </row>
    <row r="34" spans="2:3" x14ac:dyDescent="0.3">
      <c r="B34" s="394" t="s">
        <v>2019</v>
      </c>
      <c r="C34" s="387" t="s">
        <v>2045</v>
      </c>
    </row>
    <row r="35" spans="2:3" x14ac:dyDescent="0.3">
      <c r="B35" s="394" t="s">
        <v>2013</v>
      </c>
      <c r="C35" s="387" t="s">
        <v>2045</v>
      </c>
    </row>
    <row r="36" spans="2:3" x14ac:dyDescent="0.3">
      <c r="B36" s="394" t="s">
        <v>2020</v>
      </c>
      <c r="C36" s="387" t="s">
        <v>2045</v>
      </c>
    </row>
    <row r="37" spans="2:3" x14ac:dyDescent="0.3">
      <c r="B37" s="394" t="s">
        <v>63</v>
      </c>
      <c r="C37" s="387" t="s">
        <v>2045</v>
      </c>
    </row>
    <row r="38" spans="2:3" x14ac:dyDescent="0.3">
      <c r="B38" s="394" t="s">
        <v>2021</v>
      </c>
      <c r="C38" s="387" t="s">
        <v>2045</v>
      </c>
    </row>
    <row r="39" spans="2:3" x14ac:dyDescent="0.3">
      <c r="B39" s="394" t="s">
        <v>2022</v>
      </c>
      <c r="C39" s="387" t="s">
        <v>2045</v>
      </c>
    </row>
    <row r="40" spans="2:3" x14ac:dyDescent="0.3">
      <c r="B40" s="394" t="s">
        <v>2023</v>
      </c>
      <c r="C40" s="386" t="s">
        <v>2044</v>
      </c>
    </row>
    <row r="41" spans="2:3" x14ac:dyDescent="0.3">
      <c r="B41" s="394" t="s">
        <v>2024</v>
      </c>
      <c r="C41" s="386" t="s">
        <v>2044</v>
      </c>
    </row>
    <row r="42" spans="2:3" x14ac:dyDescent="0.3">
      <c r="B42" s="394" t="s">
        <v>2025</v>
      </c>
      <c r="C42" s="387" t="s">
        <v>2045</v>
      </c>
    </row>
    <row r="43" spans="2:3" x14ac:dyDescent="0.3">
      <c r="B43" s="394" t="s">
        <v>2116</v>
      </c>
      <c r="C43" s="387" t="s">
        <v>2045</v>
      </c>
    </row>
    <row r="44" spans="2:3" x14ac:dyDescent="0.3">
      <c r="B44" s="394" t="s">
        <v>2026</v>
      </c>
      <c r="C44" s="386" t="s">
        <v>2044</v>
      </c>
    </row>
    <row r="45" spans="2:3" x14ac:dyDescent="0.3">
      <c r="B45" s="394" t="s">
        <v>2027</v>
      </c>
      <c r="C45" s="386" t="s">
        <v>2044</v>
      </c>
    </row>
    <row r="46" spans="2:3" x14ac:dyDescent="0.3">
      <c r="B46" s="393" t="s">
        <v>2043</v>
      </c>
      <c r="C46" s="386" t="s">
        <v>2044</v>
      </c>
    </row>
    <row r="47" spans="2:3" x14ac:dyDescent="0.3">
      <c r="B47" s="392" t="s">
        <v>2028</v>
      </c>
      <c r="C47" s="386" t="s">
        <v>2044</v>
      </c>
    </row>
    <row r="48" spans="2:3" x14ac:dyDescent="0.3">
      <c r="B48" s="394" t="s">
        <v>2029</v>
      </c>
      <c r="C48" s="386" t="s">
        <v>2044</v>
      </c>
    </row>
    <row r="49" spans="2:3" x14ac:dyDescent="0.3">
      <c r="B49" s="392" t="s">
        <v>2030</v>
      </c>
      <c r="C49" s="387" t="s">
        <v>2045</v>
      </c>
    </row>
    <row r="50" spans="2:3" x14ac:dyDescent="0.3">
      <c r="B50" s="392" t="s">
        <v>2031</v>
      </c>
      <c r="C50" s="387" t="s">
        <v>2045</v>
      </c>
    </row>
    <row r="51" spans="2:3" x14ac:dyDescent="0.3">
      <c r="B51" s="394" t="s">
        <v>2032</v>
      </c>
      <c r="C51" s="387" t="s">
        <v>2045</v>
      </c>
    </row>
    <row r="52" spans="2:3" x14ac:dyDescent="0.3">
      <c r="B52" s="392" t="s">
        <v>2033</v>
      </c>
      <c r="C52" s="387" t="s">
        <v>2045</v>
      </c>
    </row>
    <row r="53" spans="2:3" x14ac:dyDescent="0.3">
      <c r="B53" s="392" t="s">
        <v>2034</v>
      </c>
      <c r="C53" s="387" t="s">
        <v>2045</v>
      </c>
    </row>
    <row r="54" spans="2:3" x14ac:dyDescent="0.3">
      <c r="B54" s="394" t="s">
        <v>2035</v>
      </c>
      <c r="C54" s="386" t="s">
        <v>2044</v>
      </c>
    </row>
    <row r="55" spans="2:3" x14ac:dyDescent="0.3">
      <c r="B55" s="394" t="s">
        <v>2184</v>
      </c>
      <c r="C55" s="387" t="s">
        <v>2045</v>
      </c>
    </row>
    <row r="56" spans="2:3" x14ac:dyDescent="0.3">
      <c r="B56" s="394" t="s">
        <v>2185</v>
      </c>
      <c r="C56" s="386" t="s">
        <v>2044</v>
      </c>
    </row>
    <row r="57" spans="2:3" x14ac:dyDescent="0.3">
      <c r="B57" s="394" t="s">
        <v>2036</v>
      </c>
      <c r="C57" s="387" t="s">
        <v>2045</v>
      </c>
    </row>
    <row r="58" spans="2:3" x14ac:dyDescent="0.3">
      <c r="B58" s="395" t="s">
        <v>2037</v>
      </c>
      <c r="C58" s="388" t="s">
        <v>1772</v>
      </c>
    </row>
    <row r="59" spans="2:3" x14ac:dyDescent="0.3">
      <c r="B59" s="392" t="s">
        <v>2251</v>
      </c>
      <c r="C59" s="386" t="s">
        <v>2044</v>
      </c>
    </row>
    <row r="60" spans="2:3" x14ac:dyDescent="0.3">
      <c r="B60" s="392" t="s">
        <v>2252</v>
      </c>
      <c r="C60" s="387" t="s">
        <v>2045</v>
      </c>
    </row>
    <row r="61" spans="2:3" x14ac:dyDescent="0.3">
      <c r="B61" s="396" t="s">
        <v>2120</v>
      </c>
      <c r="C61" s="386" t="s">
        <v>2044</v>
      </c>
    </row>
    <row r="62" spans="2:3" x14ac:dyDescent="0.3">
      <c r="B62" s="394" t="s">
        <v>2038</v>
      </c>
      <c r="C62" s="386" t="s">
        <v>2044</v>
      </c>
    </row>
    <row r="63" spans="2:3" x14ac:dyDescent="0.3">
      <c r="B63" s="394" t="s">
        <v>2039</v>
      </c>
      <c r="C63" s="387" t="s">
        <v>2045</v>
      </c>
    </row>
    <row r="64" spans="2:3" x14ac:dyDescent="0.3">
      <c r="B64" s="394" t="s">
        <v>2040</v>
      </c>
      <c r="C64" s="387" t="s">
        <v>2045</v>
      </c>
    </row>
    <row r="65" spans="2:3" x14ac:dyDescent="0.3">
      <c r="B65" s="393" t="s">
        <v>2042</v>
      </c>
      <c r="C65" s="386" t="s">
        <v>2046</v>
      </c>
    </row>
    <row r="66" spans="2:3" x14ac:dyDescent="0.3">
      <c r="B66" s="431" t="s">
        <v>2041</v>
      </c>
      <c r="C66" s="432" t="s">
        <v>2044</v>
      </c>
    </row>
    <row r="67" spans="2:3" ht="15" thickBot="1" x14ac:dyDescent="0.35">
      <c r="B67" s="433" t="s">
        <v>2111</v>
      </c>
      <c r="C67" s="397" t="s">
        <v>2045</v>
      </c>
    </row>
  </sheetData>
  <sheetProtection algorithmName="SHA-512" hashValue="aGMuvtanqOuVH2XGDAqNXlAM9ZuAR84zIeo35G5AzMrU2DBiGdBbzs5C41s163eF7YQy25wtxk/V+doZNRHhUg==" saltValue="hoRbgcYJP/Erh7EulrUSfw==" spinCount="100000" sheet="1" objects="1" scenarios="1" selectLockedCells="1" selectUnlockedCells="1"/>
  <conditionalFormatting sqref="C1:C1048576">
    <cfRule type="cellIs" dxfId="3" priority="5" operator="equal">
      <formula>"Both"</formula>
    </cfRule>
    <cfRule type="cellIs" dxfId="2" priority="6" operator="equal">
      <formula>"N/A"</formula>
    </cfRule>
    <cfRule type="cellIs" dxfId="1" priority="7" operator="equal">
      <formula>"Planting"</formula>
    </cfRule>
    <cfRule type="cellIs" dxfId="0" priority="8" operator="equal">
      <formula>"Existing"</formula>
    </cfRule>
  </conditionalFormatting>
  <pageMargins left="0.7" right="0.7" top="0.75" bottom="0.75" header="0.3" footer="0.3"/>
</worksheet>
</file>

<file path=docMetadata/LabelInfo.xml><?xml version="1.0" encoding="utf-8"?>
<clbl:labelList xmlns:clbl="http://schemas.microsoft.com/office/2020/mipLabelMetadata">
  <clbl:label id="{77f49c97-3297-48aa-9bf7-338eaf1c17b8}" enabled="1" method="Privileged" siteId="{78e61e45-6beb-4009-8f99-359d8b54f41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Existing Trees Form</vt:lpstr>
      <vt:lpstr>Tree Plantings Form</vt:lpstr>
      <vt:lpstr>PIL Summary</vt:lpstr>
      <vt:lpstr>Existing Trees Form Help</vt:lpstr>
      <vt:lpstr>Tree Plantings Form Help</vt:lpstr>
      <vt:lpstr>Print or Export</vt:lpstr>
      <vt:lpstr>Tree List</vt:lpstr>
      <vt:lpstr>Tree List2</vt:lpstr>
      <vt:lpstr>Tables</vt:lpstr>
      <vt:lpstr>Tables2</vt:lpstr>
      <vt:lpstr>Error</vt:lpstr>
      <vt:lpstr>L1List</vt:lpstr>
      <vt:lpstr>L1Listb</vt:lpstr>
      <vt:lpstr>L1Listc</vt:lpstr>
      <vt:lpstr>L1Listd</vt:lpstr>
      <vt:lpstr>'Existing Trees Form'!Print_Area</vt:lpstr>
      <vt:lpstr>'Print or Export'!Print_Area</vt:lpstr>
      <vt:lpstr>'Tree Plantings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Seattle SDCI - Tree Information Forms</dc:title>
  <dc:creator>Chen, Jeffrey</dc:creator>
  <cp:lastModifiedBy>Callison, Moon</cp:lastModifiedBy>
  <cp:lastPrinted>2026-10-26T17:54:07Z</cp:lastPrinted>
  <dcterms:created xsi:type="dcterms:W3CDTF">2025-10-02T19:09:14Z</dcterms:created>
  <dcterms:modified xsi:type="dcterms:W3CDTF">2026-11-02T16:46:09Z</dcterms:modified>
</cp:coreProperties>
</file>